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9.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hidePivotFieldList="1" defaultThemeVersion="166925"/>
  <mc:AlternateContent xmlns:mc="http://schemas.openxmlformats.org/markup-compatibility/2006">
    <mc:Choice Requires="x15">
      <x15ac:absPath xmlns:x15ac="http://schemas.microsoft.com/office/spreadsheetml/2010/11/ac" url="/Users/rmiller/Documents/Packt/research/"/>
    </mc:Choice>
  </mc:AlternateContent>
  <xr:revisionPtr revIDLastSave="0" documentId="13_ncr:1_{39665917-0B26-4F45-BA62-9B68BB979BD7}" xr6:coauthVersionLast="47" xr6:coauthVersionMax="47" xr10:uidLastSave="{00000000-0000-0000-0000-000000000000}"/>
  <bookViews>
    <workbookView xWindow="3380" yWindow="1220" windowWidth="17400" windowHeight="25900" activeTab="9" xr2:uid="{00000000-000D-0000-FFFF-FFFF00000000}"/>
  </bookViews>
  <sheets>
    <sheet name="Overall Success Summary" sheetId="4" r:id="rId1"/>
    <sheet name="Log Data" sheetId="1" r:id="rId2"/>
    <sheet name="Utterance  Count vs Success" sheetId="9" r:id="rId3"/>
    <sheet name="Daily Users" sheetId="3" r:id="rId4"/>
    <sheet name="Repeat Users" sheetId="6" r:id="rId5"/>
    <sheet name="Unique Users" sheetId="5" r:id="rId6"/>
    <sheet name="Intent Classification" sheetId="7" r:id="rId7"/>
    <sheet name="System Errors" sheetId="8" r:id="rId8"/>
    <sheet name="Conversational Buttons" sheetId="10" r:id="rId9"/>
    <sheet name="Menu And Tips" sheetId="2" r:id="rId10"/>
  </sheets>
  <definedNames>
    <definedName name="_xlnm._FilterDatabase" localSheetId="1" hidden="1">'Log Data'!$A$1:$O$540</definedName>
  </definedNames>
  <calcPr calcId="191029"/>
  <pivotCaches>
    <pivotCache cacheId="38"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2" i="1"/>
  <c r="K40" i="7"/>
  <c r="L40" i="7"/>
  <c r="J40" i="7"/>
  <c r="C6" i="4"/>
  <c r="G14" i="9"/>
  <c r="G13" i="9"/>
  <c r="F12" i="10"/>
  <c r="G7" i="9"/>
  <c r="F6" i="10"/>
  <c r="F15" i="9"/>
  <c r="G10" i="9"/>
  <c r="F13" i="10"/>
  <c r="F13" i="9"/>
  <c r="F10" i="9"/>
  <c r="E17" i="10"/>
  <c r="E10" i="10"/>
  <c r="H7" i="9"/>
  <c r="H9" i="9"/>
  <c r="F7" i="10"/>
  <c r="F10" i="10"/>
  <c r="F11" i="10"/>
  <c r="E13" i="10"/>
  <c r="E12" i="10"/>
  <c r="G11" i="10"/>
  <c r="F16" i="10"/>
  <c r="G10" i="10"/>
  <c r="E15" i="10"/>
  <c r="G6" i="9"/>
  <c r="G15" i="9"/>
  <c r="G12" i="10"/>
  <c r="E5" i="4"/>
  <c r="G9" i="9"/>
  <c r="F9" i="9"/>
  <c r="G12" i="9"/>
  <c r="F11" i="9"/>
  <c r="G17" i="10"/>
  <c r="F8" i="10"/>
  <c r="G6" i="10"/>
  <c r="F7" i="9"/>
  <c r="H11" i="9"/>
  <c r="F12" i="9"/>
  <c r="F17" i="10"/>
  <c r="G14" i="10"/>
  <c r="G16" i="10"/>
  <c r="E6" i="10"/>
  <c r="H13" i="9"/>
  <c r="H12" i="9"/>
  <c r="C19" i="10"/>
  <c r="H10" i="9"/>
  <c r="H6" i="9"/>
  <c r="G11" i="9"/>
  <c r="G8" i="9"/>
  <c r="G13" i="10"/>
  <c r="H8" i="9"/>
  <c r="D19" i="10"/>
  <c r="D5" i="4"/>
  <c r="G15" i="10"/>
  <c r="E11" i="10"/>
  <c r="G9" i="10"/>
  <c r="F14" i="9"/>
  <c r="E16" i="10"/>
  <c r="E7" i="10"/>
  <c r="F15" i="10"/>
  <c r="H15" i="9"/>
  <c r="F9" i="10"/>
  <c r="F14" i="10"/>
  <c r="E8" i="10"/>
  <c r="G8" i="10"/>
  <c r="E9" i="10"/>
  <c r="E14" i="10"/>
  <c r="H14" i="9"/>
  <c r="F8" i="9"/>
  <c r="B19" i="10"/>
  <c r="F6" i="9"/>
  <c r="G7" i="10"/>
  <c r="G18" i="10" l="1"/>
  <c r="F18" i="10"/>
  <c r="E18" i="10"/>
  <c r="AI6" i="6"/>
  <c r="AI7" i="6"/>
  <c r="AI8" i="6"/>
  <c r="AI9" i="6"/>
  <c r="AI10" i="6"/>
  <c r="AI11" i="6"/>
  <c r="AI12" i="6"/>
  <c r="AI13" i="6"/>
  <c r="AI14" i="6"/>
  <c r="AI15" i="6"/>
  <c r="AI16" i="6"/>
  <c r="AI17" i="6"/>
  <c r="AI18" i="6"/>
  <c r="AI19" i="6"/>
  <c r="AI20" i="6"/>
  <c r="AI21" i="6"/>
  <c r="AI22" i="6"/>
  <c r="AI23" i="6"/>
  <c r="AI24" i="6"/>
  <c r="AI25" i="6"/>
  <c r="AI26" i="6"/>
  <c r="AI27" i="6"/>
  <c r="AI28" i="6"/>
  <c r="AI29" i="6"/>
  <c r="AI30" i="6"/>
  <c r="AI31" i="6"/>
  <c r="AI32" i="6"/>
  <c r="AI33" i="6"/>
  <c r="AI34" i="6"/>
  <c r="AI35" i="6"/>
  <c r="AI36" i="6"/>
  <c r="AI37" i="6"/>
  <c r="AI38" i="6"/>
  <c r="AI39" i="6"/>
  <c r="AI40" i="6"/>
  <c r="AI41" i="6"/>
  <c r="AI42" i="6"/>
  <c r="AI43" i="6"/>
  <c r="AI44" i="6"/>
  <c r="AI45" i="6"/>
  <c r="AI46" i="6"/>
  <c r="AI47" i="6"/>
  <c r="AI48" i="6"/>
  <c r="AI49" i="6"/>
  <c r="AI50" i="6"/>
  <c r="AI51" i="6"/>
  <c r="AI52" i="6"/>
  <c r="AI53" i="6"/>
  <c r="AI54" i="6"/>
  <c r="AI55" i="6"/>
  <c r="AI56" i="6"/>
  <c r="AI57" i="6"/>
  <c r="AI58" i="6"/>
  <c r="AI59" i="6"/>
  <c r="AI60" i="6"/>
  <c r="AI61" i="6"/>
  <c r="AI62" i="6"/>
  <c r="AI63" i="6"/>
  <c r="AI64" i="6"/>
  <c r="AI65" i="6"/>
  <c r="AI66" i="6"/>
  <c r="AI67" i="6"/>
  <c r="AI68" i="6"/>
  <c r="AI69" i="6"/>
  <c r="AI70" i="6"/>
  <c r="AI71" i="6"/>
  <c r="AI72" i="6"/>
  <c r="AI73" i="6"/>
  <c r="AI74" i="6"/>
  <c r="AI75" i="6"/>
  <c r="AI76" i="6"/>
  <c r="AI77" i="6"/>
  <c r="AI78" i="6"/>
  <c r="AI79" i="6"/>
  <c r="AI80" i="6"/>
  <c r="AI81" i="6"/>
  <c r="AI82" i="6"/>
  <c r="AI83" i="6"/>
  <c r="AI84" i="6"/>
  <c r="AI85" i="6"/>
  <c r="AI86" i="6"/>
  <c r="AI87" i="6"/>
  <c r="AI88" i="6"/>
  <c r="AI89" i="6"/>
  <c r="AI90" i="6"/>
  <c r="AI91" i="6"/>
  <c r="AI92" i="6"/>
  <c r="AI93" i="6"/>
  <c r="AI94" i="6"/>
  <c r="AI95" i="6"/>
  <c r="AI96" i="6"/>
  <c r="AI97" i="6"/>
  <c r="AI98" i="6"/>
  <c r="AI99" i="6"/>
  <c r="AI100" i="6"/>
  <c r="AI101" i="6"/>
  <c r="AI102" i="6"/>
  <c r="AI103" i="6"/>
  <c r="AI104" i="6"/>
  <c r="AI105" i="6"/>
  <c r="AI106" i="6"/>
  <c r="AI107" i="6"/>
  <c r="AI108" i="6"/>
  <c r="AI109" i="6"/>
  <c r="AI110" i="6"/>
  <c r="AI111" i="6"/>
  <c r="AI112" i="6"/>
  <c r="AI113" i="6"/>
  <c r="AI114" i="6"/>
  <c r="AI115" i="6"/>
  <c r="AI116" i="6"/>
  <c r="AI117" i="6"/>
  <c r="AI118" i="6"/>
  <c r="AI119" i="6"/>
  <c r="AI120" i="6"/>
  <c r="AI121" i="6"/>
  <c r="AI122" i="6"/>
  <c r="AI123" i="6"/>
  <c r="AI124" i="6"/>
  <c r="AI125" i="6"/>
  <c r="AI126" i="6"/>
  <c r="AI127" i="6"/>
  <c r="AI128" i="6"/>
  <c r="AI129" i="6"/>
  <c r="AI130" i="6"/>
  <c r="AI131" i="6"/>
  <c r="AI132" i="6"/>
  <c r="AI133" i="6"/>
  <c r="AI134" i="6"/>
  <c r="AI135" i="6"/>
  <c r="AI136" i="6"/>
  <c r="AI137" i="6"/>
  <c r="AI138" i="6"/>
  <c r="AI139" i="6"/>
  <c r="AI140" i="6"/>
  <c r="AI141" i="6"/>
  <c r="AI142" i="6"/>
  <c r="AI143" i="6"/>
  <c r="AI144" i="6"/>
  <c r="AI145" i="6"/>
  <c r="AI146" i="6"/>
  <c r="AI147" i="6"/>
  <c r="AI148" i="6"/>
  <c r="AI149" i="6"/>
  <c r="AI150" i="6"/>
  <c r="AI151" i="6"/>
  <c r="AI152" i="6"/>
  <c r="AI153" i="6"/>
  <c r="AI154" i="6"/>
  <c r="AI155" i="6"/>
  <c r="AI156" i="6"/>
  <c r="AI157" i="6"/>
  <c r="AI158" i="6"/>
  <c r="AI159" i="6"/>
  <c r="AI160" i="6"/>
  <c r="AI161" i="6"/>
  <c r="AI162" i="6"/>
  <c r="AI163" i="6"/>
  <c r="AI164" i="6"/>
  <c r="AI165" i="6"/>
  <c r="AI166" i="6"/>
  <c r="AI167" i="6"/>
  <c r="AI168" i="6"/>
  <c r="AI169" i="6"/>
  <c r="AI170" i="6"/>
  <c r="AI171" i="6"/>
  <c r="AI172" i="6"/>
  <c r="AI173" i="6"/>
  <c r="AI174" i="6"/>
  <c r="AI175" i="6"/>
  <c r="AI176" i="6"/>
  <c r="AI177" i="6"/>
  <c r="AI178" i="6"/>
  <c r="AI179" i="6"/>
  <c r="AI180" i="6"/>
  <c r="AI181" i="6"/>
  <c r="AI182" i="6"/>
  <c r="AI183" i="6"/>
  <c r="AI184" i="6"/>
  <c r="AI185" i="6"/>
  <c r="AI186" i="6"/>
  <c r="AI187" i="6"/>
  <c r="AI188" i="6"/>
  <c r="AI189" i="6"/>
  <c r="AI190" i="6"/>
  <c r="AI191" i="6"/>
  <c r="AI192" i="6"/>
  <c r="AI193" i="6"/>
  <c r="AI194" i="6"/>
  <c r="AI195" i="6"/>
  <c r="AI196" i="6"/>
  <c r="AI197" i="6"/>
  <c r="AI198" i="6"/>
  <c r="AI199" i="6"/>
  <c r="AI200" i="6"/>
  <c r="AI201" i="6"/>
  <c r="AI202" i="6"/>
  <c r="AI203" i="6"/>
  <c r="AI204" i="6"/>
  <c r="AI205" i="6"/>
  <c r="AI206" i="6"/>
  <c r="AI207" i="6"/>
  <c r="AI208" i="6"/>
  <c r="AI209" i="6"/>
  <c r="AI210" i="6"/>
  <c r="AI211" i="6"/>
  <c r="AI212" i="6"/>
  <c r="AI213" i="6"/>
  <c r="AI214" i="6"/>
  <c r="AI215" i="6"/>
  <c r="AI216" i="6"/>
  <c r="AI217" i="6"/>
  <c r="AI218" i="6"/>
  <c r="AI219" i="6"/>
  <c r="AI220" i="6"/>
  <c r="AI221" i="6"/>
  <c r="AI222" i="6"/>
  <c r="AI223" i="6"/>
  <c r="AI224" i="6"/>
  <c r="AI225" i="6"/>
  <c r="AI226" i="6"/>
  <c r="AI227" i="6"/>
  <c r="AI228" i="6"/>
  <c r="AI229" i="6"/>
  <c r="AI230" i="6"/>
  <c r="AI231" i="6"/>
  <c r="AI232" i="6"/>
  <c r="AI233" i="6"/>
  <c r="AI234" i="6"/>
  <c r="AI235" i="6"/>
  <c r="AI236" i="6"/>
  <c r="AI237" i="6"/>
  <c r="AI238" i="6"/>
  <c r="AI239" i="6"/>
  <c r="AI240" i="6"/>
  <c r="AI241" i="6"/>
  <c r="AI242" i="6"/>
  <c r="AI243" i="6"/>
  <c r="AI244" i="6"/>
  <c r="AI245" i="6"/>
  <c r="AI246" i="6"/>
  <c r="AI247" i="6"/>
  <c r="AI248" i="6"/>
  <c r="AI249" i="6"/>
  <c r="AI250" i="6"/>
  <c r="AI251" i="6"/>
  <c r="AI252" i="6"/>
  <c r="AI253" i="6"/>
  <c r="AI254" i="6"/>
  <c r="AI255" i="6"/>
  <c r="AI256" i="6"/>
  <c r="AI257" i="6"/>
  <c r="AI258" i="6"/>
  <c r="AI259" i="6"/>
  <c r="AI260" i="6"/>
  <c r="AI261" i="6"/>
  <c r="AI262" i="6"/>
  <c r="AI263" i="6"/>
  <c r="AI264" i="6"/>
  <c r="AI265" i="6"/>
  <c r="AI266" i="6"/>
  <c r="AI267" i="6"/>
  <c r="AI268" i="6"/>
  <c r="AI269" i="6"/>
  <c r="AI270" i="6"/>
  <c r="AI271" i="6"/>
  <c r="AI272" i="6"/>
  <c r="AI273" i="6"/>
  <c r="AI274" i="6"/>
  <c r="AI275" i="6"/>
  <c r="AI276" i="6"/>
  <c r="AI277" i="6"/>
  <c r="AI278" i="6"/>
  <c r="AI279" i="6"/>
  <c r="AI280" i="6"/>
  <c r="AI281" i="6"/>
  <c r="AI282" i="6"/>
  <c r="AI283" i="6"/>
  <c r="AI284" i="6"/>
  <c r="AI285" i="6"/>
  <c r="AI286" i="6"/>
  <c r="AI287" i="6"/>
  <c r="AI288" i="6"/>
  <c r="AI289" i="6"/>
  <c r="AI290" i="6"/>
  <c r="AI291" i="6"/>
  <c r="AI292" i="6"/>
  <c r="AI293" i="6"/>
  <c r="AI294" i="6"/>
  <c r="AI295" i="6"/>
  <c r="AI296" i="6"/>
  <c r="AI297" i="6"/>
  <c r="AI298" i="6"/>
  <c r="AI299" i="6"/>
  <c r="AI300" i="6"/>
  <c r="AI301" i="6"/>
  <c r="AI302" i="6"/>
  <c r="AI303" i="6"/>
  <c r="AI304" i="6"/>
  <c r="AI305" i="6"/>
  <c r="AI306" i="6"/>
  <c r="AI307" i="6"/>
  <c r="AI308" i="6"/>
  <c r="AI309" i="6"/>
  <c r="AI310" i="6"/>
  <c r="AI311" i="6"/>
  <c r="AI312" i="6"/>
  <c r="AI313" i="6"/>
  <c r="AI314" i="6"/>
  <c r="AI315" i="6"/>
  <c r="AI316" i="6"/>
  <c r="AI317" i="6"/>
  <c r="AI318" i="6"/>
  <c r="AI319" i="6"/>
  <c r="AI320" i="6"/>
  <c r="AI321" i="6"/>
  <c r="AI322" i="6"/>
  <c r="AI323" i="6"/>
  <c r="AI324" i="6"/>
  <c r="AI325" i="6"/>
  <c r="AI326" i="6"/>
  <c r="AI327" i="6"/>
  <c r="AI328" i="6"/>
  <c r="AI329" i="6"/>
  <c r="AI330" i="6"/>
  <c r="AI331" i="6"/>
  <c r="AI332" i="6"/>
  <c r="AI333" i="6"/>
  <c r="AI334" i="6"/>
  <c r="AI335" i="6"/>
  <c r="AI336" i="6"/>
  <c r="AI337" i="6"/>
  <c r="AI338" i="6"/>
  <c r="AI339" i="6"/>
  <c r="AI340" i="6"/>
  <c r="AI341" i="6"/>
  <c r="AI342" i="6"/>
  <c r="AI343" i="6"/>
  <c r="AI344" i="6"/>
  <c r="AI345" i="6"/>
  <c r="AI346" i="6"/>
  <c r="AI347" i="6"/>
  <c r="AI348" i="6"/>
  <c r="AI349" i="6"/>
  <c r="AI350" i="6"/>
  <c r="AI351" i="6"/>
  <c r="AI352" i="6"/>
  <c r="AI353" i="6"/>
  <c r="AI354" i="6"/>
  <c r="AI355" i="6"/>
  <c r="AI356" i="6"/>
  <c r="AI357" i="6"/>
  <c r="AI358" i="6"/>
  <c r="AI359" i="6"/>
  <c r="AI360" i="6"/>
  <c r="AI361" i="6"/>
  <c r="AI362" i="6"/>
  <c r="AI363" i="6"/>
  <c r="AI364" i="6"/>
  <c r="AI365" i="6"/>
  <c r="AI366" i="6"/>
  <c r="AI367" i="6"/>
  <c r="AI368" i="6"/>
  <c r="AI369" i="6"/>
  <c r="AI370" i="6"/>
  <c r="AI371" i="6"/>
  <c r="AI372" i="6"/>
  <c r="AI373" i="6"/>
  <c r="AI374" i="6"/>
  <c r="AI375" i="6"/>
  <c r="AI376" i="6"/>
  <c r="AI377" i="6"/>
  <c r="AI378" i="6"/>
  <c r="AI379" i="6"/>
  <c r="AI380" i="6"/>
  <c r="AI381" i="6"/>
  <c r="AI382" i="6"/>
  <c r="AI383" i="6"/>
  <c r="AI384" i="6"/>
  <c r="AI385" i="6"/>
  <c r="AI386" i="6"/>
  <c r="AI387" i="6"/>
  <c r="AI388" i="6"/>
  <c r="AI389" i="6"/>
  <c r="AI390" i="6"/>
  <c r="AI391" i="6"/>
  <c r="AI392" i="6"/>
  <c r="AI393" i="6"/>
  <c r="AI394" i="6"/>
  <c r="AI395" i="6"/>
  <c r="AI396" i="6"/>
  <c r="AI397" i="6"/>
  <c r="AI398" i="6"/>
  <c r="AI399" i="6"/>
  <c r="AI400" i="6"/>
  <c r="AI401" i="6"/>
  <c r="AI402" i="6"/>
  <c r="AI403" i="6"/>
  <c r="AI404" i="6"/>
  <c r="AI405" i="6"/>
  <c r="AI406" i="6"/>
  <c r="AI407" i="6"/>
  <c r="AI408" i="6"/>
  <c r="AI409" i="6"/>
  <c r="AI410" i="6"/>
  <c r="AI411" i="6"/>
  <c r="AI412" i="6"/>
  <c r="AI413" i="6"/>
  <c r="AI414" i="6"/>
  <c r="AI415" i="6"/>
  <c r="AI416" i="6"/>
  <c r="AI417" i="6"/>
  <c r="AI418" i="6"/>
  <c r="AI419" i="6"/>
  <c r="AI420" i="6"/>
  <c r="AI421" i="6"/>
  <c r="AI422" i="6"/>
  <c r="AI423" i="6"/>
  <c r="AI424" i="6"/>
  <c r="AI425" i="6"/>
  <c r="AI426" i="6"/>
  <c r="AI427" i="6"/>
  <c r="AI428" i="6"/>
  <c r="AI429" i="6"/>
  <c r="AI430" i="6"/>
  <c r="AI431" i="6"/>
  <c r="AI432" i="6"/>
  <c r="AI433" i="6"/>
  <c r="AI434" i="6"/>
  <c r="AI435" i="6"/>
  <c r="AI436" i="6"/>
  <c r="AI437" i="6"/>
  <c r="AI438" i="6"/>
  <c r="AI439" i="6"/>
  <c r="AI440" i="6"/>
  <c r="AI441" i="6"/>
  <c r="AI442" i="6"/>
  <c r="AI443" i="6"/>
  <c r="AI444" i="6"/>
  <c r="AI445" i="6"/>
  <c r="AI446" i="6"/>
  <c r="AI447" i="6"/>
  <c r="AI448" i="6"/>
  <c r="AI449" i="6"/>
  <c r="AI450" i="6"/>
  <c r="AI451" i="6"/>
  <c r="AI452" i="6"/>
  <c r="AI453" i="6"/>
  <c r="AI454" i="6"/>
  <c r="AI455" i="6"/>
  <c r="AI456" i="6"/>
  <c r="AI457" i="6"/>
  <c r="AI458" i="6"/>
  <c r="AI459" i="6"/>
  <c r="AI460" i="6"/>
  <c r="AI461" i="6"/>
  <c r="AI462" i="6"/>
  <c r="AI463" i="6"/>
  <c r="AI464" i="6"/>
  <c r="AI465" i="6"/>
  <c r="AI466" i="6"/>
  <c r="AI467" i="6"/>
  <c r="AI468" i="6"/>
  <c r="AI469" i="6"/>
  <c r="AI470" i="6"/>
  <c r="AI471" i="6"/>
  <c r="AI472" i="6"/>
  <c r="AI473" i="6"/>
  <c r="AI474" i="6"/>
  <c r="AI475" i="6"/>
  <c r="AI476" i="6"/>
  <c r="AI477" i="6"/>
  <c r="AI478" i="6"/>
  <c r="AI479" i="6"/>
  <c r="AI480" i="6"/>
  <c r="AI481" i="6"/>
  <c r="AI482" i="6"/>
  <c r="AI483" i="6"/>
  <c r="AI484" i="6"/>
  <c r="AI485" i="6"/>
  <c r="AI486" i="6"/>
  <c r="AI487" i="6"/>
  <c r="AI488" i="6"/>
  <c r="AI489" i="6"/>
  <c r="AI490" i="6"/>
  <c r="AI491" i="6"/>
  <c r="AI492" i="6"/>
  <c r="AI493" i="6"/>
  <c r="AI494" i="6"/>
  <c r="AI495" i="6"/>
  <c r="AI496" i="6"/>
  <c r="AI497" i="6"/>
  <c r="AI498" i="6"/>
  <c r="AI499" i="6"/>
  <c r="AI500" i="6"/>
  <c r="AI501" i="6"/>
  <c r="AI502" i="6"/>
  <c r="AI503" i="6"/>
  <c r="AI504" i="6"/>
  <c r="AI505" i="6"/>
  <c r="AI506" i="6"/>
  <c r="AI507" i="6"/>
  <c r="AI508" i="6"/>
  <c r="AI509" i="6"/>
  <c r="AI510" i="6"/>
  <c r="AI511" i="6"/>
  <c r="AI512" i="6"/>
  <c r="AI513" i="6"/>
  <c r="AI514" i="6"/>
  <c r="AI515" i="6"/>
  <c r="AI516" i="6"/>
  <c r="AI517" i="6"/>
  <c r="AI518" i="6"/>
  <c r="AI519" i="6"/>
  <c r="AI520" i="6"/>
  <c r="AI521" i="6"/>
  <c r="AI522" i="6"/>
  <c r="AI523" i="6"/>
  <c r="AI524" i="6"/>
  <c r="AI525" i="6"/>
  <c r="AI526" i="6"/>
  <c r="AI527" i="6"/>
  <c r="AI528" i="6"/>
  <c r="AI529" i="6"/>
  <c r="AI530" i="6"/>
  <c r="AI531" i="6"/>
  <c r="AI532" i="6"/>
  <c r="AI533" i="6"/>
  <c r="AI534" i="6"/>
  <c r="AI535" i="6"/>
  <c r="AI536" i="6"/>
  <c r="AI537" i="6"/>
  <c r="AI538" i="6"/>
  <c r="AI539" i="6"/>
  <c r="AI540" i="6"/>
  <c r="AI541" i="6"/>
  <c r="AI542" i="6"/>
  <c r="AI543" i="6"/>
  <c r="AI544" i="6"/>
  <c r="AI545" i="6"/>
  <c r="AI546" i="6"/>
  <c r="AI547" i="6"/>
  <c r="AI548" i="6"/>
  <c r="AI549" i="6"/>
  <c r="AI550" i="6"/>
  <c r="AI551" i="6"/>
  <c r="AI552" i="6"/>
  <c r="AI553" i="6"/>
  <c r="AI554" i="6"/>
  <c r="AI555" i="6"/>
  <c r="AI556" i="6"/>
  <c r="AI557" i="6"/>
  <c r="AI558" i="6"/>
  <c r="AI559" i="6"/>
  <c r="AI560" i="6"/>
  <c r="AI561" i="6"/>
  <c r="AI562" i="6"/>
  <c r="AI563" i="6"/>
  <c r="AI564" i="6"/>
  <c r="AI565" i="6"/>
  <c r="AI566" i="6"/>
  <c r="AI567" i="6"/>
  <c r="AI568" i="6"/>
  <c r="AI569" i="6"/>
  <c r="AI570" i="6"/>
  <c r="AI571" i="6"/>
  <c r="AI572" i="6"/>
  <c r="AI573" i="6"/>
  <c r="AI574" i="6"/>
  <c r="AI575" i="6"/>
  <c r="AI576" i="6"/>
  <c r="AI577" i="6"/>
  <c r="AI578" i="6"/>
  <c r="AI579" i="6"/>
  <c r="AI580" i="6"/>
  <c r="AI581" i="6"/>
  <c r="AI582" i="6"/>
  <c r="AI583" i="6"/>
  <c r="AI584" i="6"/>
  <c r="AI585" i="6"/>
  <c r="AI586" i="6"/>
  <c r="AI587" i="6"/>
  <c r="AI588" i="6"/>
  <c r="AI589" i="6"/>
  <c r="AI590" i="6"/>
  <c r="AI591" i="6"/>
  <c r="AI592" i="6"/>
  <c r="AI593" i="6"/>
  <c r="AI594" i="6"/>
  <c r="AI595" i="6"/>
  <c r="AI596" i="6"/>
  <c r="AI597" i="6"/>
  <c r="AI598" i="6"/>
  <c r="AI599" i="6"/>
  <c r="AI600" i="6"/>
  <c r="AI601" i="6"/>
  <c r="AI602" i="6"/>
  <c r="AI603" i="6"/>
  <c r="AI604" i="6"/>
  <c r="AI605" i="6"/>
  <c r="AI606" i="6"/>
  <c r="AI607" i="6"/>
  <c r="AI608" i="6"/>
  <c r="AI609" i="6"/>
  <c r="AI610" i="6"/>
  <c r="AI611" i="6"/>
  <c r="AI612" i="6"/>
  <c r="AI613" i="6"/>
  <c r="AI614" i="6"/>
  <c r="AI615" i="6"/>
  <c r="AI616" i="6"/>
  <c r="AI617" i="6"/>
  <c r="AI618" i="6"/>
  <c r="AI619" i="6"/>
  <c r="AI620" i="6"/>
  <c r="AI621" i="6"/>
  <c r="AI622" i="6"/>
  <c r="AI623" i="6"/>
  <c r="AI624" i="6"/>
  <c r="AI625" i="6"/>
  <c r="AI626" i="6"/>
  <c r="AI627" i="6"/>
  <c r="AI628" i="6"/>
  <c r="AI629" i="6"/>
  <c r="AI630" i="6"/>
  <c r="AI631" i="6"/>
  <c r="AI632" i="6"/>
  <c r="AI633" i="6"/>
  <c r="AI634" i="6"/>
  <c r="AI635" i="6"/>
  <c r="AI636" i="6"/>
  <c r="AI637" i="6"/>
  <c r="AI638" i="6"/>
  <c r="AI639" i="6"/>
  <c r="AI640" i="6"/>
  <c r="AI641" i="6"/>
  <c r="AI642" i="6"/>
  <c r="AI643" i="6"/>
  <c r="AI644" i="6"/>
  <c r="AI645" i="6"/>
  <c r="AI646" i="6"/>
  <c r="AI647" i="6"/>
  <c r="AI648" i="6"/>
  <c r="AI649" i="6"/>
  <c r="AI650" i="6"/>
  <c r="AI651" i="6"/>
  <c r="AI652" i="6"/>
  <c r="AI653" i="6"/>
  <c r="AI654" i="6"/>
  <c r="AI655" i="6"/>
  <c r="AI656" i="6"/>
  <c r="AI657" i="6"/>
  <c r="AI658" i="6"/>
  <c r="AI659" i="6"/>
  <c r="AI660" i="6"/>
  <c r="AI661" i="6"/>
  <c r="AI662" i="6"/>
  <c r="AI663" i="6"/>
  <c r="AI664" i="6"/>
  <c r="AI665" i="6"/>
  <c r="AI666" i="6"/>
  <c r="AI667" i="6"/>
  <c r="AI668" i="6"/>
  <c r="AI669" i="6"/>
  <c r="AI670" i="6"/>
  <c r="AI671" i="6"/>
  <c r="AI672" i="6"/>
  <c r="AI673" i="6"/>
  <c r="AI674" i="6"/>
  <c r="AI675" i="6"/>
  <c r="AI676" i="6"/>
  <c r="AI677" i="6"/>
  <c r="AI678" i="6"/>
  <c r="AI679" i="6"/>
  <c r="AI680" i="6"/>
  <c r="AI681" i="6"/>
  <c r="AI682" i="6"/>
  <c r="AI683" i="6"/>
  <c r="AI684" i="6"/>
  <c r="AI685" i="6"/>
  <c r="AI686" i="6"/>
  <c r="AI687" i="6"/>
  <c r="AI688" i="6"/>
  <c r="AI689" i="6"/>
  <c r="AI690" i="6"/>
  <c r="AI691" i="6"/>
  <c r="AI692" i="6"/>
  <c r="AI693" i="6"/>
  <c r="AI694" i="6"/>
  <c r="AI695" i="6"/>
  <c r="AI696" i="6"/>
  <c r="AI697" i="6"/>
  <c r="AI698" i="6"/>
  <c r="AI699" i="6"/>
  <c r="AI700" i="6"/>
  <c r="AI701" i="6"/>
  <c r="AI702" i="6"/>
  <c r="AI703" i="6"/>
  <c r="AI704" i="6"/>
  <c r="AI705" i="6"/>
  <c r="AI706" i="6"/>
  <c r="AI707" i="6"/>
  <c r="AI708" i="6"/>
  <c r="AI709" i="6"/>
  <c r="AI710" i="6"/>
  <c r="AI711" i="6"/>
  <c r="AI712" i="6"/>
  <c r="AI713" i="6"/>
  <c r="AI714" i="6"/>
  <c r="AI715" i="6"/>
  <c r="AI716" i="6"/>
  <c r="AI717" i="6"/>
  <c r="AI718" i="6"/>
  <c r="AI719" i="6"/>
  <c r="AI720" i="6"/>
  <c r="AI721" i="6"/>
  <c r="AI722" i="6"/>
  <c r="AI723" i="6"/>
  <c r="AI724" i="6"/>
  <c r="AI725" i="6"/>
  <c r="AI726" i="6"/>
  <c r="AI727" i="6"/>
  <c r="AI728" i="6"/>
  <c r="AI729" i="6"/>
  <c r="AI730" i="6"/>
  <c r="AI731" i="6"/>
  <c r="AI732" i="6"/>
  <c r="AI733" i="6"/>
  <c r="AI734" i="6"/>
  <c r="AI735" i="6"/>
  <c r="AI736" i="6"/>
  <c r="AI737" i="6"/>
  <c r="AI738" i="6"/>
  <c r="AI739" i="6"/>
  <c r="AI740" i="6"/>
  <c r="AI741" i="6"/>
  <c r="AI742" i="6"/>
  <c r="AI743" i="6"/>
  <c r="AI744" i="6"/>
  <c r="AI745" i="6"/>
  <c r="AI746" i="6"/>
  <c r="AI747" i="6"/>
  <c r="AI748" i="6"/>
  <c r="AI749" i="6"/>
  <c r="AI750" i="6"/>
  <c r="AI751" i="6"/>
  <c r="AI752" i="6"/>
  <c r="AI753" i="6"/>
  <c r="AI754" i="6"/>
  <c r="AI755" i="6"/>
  <c r="AI756" i="6"/>
  <c r="AI757" i="6"/>
  <c r="AI758" i="6"/>
  <c r="AI759" i="6"/>
  <c r="AI760" i="6"/>
  <c r="AI761" i="6"/>
  <c r="AI762" i="6"/>
  <c r="AI763" i="6"/>
  <c r="AI764" i="6"/>
  <c r="AI765" i="6"/>
  <c r="AI766" i="6"/>
  <c r="AI767" i="6"/>
  <c r="AI768" i="6"/>
  <c r="AI769" i="6"/>
  <c r="AI770" i="6"/>
  <c r="AI771" i="6"/>
  <c r="AI772" i="6"/>
  <c r="AI773" i="6"/>
  <c r="AI774" i="6"/>
  <c r="AI775" i="6"/>
  <c r="AI776" i="6"/>
  <c r="AI777" i="6"/>
  <c r="AI778" i="6"/>
  <c r="AI779" i="6"/>
  <c r="AI780" i="6"/>
  <c r="AI781" i="6"/>
  <c r="AI782" i="6"/>
  <c r="AI783" i="6"/>
  <c r="AI784" i="6"/>
  <c r="AI785" i="6"/>
  <c r="AI786" i="6"/>
  <c r="AI787" i="6"/>
  <c r="AI788" i="6"/>
  <c r="AI789" i="6"/>
  <c r="AI790" i="6"/>
  <c r="AI791" i="6"/>
  <c r="AI792" i="6"/>
  <c r="AI793" i="6"/>
  <c r="AI794" i="6"/>
  <c r="AI795" i="6"/>
  <c r="AI796" i="6"/>
  <c r="AI797" i="6"/>
  <c r="AI798" i="6"/>
  <c r="AI799" i="6"/>
  <c r="AI800" i="6"/>
  <c r="AI801" i="6"/>
  <c r="AI802" i="6"/>
  <c r="AI803" i="6"/>
  <c r="AI804" i="6"/>
  <c r="AI805" i="6"/>
  <c r="AI806" i="6"/>
  <c r="AI807" i="6"/>
  <c r="AI808" i="6"/>
  <c r="AI809" i="6"/>
  <c r="AI810" i="6"/>
  <c r="AI811" i="6"/>
  <c r="AI812" i="6"/>
  <c r="AI813" i="6"/>
  <c r="AI814" i="6"/>
  <c r="AI815" i="6"/>
  <c r="AI816" i="6"/>
  <c r="AI817" i="6"/>
  <c r="AI818" i="6"/>
  <c r="AI819" i="6"/>
  <c r="AI820" i="6"/>
  <c r="AI821" i="6"/>
  <c r="AI822" i="6"/>
  <c r="AI823" i="6"/>
  <c r="AI824" i="6"/>
  <c r="AI825" i="6"/>
  <c r="AI826" i="6"/>
  <c r="AI827" i="6"/>
  <c r="AI828" i="6"/>
  <c r="AI829" i="6"/>
  <c r="AI830" i="6"/>
  <c r="AI831" i="6"/>
  <c r="AI832" i="6"/>
  <c r="AI833" i="6"/>
  <c r="AI834" i="6"/>
  <c r="AI835" i="6"/>
  <c r="AI836" i="6"/>
  <c r="AI837" i="6"/>
  <c r="AI838" i="6"/>
  <c r="AI839" i="6"/>
  <c r="AI840" i="6"/>
  <c r="AI841" i="6"/>
  <c r="AI842" i="6"/>
  <c r="AI843" i="6"/>
  <c r="AI844" i="6"/>
  <c r="AI845" i="6"/>
  <c r="AI846" i="6"/>
  <c r="AI847" i="6"/>
  <c r="AI848" i="6"/>
  <c r="AI849" i="6"/>
  <c r="AI850" i="6"/>
  <c r="AI851" i="6"/>
  <c r="AI852" i="6"/>
  <c r="AI853" i="6"/>
  <c r="AI854" i="6"/>
  <c r="AI855" i="6"/>
  <c r="AI856" i="6"/>
  <c r="AI857" i="6"/>
  <c r="AI858" i="6"/>
  <c r="AI859" i="6"/>
  <c r="AI860" i="6"/>
  <c r="AI861" i="6"/>
  <c r="AI862" i="6"/>
  <c r="AI863" i="6"/>
  <c r="AI864" i="6"/>
  <c r="AI865" i="6"/>
  <c r="AI866" i="6"/>
  <c r="AI867" i="6"/>
  <c r="AI868" i="6"/>
  <c r="AI869" i="6"/>
  <c r="AI870" i="6"/>
  <c r="AI871" i="6"/>
  <c r="AI872" i="6"/>
  <c r="AI873" i="6"/>
  <c r="AI874" i="6"/>
  <c r="AI875" i="6"/>
  <c r="AI876" i="6"/>
  <c r="AI877" i="6"/>
  <c r="AI878" i="6"/>
  <c r="AI879" i="6"/>
  <c r="AI880" i="6"/>
  <c r="AI881" i="6"/>
  <c r="AI882" i="6"/>
  <c r="AI883" i="6"/>
  <c r="AI884" i="6"/>
  <c r="AI885" i="6"/>
  <c r="AI886" i="6"/>
  <c r="AI887" i="6"/>
  <c r="AI888" i="6"/>
  <c r="AI889" i="6"/>
  <c r="AI890" i="6"/>
  <c r="AI891" i="6"/>
  <c r="AI892" i="6"/>
  <c r="AI893" i="6"/>
  <c r="AI894" i="6"/>
  <c r="AI895" i="6"/>
  <c r="AI896" i="6"/>
  <c r="AI897" i="6"/>
  <c r="AI898" i="6"/>
  <c r="AI899" i="6"/>
  <c r="AI900" i="6"/>
  <c r="AI901" i="6"/>
  <c r="AI902" i="6"/>
  <c r="AI903" i="6"/>
  <c r="AI904" i="6"/>
  <c r="AI905" i="6"/>
  <c r="AI906" i="6"/>
  <c r="AI907" i="6"/>
  <c r="AI908" i="6"/>
  <c r="AI909" i="6"/>
  <c r="AI910" i="6"/>
  <c r="AI911" i="6"/>
  <c r="AI912" i="6"/>
  <c r="AI913" i="6"/>
  <c r="AI914" i="6"/>
  <c r="AI915" i="6"/>
  <c r="AI916" i="6"/>
  <c r="AI917" i="6"/>
  <c r="AI918" i="6"/>
  <c r="AI919" i="6"/>
  <c r="AI920" i="6"/>
  <c r="AI921" i="6"/>
  <c r="AI922" i="6"/>
  <c r="AI923" i="6"/>
  <c r="AI924" i="6"/>
  <c r="AI925" i="6"/>
  <c r="AI926" i="6"/>
  <c r="AI927" i="6"/>
  <c r="AI928" i="6"/>
  <c r="AI929" i="6"/>
  <c r="AI930" i="6"/>
  <c r="AI931" i="6"/>
  <c r="AI932" i="6"/>
  <c r="AI933" i="6"/>
  <c r="AI934" i="6"/>
  <c r="AI935" i="6"/>
  <c r="AI936" i="6"/>
  <c r="AI937" i="6"/>
  <c r="AI938" i="6"/>
  <c r="AI939" i="6"/>
  <c r="AI940" i="6"/>
  <c r="AI941" i="6"/>
  <c r="AI942" i="6"/>
  <c r="AI943" i="6"/>
  <c r="AI944" i="6"/>
  <c r="AI945" i="6"/>
  <c r="AI946" i="6"/>
  <c r="AI947" i="6"/>
  <c r="AI948" i="6"/>
  <c r="AI949" i="6"/>
  <c r="AI950" i="6"/>
  <c r="AI951" i="6"/>
  <c r="AI952" i="6"/>
  <c r="AI953" i="6"/>
  <c r="AI954" i="6"/>
  <c r="AI955" i="6"/>
  <c r="AI956" i="6"/>
  <c r="AI957" i="6"/>
  <c r="AI958" i="6"/>
  <c r="AI959" i="6"/>
  <c r="AI960" i="6"/>
  <c r="AI961" i="6"/>
  <c r="AI962" i="6"/>
  <c r="AI963" i="6"/>
  <c r="AI964" i="6"/>
  <c r="AI965" i="6"/>
  <c r="AI966" i="6"/>
  <c r="AI967" i="6"/>
  <c r="AI968" i="6"/>
  <c r="AI969" i="6"/>
  <c r="AI970" i="6"/>
  <c r="AI971" i="6"/>
  <c r="AI972" i="6"/>
  <c r="AI973" i="6"/>
  <c r="AI974" i="6"/>
  <c r="AI975" i="6"/>
  <c r="AI976" i="6"/>
  <c r="AI977" i="6"/>
  <c r="AI978" i="6"/>
  <c r="AI979" i="6"/>
  <c r="AI980" i="6"/>
  <c r="AI981" i="6"/>
  <c r="AI982" i="6"/>
  <c r="AI983" i="6"/>
  <c r="AI984" i="6"/>
  <c r="AI985" i="6"/>
  <c r="AI986" i="6"/>
  <c r="AI987" i="6"/>
  <c r="AI988" i="6"/>
  <c r="AI989" i="6"/>
  <c r="AI990" i="6"/>
  <c r="AI991" i="6"/>
  <c r="AI992" i="6"/>
  <c r="AI993" i="6"/>
  <c r="AI994" i="6"/>
  <c r="AI995" i="6"/>
  <c r="AI996" i="6"/>
  <c r="AI997" i="6"/>
  <c r="AI998" i="6"/>
  <c r="AI999" i="6"/>
  <c r="AI1000" i="6"/>
  <c r="AI1001" i="6"/>
  <c r="AI1002" i="6"/>
  <c r="AI1003" i="6"/>
  <c r="AI1004" i="6"/>
  <c r="AI1005" i="6"/>
  <c r="AI1006" i="6"/>
  <c r="AI1007" i="6"/>
  <c r="AI1008" i="6"/>
  <c r="AI1009" i="6"/>
  <c r="AI1010" i="6"/>
  <c r="AI1011" i="6"/>
  <c r="AI1012" i="6"/>
  <c r="AI1013" i="6"/>
  <c r="AI1014" i="6"/>
  <c r="AI1015" i="6"/>
  <c r="AI1016" i="6"/>
  <c r="AI1017" i="6"/>
  <c r="AI1018" i="6"/>
  <c r="AI1019" i="6"/>
  <c r="AI1020" i="6"/>
  <c r="AI1021" i="6"/>
  <c r="AI1022" i="6"/>
  <c r="AI1023" i="6"/>
  <c r="AI1024" i="6"/>
  <c r="AI1025" i="6"/>
  <c r="AI1026" i="6"/>
  <c r="AI1027" i="6"/>
  <c r="AI1028" i="6"/>
  <c r="AI1029" i="6"/>
  <c r="AI1030" i="6"/>
  <c r="AI1031" i="6"/>
  <c r="AI1032" i="6"/>
  <c r="AI1033" i="6"/>
  <c r="AI1034" i="6"/>
  <c r="AI1035" i="6"/>
  <c r="AI1036" i="6"/>
  <c r="AI1037" i="6"/>
  <c r="AI1038" i="6"/>
  <c r="AI1039" i="6"/>
  <c r="AI1040" i="6"/>
  <c r="AI1041" i="6"/>
  <c r="AI1042" i="6"/>
  <c r="AI1043" i="6"/>
  <c r="AI1044" i="6"/>
  <c r="AI1045" i="6"/>
  <c r="AI1046" i="6"/>
  <c r="AI1047" i="6"/>
  <c r="AI1048" i="6"/>
  <c r="AI1049" i="6"/>
  <c r="AI1050" i="6"/>
  <c r="AI1051" i="6"/>
  <c r="AI1052" i="6"/>
  <c r="AI1053" i="6"/>
  <c r="AI1054" i="6"/>
  <c r="AI1055" i="6"/>
  <c r="AI1056" i="6"/>
  <c r="AI1057" i="6"/>
  <c r="AI1058" i="6"/>
  <c r="AI1059" i="6"/>
  <c r="AI1060" i="6"/>
  <c r="AI1061" i="6"/>
  <c r="AI1062" i="6"/>
  <c r="AI1063" i="6"/>
  <c r="AI1064" i="6"/>
  <c r="AI1065" i="6"/>
  <c r="AI1066" i="6"/>
  <c r="AI1067" i="6"/>
  <c r="AI1068" i="6"/>
  <c r="AI1069" i="6"/>
  <c r="AI1070" i="6"/>
  <c r="AI1071" i="6"/>
  <c r="AI1072" i="6"/>
  <c r="AI1073" i="6"/>
  <c r="AI1074" i="6"/>
  <c r="AI1075" i="6"/>
  <c r="AI1076" i="6"/>
  <c r="AI1077" i="6"/>
  <c r="AI1078" i="6"/>
  <c r="AI1079" i="6"/>
  <c r="AI1080" i="6"/>
  <c r="AI1081" i="6"/>
  <c r="AI1082" i="6"/>
  <c r="AI1083" i="6"/>
  <c r="AI1084" i="6"/>
  <c r="AI1085" i="6"/>
  <c r="AI1086" i="6"/>
  <c r="AI1087" i="6"/>
  <c r="AI1088" i="6"/>
  <c r="AI1089" i="6"/>
  <c r="AI1090" i="6"/>
  <c r="AI1091" i="6"/>
  <c r="AI1092" i="6"/>
  <c r="AI1093" i="6"/>
  <c r="AI1094" i="6"/>
  <c r="AI1095" i="6"/>
  <c r="AI1096" i="6"/>
  <c r="AI1097" i="6"/>
  <c r="AI1098" i="6"/>
  <c r="AI1099" i="6"/>
  <c r="AI1100" i="6"/>
  <c r="AI1101" i="6"/>
  <c r="AI1102" i="6"/>
  <c r="AI1103" i="6"/>
  <c r="AI1104" i="6"/>
  <c r="AI1105" i="6"/>
  <c r="AI1106" i="6"/>
  <c r="AI1107" i="6"/>
  <c r="AI1108" i="6"/>
  <c r="AI1109" i="6"/>
  <c r="AI1110" i="6"/>
  <c r="AI1111" i="6"/>
  <c r="AI1112" i="6"/>
  <c r="AI1113" i="6"/>
  <c r="AI1114" i="6"/>
  <c r="AI1115" i="6"/>
  <c r="AI1116" i="6"/>
  <c r="AI1117" i="6"/>
  <c r="AI1118" i="6"/>
  <c r="AI1119" i="6"/>
  <c r="AI1120" i="6"/>
  <c r="AI1121" i="6"/>
  <c r="AI1122" i="6"/>
  <c r="AI1123" i="6"/>
  <c r="AI1124" i="6"/>
  <c r="AI1125" i="6"/>
  <c r="AI1126" i="6"/>
  <c r="AI1127" i="6"/>
  <c r="AI1128" i="6"/>
  <c r="AI1129" i="6"/>
  <c r="AI1130" i="6"/>
  <c r="AI1131" i="6"/>
  <c r="AI1132" i="6"/>
  <c r="AI1133" i="6"/>
  <c r="AI1134" i="6"/>
  <c r="AI1135" i="6"/>
  <c r="AI1136" i="6"/>
  <c r="AI1137" i="6"/>
  <c r="AI1138" i="6"/>
  <c r="AI1139" i="6"/>
  <c r="AI1140" i="6"/>
  <c r="AI1141" i="6"/>
  <c r="AI1142" i="6"/>
  <c r="AI1143" i="6"/>
  <c r="AI1144" i="6"/>
  <c r="AI1145" i="6"/>
  <c r="AI1146" i="6"/>
  <c r="AI1147" i="6"/>
  <c r="AI1148" i="6"/>
  <c r="AI1149" i="6"/>
  <c r="AI1150" i="6"/>
  <c r="AI1151" i="6"/>
  <c r="AI1152" i="6"/>
  <c r="AI1153" i="6"/>
  <c r="AI1154" i="6"/>
  <c r="AI1155" i="6"/>
  <c r="AI1156" i="6"/>
  <c r="AI1157" i="6"/>
  <c r="AI1158" i="6"/>
  <c r="AI1159" i="6"/>
  <c r="AI1160" i="6"/>
  <c r="AI1161" i="6"/>
  <c r="AI1162" i="6"/>
  <c r="AI1163" i="6"/>
  <c r="AI1164" i="6"/>
  <c r="AI1165" i="6"/>
  <c r="AI1166" i="6"/>
  <c r="AI1167" i="6"/>
  <c r="AI1168" i="6"/>
  <c r="AI1169" i="6"/>
  <c r="AI1170" i="6"/>
  <c r="AI1171" i="6"/>
  <c r="AI1172" i="6"/>
  <c r="AI1173" i="6"/>
  <c r="AI1174" i="6"/>
  <c r="AI1175" i="6"/>
  <c r="AI1176" i="6"/>
  <c r="AI1177" i="6"/>
  <c r="AI1178" i="6"/>
  <c r="AI1179" i="6"/>
  <c r="AI1180" i="6"/>
  <c r="AI1181" i="6"/>
  <c r="AI1182" i="6"/>
  <c r="AI1183" i="6"/>
  <c r="AI1184" i="6"/>
  <c r="AI1185" i="6"/>
  <c r="AI1186" i="6"/>
  <c r="AI1187" i="6"/>
  <c r="AI1188" i="6"/>
  <c r="AI1189" i="6"/>
  <c r="AI1190" i="6"/>
  <c r="AI1191" i="6"/>
  <c r="AI1192" i="6"/>
  <c r="AI1193" i="6"/>
  <c r="AI1194" i="6"/>
  <c r="AI1195" i="6"/>
  <c r="AI1196" i="6"/>
  <c r="AI1197" i="6"/>
  <c r="AI1198" i="6"/>
  <c r="AI1199" i="6"/>
  <c r="AI1200" i="6"/>
  <c r="AI1201" i="6"/>
  <c r="AI1202" i="6"/>
  <c r="AI1203" i="6"/>
  <c r="AI1204" i="6"/>
  <c r="AI1205" i="6"/>
  <c r="AI1206" i="6"/>
  <c r="AI1207" i="6"/>
  <c r="AI1208" i="6"/>
  <c r="AI1209" i="6"/>
  <c r="AI1210" i="6"/>
  <c r="AI1211" i="6"/>
  <c r="AI1212" i="6"/>
  <c r="AI1213" i="6"/>
  <c r="AI1214" i="6"/>
  <c r="AI1215" i="6"/>
  <c r="AI1216" i="6"/>
  <c r="AI1217" i="6"/>
  <c r="AI1218" i="6"/>
  <c r="AI1219" i="6"/>
  <c r="AI1220" i="6"/>
  <c r="AI1221" i="6"/>
  <c r="AI1222" i="6"/>
  <c r="AI1223" i="6"/>
  <c r="AI1224" i="6"/>
  <c r="AI1225" i="6"/>
  <c r="AI1226" i="6"/>
  <c r="AI1227" i="6"/>
  <c r="AI1228" i="6"/>
  <c r="AI1229" i="6"/>
  <c r="AI1230" i="6"/>
  <c r="AI1231" i="6"/>
  <c r="AI1232" i="6"/>
  <c r="AI1233" i="6"/>
  <c r="AI1234" i="6"/>
  <c r="AI1235" i="6"/>
  <c r="AI1236" i="6"/>
  <c r="AI1237" i="6"/>
  <c r="AI1238" i="6"/>
  <c r="AI1239" i="6"/>
  <c r="AI1240" i="6"/>
  <c r="AI1241" i="6"/>
  <c r="AI1242" i="6"/>
  <c r="AI1243" i="6"/>
  <c r="AI1244" i="6"/>
  <c r="AI1245" i="6"/>
  <c r="AI1246" i="6"/>
  <c r="AI1247" i="6"/>
  <c r="AI1248" i="6"/>
  <c r="AI1249" i="6"/>
  <c r="AI1250" i="6"/>
  <c r="AI1251" i="6"/>
  <c r="AI1252" i="6"/>
  <c r="AI1253" i="6"/>
  <c r="AI1254" i="6"/>
  <c r="AI1255" i="6"/>
  <c r="AI1256" i="6"/>
  <c r="AI1257" i="6"/>
  <c r="AI1258" i="6"/>
  <c r="AI1259" i="6"/>
  <c r="AI1260" i="6"/>
  <c r="AI1261" i="6"/>
  <c r="AI1262" i="6"/>
  <c r="AI1263" i="6"/>
  <c r="AI1264" i="6"/>
  <c r="AI1265" i="6"/>
  <c r="AI1266" i="6"/>
  <c r="AI1267" i="6"/>
  <c r="AI1268" i="6"/>
  <c r="AI1269" i="6"/>
  <c r="AI1270" i="6"/>
  <c r="AI1271" i="6"/>
  <c r="AI1272" i="6"/>
  <c r="AI1273" i="6"/>
  <c r="AI1274" i="6"/>
  <c r="AI1275" i="6"/>
  <c r="AI1276" i="6"/>
  <c r="AI1277" i="6"/>
  <c r="AI1278" i="6"/>
  <c r="AI1279" i="6"/>
  <c r="AI1280" i="6"/>
  <c r="AI1281" i="6"/>
  <c r="AI1282" i="6"/>
  <c r="AI1283" i="6"/>
  <c r="AI1284" i="6"/>
  <c r="AI1285" i="6"/>
  <c r="AI1286" i="6"/>
  <c r="AI1287" i="6"/>
  <c r="AI1288" i="6"/>
  <c r="AI1289" i="6"/>
  <c r="AI1290" i="6"/>
  <c r="AI1291" i="6"/>
  <c r="AI1292" i="6"/>
  <c r="AI1293" i="6"/>
  <c r="AI1294" i="6"/>
  <c r="AI1295" i="6"/>
  <c r="AI1296" i="6"/>
  <c r="AI1297" i="6"/>
  <c r="AI1298" i="6"/>
  <c r="AI1299" i="6"/>
  <c r="AI1300" i="6"/>
  <c r="AI1301" i="6"/>
  <c r="AI1302" i="6"/>
  <c r="AI1303" i="6"/>
  <c r="AI1304" i="6"/>
  <c r="AI1305" i="6"/>
  <c r="AI1306" i="6"/>
  <c r="AI1307" i="6"/>
  <c r="AI1308" i="6"/>
  <c r="AI1309" i="6"/>
  <c r="AI1310" i="6"/>
  <c r="AI1311" i="6"/>
  <c r="AI1312" i="6"/>
  <c r="AI1313" i="6"/>
  <c r="AI1314" i="6"/>
  <c r="AI1315" i="6"/>
  <c r="AI1316" i="6"/>
  <c r="AI1317" i="6"/>
  <c r="AI1318" i="6"/>
  <c r="AI1319" i="6"/>
  <c r="AI1320" i="6"/>
  <c r="AI1321" i="6"/>
  <c r="AI1322" i="6"/>
  <c r="AI1323" i="6"/>
  <c r="AI1324" i="6"/>
  <c r="AI1325" i="6"/>
  <c r="AI1326" i="6"/>
  <c r="AI1327" i="6"/>
  <c r="AI1328" i="6"/>
  <c r="AI1329" i="6"/>
  <c r="AI1330" i="6"/>
  <c r="AI1331" i="6"/>
  <c r="AI1332" i="6"/>
  <c r="AI1333" i="6"/>
  <c r="AI1334" i="6"/>
  <c r="AI1335" i="6"/>
  <c r="AI1336" i="6"/>
  <c r="AI1337" i="6"/>
  <c r="AI1338" i="6"/>
  <c r="AI1339" i="6"/>
  <c r="AI1340" i="6"/>
  <c r="AI1341" i="6"/>
  <c r="AI1342" i="6"/>
  <c r="AI1343" i="6"/>
  <c r="AI1344" i="6"/>
  <c r="AI1345" i="6"/>
  <c r="AI1346" i="6"/>
  <c r="AI1347" i="6"/>
  <c r="AI1348" i="6"/>
  <c r="AI1349" i="6"/>
  <c r="AI1350" i="6"/>
  <c r="AI1351" i="6"/>
  <c r="AI1352" i="6"/>
  <c r="AI1353" i="6"/>
  <c r="AI1354" i="6"/>
  <c r="AI1355" i="6"/>
  <c r="AI1356" i="6"/>
  <c r="AI1357" i="6"/>
  <c r="AI1358" i="6"/>
  <c r="AI1359" i="6"/>
  <c r="AI1360" i="6"/>
  <c r="AI1361" i="6"/>
  <c r="AI1362" i="6"/>
  <c r="AI1363" i="6"/>
  <c r="AI1364" i="6"/>
  <c r="AI1365" i="6"/>
  <c r="AI1366" i="6"/>
  <c r="AI1367" i="6"/>
  <c r="AI1368" i="6"/>
  <c r="AI1369" i="6"/>
  <c r="AI1370" i="6"/>
  <c r="AI1371" i="6"/>
  <c r="AI1372" i="6"/>
  <c r="AI1373" i="6"/>
  <c r="AI1374" i="6"/>
  <c r="AI1375" i="6"/>
  <c r="AI1376" i="6"/>
  <c r="AI1377" i="6"/>
  <c r="AI1378" i="6"/>
  <c r="AI1379" i="6"/>
  <c r="AI1380" i="6"/>
  <c r="AI1381" i="6"/>
  <c r="AI1382" i="6"/>
  <c r="AI1383" i="6"/>
  <c r="AI1384" i="6"/>
  <c r="AI1385" i="6"/>
  <c r="AI1386" i="6"/>
  <c r="AI1387" i="6"/>
  <c r="AI1388" i="6"/>
  <c r="AI1389" i="6"/>
  <c r="AI1390" i="6"/>
  <c r="AI1391" i="6"/>
  <c r="AI1392" i="6"/>
  <c r="AI1393" i="6"/>
  <c r="AI1394" i="6"/>
  <c r="AI1395" i="6"/>
  <c r="AI1396" i="6"/>
  <c r="AI1397" i="6"/>
  <c r="AI1398" i="6"/>
  <c r="AI1399" i="6"/>
  <c r="AI1400" i="6"/>
  <c r="AI1401" i="6"/>
  <c r="AI1402" i="6"/>
  <c r="AI1403" i="6"/>
  <c r="AI1404" i="6"/>
  <c r="AI1405" i="6"/>
  <c r="AI1406" i="6"/>
  <c r="AI1407" i="6"/>
  <c r="AI1408" i="6"/>
  <c r="AI1409" i="6"/>
  <c r="AI1410" i="6"/>
  <c r="AI1411" i="6"/>
  <c r="AI1412" i="6"/>
  <c r="AI1413" i="6"/>
  <c r="AI1414" i="6"/>
  <c r="AI1415" i="6"/>
  <c r="AI1416" i="6"/>
  <c r="AI1417" i="6"/>
  <c r="AI1418" i="6"/>
  <c r="AI1419" i="6"/>
  <c r="AI1420" i="6"/>
  <c r="AI1421" i="6"/>
  <c r="AI1422" i="6"/>
  <c r="AI1423" i="6"/>
  <c r="AI1424" i="6"/>
  <c r="AI1425" i="6"/>
  <c r="AI1426" i="6"/>
  <c r="AI1427" i="6"/>
  <c r="AI1428" i="6"/>
  <c r="AI1429" i="6"/>
  <c r="AI1430" i="6"/>
  <c r="AI1431" i="6"/>
  <c r="AI1432" i="6"/>
  <c r="AI1433" i="6"/>
  <c r="AI1434" i="6"/>
  <c r="AI1435" i="6"/>
  <c r="AI1436" i="6"/>
  <c r="AI1437" i="6"/>
  <c r="AI1438" i="6"/>
  <c r="AI1439" i="6"/>
  <c r="AI1440" i="6"/>
  <c r="AI1441" i="6"/>
  <c r="AI1442" i="6"/>
  <c r="AI1443" i="6"/>
  <c r="AI1444" i="6"/>
  <c r="AI1445" i="6"/>
  <c r="AI1446" i="6"/>
  <c r="AI1447" i="6"/>
  <c r="AI1448" i="6"/>
  <c r="AI1449" i="6"/>
  <c r="AI1450" i="6"/>
  <c r="AI1451" i="6"/>
  <c r="AI1452" i="6"/>
  <c r="AI1453" i="6"/>
  <c r="AI1454" i="6"/>
  <c r="AI1455" i="6"/>
  <c r="AI1456" i="6"/>
  <c r="AI1457" i="6"/>
  <c r="AI1458" i="6"/>
  <c r="AI1459" i="6"/>
  <c r="AI1460" i="6"/>
  <c r="AI1461" i="6"/>
  <c r="AI1462" i="6"/>
  <c r="AI1463" i="6"/>
  <c r="AI1464" i="6"/>
  <c r="AI1465" i="6"/>
  <c r="AI1466" i="6"/>
  <c r="AI1467" i="6"/>
  <c r="AI1468" i="6"/>
  <c r="AI1469" i="6"/>
  <c r="AI1470" i="6"/>
  <c r="AI1471" i="6"/>
  <c r="AI1472" i="6"/>
  <c r="AI1473" i="6"/>
  <c r="AI1474" i="6"/>
  <c r="AI1475" i="6"/>
  <c r="AI1476" i="6"/>
  <c r="AI1477" i="6"/>
  <c r="AI1478" i="6"/>
  <c r="AI1479" i="6"/>
  <c r="AI1480" i="6"/>
  <c r="AI1481" i="6"/>
  <c r="AI1482" i="6"/>
  <c r="AI1483" i="6"/>
  <c r="AI1484" i="6"/>
  <c r="AI1485" i="6"/>
  <c r="AI1486" i="6"/>
  <c r="AI1487" i="6"/>
  <c r="AI1488" i="6"/>
  <c r="AI1489" i="6"/>
  <c r="AI1490" i="6"/>
  <c r="AI1491" i="6"/>
  <c r="AI1492" i="6"/>
  <c r="AI1493" i="6"/>
  <c r="AI1494" i="6"/>
  <c r="AI1495" i="6"/>
  <c r="AI1496" i="6"/>
  <c r="AI1497" i="6"/>
  <c r="AI1498" i="6"/>
  <c r="AI1499" i="6"/>
  <c r="AI1500" i="6"/>
  <c r="AI1501" i="6"/>
  <c r="AI1502" i="6"/>
  <c r="AI1503" i="6"/>
  <c r="AI1504" i="6"/>
  <c r="AI1505" i="6"/>
  <c r="AI1506" i="6"/>
  <c r="AI1507" i="6"/>
  <c r="AI1508" i="6"/>
  <c r="AI1509" i="6"/>
  <c r="AI1510" i="6"/>
  <c r="AI1511" i="6"/>
  <c r="AI1512" i="6"/>
  <c r="AI1513" i="6"/>
  <c r="AI1514" i="6"/>
  <c r="AI1515" i="6"/>
  <c r="AI1516" i="6"/>
  <c r="AI1517" i="6"/>
  <c r="AI1518" i="6"/>
  <c r="AI1519" i="6"/>
  <c r="AI1520" i="6"/>
  <c r="AI1521" i="6"/>
  <c r="AI1522" i="6"/>
  <c r="AI1523" i="6"/>
  <c r="AI1524" i="6"/>
  <c r="AI1525" i="6"/>
  <c r="AI1526" i="6"/>
  <c r="AI1527" i="6"/>
  <c r="AI1528" i="6"/>
  <c r="AI1529" i="6"/>
  <c r="AI1530" i="6"/>
  <c r="AI1531" i="6"/>
  <c r="AI1532" i="6"/>
  <c r="AI1533" i="6"/>
  <c r="AI1534" i="6"/>
  <c r="AI1535" i="6"/>
  <c r="AI1536" i="6"/>
  <c r="AI1537" i="6"/>
  <c r="AI1538" i="6"/>
  <c r="AI1539" i="6"/>
  <c r="AI1540" i="6"/>
  <c r="AI1541" i="6"/>
  <c r="AI1542" i="6"/>
  <c r="AI1543" i="6"/>
  <c r="AI1544" i="6"/>
  <c r="AI1545" i="6"/>
  <c r="AI1546" i="6"/>
  <c r="AI1547" i="6"/>
  <c r="AI1548" i="6"/>
  <c r="AI1549" i="6"/>
  <c r="AI1550" i="6"/>
  <c r="AI1551" i="6"/>
  <c r="AI1552" i="6"/>
  <c r="AI1553" i="6"/>
  <c r="AI1554" i="6"/>
  <c r="AI1555" i="6"/>
  <c r="AI1556" i="6"/>
  <c r="AI1557" i="6"/>
  <c r="AI1558" i="6"/>
  <c r="AI1559" i="6"/>
  <c r="AI1560" i="6"/>
  <c r="AI1561" i="6"/>
  <c r="AI1562" i="6"/>
  <c r="AI1563" i="6"/>
  <c r="AI1564" i="6"/>
  <c r="AI1565" i="6"/>
  <c r="AI1566" i="6"/>
  <c r="AI1567" i="6"/>
  <c r="AI1568" i="6"/>
  <c r="AI1569" i="6"/>
  <c r="AI1570" i="6"/>
  <c r="AI1571" i="6"/>
  <c r="AI1572" i="6"/>
  <c r="AI1573" i="6"/>
  <c r="AI1574" i="6"/>
  <c r="AI1575" i="6"/>
  <c r="AI1576" i="6"/>
  <c r="AI1577" i="6"/>
  <c r="AI1578" i="6"/>
  <c r="AI1579" i="6"/>
  <c r="AI1580" i="6"/>
  <c r="AI1581" i="6"/>
  <c r="AI1582" i="6"/>
  <c r="AI1583" i="6"/>
  <c r="AI1584" i="6"/>
  <c r="AI1585" i="6"/>
  <c r="AI1586" i="6"/>
  <c r="AI1587" i="6"/>
  <c r="AI1588" i="6"/>
  <c r="AI1589" i="6"/>
  <c r="AI1590" i="6"/>
  <c r="AI1591" i="6"/>
  <c r="AI1592" i="6"/>
  <c r="AI1593" i="6"/>
  <c r="AI1594" i="6"/>
  <c r="AI1595" i="6"/>
  <c r="AI1596" i="6"/>
  <c r="AI1597" i="6"/>
  <c r="AI1598" i="6"/>
  <c r="AI1599" i="6"/>
  <c r="AI1600" i="6"/>
  <c r="AI1601" i="6"/>
  <c r="AI1602" i="6"/>
  <c r="AI1603" i="6"/>
  <c r="AI1604" i="6"/>
  <c r="AI1605" i="6"/>
  <c r="AI1606" i="6"/>
  <c r="AI1607" i="6"/>
  <c r="AI1608" i="6"/>
  <c r="AI1609" i="6"/>
  <c r="AI1610" i="6"/>
  <c r="AI1611" i="6"/>
  <c r="AI1612" i="6"/>
  <c r="AI1613" i="6"/>
  <c r="AI1614" i="6"/>
  <c r="AI1615" i="6"/>
  <c r="AI1616" i="6"/>
  <c r="AI1617" i="6"/>
  <c r="AI1618" i="6"/>
  <c r="AI1619" i="6"/>
  <c r="AI1620" i="6"/>
  <c r="AI1621" i="6"/>
  <c r="AI1622" i="6"/>
  <c r="AI1623" i="6"/>
  <c r="AI1624" i="6"/>
  <c r="AI1625" i="6"/>
  <c r="AI1626" i="6"/>
  <c r="AI1627" i="6"/>
  <c r="AI1628" i="6"/>
  <c r="AI1629" i="6"/>
  <c r="AI1630" i="6"/>
  <c r="AI1631" i="6"/>
  <c r="AI1632" i="6"/>
  <c r="AI1633" i="6"/>
  <c r="AI1634" i="6"/>
  <c r="AI1635" i="6"/>
  <c r="AI1636" i="6"/>
  <c r="AI1637" i="6"/>
  <c r="AI1638" i="6"/>
  <c r="AI1639" i="6"/>
  <c r="AI1640" i="6"/>
  <c r="AI1641" i="6"/>
  <c r="AI1642" i="6"/>
  <c r="AI1643" i="6"/>
  <c r="AI1644" i="6"/>
  <c r="AI1645" i="6"/>
  <c r="AI1646" i="6"/>
  <c r="AI1647" i="6"/>
  <c r="AI1648" i="6"/>
  <c r="AI1649" i="6"/>
  <c r="AI1650" i="6"/>
  <c r="AI1651" i="6"/>
  <c r="AI1652" i="6"/>
  <c r="AI1653" i="6"/>
  <c r="AI1654" i="6"/>
  <c r="AI1655" i="6"/>
  <c r="AI1656" i="6"/>
  <c r="AI1657" i="6"/>
  <c r="AI1658" i="6"/>
  <c r="AI1659" i="6"/>
  <c r="AI1660" i="6"/>
  <c r="AI1661" i="6"/>
  <c r="AI1662" i="6"/>
  <c r="AI1663" i="6"/>
  <c r="AI1664" i="6"/>
  <c r="AI1665" i="6"/>
  <c r="AI1666" i="6"/>
  <c r="AI1667" i="6"/>
  <c r="AI1668" i="6"/>
  <c r="AI1669" i="6"/>
  <c r="AI1670" i="6"/>
  <c r="AI1671" i="6"/>
  <c r="AI1672" i="6"/>
  <c r="AI1673" i="6"/>
  <c r="AI1674" i="6"/>
  <c r="AI1675" i="6"/>
  <c r="AI1676" i="6"/>
  <c r="AI1677" i="6"/>
  <c r="AI1678" i="6"/>
  <c r="AI1679" i="6"/>
  <c r="AI1680" i="6"/>
  <c r="AI1681" i="6"/>
  <c r="AI1682" i="6"/>
  <c r="AI1683" i="6"/>
  <c r="AI1684" i="6"/>
  <c r="AI1685" i="6"/>
  <c r="AI1686" i="6"/>
  <c r="AI1687" i="6"/>
  <c r="AI1688" i="6"/>
  <c r="AI1689" i="6"/>
  <c r="AI1690" i="6"/>
  <c r="AI1691" i="6"/>
  <c r="AI1692" i="6"/>
  <c r="AI1693" i="6"/>
  <c r="AI1694" i="6"/>
  <c r="AI1695" i="6"/>
  <c r="AI1696" i="6"/>
  <c r="AI1697" i="6"/>
  <c r="AI1698" i="6"/>
  <c r="AI1699" i="6"/>
  <c r="AI1700" i="6"/>
  <c r="AI1701" i="6"/>
  <c r="AI1702" i="6"/>
  <c r="AI1703" i="6"/>
  <c r="AI1704" i="6"/>
  <c r="AI1705" i="6"/>
  <c r="AI1706" i="6"/>
  <c r="AI1707" i="6"/>
  <c r="AI1708" i="6"/>
  <c r="AI1709" i="6"/>
  <c r="AI5" i="6"/>
  <c r="H4" i="5"/>
  <c r="H5" i="5"/>
  <c r="H6" i="5"/>
  <c r="H7" i="5"/>
  <c r="H8" i="5"/>
  <c r="H9" i="5"/>
  <c r="H10" i="5"/>
  <c r="H11" i="5"/>
  <c r="H12" i="5"/>
  <c r="H13" i="5"/>
  <c r="H14" i="5"/>
  <c r="H15" i="5"/>
  <c r="H16" i="5"/>
  <c r="H17" i="5"/>
  <c r="H18" i="5"/>
  <c r="H3" i="5"/>
  <c r="C16" i="5"/>
  <c r="F25" i="7"/>
  <c r="F5" i="7"/>
  <c r="C11" i="5"/>
  <c r="F17" i="7"/>
  <c r="F20" i="7"/>
  <c r="F9" i="7"/>
  <c r="C12" i="5"/>
  <c r="F39" i="7"/>
  <c r="F36" i="7"/>
  <c r="F24" i="7"/>
  <c r="C6" i="5"/>
  <c r="F21" i="7"/>
  <c r="F33" i="7"/>
  <c r="F29" i="7"/>
  <c r="C5" i="4"/>
  <c r="F26" i="7"/>
  <c r="F34" i="7"/>
  <c r="F19" i="7"/>
  <c r="F28" i="7"/>
  <c r="F18" i="7"/>
  <c r="C9" i="5"/>
  <c r="F35" i="7"/>
  <c r="F30" i="7"/>
  <c r="C4" i="5"/>
  <c r="F11" i="7"/>
  <c r="F27" i="7"/>
  <c r="F32" i="7"/>
  <c r="F38" i="7"/>
  <c r="C5" i="5"/>
  <c r="B43" i="7"/>
  <c r="F37" i="7"/>
  <c r="F10" i="7"/>
  <c r="F16" i="7"/>
  <c r="F7" i="7"/>
  <c r="D43" i="7"/>
  <c r="F15" i="7"/>
  <c r="F6" i="7"/>
  <c r="F13" i="7"/>
  <c r="C10" i="5"/>
  <c r="F14" i="7"/>
  <c r="C43" i="7"/>
  <c r="F31" i="7"/>
  <c r="F23" i="7"/>
  <c r="F12" i="7"/>
  <c r="C7" i="5"/>
  <c r="C8" i="5"/>
  <c r="F22" i="7"/>
  <c r="F8" i="7"/>
  <c r="C4" i="4"/>
  <c r="AL5" i="6" l="1"/>
  <c r="AL7" i="6"/>
  <c r="AL13" i="6"/>
  <c r="C7" i="4"/>
  <c r="G6" i="7"/>
  <c r="G7" i="7"/>
  <c r="G5"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AL6" i="6"/>
  <c r="AL15" i="6"/>
  <c r="AL14" i="6"/>
  <c r="AL12" i="6"/>
  <c r="AL11" i="6"/>
  <c r="AL10" i="6"/>
  <c r="AL9" i="6"/>
  <c r="AL8" i="6"/>
  <c r="C13" i="5"/>
  <c r="H19" i="5"/>
  <c r="I11" i="5" s="1"/>
  <c r="AL16" i="6" l="1"/>
  <c r="AM13" i="6" s="1"/>
  <c r="AM12" i="6"/>
  <c r="AM14" i="6"/>
  <c r="AM15" i="6"/>
  <c r="I6" i="5"/>
  <c r="AM6" i="6"/>
  <c r="I9" i="5"/>
  <c r="I7" i="5"/>
  <c r="I4" i="5"/>
  <c r="I17" i="5"/>
  <c r="I14" i="5"/>
  <c r="I18" i="5"/>
  <c r="I16" i="5"/>
  <c r="I8" i="5"/>
  <c r="I5" i="5"/>
  <c r="I10" i="5"/>
  <c r="I15" i="5"/>
  <c r="I12" i="5"/>
  <c r="I3" i="5"/>
  <c r="I13" i="5"/>
  <c r="AM11" i="6" l="1"/>
  <c r="AM10" i="6"/>
  <c r="AM9" i="6"/>
  <c r="AM8" i="6"/>
  <c r="AM7" i="6"/>
  <c r="AM5" i="6"/>
  <c r="I19" i="5"/>
  <c r="AM16" i="6" l="1"/>
  <c r="G251" i="1" l="1"/>
  <c r="F251" i="1"/>
  <c r="O250" i="1"/>
  <c r="G250" i="1"/>
  <c r="H250" i="1" s="1"/>
  <c r="E250" i="1"/>
  <c r="F250" i="1" s="1"/>
  <c r="G200" i="1"/>
  <c r="F200" i="1"/>
  <c r="O199" i="1"/>
  <c r="G199" i="1"/>
  <c r="H199" i="1" s="1"/>
  <c r="E199" i="1"/>
  <c r="F199" i="1" s="1"/>
  <c r="G198" i="1"/>
  <c r="F198" i="1"/>
  <c r="O197" i="1"/>
  <c r="G197" i="1"/>
  <c r="H197" i="1" s="1"/>
  <c r="E197" i="1"/>
  <c r="F197" i="1" s="1"/>
  <c r="G162" i="1"/>
  <c r="F162" i="1"/>
  <c r="O161" i="1"/>
  <c r="G161" i="1"/>
  <c r="H161" i="1" s="1"/>
  <c r="E161" i="1"/>
  <c r="F161" i="1" s="1"/>
  <c r="O484" i="1"/>
  <c r="G484" i="1"/>
  <c r="H484" i="1" s="1"/>
  <c r="E484" i="1"/>
  <c r="F484" i="1" s="1"/>
  <c r="O298" i="1"/>
  <c r="G298" i="1"/>
  <c r="H298" i="1" s="1"/>
  <c r="E298" i="1"/>
  <c r="F298" i="1" s="1"/>
  <c r="G4" i="1" l="1"/>
  <c r="F5" i="1"/>
  <c r="G5" i="1"/>
  <c r="G6" i="1"/>
  <c r="F7" i="1"/>
  <c r="G7" i="1"/>
  <c r="G8" i="1"/>
  <c r="F9" i="1"/>
  <c r="G9" i="1"/>
  <c r="G10" i="1"/>
  <c r="F11" i="1"/>
  <c r="G11" i="1"/>
  <c r="G12" i="1"/>
  <c r="F13" i="1"/>
  <c r="G13" i="1"/>
  <c r="G14" i="1"/>
  <c r="F15" i="1"/>
  <c r="G15" i="1"/>
  <c r="G16" i="1"/>
  <c r="F17" i="1"/>
  <c r="G17" i="1"/>
  <c r="G18" i="1"/>
  <c r="F19" i="1"/>
  <c r="G19" i="1"/>
  <c r="G20" i="1"/>
  <c r="F21" i="1"/>
  <c r="G21" i="1"/>
  <c r="G22" i="1"/>
  <c r="F23" i="1"/>
  <c r="G23" i="1"/>
  <c r="G24" i="1"/>
  <c r="F26" i="1"/>
  <c r="G26" i="1"/>
  <c r="G25" i="1"/>
  <c r="F27" i="1"/>
  <c r="G27" i="1"/>
  <c r="G28" i="1"/>
  <c r="F29" i="1"/>
  <c r="G29" i="1"/>
  <c r="G30" i="1"/>
  <c r="F31" i="1"/>
  <c r="G31" i="1"/>
  <c r="G32" i="1"/>
  <c r="F33" i="1"/>
  <c r="G33" i="1"/>
  <c r="G34" i="1"/>
  <c r="F35" i="1"/>
  <c r="G35" i="1"/>
  <c r="G36" i="1"/>
  <c r="F37" i="1"/>
  <c r="G37" i="1"/>
  <c r="G38" i="1"/>
  <c r="F39" i="1"/>
  <c r="G39" i="1"/>
  <c r="G40" i="1"/>
  <c r="F41" i="1"/>
  <c r="G41" i="1"/>
  <c r="G42" i="1"/>
  <c r="F43" i="1"/>
  <c r="G43" i="1"/>
  <c r="G44" i="1"/>
  <c r="F45" i="1"/>
  <c r="G45" i="1"/>
  <c r="G46" i="1"/>
  <c r="F47" i="1"/>
  <c r="G47" i="1"/>
  <c r="G48" i="1"/>
  <c r="F49" i="1"/>
  <c r="G49" i="1"/>
  <c r="G50" i="1"/>
  <c r="F51" i="1"/>
  <c r="G51" i="1"/>
  <c r="G52" i="1"/>
  <c r="F53" i="1"/>
  <c r="G53" i="1"/>
  <c r="G54" i="1"/>
  <c r="F55" i="1"/>
  <c r="G55" i="1"/>
  <c r="G56" i="1"/>
  <c r="F57" i="1"/>
  <c r="G57" i="1"/>
  <c r="G58" i="1"/>
  <c r="F59" i="1"/>
  <c r="G59" i="1"/>
  <c r="G60" i="1"/>
  <c r="F61" i="1"/>
  <c r="G61" i="1"/>
  <c r="G62" i="1"/>
  <c r="F63" i="1"/>
  <c r="G63" i="1"/>
  <c r="G64" i="1"/>
  <c r="F65" i="1"/>
  <c r="G65" i="1"/>
  <c r="G66" i="1"/>
  <c r="F67" i="1"/>
  <c r="G67" i="1"/>
  <c r="G68" i="1"/>
  <c r="F69" i="1"/>
  <c r="G69" i="1"/>
  <c r="G70" i="1"/>
  <c r="F71" i="1"/>
  <c r="G71" i="1"/>
  <c r="G72" i="1"/>
  <c r="F73" i="1"/>
  <c r="G73" i="1"/>
  <c r="G74" i="1"/>
  <c r="F75" i="1"/>
  <c r="G75" i="1"/>
  <c r="G76" i="1"/>
  <c r="F77" i="1"/>
  <c r="G77" i="1"/>
  <c r="G78" i="1"/>
  <c r="F79" i="1"/>
  <c r="G79" i="1"/>
  <c r="G80" i="1"/>
  <c r="F81" i="1"/>
  <c r="G81" i="1"/>
  <c r="G82" i="1"/>
  <c r="F83" i="1"/>
  <c r="G83" i="1"/>
  <c r="G84" i="1"/>
  <c r="F85" i="1"/>
  <c r="G85" i="1"/>
  <c r="G86" i="1"/>
  <c r="F87" i="1"/>
  <c r="G87" i="1"/>
  <c r="G88" i="1"/>
  <c r="F89" i="1"/>
  <c r="G89" i="1"/>
  <c r="G90" i="1"/>
  <c r="F91" i="1"/>
  <c r="G91" i="1"/>
  <c r="G92" i="1"/>
  <c r="F93" i="1"/>
  <c r="G93" i="1"/>
  <c r="G94" i="1"/>
  <c r="F95" i="1"/>
  <c r="G95" i="1"/>
  <c r="G96" i="1"/>
  <c r="F97" i="1"/>
  <c r="G97" i="1"/>
  <c r="G98" i="1"/>
  <c r="F99" i="1"/>
  <c r="G99" i="1"/>
  <c r="F100" i="1"/>
  <c r="G100" i="1"/>
  <c r="G101" i="1"/>
  <c r="F102" i="1"/>
  <c r="G102" i="1"/>
  <c r="G103" i="1"/>
  <c r="F104" i="1"/>
  <c r="G104" i="1"/>
  <c r="G105" i="1"/>
  <c r="F106" i="1"/>
  <c r="G106" i="1"/>
  <c r="G107" i="1"/>
  <c r="F108" i="1"/>
  <c r="G108" i="1"/>
  <c r="G109" i="1"/>
  <c r="F110" i="1"/>
  <c r="G110" i="1"/>
  <c r="G111" i="1"/>
  <c r="F112" i="1"/>
  <c r="G112" i="1"/>
  <c r="G113" i="1"/>
  <c r="F114" i="1"/>
  <c r="G114" i="1"/>
  <c r="G115" i="1"/>
  <c r="F116" i="1"/>
  <c r="G116" i="1"/>
  <c r="G117" i="1"/>
  <c r="F118" i="1"/>
  <c r="G118" i="1"/>
  <c r="G119" i="1"/>
  <c r="F120" i="1"/>
  <c r="G120" i="1"/>
  <c r="G121" i="1"/>
  <c r="F122" i="1"/>
  <c r="G122" i="1"/>
  <c r="G123" i="1"/>
  <c r="F124" i="1"/>
  <c r="G124" i="1"/>
  <c r="G125" i="1"/>
  <c r="F126" i="1"/>
  <c r="G126" i="1"/>
  <c r="G127" i="1"/>
  <c r="F128" i="1"/>
  <c r="G128" i="1"/>
  <c r="G129" i="1"/>
  <c r="F130" i="1"/>
  <c r="G130" i="1"/>
  <c r="G131" i="1"/>
  <c r="F132" i="1"/>
  <c r="G132" i="1"/>
  <c r="G133" i="1"/>
  <c r="F134" i="1"/>
  <c r="G134" i="1"/>
  <c r="G135" i="1"/>
  <c r="F137" i="1"/>
  <c r="G137" i="1"/>
  <c r="G136" i="1"/>
  <c r="F138" i="1"/>
  <c r="G138" i="1"/>
  <c r="G139" i="1"/>
  <c r="F140" i="1"/>
  <c r="G140" i="1"/>
  <c r="G141" i="1"/>
  <c r="F142" i="1"/>
  <c r="G142" i="1"/>
  <c r="G143" i="1"/>
  <c r="F144" i="1"/>
  <c r="G144" i="1"/>
  <c r="G145" i="1"/>
  <c r="F146" i="1"/>
  <c r="G146" i="1"/>
  <c r="G147" i="1"/>
  <c r="F148" i="1"/>
  <c r="G148" i="1"/>
  <c r="G149" i="1"/>
  <c r="F150" i="1"/>
  <c r="G150" i="1"/>
  <c r="G151" i="1"/>
  <c r="F152" i="1"/>
  <c r="G152" i="1"/>
  <c r="G153" i="1"/>
  <c r="F154" i="1"/>
  <c r="G154" i="1"/>
  <c r="G155" i="1"/>
  <c r="F156" i="1"/>
  <c r="G156" i="1"/>
  <c r="G157" i="1"/>
  <c r="F158" i="1"/>
  <c r="G158" i="1"/>
  <c r="G159" i="1"/>
  <c r="F160" i="1"/>
  <c r="G160" i="1"/>
  <c r="G163" i="1"/>
  <c r="F164" i="1"/>
  <c r="G164" i="1"/>
  <c r="G165" i="1"/>
  <c r="F166" i="1"/>
  <c r="G166" i="1"/>
  <c r="G167" i="1"/>
  <c r="F168" i="1"/>
  <c r="G168" i="1"/>
  <c r="G169" i="1"/>
  <c r="F170" i="1"/>
  <c r="G170" i="1"/>
  <c r="G171" i="1"/>
  <c r="F172" i="1"/>
  <c r="G172" i="1"/>
  <c r="G173" i="1"/>
  <c r="F174" i="1"/>
  <c r="G174" i="1"/>
  <c r="G175" i="1"/>
  <c r="F176" i="1"/>
  <c r="G176" i="1"/>
  <c r="G177" i="1"/>
  <c r="F178" i="1"/>
  <c r="G178" i="1"/>
  <c r="G179" i="1"/>
  <c r="F180" i="1"/>
  <c r="G180" i="1"/>
  <c r="G181" i="1"/>
  <c r="F182" i="1"/>
  <c r="G182" i="1"/>
  <c r="G183" i="1"/>
  <c r="F184" i="1"/>
  <c r="G184" i="1"/>
  <c r="G185" i="1"/>
  <c r="F186" i="1"/>
  <c r="G186" i="1"/>
  <c r="G187" i="1"/>
  <c r="F188" i="1"/>
  <c r="G188" i="1"/>
  <c r="G189" i="1"/>
  <c r="F190" i="1"/>
  <c r="G190" i="1"/>
  <c r="G191" i="1"/>
  <c r="F192" i="1"/>
  <c r="G192" i="1"/>
  <c r="G193" i="1"/>
  <c r="F194" i="1"/>
  <c r="G194" i="1"/>
  <c r="G195" i="1"/>
  <c r="F196" i="1"/>
  <c r="G196" i="1"/>
  <c r="G201" i="1"/>
  <c r="F202" i="1"/>
  <c r="G202" i="1"/>
  <c r="G203" i="1"/>
  <c r="F204" i="1"/>
  <c r="G204" i="1"/>
  <c r="G205" i="1"/>
  <c r="F206" i="1"/>
  <c r="G206" i="1"/>
  <c r="G207" i="1"/>
  <c r="F208" i="1"/>
  <c r="G208" i="1"/>
  <c r="G209" i="1"/>
  <c r="F210" i="1"/>
  <c r="G210" i="1"/>
  <c r="G211" i="1"/>
  <c r="F212" i="1"/>
  <c r="G212" i="1"/>
  <c r="G213" i="1"/>
  <c r="F214" i="1"/>
  <c r="G214" i="1"/>
  <c r="G215" i="1"/>
  <c r="F216" i="1"/>
  <c r="G216" i="1"/>
  <c r="G217" i="1"/>
  <c r="F218" i="1"/>
  <c r="G218" i="1"/>
  <c r="G219" i="1"/>
  <c r="F220" i="1"/>
  <c r="G220" i="1"/>
  <c r="G221" i="1"/>
  <c r="F222" i="1"/>
  <c r="G222" i="1"/>
  <c r="G223" i="1"/>
  <c r="F224" i="1"/>
  <c r="G224" i="1"/>
  <c r="G225" i="1"/>
  <c r="F226" i="1"/>
  <c r="G226" i="1"/>
  <c r="G227" i="1"/>
  <c r="F228" i="1"/>
  <c r="G228" i="1"/>
  <c r="G229" i="1"/>
  <c r="F230" i="1"/>
  <c r="G230" i="1"/>
  <c r="G231" i="1"/>
  <c r="F232" i="1"/>
  <c r="G232" i="1"/>
  <c r="G233" i="1"/>
  <c r="F234" i="1"/>
  <c r="G234" i="1"/>
  <c r="G235" i="1"/>
  <c r="F236" i="1"/>
  <c r="G236" i="1"/>
  <c r="G237" i="1"/>
  <c r="F238" i="1"/>
  <c r="G238" i="1"/>
  <c r="G239" i="1"/>
  <c r="F240" i="1"/>
  <c r="G240" i="1"/>
  <c r="G241" i="1"/>
  <c r="F242" i="1"/>
  <c r="G242" i="1"/>
  <c r="F243" i="1"/>
  <c r="G243" i="1"/>
  <c r="G244" i="1"/>
  <c r="F245" i="1"/>
  <c r="G245" i="1"/>
  <c r="G246" i="1"/>
  <c r="F247" i="1"/>
  <c r="G247" i="1"/>
  <c r="G248" i="1"/>
  <c r="F249" i="1"/>
  <c r="G249" i="1"/>
  <c r="G252" i="1"/>
  <c r="F253" i="1"/>
  <c r="G253" i="1"/>
  <c r="G254" i="1"/>
  <c r="F255" i="1"/>
  <c r="G255" i="1"/>
  <c r="F256" i="1"/>
  <c r="G256" i="1"/>
  <c r="F257" i="1"/>
  <c r="G257" i="1"/>
  <c r="G258" i="1"/>
  <c r="F259" i="1"/>
  <c r="G259" i="1"/>
  <c r="G260" i="1"/>
  <c r="F261" i="1"/>
  <c r="G261" i="1"/>
  <c r="G262" i="1"/>
  <c r="F264" i="1"/>
  <c r="G264" i="1"/>
  <c r="G263" i="1"/>
  <c r="F265" i="1"/>
  <c r="G265" i="1"/>
  <c r="G266" i="1"/>
  <c r="F267" i="1"/>
  <c r="G267" i="1"/>
  <c r="G268" i="1"/>
  <c r="F269" i="1"/>
  <c r="G269" i="1"/>
  <c r="G270" i="1"/>
  <c r="F271" i="1"/>
  <c r="G271" i="1"/>
  <c r="G272" i="1"/>
  <c r="F273" i="1"/>
  <c r="G273" i="1"/>
  <c r="G274" i="1"/>
  <c r="F275" i="1"/>
  <c r="G275" i="1"/>
  <c r="G276" i="1"/>
  <c r="F277" i="1"/>
  <c r="G277" i="1"/>
  <c r="F278" i="1"/>
  <c r="G278" i="1"/>
  <c r="F279" i="1"/>
  <c r="G279" i="1"/>
  <c r="G280" i="1"/>
  <c r="F281" i="1"/>
  <c r="G281" i="1"/>
  <c r="G282" i="1"/>
  <c r="F283" i="1"/>
  <c r="G283" i="1"/>
  <c r="F284" i="1"/>
  <c r="G284" i="1"/>
  <c r="F285" i="1"/>
  <c r="G285" i="1"/>
  <c r="G286" i="1"/>
  <c r="F287" i="1"/>
  <c r="G287" i="1"/>
  <c r="G288" i="1"/>
  <c r="F289" i="1"/>
  <c r="G289" i="1"/>
  <c r="G290" i="1"/>
  <c r="F291" i="1"/>
  <c r="G291" i="1"/>
  <c r="G292" i="1"/>
  <c r="F293" i="1"/>
  <c r="G293" i="1"/>
  <c r="G294" i="1"/>
  <c r="F295" i="1"/>
  <c r="G295" i="1"/>
  <c r="G296" i="1"/>
  <c r="F297" i="1"/>
  <c r="G297" i="1"/>
  <c r="G299" i="1"/>
  <c r="F300" i="1"/>
  <c r="G300" i="1"/>
  <c r="F302" i="1"/>
  <c r="G302" i="1"/>
  <c r="F303" i="1"/>
  <c r="G303" i="1"/>
  <c r="F304" i="1"/>
  <c r="G304" i="1"/>
  <c r="G301" i="1"/>
  <c r="F305" i="1"/>
  <c r="G305" i="1"/>
  <c r="G306" i="1"/>
  <c r="F307" i="1"/>
  <c r="G307" i="1"/>
  <c r="G308" i="1"/>
  <c r="F309" i="1"/>
  <c r="G309" i="1"/>
  <c r="G310" i="1"/>
  <c r="F311" i="1"/>
  <c r="G311" i="1"/>
  <c r="G312" i="1"/>
  <c r="F313" i="1"/>
  <c r="G313" i="1"/>
  <c r="G314" i="1"/>
  <c r="F315" i="1"/>
  <c r="G315" i="1"/>
  <c r="G316" i="1"/>
  <c r="F317" i="1"/>
  <c r="G317" i="1"/>
  <c r="G318" i="1"/>
  <c r="F319" i="1"/>
  <c r="G319" i="1"/>
  <c r="G320" i="1"/>
  <c r="F321" i="1"/>
  <c r="G321" i="1"/>
  <c r="G322" i="1"/>
  <c r="F323" i="1"/>
  <c r="G323" i="1"/>
  <c r="G324" i="1"/>
  <c r="F325" i="1"/>
  <c r="G325" i="1"/>
  <c r="G326" i="1"/>
  <c r="F327" i="1"/>
  <c r="G327" i="1"/>
  <c r="G328" i="1"/>
  <c r="F329" i="1"/>
  <c r="G329" i="1"/>
  <c r="G330" i="1"/>
  <c r="F331" i="1"/>
  <c r="G331" i="1"/>
  <c r="G332" i="1"/>
  <c r="F333" i="1"/>
  <c r="G333" i="1"/>
  <c r="G334" i="1"/>
  <c r="F335" i="1"/>
  <c r="G335" i="1"/>
  <c r="G336" i="1"/>
  <c r="F337" i="1"/>
  <c r="G337" i="1"/>
  <c r="G338" i="1"/>
  <c r="F339" i="1"/>
  <c r="G339" i="1"/>
  <c r="G340" i="1"/>
  <c r="F341" i="1"/>
  <c r="G341" i="1"/>
  <c r="G342" i="1"/>
  <c r="F343" i="1"/>
  <c r="G343" i="1"/>
  <c r="G344" i="1"/>
  <c r="F345" i="1"/>
  <c r="G345" i="1"/>
  <c r="G346" i="1"/>
  <c r="F347" i="1"/>
  <c r="G347" i="1"/>
  <c r="G348" i="1"/>
  <c r="F349" i="1"/>
  <c r="G349" i="1"/>
  <c r="G350" i="1"/>
  <c r="F351" i="1"/>
  <c r="G351" i="1"/>
  <c r="G352" i="1"/>
  <c r="F353" i="1"/>
  <c r="G353" i="1"/>
  <c r="G354" i="1"/>
  <c r="F355" i="1"/>
  <c r="G355" i="1"/>
  <c r="G356" i="1"/>
  <c r="F357" i="1"/>
  <c r="G357" i="1"/>
  <c r="G358" i="1"/>
  <c r="F359" i="1"/>
  <c r="G359" i="1"/>
  <c r="G360" i="1"/>
  <c r="F361" i="1"/>
  <c r="G361" i="1"/>
  <c r="G362" i="1"/>
  <c r="F363" i="1"/>
  <c r="G363" i="1"/>
  <c r="G364" i="1"/>
  <c r="F365" i="1"/>
  <c r="G365" i="1"/>
  <c r="G366" i="1"/>
  <c r="F367" i="1"/>
  <c r="G367" i="1"/>
  <c r="G368" i="1"/>
  <c r="F369" i="1"/>
  <c r="G369" i="1"/>
  <c r="G370" i="1"/>
  <c r="F371" i="1"/>
  <c r="G371" i="1"/>
  <c r="G372" i="1"/>
  <c r="F373" i="1"/>
  <c r="G373" i="1"/>
  <c r="G374" i="1"/>
  <c r="F375" i="1"/>
  <c r="G375" i="1"/>
  <c r="G376" i="1"/>
  <c r="F377" i="1"/>
  <c r="G377" i="1"/>
  <c r="G378" i="1"/>
  <c r="F379" i="1"/>
  <c r="G379" i="1"/>
  <c r="G380" i="1"/>
  <c r="F381" i="1"/>
  <c r="G381" i="1"/>
  <c r="F382" i="1"/>
  <c r="G382" i="1"/>
  <c r="F383" i="1"/>
  <c r="G383" i="1"/>
  <c r="G384" i="1"/>
  <c r="F385" i="1"/>
  <c r="G385" i="1"/>
  <c r="G386" i="1"/>
  <c r="F387" i="1"/>
  <c r="G387" i="1"/>
  <c r="G388" i="1"/>
  <c r="F389" i="1"/>
  <c r="G389" i="1"/>
  <c r="G390" i="1"/>
  <c r="F391" i="1"/>
  <c r="G391" i="1"/>
  <c r="G392" i="1"/>
  <c r="F393" i="1"/>
  <c r="G393" i="1"/>
  <c r="G394" i="1"/>
  <c r="F395" i="1"/>
  <c r="G395" i="1"/>
  <c r="G396" i="1"/>
  <c r="F397" i="1"/>
  <c r="G397" i="1"/>
  <c r="G398" i="1"/>
  <c r="F399" i="1"/>
  <c r="G399" i="1"/>
  <c r="G400" i="1"/>
  <c r="F401" i="1"/>
  <c r="G401" i="1"/>
  <c r="F402" i="1"/>
  <c r="G402" i="1"/>
  <c r="F403" i="1"/>
  <c r="G403" i="1"/>
  <c r="G404" i="1"/>
  <c r="F405" i="1"/>
  <c r="G405" i="1"/>
  <c r="F406" i="1"/>
  <c r="G406" i="1"/>
  <c r="F407" i="1"/>
  <c r="G407" i="1"/>
  <c r="G408" i="1"/>
  <c r="F409" i="1"/>
  <c r="G409" i="1"/>
  <c r="F410" i="1"/>
  <c r="G410" i="1"/>
  <c r="F411" i="1"/>
  <c r="G411" i="1"/>
  <c r="G412" i="1"/>
  <c r="F413" i="1"/>
  <c r="G413" i="1"/>
  <c r="G414" i="1"/>
  <c r="F415" i="1"/>
  <c r="G415" i="1"/>
  <c r="G416" i="1"/>
  <c r="F417" i="1"/>
  <c r="G417" i="1"/>
  <c r="G418" i="1"/>
  <c r="F419" i="1"/>
  <c r="G419" i="1"/>
  <c r="F420" i="1"/>
  <c r="G420" i="1"/>
  <c r="F421" i="1"/>
  <c r="G421" i="1"/>
  <c r="G422" i="1"/>
  <c r="F423" i="1"/>
  <c r="G423" i="1"/>
  <c r="G424" i="1"/>
  <c r="F425" i="1"/>
  <c r="G425" i="1"/>
  <c r="G426" i="1"/>
  <c r="F427" i="1"/>
  <c r="G427" i="1"/>
  <c r="F428" i="1"/>
  <c r="G428" i="1"/>
  <c r="F429" i="1"/>
  <c r="G429" i="1"/>
  <c r="G430" i="1"/>
  <c r="F431" i="1"/>
  <c r="G431" i="1"/>
  <c r="G432" i="1"/>
  <c r="F433" i="1"/>
  <c r="G433" i="1"/>
  <c r="G434" i="1"/>
  <c r="F435" i="1"/>
  <c r="G435" i="1"/>
  <c r="G436" i="1"/>
  <c r="F437" i="1"/>
  <c r="G437" i="1"/>
  <c r="G438" i="1"/>
  <c r="F439" i="1"/>
  <c r="G439" i="1"/>
  <c r="G440" i="1"/>
  <c r="F441" i="1"/>
  <c r="G441" i="1"/>
  <c r="G442" i="1"/>
  <c r="F443" i="1"/>
  <c r="G443" i="1"/>
  <c r="G444" i="1"/>
  <c r="F445" i="1"/>
  <c r="G445" i="1"/>
  <c r="G446" i="1"/>
  <c r="F447" i="1"/>
  <c r="G447" i="1"/>
  <c r="G448" i="1"/>
  <c r="F449" i="1"/>
  <c r="G449" i="1"/>
  <c r="G450" i="1"/>
  <c r="F451" i="1"/>
  <c r="G451" i="1"/>
  <c r="G452" i="1"/>
  <c r="F453" i="1"/>
  <c r="G453" i="1"/>
  <c r="G454" i="1"/>
  <c r="F455" i="1"/>
  <c r="G455" i="1"/>
  <c r="G456" i="1"/>
  <c r="F457" i="1"/>
  <c r="G457" i="1"/>
  <c r="G458" i="1"/>
  <c r="F459" i="1"/>
  <c r="G459" i="1"/>
  <c r="G460" i="1"/>
  <c r="F461" i="1"/>
  <c r="G461" i="1"/>
  <c r="G462" i="1"/>
  <c r="F463" i="1"/>
  <c r="G463" i="1"/>
  <c r="G464" i="1"/>
  <c r="F465" i="1"/>
  <c r="G465" i="1"/>
  <c r="G466" i="1"/>
  <c r="F467" i="1"/>
  <c r="G467" i="1"/>
  <c r="G468" i="1"/>
  <c r="F469" i="1"/>
  <c r="G469" i="1"/>
  <c r="G470" i="1"/>
  <c r="F471" i="1"/>
  <c r="G471" i="1"/>
  <c r="G472" i="1"/>
  <c r="F473" i="1"/>
  <c r="G473" i="1"/>
  <c r="G474" i="1"/>
  <c r="F475" i="1"/>
  <c r="G475" i="1"/>
  <c r="G476" i="1"/>
  <c r="F477" i="1"/>
  <c r="G477" i="1"/>
  <c r="G478" i="1"/>
  <c r="F479" i="1"/>
  <c r="G479" i="1"/>
  <c r="G480" i="1"/>
  <c r="F481" i="1"/>
  <c r="G481" i="1"/>
  <c r="G482" i="1"/>
  <c r="F483" i="1"/>
  <c r="G483" i="1"/>
  <c r="G485" i="1"/>
  <c r="F486" i="1"/>
  <c r="G486" i="1"/>
  <c r="F487" i="1"/>
  <c r="G487" i="1"/>
  <c r="G488" i="1"/>
  <c r="F489" i="1"/>
  <c r="G489" i="1"/>
  <c r="G490" i="1"/>
  <c r="F491" i="1"/>
  <c r="G491" i="1"/>
  <c r="G492" i="1"/>
  <c r="F493" i="1"/>
  <c r="G493" i="1"/>
  <c r="G494" i="1"/>
  <c r="F495" i="1"/>
  <c r="G495" i="1"/>
  <c r="G496" i="1"/>
  <c r="F497" i="1"/>
  <c r="G497" i="1"/>
  <c r="G498" i="1"/>
  <c r="F499" i="1"/>
  <c r="G499" i="1"/>
  <c r="G500" i="1"/>
  <c r="F501" i="1"/>
  <c r="G501" i="1"/>
  <c r="G502" i="1"/>
  <c r="F503" i="1"/>
  <c r="G503" i="1"/>
  <c r="G504" i="1"/>
  <c r="F505" i="1"/>
  <c r="G505" i="1"/>
  <c r="G506" i="1"/>
  <c r="F507" i="1"/>
  <c r="G507" i="1"/>
  <c r="G508" i="1"/>
  <c r="F509" i="1"/>
  <c r="G509" i="1"/>
  <c r="G510" i="1"/>
  <c r="F511" i="1"/>
  <c r="G511" i="1"/>
  <c r="G512" i="1"/>
  <c r="F513" i="1"/>
  <c r="G513" i="1"/>
  <c r="G514" i="1"/>
  <c r="F515" i="1"/>
  <c r="G515" i="1"/>
  <c r="G516" i="1"/>
  <c r="F517" i="1"/>
  <c r="G517" i="1"/>
  <c r="G518" i="1"/>
  <c r="F519" i="1"/>
  <c r="G519" i="1"/>
  <c r="G520" i="1"/>
  <c r="F521" i="1"/>
  <c r="G521" i="1"/>
  <c r="G522" i="1"/>
  <c r="F523" i="1"/>
  <c r="G523" i="1"/>
  <c r="G524" i="1"/>
  <c r="F525" i="1"/>
  <c r="G525" i="1"/>
  <c r="G526" i="1"/>
  <c r="F527" i="1"/>
  <c r="G527" i="1"/>
  <c r="G528" i="1"/>
  <c r="F529" i="1"/>
  <c r="G529" i="1"/>
  <c r="G530" i="1"/>
  <c r="F532" i="1"/>
  <c r="G532" i="1"/>
  <c r="G531" i="1"/>
  <c r="F533" i="1"/>
  <c r="G533" i="1"/>
  <c r="G534" i="1"/>
  <c r="F535" i="1"/>
  <c r="G535" i="1"/>
  <c r="G536" i="1"/>
  <c r="F537" i="1"/>
  <c r="G537" i="1"/>
  <c r="F538" i="1"/>
  <c r="G538" i="1"/>
  <c r="G539" i="1"/>
  <c r="O539" i="1" l="1"/>
  <c r="O536" i="1"/>
  <c r="O534" i="1"/>
  <c r="O531" i="1"/>
  <c r="O530" i="1"/>
  <c r="O528" i="1"/>
  <c r="O526" i="1"/>
  <c r="O524" i="1"/>
  <c r="O522" i="1"/>
  <c r="O520" i="1"/>
  <c r="O518" i="1"/>
  <c r="O516" i="1"/>
  <c r="O514" i="1"/>
  <c r="O512" i="1"/>
  <c r="O510" i="1"/>
  <c r="O508" i="1"/>
  <c r="O506" i="1"/>
  <c r="O504" i="1"/>
  <c r="O502" i="1"/>
  <c r="O500" i="1"/>
  <c r="O498" i="1"/>
  <c r="O496" i="1"/>
  <c r="O494" i="1"/>
  <c r="O492" i="1"/>
  <c r="O490" i="1"/>
  <c r="O488" i="1"/>
  <c r="O485" i="1"/>
  <c r="O482" i="1"/>
  <c r="O480" i="1"/>
  <c r="O478" i="1"/>
  <c r="O476" i="1"/>
  <c r="O474" i="1"/>
  <c r="O472" i="1"/>
  <c r="O470" i="1"/>
  <c r="O468" i="1"/>
  <c r="O466" i="1"/>
  <c r="O464" i="1"/>
  <c r="O462" i="1"/>
  <c r="O460" i="1"/>
  <c r="O458" i="1"/>
  <c r="O456" i="1"/>
  <c r="O454" i="1"/>
  <c r="O452" i="1"/>
  <c r="O450" i="1"/>
  <c r="O448" i="1"/>
  <c r="O446" i="1"/>
  <c r="O444" i="1"/>
  <c r="O442" i="1"/>
  <c r="O440" i="1"/>
  <c r="O438" i="1"/>
  <c r="O436" i="1"/>
  <c r="O434" i="1"/>
  <c r="O432" i="1"/>
  <c r="O430" i="1"/>
  <c r="O426" i="1"/>
  <c r="O424" i="1"/>
  <c r="O422" i="1"/>
  <c r="O418" i="1"/>
  <c r="O416" i="1"/>
  <c r="O414" i="1"/>
  <c r="O412" i="1"/>
  <c r="O408" i="1"/>
  <c r="O404" i="1"/>
  <c r="O400" i="1"/>
  <c r="O398" i="1"/>
  <c r="O396" i="1"/>
  <c r="O394" i="1"/>
  <c r="O392" i="1"/>
  <c r="O390" i="1"/>
  <c r="O388" i="1"/>
  <c r="O386" i="1"/>
  <c r="O384" i="1"/>
  <c r="O380" i="1"/>
  <c r="O378" i="1"/>
  <c r="O376" i="1"/>
  <c r="O374" i="1"/>
  <c r="O372" i="1"/>
  <c r="O370" i="1"/>
  <c r="O368" i="1"/>
  <c r="O366" i="1"/>
  <c r="O364" i="1"/>
  <c r="O362" i="1"/>
  <c r="O360" i="1"/>
  <c r="O358" i="1"/>
  <c r="O356" i="1"/>
  <c r="O354" i="1"/>
  <c r="O352" i="1"/>
  <c r="O350" i="1"/>
  <c r="O348" i="1"/>
  <c r="O346" i="1"/>
  <c r="O344" i="1"/>
  <c r="O342" i="1"/>
  <c r="O340" i="1"/>
  <c r="O338" i="1"/>
  <c r="O336" i="1"/>
  <c r="O334" i="1"/>
  <c r="O332" i="1"/>
  <c r="O330" i="1"/>
  <c r="O328" i="1"/>
  <c r="O326" i="1"/>
  <c r="O324" i="1"/>
  <c r="O322" i="1"/>
  <c r="O320" i="1"/>
  <c r="O318" i="1"/>
  <c r="O316" i="1"/>
  <c r="O314" i="1"/>
  <c r="O312" i="1"/>
  <c r="O310" i="1"/>
  <c r="O308" i="1"/>
  <c r="O306" i="1"/>
  <c r="O301" i="1"/>
  <c r="O299" i="1"/>
  <c r="O296" i="1"/>
  <c r="O294" i="1"/>
  <c r="O292" i="1"/>
  <c r="O290" i="1"/>
  <c r="O288" i="1"/>
  <c r="O286" i="1"/>
  <c r="O282" i="1"/>
  <c r="O280" i="1"/>
  <c r="O276" i="1"/>
  <c r="O274" i="1"/>
  <c r="O272" i="1"/>
  <c r="O270" i="1"/>
  <c r="O268" i="1"/>
  <c r="O266" i="1"/>
  <c r="O263" i="1"/>
  <c r="O262" i="1"/>
  <c r="O260" i="1"/>
  <c r="O258" i="1"/>
  <c r="O254" i="1"/>
  <c r="O252" i="1"/>
  <c r="O248" i="1"/>
  <c r="O246" i="1"/>
  <c r="O244" i="1"/>
  <c r="O241" i="1"/>
  <c r="O239" i="1"/>
  <c r="O237" i="1"/>
  <c r="O235" i="1"/>
  <c r="O233" i="1"/>
  <c r="O231" i="1"/>
  <c r="O229" i="1"/>
  <c r="O227" i="1"/>
  <c r="O225" i="1"/>
  <c r="O223" i="1"/>
  <c r="O221" i="1"/>
  <c r="O219" i="1"/>
  <c r="O217" i="1"/>
  <c r="O215" i="1"/>
  <c r="O213" i="1"/>
  <c r="O211" i="1"/>
  <c r="O209" i="1"/>
  <c r="O207" i="1"/>
  <c r="O205" i="1"/>
  <c r="O203" i="1"/>
  <c r="O201" i="1"/>
  <c r="O195" i="1"/>
  <c r="O193" i="1"/>
  <c r="O191" i="1"/>
  <c r="O189" i="1"/>
  <c r="O187" i="1"/>
  <c r="O185" i="1"/>
  <c r="O183" i="1"/>
  <c r="O181" i="1"/>
  <c r="O179" i="1"/>
  <c r="O177" i="1"/>
  <c r="O175" i="1"/>
  <c r="O173" i="1"/>
  <c r="O171" i="1"/>
  <c r="O169" i="1"/>
  <c r="O167" i="1"/>
  <c r="O165" i="1"/>
  <c r="O163" i="1"/>
  <c r="O159" i="1"/>
  <c r="O157" i="1"/>
  <c r="O155" i="1"/>
  <c r="O153" i="1"/>
  <c r="O151" i="1"/>
  <c r="O149" i="1"/>
  <c r="O147" i="1"/>
  <c r="O145" i="1"/>
  <c r="O143" i="1"/>
  <c r="O141" i="1"/>
  <c r="O139" i="1"/>
  <c r="O136" i="1"/>
  <c r="O135" i="1"/>
  <c r="O133" i="1"/>
  <c r="O131" i="1"/>
  <c r="O129" i="1"/>
  <c r="O127" i="1"/>
  <c r="O125" i="1"/>
  <c r="O123" i="1"/>
  <c r="O121" i="1"/>
  <c r="O119" i="1"/>
  <c r="O117" i="1"/>
  <c r="O115" i="1"/>
  <c r="O113" i="1"/>
  <c r="O111" i="1"/>
  <c r="O109" i="1"/>
  <c r="O107" i="1"/>
  <c r="O105" i="1"/>
  <c r="O103" i="1"/>
  <c r="O101" i="1"/>
  <c r="O98" i="1"/>
  <c r="O96" i="1"/>
  <c r="O94" i="1"/>
  <c r="O92" i="1"/>
  <c r="O90" i="1"/>
  <c r="O88" i="1"/>
  <c r="O86" i="1"/>
  <c r="O84" i="1"/>
  <c r="O82" i="1"/>
  <c r="O80" i="1"/>
  <c r="O78" i="1"/>
  <c r="O76" i="1"/>
  <c r="O74" i="1"/>
  <c r="O72" i="1"/>
  <c r="O70" i="1"/>
  <c r="O68" i="1"/>
  <c r="O66" i="1"/>
  <c r="O64" i="1"/>
  <c r="O62" i="1"/>
  <c r="O60" i="1"/>
  <c r="O58" i="1"/>
  <c r="O56" i="1"/>
  <c r="O54" i="1"/>
  <c r="O52" i="1"/>
  <c r="O50" i="1"/>
  <c r="O48" i="1"/>
  <c r="O46" i="1"/>
  <c r="O44" i="1"/>
  <c r="O42" i="1"/>
  <c r="O40" i="1"/>
  <c r="O38" i="1"/>
  <c r="O36" i="1"/>
  <c r="O34" i="1"/>
  <c r="O32" i="1"/>
  <c r="O30" i="1"/>
  <c r="O28" i="1"/>
  <c r="O25" i="1"/>
  <c r="O24" i="1"/>
  <c r="O22" i="1"/>
  <c r="O20" i="1"/>
  <c r="O18" i="1"/>
  <c r="O16" i="1"/>
  <c r="O14" i="1"/>
  <c r="O12" i="1"/>
  <c r="O10" i="1"/>
  <c r="O8" i="1"/>
  <c r="O6" i="1"/>
  <c r="O4" i="1"/>
  <c r="O2" i="1"/>
  <c r="H539" i="1"/>
  <c r="E539" i="1"/>
  <c r="F539" i="1" s="1"/>
  <c r="H536" i="1"/>
  <c r="E536" i="1"/>
  <c r="F536" i="1" s="1"/>
  <c r="H534" i="1"/>
  <c r="E534" i="1"/>
  <c r="F534" i="1" s="1"/>
  <c r="H531" i="1"/>
  <c r="E531" i="1"/>
  <c r="F531" i="1" s="1"/>
  <c r="H530" i="1"/>
  <c r="E530" i="1"/>
  <c r="F530" i="1" s="1"/>
  <c r="H528" i="1"/>
  <c r="E528" i="1"/>
  <c r="F528" i="1" s="1"/>
  <c r="H526" i="1"/>
  <c r="E526" i="1"/>
  <c r="F526" i="1" s="1"/>
  <c r="H524" i="1"/>
  <c r="E524" i="1"/>
  <c r="F524" i="1" s="1"/>
  <c r="H522" i="1"/>
  <c r="E522" i="1"/>
  <c r="F522" i="1" s="1"/>
  <c r="H520" i="1"/>
  <c r="E520" i="1"/>
  <c r="F520" i="1" s="1"/>
  <c r="H518" i="1"/>
  <c r="E518" i="1"/>
  <c r="F518" i="1" s="1"/>
  <c r="H516" i="1"/>
  <c r="E516" i="1"/>
  <c r="F516" i="1" s="1"/>
  <c r="H514" i="1"/>
  <c r="E514" i="1"/>
  <c r="F514" i="1" s="1"/>
  <c r="H512" i="1"/>
  <c r="E512" i="1"/>
  <c r="F512" i="1" s="1"/>
  <c r="H510" i="1"/>
  <c r="E510" i="1"/>
  <c r="F510" i="1" s="1"/>
  <c r="H508" i="1"/>
  <c r="E508" i="1"/>
  <c r="F508" i="1" s="1"/>
  <c r="H506" i="1"/>
  <c r="E506" i="1"/>
  <c r="F506" i="1" s="1"/>
  <c r="H504" i="1"/>
  <c r="E504" i="1"/>
  <c r="F504" i="1" s="1"/>
  <c r="H502" i="1"/>
  <c r="E502" i="1"/>
  <c r="F502" i="1" s="1"/>
  <c r="H500" i="1"/>
  <c r="E500" i="1"/>
  <c r="F500" i="1" s="1"/>
  <c r="H498" i="1"/>
  <c r="E498" i="1"/>
  <c r="F498" i="1" s="1"/>
  <c r="H496" i="1"/>
  <c r="E496" i="1"/>
  <c r="F496" i="1" s="1"/>
  <c r="H494" i="1"/>
  <c r="E494" i="1"/>
  <c r="F494" i="1" s="1"/>
  <c r="H492" i="1"/>
  <c r="E492" i="1"/>
  <c r="F492" i="1" s="1"/>
  <c r="H490" i="1"/>
  <c r="E490" i="1"/>
  <c r="F490" i="1" s="1"/>
  <c r="H488" i="1"/>
  <c r="E488" i="1"/>
  <c r="F488" i="1" s="1"/>
  <c r="H485" i="1"/>
  <c r="E485" i="1"/>
  <c r="F485" i="1" s="1"/>
  <c r="H482" i="1"/>
  <c r="E482" i="1"/>
  <c r="F482" i="1" s="1"/>
  <c r="H480" i="1"/>
  <c r="E480" i="1"/>
  <c r="F480" i="1" s="1"/>
  <c r="H478" i="1"/>
  <c r="E478" i="1"/>
  <c r="F478" i="1" s="1"/>
  <c r="H476" i="1"/>
  <c r="E476" i="1"/>
  <c r="F476" i="1" s="1"/>
  <c r="H474" i="1"/>
  <c r="E474" i="1"/>
  <c r="F474" i="1" s="1"/>
  <c r="H472" i="1"/>
  <c r="E472" i="1"/>
  <c r="F472" i="1" s="1"/>
  <c r="H470" i="1"/>
  <c r="E470" i="1"/>
  <c r="F470" i="1" s="1"/>
  <c r="H468" i="1"/>
  <c r="E468" i="1"/>
  <c r="F468" i="1" s="1"/>
  <c r="H466" i="1"/>
  <c r="E466" i="1"/>
  <c r="F466" i="1" s="1"/>
  <c r="H464" i="1"/>
  <c r="E464" i="1"/>
  <c r="F464" i="1" s="1"/>
  <c r="H462" i="1"/>
  <c r="E462" i="1"/>
  <c r="F462" i="1" s="1"/>
  <c r="H460" i="1"/>
  <c r="E460" i="1"/>
  <c r="F460" i="1" s="1"/>
  <c r="H458" i="1"/>
  <c r="E458" i="1"/>
  <c r="F458" i="1" s="1"/>
  <c r="H456" i="1"/>
  <c r="E456" i="1"/>
  <c r="F456" i="1" s="1"/>
  <c r="H454" i="1"/>
  <c r="E454" i="1"/>
  <c r="F454" i="1" s="1"/>
  <c r="H452" i="1"/>
  <c r="E452" i="1"/>
  <c r="F452" i="1" s="1"/>
  <c r="H450" i="1"/>
  <c r="E450" i="1"/>
  <c r="F450" i="1" s="1"/>
  <c r="H448" i="1"/>
  <c r="E448" i="1"/>
  <c r="F448" i="1" s="1"/>
  <c r="H446" i="1"/>
  <c r="E446" i="1"/>
  <c r="F446" i="1" s="1"/>
  <c r="H444" i="1"/>
  <c r="E444" i="1"/>
  <c r="F444" i="1" s="1"/>
  <c r="H442" i="1"/>
  <c r="E442" i="1"/>
  <c r="F442" i="1" s="1"/>
  <c r="H440" i="1"/>
  <c r="E440" i="1"/>
  <c r="F440" i="1" s="1"/>
  <c r="H438" i="1"/>
  <c r="E438" i="1"/>
  <c r="F438" i="1" s="1"/>
  <c r="H436" i="1"/>
  <c r="E436" i="1"/>
  <c r="F436" i="1" s="1"/>
  <c r="H434" i="1"/>
  <c r="E434" i="1"/>
  <c r="F434" i="1" s="1"/>
  <c r="H432" i="1"/>
  <c r="E432" i="1"/>
  <c r="F432" i="1" s="1"/>
  <c r="H430" i="1"/>
  <c r="E430" i="1"/>
  <c r="F430" i="1" s="1"/>
  <c r="H426" i="1"/>
  <c r="E426" i="1"/>
  <c r="F426" i="1" s="1"/>
  <c r="H424" i="1"/>
  <c r="E424" i="1"/>
  <c r="F424" i="1" s="1"/>
  <c r="H422" i="1"/>
  <c r="E422" i="1"/>
  <c r="F422" i="1" s="1"/>
  <c r="H418" i="1"/>
  <c r="E418" i="1"/>
  <c r="F418" i="1" s="1"/>
  <c r="H416" i="1"/>
  <c r="E416" i="1"/>
  <c r="F416" i="1" s="1"/>
  <c r="H414" i="1"/>
  <c r="E414" i="1"/>
  <c r="F414" i="1" s="1"/>
  <c r="H412" i="1"/>
  <c r="E412" i="1"/>
  <c r="F412" i="1" s="1"/>
  <c r="H408" i="1"/>
  <c r="E408" i="1"/>
  <c r="F408" i="1" s="1"/>
  <c r="H404" i="1"/>
  <c r="E404" i="1"/>
  <c r="F404" i="1" s="1"/>
  <c r="H400" i="1"/>
  <c r="E400" i="1"/>
  <c r="F400" i="1" s="1"/>
  <c r="H398" i="1"/>
  <c r="E398" i="1"/>
  <c r="F398" i="1" s="1"/>
  <c r="H396" i="1"/>
  <c r="E396" i="1"/>
  <c r="F396" i="1" s="1"/>
  <c r="H394" i="1"/>
  <c r="E394" i="1"/>
  <c r="F394" i="1" s="1"/>
  <c r="H392" i="1"/>
  <c r="E392" i="1"/>
  <c r="F392" i="1" s="1"/>
  <c r="H390" i="1"/>
  <c r="E390" i="1"/>
  <c r="F390" i="1" s="1"/>
  <c r="H388" i="1"/>
  <c r="E388" i="1"/>
  <c r="F388" i="1" s="1"/>
  <c r="H386" i="1"/>
  <c r="E386" i="1"/>
  <c r="F386" i="1" s="1"/>
  <c r="H384" i="1"/>
  <c r="E384" i="1"/>
  <c r="F384" i="1" s="1"/>
  <c r="H380" i="1"/>
  <c r="E380" i="1"/>
  <c r="F380" i="1" s="1"/>
  <c r="H378" i="1"/>
  <c r="E378" i="1"/>
  <c r="F378" i="1" s="1"/>
  <c r="H376" i="1"/>
  <c r="E376" i="1"/>
  <c r="F376" i="1" s="1"/>
  <c r="H374" i="1"/>
  <c r="E374" i="1"/>
  <c r="F374" i="1" s="1"/>
  <c r="H372" i="1"/>
  <c r="E372" i="1"/>
  <c r="F372" i="1" s="1"/>
  <c r="H370" i="1"/>
  <c r="E370" i="1"/>
  <c r="F370" i="1" s="1"/>
  <c r="H368" i="1"/>
  <c r="E368" i="1"/>
  <c r="F368" i="1" s="1"/>
  <c r="H366" i="1"/>
  <c r="E366" i="1"/>
  <c r="F366" i="1" s="1"/>
  <c r="H364" i="1"/>
  <c r="E364" i="1"/>
  <c r="F364" i="1" s="1"/>
  <c r="H362" i="1"/>
  <c r="E362" i="1"/>
  <c r="F362" i="1" s="1"/>
  <c r="H360" i="1"/>
  <c r="E360" i="1"/>
  <c r="F360" i="1" s="1"/>
  <c r="H358" i="1"/>
  <c r="E358" i="1"/>
  <c r="F358" i="1" s="1"/>
  <c r="H356" i="1"/>
  <c r="E356" i="1"/>
  <c r="F356" i="1" s="1"/>
  <c r="H354" i="1"/>
  <c r="E354" i="1"/>
  <c r="F354" i="1" s="1"/>
  <c r="H352" i="1"/>
  <c r="E352" i="1"/>
  <c r="F352" i="1" s="1"/>
  <c r="H350" i="1"/>
  <c r="E350" i="1"/>
  <c r="F350" i="1" s="1"/>
  <c r="H348" i="1"/>
  <c r="E348" i="1"/>
  <c r="F348" i="1" s="1"/>
  <c r="H346" i="1"/>
  <c r="E346" i="1"/>
  <c r="F346" i="1" s="1"/>
  <c r="H344" i="1"/>
  <c r="E344" i="1"/>
  <c r="F344" i="1" s="1"/>
  <c r="H342" i="1"/>
  <c r="E342" i="1"/>
  <c r="F342" i="1" s="1"/>
  <c r="H340" i="1"/>
  <c r="E340" i="1"/>
  <c r="F340" i="1" s="1"/>
  <c r="H338" i="1"/>
  <c r="E338" i="1"/>
  <c r="F338" i="1" s="1"/>
  <c r="H336" i="1"/>
  <c r="E336" i="1"/>
  <c r="F336" i="1" s="1"/>
  <c r="H334" i="1"/>
  <c r="E334" i="1"/>
  <c r="F334" i="1" s="1"/>
  <c r="H332" i="1"/>
  <c r="E332" i="1"/>
  <c r="F332" i="1" s="1"/>
  <c r="H330" i="1"/>
  <c r="E330" i="1"/>
  <c r="F330" i="1" s="1"/>
  <c r="H328" i="1"/>
  <c r="E328" i="1"/>
  <c r="F328" i="1" s="1"/>
  <c r="H326" i="1"/>
  <c r="E326" i="1"/>
  <c r="F326" i="1" s="1"/>
  <c r="H324" i="1"/>
  <c r="E324" i="1"/>
  <c r="F324" i="1" s="1"/>
  <c r="H322" i="1"/>
  <c r="E322" i="1"/>
  <c r="F322" i="1" s="1"/>
  <c r="H320" i="1"/>
  <c r="E320" i="1"/>
  <c r="F320" i="1" s="1"/>
  <c r="H318" i="1"/>
  <c r="E318" i="1"/>
  <c r="F318" i="1" s="1"/>
  <c r="H316" i="1"/>
  <c r="E316" i="1"/>
  <c r="F316" i="1" s="1"/>
  <c r="H314" i="1"/>
  <c r="E314" i="1"/>
  <c r="F314" i="1" s="1"/>
  <c r="H312" i="1"/>
  <c r="E312" i="1"/>
  <c r="F312" i="1" s="1"/>
  <c r="H310" i="1"/>
  <c r="E310" i="1"/>
  <c r="F310" i="1" s="1"/>
  <c r="H308" i="1"/>
  <c r="E308" i="1"/>
  <c r="F308" i="1" s="1"/>
  <c r="H306" i="1"/>
  <c r="E306" i="1"/>
  <c r="F306" i="1" s="1"/>
  <c r="H301" i="1"/>
  <c r="E301" i="1"/>
  <c r="F301" i="1" s="1"/>
  <c r="H299" i="1"/>
  <c r="E299" i="1"/>
  <c r="F299" i="1" s="1"/>
  <c r="H296" i="1"/>
  <c r="E296" i="1"/>
  <c r="F296" i="1" s="1"/>
  <c r="H294" i="1"/>
  <c r="E294" i="1"/>
  <c r="F294" i="1" s="1"/>
  <c r="H292" i="1"/>
  <c r="E292" i="1"/>
  <c r="F292" i="1" s="1"/>
  <c r="H290" i="1"/>
  <c r="E290" i="1"/>
  <c r="F290" i="1" s="1"/>
  <c r="H288" i="1"/>
  <c r="E288" i="1"/>
  <c r="F288" i="1" s="1"/>
  <c r="H286" i="1"/>
  <c r="E286" i="1"/>
  <c r="F286" i="1" s="1"/>
  <c r="H282" i="1"/>
  <c r="E282" i="1"/>
  <c r="F282" i="1" s="1"/>
  <c r="H280" i="1"/>
  <c r="E280" i="1"/>
  <c r="F280" i="1" s="1"/>
  <c r="H276" i="1"/>
  <c r="E276" i="1"/>
  <c r="F276" i="1" s="1"/>
  <c r="H274" i="1"/>
  <c r="E274" i="1"/>
  <c r="F274" i="1" s="1"/>
  <c r="H272" i="1"/>
  <c r="E272" i="1"/>
  <c r="F272" i="1" s="1"/>
  <c r="H270" i="1"/>
  <c r="E270" i="1"/>
  <c r="F270" i="1" s="1"/>
  <c r="H268" i="1"/>
  <c r="E268" i="1"/>
  <c r="F268" i="1" s="1"/>
  <c r="H266" i="1"/>
  <c r="E266" i="1"/>
  <c r="F266" i="1" s="1"/>
  <c r="H263" i="1"/>
  <c r="E263" i="1"/>
  <c r="F263" i="1" s="1"/>
  <c r="H262" i="1"/>
  <c r="E262" i="1"/>
  <c r="F262" i="1" s="1"/>
  <c r="H260" i="1"/>
  <c r="E260" i="1"/>
  <c r="F260" i="1" s="1"/>
  <c r="H258" i="1"/>
  <c r="E258" i="1"/>
  <c r="F258" i="1" s="1"/>
  <c r="H254" i="1"/>
  <c r="E254" i="1"/>
  <c r="F254" i="1" s="1"/>
  <c r="H252" i="1"/>
  <c r="E252" i="1"/>
  <c r="F252" i="1" s="1"/>
  <c r="H248" i="1"/>
  <c r="E248" i="1"/>
  <c r="F248" i="1" s="1"/>
  <c r="H246" i="1"/>
  <c r="E246" i="1"/>
  <c r="F246" i="1" s="1"/>
  <c r="H244" i="1"/>
  <c r="E244" i="1"/>
  <c r="F244" i="1" s="1"/>
  <c r="H241" i="1"/>
  <c r="E241" i="1"/>
  <c r="F241" i="1" s="1"/>
  <c r="H239" i="1"/>
  <c r="E239" i="1"/>
  <c r="F239" i="1" s="1"/>
  <c r="H237" i="1"/>
  <c r="E237" i="1"/>
  <c r="F237" i="1" s="1"/>
  <c r="H235" i="1"/>
  <c r="E235" i="1"/>
  <c r="F235" i="1" s="1"/>
  <c r="H233" i="1"/>
  <c r="E233" i="1"/>
  <c r="F233" i="1" s="1"/>
  <c r="H231" i="1"/>
  <c r="E231" i="1"/>
  <c r="F231" i="1" s="1"/>
  <c r="H229" i="1"/>
  <c r="E229" i="1"/>
  <c r="F229" i="1" s="1"/>
  <c r="H227" i="1"/>
  <c r="E227" i="1"/>
  <c r="F227" i="1" s="1"/>
  <c r="H225" i="1"/>
  <c r="E225" i="1"/>
  <c r="F225" i="1" s="1"/>
  <c r="H223" i="1"/>
  <c r="E223" i="1"/>
  <c r="F223" i="1" s="1"/>
  <c r="H221" i="1"/>
  <c r="E221" i="1"/>
  <c r="F221" i="1" s="1"/>
  <c r="H219" i="1"/>
  <c r="E219" i="1"/>
  <c r="F219" i="1" s="1"/>
  <c r="H217" i="1"/>
  <c r="E217" i="1"/>
  <c r="F217" i="1" s="1"/>
  <c r="H215" i="1"/>
  <c r="E215" i="1"/>
  <c r="F215" i="1" s="1"/>
  <c r="H213" i="1"/>
  <c r="E213" i="1"/>
  <c r="F213" i="1" s="1"/>
  <c r="H211" i="1"/>
  <c r="E211" i="1"/>
  <c r="F211" i="1" s="1"/>
  <c r="H209" i="1"/>
  <c r="E209" i="1"/>
  <c r="F209" i="1" s="1"/>
  <c r="H207" i="1"/>
  <c r="E207" i="1"/>
  <c r="F207" i="1" s="1"/>
  <c r="H205" i="1"/>
  <c r="E205" i="1"/>
  <c r="F205" i="1" s="1"/>
  <c r="H203" i="1"/>
  <c r="E203" i="1"/>
  <c r="F203" i="1" s="1"/>
  <c r="H201" i="1"/>
  <c r="E201" i="1"/>
  <c r="F201" i="1" s="1"/>
  <c r="H195" i="1"/>
  <c r="E195" i="1"/>
  <c r="F195" i="1" s="1"/>
  <c r="H193" i="1"/>
  <c r="E193" i="1"/>
  <c r="F193" i="1" s="1"/>
  <c r="H191" i="1"/>
  <c r="E191" i="1"/>
  <c r="F191" i="1" s="1"/>
  <c r="H189" i="1"/>
  <c r="E189" i="1"/>
  <c r="F189" i="1" s="1"/>
  <c r="H187" i="1"/>
  <c r="E187" i="1"/>
  <c r="F187" i="1" s="1"/>
  <c r="H185" i="1"/>
  <c r="E185" i="1"/>
  <c r="F185" i="1" s="1"/>
  <c r="H183" i="1"/>
  <c r="E183" i="1"/>
  <c r="F183" i="1" s="1"/>
  <c r="H181" i="1"/>
  <c r="E181" i="1"/>
  <c r="F181" i="1" s="1"/>
  <c r="H179" i="1"/>
  <c r="E179" i="1"/>
  <c r="F179" i="1" s="1"/>
  <c r="H177" i="1"/>
  <c r="E177" i="1"/>
  <c r="F177" i="1" s="1"/>
  <c r="H175" i="1"/>
  <c r="E175" i="1"/>
  <c r="F175" i="1" s="1"/>
  <c r="H173" i="1"/>
  <c r="E173" i="1"/>
  <c r="F173" i="1" s="1"/>
  <c r="H171" i="1"/>
  <c r="E171" i="1"/>
  <c r="F171" i="1" s="1"/>
  <c r="H169" i="1"/>
  <c r="E169" i="1"/>
  <c r="F169" i="1" s="1"/>
  <c r="H167" i="1"/>
  <c r="E167" i="1"/>
  <c r="F167" i="1" s="1"/>
  <c r="H165" i="1"/>
  <c r="E165" i="1"/>
  <c r="F165" i="1" s="1"/>
  <c r="H163" i="1"/>
  <c r="E163" i="1"/>
  <c r="F163" i="1" s="1"/>
  <c r="H159" i="1"/>
  <c r="E159" i="1"/>
  <c r="F159" i="1" s="1"/>
  <c r="H157" i="1"/>
  <c r="E157" i="1"/>
  <c r="F157" i="1" s="1"/>
  <c r="H155" i="1"/>
  <c r="E155" i="1"/>
  <c r="F155" i="1" s="1"/>
  <c r="H153" i="1"/>
  <c r="E153" i="1"/>
  <c r="F153" i="1" s="1"/>
  <c r="H151" i="1"/>
  <c r="E151" i="1"/>
  <c r="F151" i="1" s="1"/>
  <c r="H149" i="1"/>
  <c r="E149" i="1"/>
  <c r="F149" i="1" s="1"/>
  <c r="H147" i="1"/>
  <c r="E147" i="1"/>
  <c r="F147" i="1" s="1"/>
  <c r="H145" i="1"/>
  <c r="E145" i="1"/>
  <c r="F145" i="1" s="1"/>
  <c r="H143" i="1"/>
  <c r="E143" i="1"/>
  <c r="F143" i="1" s="1"/>
  <c r="H141" i="1"/>
  <c r="E141" i="1"/>
  <c r="F141" i="1" s="1"/>
  <c r="H139" i="1"/>
  <c r="E139" i="1"/>
  <c r="F139" i="1" s="1"/>
  <c r="H136" i="1"/>
  <c r="E136" i="1"/>
  <c r="F136" i="1" s="1"/>
  <c r="H135" i="1"/>
  <c r="E135" i="1"/>
  <c r="F135" i="1" s="1"/>
  <c r="H133" i="1"/>
  <c r="E133" i="1"/>
  <c r="F133" i="1" s="1"/>
  <c r="H131" i="1"/>
  <c r="E131" i="1"/>
  <c r="F131" i="1" s="1"/>
  <c r="H129" i="1"/>
  <c r="E129" i="1"/>
  <c r="F129" i="1" s="1"/>
  <c r="H127" i="1"/>
  <c r="E127" i="1"/>
  <c r="F127" i="1" s="1"/>
  <c r="H125" i="1"/>
  <c r="E125" i="1"/>
  <c r="F125" i="1" s="1"/>
  <c r="H123" i="1"/>
  <c r="E123" i="1"/>
  <c r="F123" i="1" s="1"/>
  <c r="H121" i="1"/>
  <c r="E121" i="1"/>
  <c r="F121" i="1" s="1"/>
  <c r="H119" i="1"/>
  <c r="E119" i="1"/>
  <c r="F119" i="1" s="1"/>
  <c r="H117" i="1"/>
  <c r="E117" i="1"/>
  <c r="F117" i="1" s="1"/>
  <c r="H115" i="1"/>
  <c r="E115" i="1"/>
  <c r="F115" i="1" s="1"/>
  <c r="H113" i="1"/>
  <c r="E113" i="1"/>
  <c r="F113" i="1" s="1"/>
  <c r="H111" i="1"/>
  <c r="E111" i="1"/>
  <c r="F111" i="1" s="1"/>
  <c r="H109" i="1"/>
  <c r="E109" i="1"/>
  <c r="F109" i="1" s="1"/>
  <c r="H107" i="1"/>
  <c r="E107" i="1"/>
  <c r="F107" i="1" s="1"/>
  <c r="H105" i="1"/>
  <c r="E105" i="1"/>
  <c r="F105" i="1" s="1"/>
  <c r="H103" i="1"/>
  <c r="E103" i="1"/>
  <c r="F103" i="1" s="1"/>
  <c r="H101" i="1"/>
  <c r="E101" i="1"/>
  <c r="F101" i="1" s="1"/>
  <c r="H98" i="1"/>
  <c r="E98" i="1"/>
  <c r="F98" i="1" s="1"/>
  <c r="H96" i="1"/>
  <c r="E96" i="1"/>
  <c r="F96" i="1" s="1"/>
  <c r="H94" i="1"/>
  <c r="E94" i="1"/>
  <c r="F94" i="1" s="1"/>
  <c r="H92" i="1"/>
  <c r="E92" i="1"/>
  <c r="F92" i="1" s="1"/>
  <c r="H90" i="1"/>
  <c r="E90" i="1"/>
  <c r="F90" i="1" s="1"/>
  <c r="H88" i="1"/>
  <c r="E88" i="1"/>
  <c r="F88" i="1" s="1"/>
  <c r="H86" i="1"/>
  <c r="E86" i="1"/>
  <c r="F86" i="1" s="1"/>
  <c r="H84" i="1"/>
  <c r="E84" i="1"/>
  <c r="F84" i="1" s="1"/>
  <c r="H82" i="1"/>
  <c r="E82" i="1"/>
  <c r="F82" i="1" s="1"/>
  <c r="H80" i="1"/>
  <c r="E80" i="1"/>
  <c r="F80" i="1" s="1"/>
  <c r="H78" i="1"/>
  <c r="E78" i="1"/>
  <c r="F78" i="1" s="1"/>
  <c r="H76" i="1"/>
  <c r="E76" i="1"/>
  <c r="F76" i="1" s="1"/>
  <c r="H74" i="1"/>
  <c r="E74" i="1"/>
  <c r="F74" i="1" s="1"/>
  <c r="H72" i="1"/>
  <c r="E72" i="1"/>
  <c r="F72" i="1" s="1"/>
  <c r="H70" i="1"/>
  <c r="E70" i="1"/>
  <c r="F70" i="1" s="1"/>
  <c r="H68" i="1"/>
  <c r="E68" i="1"/>
  <c r="F68" i="1" s="1"/>
  <c r="H66" i="1"/>
  <c r="E66" i="1"/>
  <c r="F66" i="1" s="1"/>
  <c r="H64" i="1"/>
  <c r="E64" i="1"/>
  <c r="F64" i="1" s="1"/>
  <c r="H62" i="1"/>
  <c r="E62" i="1"/>
  <c r="F62" i="1" s="1"/>
  <c r="H60" i="1"/>
  <c r="E60" i="1"/>
  <c r="F60" i="1" s="1"/>
  <c r="H58" i="1"/>
  <c r="E58" i="1"/>
  <c r="F58" i="1" s="1"/>
  <c r="H56" i="1"/>
  <c r="E56" i="1"/>
  <c r="F56" i="1" s="1"/>
  <c r="H54" i="1"/>
  <c r="E54" i="1"/>
  <c r="F54" i="1" s="1"/>
  <c r="H52" i="1"/>
  <c r="E52" i="1"/>
  <c r="F52" i="1" s="1"/>
  <c r="H50" i="1"/>
  <c r="E50" i="1"/>
  <c r="F50" i="1" s="1"/>
  <c r="H48" i="1"/>
  <c r="E48" i="1"/>
  <c r="F48" i="1" s="1"/>
  <c r="H46" i="1"/>
  <c r="E46" i="1"/>
  <c r="F46" i="1" s="1"/>
  <c r="H44" i="1"/>
  <c r="E44" i="1"/>
  <c r="F44" i="1" s="1"/>
  <c r="H42" i="1"/>
  <c r="E42" i="1"/>
  <c r="F42" i="1" s="1"/>
  <c r="H40" i="1"/>
  <c r="E40" i="1"/>
  <c r="F40" i="1" s="1"/>
  <c r="H38" i="1"/>
  <c r="E38" i="1"/>
  <c r="F38" i="1" s="1"/>
  <c r="H36" i="1"/>
  <c r="E36" i="1"/>
  <c r="F36" i="1" s="1"/>
  <c r="H34" i="1"/>
  <c r="E34" i="1"/>
  <c r="F34" i="1" s="1"/>
  <c r="H32" i="1"/>
  <c r="E32" i="1"/>
  <c r="F32" i="1" s="1"/>
  <c r="H30" i="1"/>
  <c r="E30" i="1"/>
  <c r="F30" i="1" s="1"/>
  <c r="H28" i="1"/>
  <c r="E28" i="1"/>
  <c r="F28" i="1" s="1"/>
  <c r="H25" i="1"/>
  <c r="E25" i="1"/>
  <c r="F25" i="1" s="1"/>
  <c r="H24" i="1"/>
  <c r="E24" i="1"/>
  <c r="F24" i="1" s="1"/>
  <c r="H22" i="1"/>
  <c r="E22" i="1"/>
  <c r="F22" i="1" s="1"/>
  <c r="H20" i="1"/>
  <c r="E20" i="1"/>
  <c r="F20" i="1" s="1"/>
  <c r="H18" i="1"/>
  <c r="E18" i="1"/>
  <c r="F18" i="1" s="1"/>
  <c r="H16" i="1"/>
  <c r="E16" i="1"/>
  <c r="F16" i="1" s="1"/>
  <c r="H14" i="1"/>
  <c r="E14" i="1"/>
  <c r="F14" i="1" s="1"/>
  <c r="H12" i="1"/>
  <c r="E12" i="1"/>
  <c r="F12" i="1" s="1"/>
  <c r="H10" i="1"/>
  <c r="E10" i="1"/>
  <c r="F10" i="1" s="1"/>
  <c r="H8" i="1"/>
  <c r="E8" i="1"/>
  <c r="F8" i="1" s="1"/>
  <c r="H6" i="1"/>
  <c r="E6" i="1"/>
  <c r="F6" i="1" s="1"/>
  <c r="H4" i="1"/>
  <c r="E4" i="1"/>
  <c r="F4" i="1" s="1"/>
  <c r="G2" i="1"/>
  <c r="H2" i="1" s="1"/>
  <c r="E2" i="1"/>
  <c r="F2" i="1" s="1"/>
  <c r="G3" i="1"/>
  <c r="H3" i="1" s="1"/>
  <c r="E3" i="1"/>
  <c r="F3" i="1" s="1"/>
</calcChain>
</file>

<file path=xl/sharedStrings.xml><?xml version="1.0" encoding="utf-8"?>
<sst xmlns="http://schemas.openxmlformats.org/spreadsheetml/2006/main" count="2462" uniqueCount="464">
  <si>
    <t>text</t>
  </si>
  <si>
    <t>Did my submissions get approved?</t>
  </si>
  <si>
    <t>USER</t>
  </si>
  <si>
    <t>You have 8 submissions pending approval:</t>
  </si>
  <si>
    <t>BOT</t>
  </si>
  <si>
    <t>Type
1. Next to see next set of requests
2. Done to end the conversation</t>
  </si>
  <si>
    <t>Done</t>
  </si>
  <si>
    <t>Let me know if there's something else I can help you with. Otherwise, have a great day!</t>
  </si>
  <si>
    <t>Do I have anything to approve?</t>
  </si>
  <si>
    <t>You have no pending approval requests and 1 FYIs.</t>
  </si>
  <si>
    <t>Does this mean that my overtime has been approved?</t>
  </si>
  <si>
    <t>Apologies, I'm experiencing some technical issues on my end. Please wait a moment and try again.</t>
  </si>
  <si>
    <t>You have 13 submissions pending approval:</t>
  </si>
  <si>
    <t>agent</t>
  </si>
  <si>
    <t>issue with approving my overtime request</t>
  </si>
  <si>
    <t>manager approval issues</t>
  </si>
  <si>
    <t>You have nothing to approve.</t>
  </si>
  <si>
    <t>contact hr</t>
  </si>
  <si>
    <t>Attempting re-routing</t>
  </si>
  <si>
    <t>change of hours</t>
  </si>
  <si>
    <t>probation</t>
  </si>
  <si>
    <t>Raise a Service Request</t>
  </si>
  <si>
    <t>sabbatical</t>
  </si>
  <si>
    <t>service request</t>
  </si>
  <si>
    <t>overtime</t>
  </si>
  <si>
    <t>Help</t>
  </si>
  <si>
    <t>View Service Requests</t>
  </si>
  <si>
    <t>career break</t>
  </si>
  <si>
    <t>short break policy</t>
  </si>
  <si>
    <t>unpaid leave</t>
  </si>
  <si>
    <t>unpaid lead</t>
  </si>
  <si>
    <t>bank holiday</t>
  </si>
  <si>
    <t>holiday calculator</t>
  </si>
  <si>
    <t>See my unused holiday</t>
  </si>
  <si>
    <t>View balance as of another date</t>
  </si>
  <si>
    <t>Please give me a date to calculate your absence balance. Something like '15/02/23'.
I'm done</t>
  </si>
  <si>
    <t>Find User Guides</t>
  </si>
  <si>
    <t>request feedback</t>
  </si>
  <si>
    <t>View past absences</t>
  </si>
  <si>
    <t>Hi there, please can you let me know if my overtime has been approved as I have received an email from yourselves saying it has been cancelled? It shows on submitted claims but doesn@t say one way or another?</t>
  </si>
  <si>
    <t>When you submit an overtime claim you'll get a confirmation notification to your bell icon at the top right of your screen. The claim itself won't show in Personal Contributions again until your manager has actioned it. You'll get another notification when they've done this. When you click on your bell icon you need to click on 'Show All' and then on 'Created by Me'.</t>
  </si>
  <si>
    <t>Thank you too. I'm glad I could help.</t>
  </si>
  <si>
    <t>Holiday calulator</t>
  </si>
  <si>
    <t>Public holiday calculator</t>
  </si>
  <si>
    <t>Can I see the holiday calculator</t>
  </si>
  <si>
    <t>Find HR Policies</t>
  </si>
  <si>
    <t>what is my career family</t>
  </si>
  <si>
    <t>show my absence balance</t>
  </si>
  <si>
    <t>See my current salary</t>
  </si>
  <si>
    <t>How do I record a leaver</t>
  </si>
  <si>
    <t>leaver</t>
  </si>
  <si>
    <t>Change work schedule</t>
  </si>
  <si>
    <t>change role profile band E</t>
  </si>
  <si>
    <t>Change role profile</t>
  </si>
  <si>
    <t>change of role</t>
  </si>
  <si>
    <t>p45</t>
  </si>
  <si>
    <t>Where is the holiday entitlement calculator</t>
  </si>
  <si>
    <t>I've looked at this and it doesn't mention the cover I have for sick pay</t>
  </si>
  <si>
    <t>How do I get information about my sick pay?</t>
  </si>
  <si>
    <t>I am getting a mortgage and need a letter explaining my sickness benefits</t>
  </si>
  <si>
    <t>Hi may i know what is happening with my holidays</t>
  </si>
  <si>
    <t>How to change my email address</t>
  </si>
  <si>
    <t>I changed my name a while ago but my email is incorrect</t>
  </si>
  <si>
    <t>View absence balance (excl. sickness balance)</t>
  </si>
  <si>
    <t>View future absences</t>
  </si>
  <si>
    <t>hourly rate</t>
  </si>
  <si>
    <t>hr policies</t>
  </si>
  <si>
    <t>Record or request absence</t>
  </si>
  <si>
    <t>Flexible Working Request Confirmation form</t>
  </si>
  <si>
    <t>Covid</t>
  </si>
  <si>
    <t>See my payslips</t>
  </si>
  <si>
    <t>view holiday policy and guidance</t>
  </si>
  <si>
    <t>where's the holiday calculator?</t>
  </si>
  <si>
    <t>miscarriage</t>
  </si>
  <si>
    <t>Holiday Calculator</t>
  </si>
  <si>
    <t>when did i become a senior fraud analyst - I need info for a witness statement and I cannot tell from records held</t>
  </si>
  <si>
    <t>personal contribution</t>
  </si>
  <si>
    <t>holiday allowance</t>
  </si>
  <si>
    <t>how to i change location</t>
  </si>
  <si>
    <t>update work pattern</t>
  </si>
  <si>
    <t>How much redundancy pay will I get</t>
  </si>
  <si>
    <t>severance</t>
  </si>
  <si>
    <t>You can submit another claim for the overtime that you missed. You don't need to include the overtime that you've already submitted a claim for - just add the missing hours. If you've missed the cut-off you can still submit this additional claim and it'll be processed in the following month's pay.</t>
  </si>
  <si>
    <t>resolution framework</t>
  </si>
  <si>
    <t>public holiday calcualtor</t>
  </si>
  <si>
    <t>working pattern</t>
  </si>
  <si>
    <t>You can't access another worker's absence information.</t>
  </si>
  <si>
    <t>Trying to delete overtime</t>
  </si>
  <si>
    <t>call</t>
  </si>
  <si>
    <t>number</t>
  </si>
  <si>
    <t>phone number</t>
  </si>
  <si>
    <t>how do I change my contracted hours</t>
  </si>
  <si>
    <t>What is my holiday balance?</t>
  </si>
  <si>
    <t>manage employee work location</t>
  </si>
  <si>
    <t>What is the full name of the person whose information you want to see?</t>
  </si>
  <si>
    <t>can I change my base location</t>
  </si>
  <si>
    <t>manage an employee base location</t>
  </si>
  <si>
    <t>sick pay</t>
  </si>
  <si>
    <t>contact number for ask hr</t>
  </si>
  <si>
    <t>when can we take annual leave while on maternity</t>
  </si>
  <si>
    <t>holiday entilement</t>
  </si>
  <si>
    <t>how do i take 30 mins holiday</t>
  </si>
  <si>
    <t>what is my career family ?</t>
  </si>
  <si>
    <t>Does the Absence Balance mean how many days are left to take or how many have been taken already?</t>
  </si>
  <si>
    <t>Not helpful! Especially as a woman who has not been able to have children!</t>
  </si>
  <si>
    <t>Maximum time off at christmas</t>
  </si>
  <si>
    <t>Christmas holiday embargo</t>
  </si>
  <si>
    <t>christmas holiday</t>
  </si>
  <si>
    <t>please could you tell me where I  find a flexible working request forms as looking to decrease my hours</t>
  </si>
  <si>
    <t>work anniverary</t>
  </si>
  <si>
    <t>delegate access</t>
  </si>
  <si>
    <t>Where's the holiday calculator?</t>
  </si>
  <si>
    <t>job codes</t>
  </si>
  <si>
    <t>amend location</t>
  </si>
  <si>
    <t>when is pay review</t>
  </si>
  <si>
    <t>Team goals</t>
  </si>
  <si>
    <t>See my teams goals</t>
  </si>
  <si>
    <t>Keeping in touch days</t>
  </si>
  <si>
    <t>KIT days</t>
  </si>
  <si>
    <t>I am not a new starter</t>
  </si>
  <si>
    <t>i am unable to access this refresher training Activity  which is required ... I had a previous fault raised 0000246128 in June but it has not yet been resolved Becoming an Approved Assessor v1.1	Required
SCORM 1.2</t>
  </si>
  <si>
    <t>what is my bank holiday entitlement</t>
  </si>
  <si>
    <t>How do I give notice to leave</t>
  </si>
  <si>
    <t>change working hours</t>
  </si>
  <si>
    <t>manager is unable to approve overtime</t>
  </si>
  <si>
    <t>overtime approval</t>
  </si>
  <si>
    <t>employers reference</t>
  </si>
  <si>
    <t>pension</t>
  </si>
  <si>
    <t>Changing bank details</t>
  </si>
  <si>
    <t>Can i have a second job?</t>
  </si>
  <si>
    <t>how can I extend the probation period of my reportee</t>
  </si>
  <si>
    <t>Morning, I am needing some help in regards a letter confirming my uplift in salary due to competency.  I also need a copy of my contract, to show my employee benefits.   I am trying to get a mortgage and unless I get this information and confirmation of my uplift in salary any potential offer I put into for a property and subsequent mtg will not go through.  I can then potentially lose my home!</t>
  </si>
  <si>
    <t>annual holiday calculator</t>
  </si>
  <si>
    <t>update on fixed term extension request</t>
  </si>
  <si>
    <t>fixed term extension</t>
  </si>
  <si>
    <t>extending a fixed term contract</t>
  </si>
  <si>
    <t>where can I find my contract</t>
  </si>
  <si>
    <t>Where's the holiday calculator</t>
  </si>
  <si>
    <t>Where do I send my MAT B 1 form?</t>
  </si>
  <si>
    <t>When you've received your MATB1/Matching certificate you'll need to show it to your manager so they can verify it, either face to face or over teams. Your manager will need to go into your maternity/adoption absence record and attach a copy of your certificate to the absence by adding it to the 'Comments and Attachments' section. They'll also need to update the comments field to say that they've seen the original document and then re-submit (not save) the absence.</t>
  </si>
  <si>
    <t>how much maternity pay will I get</t>
  </si>
  <si>
    <t>How many hours are my holiday?</t>
  </si>
  <si>
    <t>I recently changed my working days from 5 days to 4 and would like to know my holiday allowance</t>
  </si>
  <si>
    <t>I have changed my working days to 4 days how much holiday allowance do i get</t>
  </si>
  <si>
    <t>I have recently changed my working hours from 5 days to 4 how much is my holiday allowance now</t>
  </si>
  <si>
    <t>thank you</t>
  </si>
  <si>
    <t>hello. please can you tell me how I can cancel leave booked as I need to reschedule later on September due to flight problems . Many thanks</t>
  </si>
  <si>
    <t>where's the holiday calculator</t>
  </si>
  <si>
    <t>how much pay will i get if i change my hours?</t>
  </si>
  <si>
    <t>how much oay will i get if i change my hours?</t>
  </si>
  <si>
    <t>submit holiday</t>
  </si>
  <si>
    <t>book holiday</t>
  </si>
  <si>
    <t>how to submit holiday</t>
  </si>
  <si>
    <t>manager keying guide</t>
  </si>
  <si>
    <t>Bupa query</t>
  </si>
  <si>
    <t>change contact number</t>
  </si>
  <si>
    <t>When will my pay uplift show</t>
  </si>
  <si>
    <t>pension tax relief</t>
  </si>
  <si>
    <t>Pension tax relief</t>
  </si>
  <si>
    <t>privacy policy</t>
  </si>
  <si>
    <t>can you carry over annual leave</t>
  </si>
  <si>
    <t>hi, I'm looking to changing my hours, been told to contact hr, who do I speak to?</t>
  </si>
  <si>
    <t>See my payslip</t>
  </si>
  <si>
    <t>what is PSA</t>
  </si>
  <si>
    <t>move day</t>
  </si>
  <si>
    <t>moving house</t>
  </si>
  <si>
    <t>do i need to use holiday to move house</t>
  </si>
  <si>
    <t>leavers final payslip</t>
  </si>
  <si>
    <t>how to update my payment details</t>
  </si>
  <si>
    <t>How do I contact HR about my absence balance</t>
  </si>
  <si>
    <t>Issue with absence balance</t>
  </si>
  <si>
    <t>domestic leave</t>
  </si>
  <si>
    <t>change office location</t>
  </si>
  <si>
    <t>How to change my location</t>
  </si>
  <si>
    <t>change my location</t>
  </si>
  <si>
    <t>maternity claims</t>
  </si>
  <si>
    <t>change contingent worker</t>
  </si>
  <si>
    <t>when do i get my new holiday allowance?</t>
  </si>
  <si>
    <t>can i email myself my payslip</t>
  </si>
  <si>
    <t>how to cancel overtime</t>
  </si>
  <si>
    <t>where can I find overttime logged by a member of staff</t>
  </si>
  <si>
    <t>overtime records for staff</t>
  </si>
  <si>
    <t>If I leave, is my unused holiday paid to me?</t>
  </si>
  <si>
    <t>If I leave, is my unused holiday paid to me</t>
  </si>
  <si>
    <t>overtime was not approved</t>
  </si>
  <si>
    <t>can you please change whom my claim was assigned to</t>
  </si>
  <si>
    <t>Can I cancel my pending request for overtime approval and submit new claim</t>
  </si>
  <si>
    <t>i have withdrawn unapproved overtime request</t>
  </si>
  <si>
    <t>I got married last week and need to change my surname</t>
  </si>
  <si>
    <t>I have updated my name after getting married and need my email address updating</t>
  </si>
  <si>
    <t>How can I view my department?</t>
  </si>
  <si>
    <t>where do i upload p45</t>
  </si>
  <si>
    <t>There's no salary on record for you. Please raise a Service Request via your Helpdesk tab and we'll look into this for you.</t>
  </si>
  <si>
    <t>Can I get a copy of my contract</t>
  </si>
  <si>
    <t>Ive been emergency taxed, is there any way to claim this back?</t>
  </si>
  <si>
    <t>upload p45</t>
  </si>
  <si>
    <t>what category of service request should I raise</t>
  </si>
  <si>
    <t>How to submit my P45</t>
  </si>
  <si>
    <t>Thu</t>
  </si>
  <si>
    <t>Tue</t>
  </si>
  <si>
    <t>Wed</t>
  </si>
  <si>
    <t>Day</t>
  </si>
  <si>
    <t>Time</t>
  </si>
  <si>
    <t>Date</t>
  </si>
  <si>
    <t>Talent</t>
  </si>
  <si>
    <t>Your current pay rate is -------GBP  annually.</t>
  </si>
  <si>
    <t>Success &gt;</t>
  </si>
  <si>
    <t>Tips</t>
  </si>
  <si>
    <t>Failure &gt; Utterance &gt; Mismatched</t>
  </si>
  <si>
    <t>Hide any BOT secondary responses which don't add value to the analysis</t>
  </si>
  <si>
    <t>Failure &gt; Utterance &gt; Unrecognized &gt; Current</t>
  </si>
  <si>
    <t>Once you do a few selections you can just type "S" or "F" or "Q" and see the shorter list of choices.</t>
  </si>
  <si>
    <t>Thus you don't need to use your mouse.</t>
  </si>
  <si>
    <t>Failure &gt; Utterance &gt; Unrecognized (Missed) Entity</t>
  </si>
  <si>
    <t>Failure &gt; Utterance &gt; False Positive</t>
  </si>
  <si>
    <t>Failure &gt; Utterance &gt; Irrelevant</t>
  </si>
  <si>
    <t>___</t>
  </si>
  <si>
    <t>Failure &gt; Interaction</t>
  </si>
  <si>
    <t>Failure &gt; Response &gt; Content</t>
  </si>
  <si>
    <t>Failure &gt; System Error &gt; Timeout</t>
  </si>
  <si>
    <t>Failure &gt; System Error &gt; Infinite Loop</t>
  </si>
  <si>
    <t>Failure &gt; System Error &gt; No Response</t>
  </si>
  <si>
    <t>Failure &gt; System Error &gt; Other</t>
  </si>
  <si>
    <t>Qualified Success &gt; Utterance &gt; Missed Entity</t>
  </si>
  <si>
    <t>Qualified Success &gt; Response &gt; Structure</t>
  </si>
  <si>
    <t>Qualified Success &gt; Response &gt; Content</t>
  </si>
  <si>
    <t>Qualified Success &gt; Response &gt; Grammar</t>
  </si>
  <si>
    <t>Qualified Success &gt; Response &gt; Voice and Tone</t>
  </si>
  <si>
    <t>Qualified Success &gt; Response &gt; Provisonally Handled</t>
  </si>
  <si>
    <t>Unclassifiable &gt;</t>
  </si>
  <si>
    <t>Classification</t>
  </si>
  <si>
    <t>What</t>
  </si>
  <si>
    <t>When</t>
  </si>
  <si>
    <t>Where</t>
  </si>
  <si>
    <t>Utterance Issues</t>
  </si>
  <si>
    <t>Notes / Skil to Assign To</t>
  </si>
  <si>
    <t>Usage Intent</t>
  </si>
  <si>
    <t># of Words</t>
  </si>
  <si>
    <t>MSS</t>
  </si>
  <si>
    <t>SR</t>
  </si>
  <si>
    <t>Pay Q</t>
  </si>
  <si>
    <t>Quit</t>
  </si>
  <si>
    <t>Abs</t>
  </si>
  <si>
    <t>Knowledge</t>
  </si>
  <si>
    <t>Emp Info</t>
  </si>
  <si>
    <t>Personal Info</t>
  </si>
  <si>
    <t>Taxes</t>
  </si>
  <si>
    <t>Learn</t>
  </si>
  <si>
    <t>Letter</t>
  </si>
  <si>
    <t>Benefits</t>
  </si>
  <si>
    <t>EAP</t>
  </si>
  <si>
    <t>Bank</t>
  </si>
  <si>
    <t>Directory</t>
  </si>
  <si>
    <t>Payslip</t>
  </si>
  <si>
    <t xml:space="preserve"> </t>
  </si>
  <si>
    <t>IT Support</t>
  </si>
  <si>
    <t>FlexWorking</t>
  </si>
  <si>
    <t>Expense</t>
  </si>
  <si>
    <t>I'm experiencing some technical issues</t>
  </si>
  <si>
    <t>Worklist</t>
  </si>
  <si>
    <t>JobEvaluation</t>
  </si>
  <si>
    <t>UX</t>
  </si>
  <si>
    <t>Careers</t>
  </si>
  <si>
    <t>Dispute</t>
  </si>
  <si>
    <t>Wage</t>
  </si>
  <si>
    <t>Checklist</t>
  </si>
  <si>
    <t>Misc</t>
  </si>
  <si>
    <t>Hiring</t>
  </si>
  <si>
    <t>CSR</t>
  </si>
  <si>
    <t>Qstory</t>
  </si>
  <si>
    <t>Grow</t>
  </si>
  <si>
    <t>I couldn't connect to the application</t>
  </si>
  <si>
    <t>Row Labels</t>
  </si>
  <si>
    <t>Grand Total</t>
  </si>
  <si>
    <t>Count of text</t>
  </si>
  <si>
    <t>Failure</t>
  </si>
  <si>
    <t>Qualified Success</t>
  </si>
  <si>
    <t>Success</t>
  </si>
  <si>
    <t>Column Labels</t>
  </si>
  <si>
    <t>&lt; Total Number of Users</t>
  </si>
  <si>
    <t>Interactions</t>
  </si>
  <si>
    <t>% of all sessions</t>
  </si>
  <si>
    <t>&gt;15</t>
  </si>
  <si>
    <t>User Stickiness</t>
  </si>
  <si>
    <t>User Count</t>
  </si>
  <si>
    <t>Percentage</t>
  </si>
  <si>
    <t>&gt;10</t>
  </si>
  <si>
    <t>Failure Rate</t>
  </si>
  <si>
    <t>Success Rate</t>
  </si>
  <si>
    <t>Intent</t>
  </si>
  <si>
    <t>Failure Ratio</t>
  </si>
  <si>
    <t>System</t>
  </si>
  <si>
    <t>Count of Notes / Skil to Assign To</t>
  </si>
  <si>
    <t>I don't recognise your account</t>
  </si>
  <si>
    <t>Bug 35561431 FYI as pending approval</t>
  </si>
  <si>
    <t>There don't appear to be any absence plan details</t>
  </si>
  <si>
    <t>(B)</t>
  </si>
  <si>
    <t>Success Ratio</t>
  </si>
  <si>
    <t>Total %</t>
  </si>
  <si>
    <t>(S)</t>
  </si>
  <si>
    <t>(Multiple Items)</t>
  </si>
  <si>
    <t>Grand Total of Interactions</t>
  </si>
  <si>
    <t>Word Counts</t>
  </si>
  <si>
    <t>Count of Users</t>
  </si>
  <si>
    <t>Total Interactions</t>
  </si>
  <si>
    <t>Popularity of Button Clicks</t>
  </si>
  <si>
    <t>Frequency of Button Clicks</t>
  </si>
  <si>
    <t>Button Label</t>
  </si>
  <si>
    <t>Count of</t>
  </si>
  <si>
    <t>Columns</t>
  </si>
  <si>
    <t>Total of One Button Click</t>
  </si>
  <si>
    <t>% Total Interactions</t>
  </si>
  <si>
    <t xml:space="preserve">Sometimes the same team does grammar and voice and tone, so do you really need to label these differently? </t>
  </si>
  <si>
    <t>For answers you might be building a better integration for.</t>
  </si>
  <si>
    <t>Could be from a junk entry, or just one can't figure out what they mean</t>
  </si>
  <si>
    <t>Missed understanding a customer specific name for the company name, product, service, feature, or an industry term</t>
  </si>
  <si>
    <t>System did not respond</t>
  </si>
  <si>
    <t>System is caught in a loop and can't get out (user can't exit)</t>
  </si>
  <si>
    <t>Back-end system is unresponsive.</t>
  </si>
  <si>
    <t>You were paid ------ GBP on 21/03/2023.
Here's your payslip information.</t>
  </si>
  <si>
    <t>User ID</t>
  </si>
  <si>
    <t>Choices</t>
  </si>
  <si>
    <t>Source</t>
  </si>
  <si>
    <t>Wrong answer</t>
  </si>
  <si>
    <t>Failure &gt; Utterance &gt; Unrecognized &gt; Future Development</t>
  </si>
  <si>
    <t>Failure &gt; Utterance &gt; Unrecognized &gt; Customer Unique - Future</t>
  </si>
  <si>
    <t>Something the general tool should suppport in the future</t>
  </si>
  <si>
    <t>Something a specific instance or team should support in the future</t>
  </si>
  <si>
    <t>Count of this category</t>
  </si>
  <si>
    <t>Absense Questions</t>
  </si>
  <si>
    <t>Pay Questions</t>
  </si>
  <si>
    <t>Absenses</t>
  </si>
  <si>
    <t>Service Request</t>
  </si>
  <si>
    <t>Bank Account</t>
  </si>
  <si>
    <t>Reference Letters</t>
  </si>
  <si>
    <t>Flex Hours</t>
  </si>
  <si>
    <t>Manager Tools</t>
  </si>
  <si>
    <t>Work Evaluations</t>
  </si>
  <si>
    <t>Feedback and Tool Comments</t>
  </si>
  <si>
    <t>My Employment Details</t>
  </si>
  <si>
    <t>Quiting and Retiring</t>
  </si>
  <si>
    <t>Harassment and Disputes</t>
  </si>
  <si>
    <t>Salary</t>
  </si>
  <si>
    <t>Qualified Success &gt; Response &gt; Provisionally Handled</t>
  </si>
  <si>
    <t>The actual data prior to deleting most of it to share</t>
  </si>
  <si>
    <t>Commentary</t>
  </si>
  <si>
    <r>
      <t xml:space="preserve">Maternity Leave
To find out more please have a look at the Maternity Leave Policy.
You may also find it helpful to use the Maternity Pay &amp; Leave Questionnaire which will estimate your leave and pay values based on the information you enter into it.
</t>
    </r>
    <r>
      <rPr>
        <sz val="11"/>
        <color theme="1"/>
        <rFont val="Calibri (Body)"/>
      </rPr>
      <t>Maternity Leave Policy: https://sample.com/maternityleave.html
Maternity Leave and Pay Questionnaire: https://sample.com/maternityquestions.html</t>
    </r>
  </si>
  <si>
    <t>All the HR Forms are held on the &lt;a href="https://sample.com/hrforms.html"&gt;HR Forms site&lt;/a&gt; in Knowledge. When you open a form, clicking on the star next to the article name saves the form as a foavorite in your Knowledge tab.</t>
  </si>
  <si>
    <t>When your hours are changed in HRCloud your new holiday and pay details will show the following day. If they don't, please contact your line manager to make sure they've updated your work schedule or submitted your flexible working form to HR on time. Your change of hours is effective from the date you agreed, and when HRCloud is updated it will be based on this date.</t>
  </si>
  <si>
    <t>I think you're asking about your sickness absence balance. Only your manager can see your sickness absence balance figures in HRCloud, so please speak to them if you need this information.</t>
  </si>
  <si>
    <t>I don't understand the holiday accrual on HRCloud</t>
  </si>
  <si>
    <t>Ok. You're asking about requesting or giving performance feedback through HRCloud. It's not possible to do this currently. If this changes we'll communicate it out across the whole business through the usual channels. In the meantime, you can still request feedback from your colleagues through email and store it locally.</t>
  </si>
  <si>
    <t>where can I find the HRCloud Manager Keying Guide - 17 August 2023</t>
  </si>
  <si>
    <t>Only HR or your manager can update your employment information. Please speak to your manager in the first instance. If they're unable to update your details themselves they can raise a service request via their Helpdesk tab in HRCloud and the team will help them.</t>
  </si>
  <si>
    <t>Sure. I can help with that. Here's where you &lt;a href="sample.com/SR.html"&gt;raise new requests&lt;/a&gt;If it's urgent or sensitive please tell us in the Subject line. Here are your &lt;a href="https://sample.com/existingsrs.html"&gt;existing requests&lt;/a&gt;. To get an update on a request, open it, add a note and click Submit. The SLA for resolving requests varies depending on the topic and the urgency. The team will respond as soon as possible.</t>
  </si>
  <si>
    <t>Sure. I think this is what you want.
&lt;a href='https://sample.com/goals.html' &gt;View your Goals&lt;/a&gt;</t>
  </si>
  <si>
    <t>Ok, this is what I think you need. The &lt;a href="sample..com/performance.html"&gt;HRCloud Performance Goals Guide&lt;/a&gt; shows you how to add, share and update your performance goals, and add and view your direct reports' goals. When you share a goal, those you're sharing it with need to accept it for it to show in their goals.</t>
  </si>
  <si>
    <t>i have spoken to Human Resources and there is nothing they can do. Is there anyway to claim the  overpayment of tax prior to my next wage?</t>
  </si>
  <si>
    <t>Hi, my line manager has approved a holiday cancellation for 30/05/2023 - -5/06/2023 but this has not been added back to my holiday balance.  To-date I have taken:
3 - 6 January €“ 28 hours
21 April €“ 7 hours
Scheduled:
4 - 8 September €“ 35 hours 
27 - 28 November €“ 14 hours
Therefore 175 hours €“ 84 = 91</t>
  </si>
  <si>
    <t>Tax codes are driven by Human Resources and only they can confirm you're on the correct code. Remember to have your NI no. to hand if you &lt;a href="https://sample.com/income-tax-enquiries-for-individuals-pensioners-and-employees"&gt;contact them&lt;/a&gt;. If Human Resources tell you they'll update your tax code, they'll also notify us and we'll process the change in line with our &lt;a href="https://sample.com/Payroll-and-payment-of-salary.html"&gt;payroll cut-offs.&lt;/a&gt; If you're a new starter and you're on an emergency tax code (referred to as code X) this is because Human Resources apply this to new starters whose P45 / New Starter Declaration wasn't submitted to us before our &lt;a href="https://sample.com/Payroll-and-payment-of-salary.html"&gt;payroll cut-off&lt;/a&gt;. Those submitted after cut off will be processed the following month.</t>
  </si>
  <si>
    <t>Here's your absence balance as of March 31, 2023.
&lt;b&gt;0 hrs&lt;/b&gt; of MyReward 
&lt;b&gt;84 hrs&lt;/b&gt; of Holiday 
&lt;b&gt;0 hrs&lt;/b&gt; of Recognising Loyalty 
&lt;b&gt;7 hrs&lt;/b&gt; of Work Anniversary 
&lt;b&gt;0 hrs&lt;/b&gt; of Public Holiday  
To see your end of year Holiday Balance, select 'View balance as of another date' below and input '31/12/23' when prompted
Schedule time off: https://sample.com/absense.html
View balance as of another date
View future absences
View past absences</t>
  </si>
  <si>
    <t>Here's your absence balance as of March 30, 2023.
&lt;b&gt;0 hrs&lt;/b&gt; of Public Holiday 
&lt;b&gt;0 hrs&lt;/b&gt; of MyReward 
&lt;b&gt;217 hrs&lt;/b&gt; of Holiday 
&lt;b&gt;0 hrs&lt;/b&gt; of Recognising Loyalty 
&lt;b&gt;0 hrs&lt;/b&gt; of Work Anniversary  
To see your end of year Holiday Balance, select 'View balance as of another date' below and input '31/12/23' when prompted
Schedule time off: https://sample.com/absense.htm
View balance as of another date
View future absences
View past absences</t>
  </si>
  <si>
    <t>Here's your absence balance as of March 30, 2023.
&lt;b&gt;0 hrs&lt;/b&gt; of MyReward 
&lt;b&gt;65 hrs 45 mins&lt;/b&gt; of Holiday 
&lt;b&gt;0 hrs&lt;/b&gt; of Recognising Loyalty 
&lt;b&gt;0 hrs&lt;/b&gt; of Work Anniversary 
&lt;b&gt;0 hrs&lt;/b&gt; of Public Holiday  
To see your end of year Holiday Balance, select 'View balance as of another date' below and input '31/12/23' when prompted
Schedule time off: https://sample.com/absense.htm
View balance as of another date
View future absences
View past absences</t>
  </si>
  <si>
    <t>You have the following time off in the next twelve months.
&lt;b&gt;35 hrs&lt;/b&gt; of &lt;b&gt;Holiday&lt;/b&gt; from Oct 30th to Nov 3rd
Schedule time off: https://sample.com/absense.htm
View absences for a specific duration
View absence balance (excl. sickness balance)</t>
  </si>
  <si>
    <t>Here's your absence balance as of March 30, 2023.
&lt;b&gt;0 hrs&lt;/b&gt; of MyReward 
&lt;b&gt;65 hrs 45 mins&lt;/b&gt; of Holiday 
&lt;b&gt;0 hrs&lt;/b&gt; of Recognising Loyalty 
&lt;b&gt;0 hrs&lt;/b&gt; of Work Anniversary 
&lt;b&gt;0 hrs&lt;/b&gt; of Public Holiday  
To see your end of year Holiday Balance, select 'View balance as of another date' below and input '31/12/23' when prompted
Schedule time off: https://sample.com/absense.htm
View balance as of another date
View future absences</t>
  </si>
  <si>
    <t>Here's your absence balance as of March 30, 2023.
&lt;b&gt;0 hrs&lt;/b&gt; of MyReward 
&lt;b&gt;73 hrs 45 mins&lt;/b&gt; of Holiday 
&lt;b&gt;0 hrs&lt;/b&gt; of Recognising Loyalty 
&lt;b&gt;0 hrs&lt;/b&gt; of Work Anniversary 
&lt;b&gt;0 hrs&lt;/b&gt; of Public Holiday  
To see your end of year Holiday Balance, select 'View balance as of another date' below and input '31/12/23' when prompted
Schedule time off: https://sample.com/absense.htm
View balance as of another date
View future absences
View past absences</t>
  </si>
  <si>
    <t>You've taken the following time off in the last twelve months.
&lt;b&gt;21 hrs&lt;/b&gt; of &lt;b&gt;Holiday&lt;/b&gt; from Aug 18th to Aug 22nd
&lt;b&gt;3 hrs 30 mins&lt;/b&gt; of &lt;b&gt;Holiday&lt;/b&gt; on Aug 16th
&lt;b&gt;7 hrs&lt;/b&gt; of &lt;b&gt;Holiday&lt;/b&gt; on Jul 14th
&lt;b&gt;2 hrs 30 mins&lt;/b&gt; of &lt;b&gt;Holiday&lt;/b&gt; on Jun 2nd
&lt;b&gt;2 hrs 30 mins&lt;/b&gt; of &lt;b&gt;Holiday&lt;/b&gt; on Jun 1st
&lt;b&gt;14 hrs&lt;/b&gt; of &lt;b&gt;Holiday&lt;/b&gt; from May 16th to May 17th
Schedule time off: https://sample.com/absense.htm
View absences for a specific duration
View absence balance (excl. sickness balance)</t>
  </si>
  <si>
    <t>You don't have any time off in the next twelve months.
Schedule time off: https://sample.com/absense.htm
View past absences
View absences for a specific duration
View absence balance (excl. sickness balance)</t>
  </si>
  <si>
    <t>Here's your absence balance as of March 31, 2023.
&lt;b&gt;0 hrs&lt;/b&gt; of MyReward 
&lt;b&gt;0 hrs&lt;/b&gt; of Recognising Loyalty 
&lt;b&gt;113 hrs&lt;/b&gt; of Holiday 
&lt;b&gt;0 hrs&lt;/b&gt; of Work Anniversary 
&lt;b&gt;0 hrs&lt;/b&gt; of Public Holiday  
To see your end of year Holiday Balance, select 'View balance as of another date' below and input '31/12/23' when prompted
Schedule time off: https://sample.com/absense.htm
View balance as of another date
View future absences
View past absences</t>
  </si>
  <si>
    <t>Here's your absence balance as of March 31, 2023..
&lt;b&gt;0 hrs&lt;/b&gt; of MyReward 
&lt;b&gt;85 hrs&lt;/b&gt; of Holiday 
&lt;b&gt;0 hrs&lt;/b&gt; of Recognising Loyalty 
&lt;b&gt;0 hrs&lt;/b&gt; of Work Anniversary 
&lt;b&gt;-7 hrs 45 mins&lt;/b&gt; of Public Holiday  
To see your end of year Holiday Balance, select 'View balance as of another date' below and input '31/12/23' when prompted
Schedule time off: https://sample.com/absense.htm
View balance as of another date
View future absences
View past absences</t>
  </si>
  <si>
    <t>Here's your absence balance as of March 31, 2023.
&lt;b&gt;0 hrs&lt;/b&gt; of MyReward 
&lt;b&gt;84 hrs&lt;/b&gt; of Holiday 
&lt;b&gt;0 hrs&lt;/b&gt; of Recognising Loyalty 
&lt;b&gt;7 hrs&lt;/b&gt; of Work Anniversary 
&lt;b&gt;0 hrs&lt;/b&gt; of Public Holiday  
To see your end of year Holiday Balance, select 'View balance as of another date' below and input '31/12/23' when prompted
Schedule time off: https://sample.com/absense.htm
View balance as of another date
View future absences
View past absences</t>
  </si>
  <si>
    <t>There don't appear to be any absence plan details showing for you. Please raise a Service Request via your Helpdesk tab and we'll resolve this as soon as possible. 
To see your end of year Holiday Balance, select 'View balance as of another date' below and input '31/12/23' when prompted
Schedule time off: https://sample.com/absense.htm
View balance as of another date
View future absences
View past absences</t>
  </si>
  <si>
    <t>You have the following time off in the next twelve months.
&lt;b&gt;84 hrs&lt;/b&gt; of &lt;b&gt;Holiday&lt;/b&gt; from Nov 1st to Nov 16th
Schedule time off: https://sample.com/absense.htm
View past absences
View absences for a specific duration
View absence balance (excl. sickness balance)</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</si>
  <si>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https://sample.com/working.htm
Flexible Working Policy: https://sample.com/flexworking.htm
Change of Hours Prep and Pay Questionnaire
: https://sample.com/change.htm</t>
  </si>
  <si>
    <t>Hi can you tell me how to get a employers reference from SampleComp</t>
  </si>
  <si>
    <t>Job Security &amp; Redundancy
The Severance Pay Estimator will estimate your severance pay based on your length of service, age, salary and contractual terms. You should use it in conjunction with the Job Security and Redundancy Policy.
Severance Pay Estimator: https://sample.com/existingsr.html
Job Security and Redundancy Policy:  https://sample.com/existingsr.html+A83</t>
  </si>
  <si>
    <t>All the HR Policies are held on the &lt;a href="https://sample.com"&gt;HR Policy Point&lt;/a&gt; in Knowledge. When you open a policy, clicking on the star next to the article name saves the policy as a favourite in your Knowledge tab.</t>
  </si>
  <si>
    <t>Public holidays have already been included in your holiday calculations. This may result in you having a public holiday surplus, or a deficit, depending on your work schedule. If you have a deficit, its already been deducted from your holiday balance. If you have a surplus, this is additional holiday that you're entitled to take above that shown on your holiday balance. &lt;a href="https://sample.com"&gt;Use&lt;/a&gt; the public holiday calculator to see UK public holiday dates and understand how your public holiday entitlement is calculated. You'll find further information on pg.9 of the &lt;a href="https://sample.com"&gt;Time Off Policy&lt;/a&gt; and in the &lt;a href="https://sample.com"&gt;Holiday Guide&lt;/a&gt;.</t>
  </si>
  <si>
    <t>Job Security &amp; Redundancy
The Severance Pay Estimator will estimate your severance pay based on your length of service, age, salary and contractual terms. You should use it in conjunction with the Job Security and Redundancy Policy.
Severance Pay Estimator: https://sample.com/existingsr.html
Job Security and Redundancy Policy: https://sample.com</t>
  </si>
  <si>
    <t>Sure. You can change their working hours here. If they're increasing / decreasing the number of hours they work per week, make sure you've submitted a Flexible Working Confirmation Form to HR before you make any changes here.
&lt;a href='https://sample.com/team.html' &gt;Change your direct report's work schedule&lt;/a&gt;
There's additional guidance &lt;a href="https://sample.com/guide.html&lt;/a&gt;. The policy and guidance are &lt;a href="https://sample.com/flexworking.htm"&gt;here&lt;/a&gt;.</t>
  </si>
  <si>
    <t>At SampleComp we offer a &lt;a href="https://sample.com/volun.html"&gt;range of voluntary / flexible benefits&lt;/a&gt;. There are benefits you can start and stop at anytime and others that you can sign up for and amend during the &lt;a href="https://sample.com/ben.html"&gt;annual enrolment window&lt;/a&gt; (unless you experience a &lt;a href="https://sample.com/life.html"&gt;lifestyle event&lt;/a&gt;, in which case you can make changes outside the enrolment window).</t>
  </si>
  <si>
    <t>All the User Guides are held &lt;a href="https://sample.com/userguide.html"&gt;here&lt;/a&gt; in Knowledge. When you open a guide, clicking on the star next to the article name saves it as a favourite in your Knowledge tab.</t>
  </si>
  <si>
    <t>Ok. It sounds like you'd like to cancel some holiday that's already been approved by your manager. Go to your &lt;a href="https://https://sample.com/existingabs.html"&gt;Existing Absences page&lt;/a&gt; and find the holiday you'd like to cancel. Click the pencil icon on the right of the entry. And then click Delete at the top of the page. The entry will show a status of Withdrawn.</t>
  </si>
  <si>
    <t>Sure. I can help with that. Here's where you &lt;a href="https://sample.com/newsr.html"&gt;raise new requests&lt;/a&gt;. If it's urgent or sensitive please tell us in the Subject line. Here are your &lt;a href="https://sample.com/existingsr.html"&gt;existing requests&lt;/a&gt;. To get an update on a request, open it, add a note and click Submit. The SLA for resolving requests varies depending on the topic and the urgency. The team will respond as soon as possible.</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</si>
  <si>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https://sample.com/working.htm
Flexible Working Policy: https://sample.com/flexworking.htm
Change of Hours Prep and Pay Questionnaire
: https://sample.com/existingsr.html%22%2c+env%3a+%22+A459</t>
  </si>
  <si>
    <t>Change of Hours
You'll find detailed guidance in the Hybrid and Home Working Policy and the Flexible Working Policy. If you'd like to see what your pay and holiday allowance would be if you changed your hours, please use the Change of Hours Prep and Pay Questionnaire.
Hybrid and Home Working Policy
: https://sample.com/working.htm
Flexible Working Policy: https://sample.com/flexworking.htm
Change of Hours Prep and Pay Questionnaire
: https://sample.com/existingsr.html</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</si>
  <si>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https://sample.com+A214
Maternity Leave and Pay Questionnaire: https://sample.com/existingsr.html</t>
  </si>
  <si>
    <t>Job Security &amp; Redundancy
The Severance Pay Estimator will estimate your severance pay based on your length of service, age, salary and contractual terms. You should use it in conjunction with the Job Security and Redundancy Policy.
Severance Pay Estimator: https://sample.com/existingsr.html
Job Security and Redundancy Policy: https://sample.com+A459</t>
  </si>
  <si>
    <t>Maternity Leave
To find out more please have a look at the Maternity Leave Policy.
You may also find it helpful to use the Maternity Pay &amp; Leave Questionnaire which will estimate your leave and pay values based on the information you enter into it.
Maternity Leave Policy: https://sample.com/
Maternity Leave and Pay Questionnaire: https://sample.com/existingsr.html</t>
  </si>
  <si>
    <t>All the HR Policies are held on the &lt;a href="https://sample.com/HR"&gt;HR Policy Point&lt;/a&gt; in Knowledge. When you open a policy, clicking on the star next to the article name saves the policy as a favourite in your Knowledge tab.</t>
  </si>
  <si>
    <t>Your department is &lt;b&gt;1113 - Wallymeed&lt;/b&gt;.
Need to see a co-worker's department? Try something like 'Show me John Doe's department'</t>
  </si>
  <si>
    <t>Hi I've just joined (P511424) Jonathan Avrancsev &lt;Jonathan.Avrancsev@SampleComp.com&gt; and would like to have my role title details corrected as this has been misspelt. See attachment below.</t>
  </si>
  <si>
    <t>If you're having difficulty accessing the Exit Questionnaire please note that you need to scroll to the bottom of the notification and click on the link to access the exit questionnaire invitation. When you click on the link to the questionnaire that's within the invite, a new survey page will open up behind the page you're on. This is the Exit Questionnaire. If you're still having difficulties please contact us via the &lt;a href="mailto:exitmanagement@SampleComp.com"&gt;Exit Management Team mailbox&lt;/a&gt;.</t>
  </si>
  <si>
    <t>Keeping in Touch Days (KIT days) are a way for you to stay in touch with your team and with work while you're on leave. They're ideal for attending things like department briefings, team meetings, training or volunteering. If you're on maternity or adoption leave you can have up to 10 KIT days. If you're on shared parental leave you can have up to 20 KIT days. Take a look at the Adoption, Maternity or Shared Parental Leave guidancein the &lt;a href="https://sample.com"&gt;Becoming a Parent Policy&lt;/a&gt; for more information.</t>
  </si>
  <si>
    <t>Holidays and Absence
Would you like to:
See how much unused holiday you have left
Request leave / record an absence: https://sample.com/absense.htm
View Holiday Policy and Guidance
Use the Holiday Entitlement Calculator: https://sample.com/calculator</t>
  </si>
  <si>
    <t>Your work email is &lt;a href='mailto:bob.miller@SampleComp.com'&gt;Bob.Miller@SampleComp.com+A198&lt;/a&gt;.
&lt;a href="https://sample.com/update"&gt;View additional contact information&lt;/a&gt; including your phone, email, home address and other communication methods.
Need to see a co-workers work email address? Try something like 'Show me John Doe's email'.</t>
  </si>
  <si>
    <t>You don't seem to have added a work phone number to your contact info.
View your profile in &lt;a href="https://sample.com/profile"&gt;Directory&lt;/a&gt;.
&lt;a href="https://sample.com/update"&gt;View and update your home and work phone numbers&lt;/a&gt;.</t>
  </si>
  <si>
    <t>You don't seem to have added a work phone number to your contact info.
&lt;a href="https://sample.com/update"&gt;View and update your home and work phone numbers&lt;/a&gt;.
View your profile in &lt;a href="https://sample.com/profile"&gt;Directory&lt;/a&gt;.
Need to see one of your co-workers phone number? Try &lt;q&gt;Show me John Doe's phone number&lt;/q&gt;.</t>
  </si>
  <si>
    <t>Sorry, you can't update your work email. Only Logical Access can do this. If you've recently updated your name or preferred name in HRCloud, Logical Access will email you in the next few days to ask if you'd like to update your work email to match your new name details.
Your work email is &lt;a href='mailto:robert.miller@SampleComp.com'&gt;robert.miller@SampleComp.com+A425&lt;/a&gt;.
&lt;a href="https://sample.com/update"&gt;View additional contact information&lt;/a&gt; including your phone, email, home address and other communication methods.</t>
  </si>
  <si>
    <t>Sorry, you can't update your work email. Only Logical Access can do this. If you've recently updated your name or preferred name in HRCloud, Logical Access will email you in the next few days to ask if you'd like to update your work email to match your new name details.
Your work email is &lt;a href='mailto:robie.miller@SampleComp.com'&gt;robie.miller@SampleComp.com&lt;/a&gt;.
&lt;a href="https://sample.com/update"&gt;View additional contact information&lt;/a&gt; including your phone, email, home address and other communication methods.</t>
  </si>
  <si>
    <t>Only HR or your manager can update your employment information. Please speak to your manager in the first instance. If they're unable to update your details themselves they can raise a service request via their Helpdesk tab in HRCloud and the team will help them.
Your &lt;a href="https://sample.com/update"&gt;contact information&lt;/a&gt; page can help you view and update your home address. You should only have one home address on HRCloud, so please make sure you use the pencil icon to edit your address. Don't add a separate entry. HRCloud feeds this information into the other employee systems that need your address details, so you only need to enter your address here.</t>
  </si>
  <si>
    <t>To request a copy of an AJI / job profile please raise a &lt;a href="https://sample.com/SR"&gt;Service Request&lt;/a&gt;.</t>
  </si>
  <si>
    <t>Ok. I think you're asking about employment T&amp;Cs. To get a copy of your contract, just raise a &lt;a href="https://sample.com/SR"&gt;Service Request&lt;/a&gt;. In the meantime, you can see what type of contract you're on by matching your &lt;a https://sample.com/contract"&gt;contract number &lt;/a&gt;with the related contract name in this &lt;a href="https://sample.com/guide"&gt;guide&lt;/a&gt;. To find a direct report's contract number, &lt;a https://sample.com/contract2"&gt;click on the 3 dots next to their name&lt;/a&gt; and select Employment Info. Contract types are important for things like overtime. The system shows you the overtime options you're contractually entitled to, but the policy specifies the correct claim rates, based on when the hours were worked. Managers and employees are both responsible for ensuring claims are accurate.</t>
  </si>
  <si>
    <t>Where's the redundancy calculator</t>
  </si>
  <si>
    <t>We've changed the way you contact AskYourHR, to align with our Society Strategy and drive service excellence. If your query needs input from one of my human team mates please &lt;a href="https://sample.com/newsr.html"&gt;raise a service request.&lt;/a&gt; Or if you already have a service request in progress you can &lt;a href="https://sample.com/existingsr.html"&gt;add a note&lt;/a&gt;. If it's urgent / sensitive tell us in the subject line. Colleagues with no HRCloud access can email FTAWaskaquestion@SampleComp.com with Fair Treatment at Work, sickness absence or wellbeing queries. And for any other HR topic, it's AskYourHR@SampleComp.com</t>
  </si>
  <si>
    <t>New starters should have access to their eLearning and Compliance modules by lunchtime on their first day. If they don't have access by 3pm please raise a &lt;a href="https://sample.com/SR"&gt;Service Request&lt;/a&gt;</t>
  </si>
  <si>
    <t>&lt;a href='https://sample.com/payslipNONE' &gt;View all payslips&lt;/a&gt;</t>
  </si>
  <si>
    <t>I was unable to find any payslip for you.
You can, however, &lt;a href="https://sample.com/payslipNONE"&gt;access your payslip&lt;/a&gt; from the HCM application.</t>
  </si>
  <si>
    <t>Sure. &lt;a href="https://sample.com/payslipcutoff"&gt;Here&lt;/a&gt; are the payroll, overtime and HR cut-offs for this year. Overtime claims approved after the cut off will be paid the following month. You don't need to resubmit these claims. New starter P45s / declarations submitted after the cut off will be processed the following month.</t>
  </si>
  <si>
    <t>Sure. You're asking about P45s. I can help. New starters, please send us a copy of your P45 from your previous job as soon as possible to avoid Human Resources applying emergency tax to your pay. Here are our &lt;a href="https://sample.com/payslipcutoff"&gt;payroll cut-off dates&lt;/a&gt;. Raise a &lt;a href="https://sample.com/openSR"&gt;Service Request&lt;/a&gt; and attach a copy of your P45 to the request. If you don't have a P45 please complete the necessary information as part of your onboarding activities. If you're leaving we'll send your P45 to your &lt;a href="https://sample.com/homeaddress"&gt;home address&lt;/a&gt; after we've processed and paid your final salary payment.</t>
  </si>
  <si>
    <t>When a direct report is leaving SampleComp there are some &lt;a href="https://sample.com/beforeleaving"&gt;important things you &lt;strong&gt;must&lt;/strong&gt; do before they leave&lt;/a&gt; to make sure their leaving pay is correct, their systems / buildings access is removed, and they've returned their SampleComp equipment. You'll find additional guidance in the &lt;a href="https://sample.com/guide"&gt;HRCloud Managers Keying Guide&lt;/a&gt;. These actions&lt;strong&gt; must be completed on time and accurately&lt;/strong&gt; to ensure the security of SampleComp, our customers and our members. If required, your manager can key terminations on your behalf. If the team member is leaving through disciplinary or other Fair Treatment at Work issues, please contact your HR Case Management Consultant before you initiate any leaving transactions in the system.</t>
  </si>
  <si>
    <t>The maximum number of annual holiday hours you can carry forward aligns with your average contracted weekly hours on 31st December. So, if you're contracted to work 20 hours a week you can carry forward up to 20 hours of holiday. However, if you're on maternity or adoption leave over the start of the new year you can carry forward all your unused holiday. There's guidance on carrying forward holiday and sickness absence on pg.8 of the &lt;a href="https://sample.com/timeoff"&gt;Time Off Policy&lt;/a&gt;. It's not possible to carry forward any holiday bought via MyReward.</t>
  </si>
  <si>
    <t>Public holidays have already been included in your holiday calculations. This may result in you having a public holiday surplus, or a deficit, depending on your work schedule. If you have a deficit, its already been deducted from your holiday balance. If you have a surplus, this is additional holiday that you're entitled to take above that shown on your holiday balance. &lt;a href="https://sample.com/calculator"&gt;Use&lt;/a&gt; the public holiday calculator to see UK public holiday dates and understand how your public holiday entitlement is calculated. You'll find further information on pg.9 of the &lt;a href="https://sample.com/timeoff"&gt;Time Off Policy&lt;/a&gt; and in the &lt;a href="https://sample.com/holidays"&gt;Holiday Guide&lt;/a&gt;.</t>
  </si>
  <si>
    <t>Please contact the Case Management Team by raising a &lt;a href="https://sample.com/SR"&gt;Service Request&lt;/a&gt; on HRCloud Helpdesk using the categories 'Fair Treatment at Work - Ask a Question'.</t>
  </si>
  <si>
    <t>Sure. Your final pay is calculated by taking into account factors like your leaving date (how many days you were employed for in the month you left), your holiday entitlement and any employee loans and MyReward benefits you may have. There's MyReward guidance &lt;a href="https://sample.com/rewards"&gt;here&lt;/a&gt;, and you can use the &lt;a href="https://sample.com/holidays"&gt;Holiday Entitlement Calculator&lt;/a&gt; to find out what your annual holiday entitlement will be when you leave. You'll be paid for any annual holiday you haven't used and if you've taken more holiday than you're entitled to it'll be deducted from your final pay.</t>
  </si>
  <si>
    <t>Keeping in Touch Days (KIT days) are a way for you to stay in touch with your team and with work while you're on leave. They're ideal for attending things like department briefings, team meetings, training or volunteering. If you're on maternity or adoption leave you can have up to 10 KIT days. If you're on shared parental leave you can have up to 20 KIT days. Take a look at the Adoption, Maternity or Shared Parental Leave guidancein the &lt;a href="https://sample.com/holidays"&gt;Becoming a Parent Policy&lt;/a&gt; for more information.</t>
  </si>
  <si>
    <t>There's no need to change a role profile unless the core accountabilities of the role have changed significantly. Terminology changes can be reflected in the individual's goals instead. For simple job title changes complete a &lt;a href="https://sample.com/title"&gt;Job Title Change Request Form&lt;/a&gt; (including the approval). Then send the form to us by &lt;a href="https://sample.com/newsr.html"&gt;raising a service request&lt;/a&gt; and attaching the form to the request. If it's a job evaluation resulting from organisational structure changes you need to discuss this with your People Function contact. If you don't have a contact complete a &lt;a href="https://sample.com/peoplechange"&gt;People Change Initiation Form&lt;/a&gt; and we'll assign one to you. For any other type of job evaluations complete the &lt;a href="https://sample.com/jobeval"&gt;Job Evaluation Request Form&lt;/a&gt; and send to the email address provided.</t>
  </si>
  <si>
    <t>Sure. With sickness absences, it's not possible to record part days sick leave on HRCloud. So you only need to &lt;a href="https://sample.com/recordsick"&gt;record sick leave&lt;/a&gt; on here when someone works less than 50% of their contracted daily hours due to being ill.&lt;br /&gt;
With holiday you can book part days. To do this you need to overtype the Duration as this automatically defaults to whole days. Make sure to use this format, HH:MM (e.g. 03:30 for 3 hrs 30 mins, 03:00 for 3 hours). Then click Submit.</t>
  </si>
  <si>
    <t>For information about your sick leave and pay entitlements please take a look at the &lt;a href="https://sample.com/holiday"&gt;Sickness Absence Policy&lt;/a&gt;.</t>
  </si>
  <si>
    <t>Ok. I think you're asking about employee references. At SampleComp, we provide: employment references (regulated and non-regulated), mortgage / tenancy references, Visa Right to Work references, job seekers references and references to support unemployment / sickness insurance claims. &lt;a href="https://sample.com/more"&gt;Find out more&lt;/a&gt;, including how to request them, how long they take to produce and opting out. If you're asked to provide a character reference for a colleague or ex-colleague, please ask them to contact us themselves to request this.</t>
  </si>
  <si>
    <t>If you need to get delegated access to approve requests on behalf of a manager who's absent please raise a &lt;a href="https://sample.com/SR"&gt;Service Request&lt;/a&gt; making sure to tell us exactly what access you need. For data privacy reasons, we can only take instruction from the absent manager's manager and we can only delegate access to them or someone who's been authorised to have this access by them. If you're not the absent manager's manager please ask them to contact us instead. If you're a PA who needs delegated access to deputise for your manager you need to ask them to assign this to you via HRCloud as only they can do this.</t>
  </si>
  <si>
    <t>In most situations your manager would have given delegated access to another manager in your area so that the other manager can action things like these on their behalf. However, sometimes that's not possible because your manager has had to take unplanned leave. If you know that they haven't delegated their access to anyone else you need to ask your manager's manager to contact us so we can help them get the access they need to review and approve your request or claim. The best way to do this is by raising a &lt;a href="https://sample.com/SR"&gt;Service Request&lt;/a&gt; making sure to tell us exactly what access they need.</t>
  </si>
  <si>
    <t>Here is what I think you need.
Try the &lt;a href="https://sample.com/paymethods"&gt;Payment Methods&lt;/a&gt; page to tell us to pay your salary into a different bank / building society account. 
This &lt;a href="https://sample.com/guide"&gt;Guide&lt;/a&gt; shows you how to make the changes.</t>
  </si>
  <si>
    <t>&lt;a href="https://sample.com/personaldetails"&gt;View and update your personal details&lt;/a&gt; including your name, marital status and other demographic information. If you're changing your address or your legal name, remember to also notify Human Resources.
View your profile in &lt;a href="https://sample.com/profile"&gt;Directory&lt;/a&gt;.</t>
  </si>
  <si>
    <t>Sure. I can help with that.
&lt;a href="https://sample.com/personaldetails"&gt;View and update your personal details&lt;/a&gt; including your name, marital status and other demographic information. If you're changing your address or your legal name, remember to also notify Human Resources.
&lt;a href="https://sample.com/update"&gt;View and update your contact details&lt;/a&gt; including your phone, email, home address and other communication methods.</t>
  </si>
  <si>
    <t>Ok. It sounds like you have a query about your holiday details. The &lt;a href="https://sample.com/holidayguide"&gt;Holiday Guide&lt;/a&gt; tells you everything about how to find and understand your Holiday details. When you open your Absence Balance page, it's defaulted to show your remaining holiday (unused holiday).To see your full holiday details you need to click into each section. If you still have a query after reading the guide you can &lt;a href="https://sample.com/SR"&gt;raise a service request&lt;/a&gt;. Please include as much information as possible, including screenshots.</t>
  </si>
  <si>
    <t>You'll receive a notification whenever one of your team members submits an overtime claim. Alternatively, you can check your pending overtime approvals &lt;a href="https://sample.com/overtime"&gt;here&lt;/a&gt;. It's important you review all claims to make sure that the correct rate/allowance/hrs are being claimed. These are the monthly &lt;a href="https://sample.com/payslipcutoff"&gt;cut off dates&lt;/a&gt; for overtime claims. Please prioritise to action claims before the cut-off. Claims approved after the cut-off wont be paid until the subsequent pay day.</t>
  </si>
  <si>
    <t>&lt;a href='https://sample.com/payslip&lt;/a&gt;</t>
  </si>
  <si>
    <t>Please have a look at the &lt;a href="https://sample.com/performance"&gt;Improving Performance Policy&lt;/a&gt;. You'll find the Performance Support Agreement form &lt;a href="https://sample.com/holidays"&gt;here&lt;/a&gt;. If you need further support please raise a &lt;a href="https://sample.com/SR"&gt;Service Request&lt;/a&gt; on HRCloud Helpdesk using 'Fair Treatment at Work - Ask a Question'.</t>
  </si>
  <si>
    <t>To record that you're leaving through resignation or retirement go to the &lt;a href="https://sample.com/resign"&gt;Resignation&lt;/a&gt; page and follow the steps in this &lt;a href="https://sample.com/resignguide"&gt;Resignation Guide&lt;/a&gt;. Your leaving date is your last day of paid work at SampleComp. Please record this correctly and select the appropriate leaving reason. You may want to check your &lt;a href="https://sample.com/home"&gt;home address&lt;/a&gt; is correct in case we need to send your P45 and Leaving Confirmation Letter to you by post after you've left.</t>
  </si>
  <si>
    <t>Ok. It sounds like you're asking about reversing a leavers resignation / termination transaction. AskYourHR can action this for you. If it's about one of your direct reports please raise a &lt;a href="https://sample.com/sr"&gt;Service Request&lt;/a&gt;, making sure to enter their name and the reason for the reversal. If it's about your resignation please speak to your manager in the first instance. They will then need to raise a Service Request using the guidance above.</t>
  </si>
  <si>
    <t>Sure. Here are the &lt;a href="https://sample.com/payslipcutoff"&gt;upcoming pay days&lt;/a&gt; this year. New &lt;a href="https://sample.com/payslip"&gt;payslips&lt;/a&gt; become available 3 working days before. We transfer your pay into your account on pay day. Your bank / building society will then clear these funds in line with their specific timescales.&lt;br /&gt;
Did you know you can access your payslips on your mobile device? It's just &lt;a href="https://sample.com/paysetup"&gt;3 simple steps&lt;/a&gt; to get set up.</t>
  </si>
  <si>
    <t>Secondments should be for a fixed period of time of between three months and one year. Please take a look at section 2.1 of the &lt;a href="https://sample.com/holidays+A369"&gt;Secondment Policy&lt;/a&gt; for more information.</t>
  </si>
  <si>
    <t>Ok you can do that here.&lt;br /&gt;
&lt;a href="https://sample.com/change"&gt;Change your direct report's assignment&lt;/a&gt;. You should only use this to confirm their probation, extend or confirm their fixed term contract, update their secondment, location, or department details. Take a look at the &lt;a href="https://sample.com/guide"&gt;HRCloud Manager Keying Guide&lt;/a&gt; to find out how.</t>
  </si>
  <si>
    <t>Only HR or your manager can update your employment information. Please speak to your manager in the first instance. If they're unable to update your details themselves they can raise a service request via their Helpdesk tab in HRCloud and the team will help them.
Your &lt;a href="https://sample.com/update"&gt;contact information&lt;/a&gt; page can help you view and update your home address. You should only have one home address on HRCloud, so please make sure you use the pencil icon to edit your address. Don't add a separate entry. HRCloud feeds this information into the other employee systems that need your address details, so you only need to enter your address here.
However, you can &lt;a href="https://sample.com/change+A447"&gt;manage your employee's work location&lt;/a&gt;.</t>
  </si>
  <si>
    <t>Here's the information I think you need. Take a look at the &lt;a href="https://sample.com/recruitment"&gt;Recruitment site&lt;/a&gt;. If you're planning to recruit you need to make sure all the &lt;a href="https://sample.com/approvals"&gt;correct approvals&lt;/a&gt; are in place before you start recruiting. If you're hiring permanent resource your Resourcing Business Partner can provide additional support and guidance. You'll find their contact details &lt;a href="https://sample.com/contact+A491"&gt;here&lt;/a&gt;.</t>
  </si>
  <si>
    <t>I'm sorry I haven't been able to help on this occasion. Most people find the guidance they need here: &lt;br /&gt;
&lt;a href="https://sample.com/trouble"&gt;Troubleshooting Tips and Workarounds&lt;/a&gt;&lt;br /&gt;
&lt;a href="https://sample.com/userguide.html"&gt;HRCloud User Guides&lt;/a&gt; &lt;br /&gt;
&lt;a href="https://sample.com/HRpolicy"&gt;HR Policy Point&lt;/a&gt;&lt;br /&gt;
&lt;a href="https://sample.com/HRforms"&gt;HR Forms&lt;/a&gt;&lt;br /&gt;
If you need further support you can &lt;a href="https://sample.com/newsr.html"&gt;raise a service request&lt;/a&gt;, or if you already have a service request in progress you can &lt;a href="https://sample.com/existingsr.html"&gt;add a note&lt;/a&gt;.</t>
  </si>
  <si>
    <t>Sorry, only HR or your manager can update your salary information.
However, you can &lt;a href="https://sample.com/salary+A513"&gt;manage your employee's salary&lt;/a&gt;.</t>
  </si>
  <si>
    <t>Only HR or your manager can update your employment information. Please speak to your manager in the first instance. If they're unable to update your details themselves they can raise a service request via their Helpdesk tab in HRCloud and the team will help them.
Your &lt;a href="https://sample.com/update"&gt;contact information&lt;/a&gt; page can help you view and update your home address. You should only have one home address on HRCloud, so please make sure you use the pencil icon to edit your address. Don't add a separate entry. HRCloud feeds this information into the other employee systems that need your address details, so you only need to enter your address here.
However, you can &lt;a href="https://sample.com/change"&gt;manage your employee's work location&lt;/a&gt;.</t>
  </si>
  <si>
    <t>Sure. Here's where you can &lt;a href="https://sample.com/work"&gt;view your own work schedule&lt;/a&gt;. Blue indicates your work schedule and yellow indicates your holidays. If you're changing your hours, either your manager or HR will update your schedule. If you spot that your schedule isn't right, please speak to your manager in the first instance.</t>
  </si>
  <si>
    <t>&lt;p&gt;If you were eligible for the &lt;a href="https://sample.com/payreview"&gt;2023 Annual Pay Review&lt;/a&gt; your new salary details became available on HRCloud on 1 April 2023. Your annual pay rise is based on your pre-pay review salary which you'll find by clicking the 'Show Prior Salary' link on your &lt;a href="https://sample.com/mycomp"&gt;My Compensation&lt;/a&gt; page.&lt;/p&gt;</t>
  </si>
  <si>
    <t>To work out your hourly and daily rates of pay you need to divide your &lt;a href="https://sample.com/salary"&gt;current annual salary&lt;/a&gt; by 52 to get your weekly rate. Then, divide your weekly rate by the no. of hours you're contracted to work per week (if you're on an annualised, condensed or term-time contract, use the average no. of hours you're contracted to work per week throughout the year). This gives you your hourly rate. To get your daily rate multiply your hourly rate by the (average) no. of hours you're contracted to work in a day.</t>
  </si>
  <si>
    <t>Employees in the Section Network are eligible for an in-charge payment when:&lt;br /&gt;
- they're required to be in-charge of a Section (Mon - Sun) for a minimum period of 3 consecutive hours which includes either the Section opening time or the Section closing time&lt;br /&gt;
- they're not claiming an additional responsibility payment for the same period of time&lt;br /&gt;
- they're not a Section Manager, Senior Section Manager, Member Services Manager, Assistant Section Manager or Area Manager (Mortgage Supervision) or District Manager&lt;br /&gt;
Please have a look at the &lt;a href="https://sample.com/Section"&gt;Section Network Working Arrangements Policy&lt;/a&gt; for more information.</t>
  </si>
  <si>
    <t>Employees in the Section Network are eligible for an in-charge payment when:&lt;br /&gt;
- they're required to be in-charge of a Section (Mon - Sun) for a minimum period of 3 consecutive hours which includes either the Section opening time or the Section closing time&lt;br /&gt;
- they're not claiming an additional responsibility payment for the same period of time&lt;br /&gt;
- they're not a Section Manager, Senior Section Manager, Member Services Manager, Assistant Section Manager or Area Manager (Team Supervision) or District Manager&lt;br /&gt;
Please have a look at the &lt;a href="https://sample.com/Section"&gt;Section Network Working Arrangements Policy&lt;/a&gt; for more information.</t>
  </si>
  <si>
    <t>Ok. I think you're looking for help with loyalty leave. The &lt;a href="https://sample.com/loyality"&gt;Recognising Loyalty site&lt;/a&gt; is where you'll find the policy together with guidance on how and when to use your one-off holidays. You may also find it useful to look at the related &lt;a href="https://sample.com/userguide.html"&gt;HRCloud User Guides&lt;/a&gt;.</t>
  </si>
  <si>
    <t>Ok. I think you're looking for help with loyalty leave. The &lt;a href="https://sample.com/loyalty"&gt;Recognising Loyalty site&lt;/a&gt; is where you'll find the policy together with guidance on how and when to use your one-off holidays. You may also find it useful to look at the related &lt;a href="https://sample.com/userguide.html"&gt;HRCloud User Guides&lt;/a&gt;.</t>
  </si>
  <si>
    <t>Please have a look at the &lt;a href="https://sample.com/A265Interest.pdf"&gt;Conflict of Interest Policy&lt;/a&gt;. If you need further support please raise a &lt;a href="https://sample.com/SR"&gt;Service Request&lt;/a&gt; on HRCloud Helpdesk using 'Fair Treatment at Work - Ask a Question'.</t>
  </si>
  <si>
    <t>Ok. It sounds like you're looking for information about employee pensions or life assurance payments. All our pensions guidance can be found &lt;a href="https://sample.com/Pensions"&gt;here&lt;/a&gt;. If its about life assurance payments you'll find the guidance you need &lt;a href="https://sample.com/Death-in-Service.html+A363"&gt;here&lt;/a&gt;.</t>
  </si>
  <si>
    <t>Here's the information I think you need. Take a look at the &lt;a href="https://sample.com/recruit"&gt;Recruitment site&lt;/a&gt;. If you're planning to recruit you need to make sure all the &lt;a href="https://sample.com/approvals"&gt;correct approvals&lt;/a&gt; are in place before you start recruiting. If you're hiring permanent resource your Resourcing Business Partner can provide additional support and guidance. You'll find their contact details &lt;a href="https://sample.com/Contacts.html"&gt;here&lt;/a&gt;.</t>
  </si>
  <si>
    <t>Ok. It sounds like you're looking for information about employee pensions or life assurance payments. All our pensions guidance can be found &lt;a href="https://sample.com/Pensions"&gt;here&lt;/a&gt;. If its about life assurance payments you'll find the guidance you need &lt;a href="https://sample.com/Death-in-Service.html+A463"&gt;here&lt;/a&gt;.</t>
  </si>
  <si>
    <t>You'll find all the information you need to understand career families &lt;a href="https://sample.com/A511CareerFamilies"&gt;here&lt;/a&gt;. To see which career family you're in take a look at your &lt;a https://sample.com/contract"&gt;Employment Info&lt;/a&gt;.</t>
  </si>
  <si>
    <t>Ok. It sounds like you're looking for information about employee pensions or life assurance payments. All our pensions guidance can be found &lt;a href="https://sample.com/Pensions"&gt;here&lt;/a&gt;. If its about life assurance payments you'll find the guidance you need &lt;a href="https://sample.com/Death-in-Service.html"&gt;here&lt;/a&gt;.</t>
  </si>
  <si>
    <t>Ok. It sounds like you're looking for information about employee pensions or life assurance payments. All our pensions guidance can be found &lt;a href="https://sample.com/Pensions"&gt;here&lt;/a&gt;. If its about life assurance payments you'll find the guidance you need &lt;a href="https://sample.com/Death-in-Service.html+A300"&gt;here&lt;/a&gt;.</t>
  </si>
  <si>
    <t>You'll find all the information you need to understand career families &lt;a href="https://sample.com/Families"&gt;here&lt;/a&gt;. To see which career family you're in take a look at your &lt;a https://sample.com/contract"&gt;Employment Info&lt;/a&gt;.</t>
  </si>
  <si>
    <t>Sorry, you can't update your work email. Only Logical Access can do this. If you've recently updated your name or preferred name in HRCloud, Logical Access will email you in the next few days to ask if you'd like to update your work email to match your new name details.
Your work email is &lt;a href='mailto:Bobby.Miller@SampleComp.com'&gt;Bobby.Miller@SampleComp.com/a&gt;.
&lt;a href="https://sample.com/update"&gt;View additional contact information&lt;/a&gt; including your phone, email, home address and other communication methods.</t>
  </si>
  <si>
    <t>Here are your first 3 requests:
1. Personal Contribution Approval Requested for Adam Jonsey (123456) on 2023-08-31 by Adam Jonsey
Assigned on August 31st 2023
2. Personal Contribution Approval Requested for Adam Jonsey (123456) on 2023-08-31 by Adam Jonsey
Assigned on August 31st 2023
3. Personal Contribution Approval Requested for Adam Jonsey (123456) on 2023-08-31 by Adam Jonsey
Withdrawn on August 31st 2023
Next 3</t>
  </si>
  <si>
    <t>&lt;a href='https://sample.com/pay' &gt;View your payslip&lt;/a&gt;</t>
  </si>
  <si>
    <t>Please have a look at the &lt;a href="https://sample.com/holidays"&gt;Disciplinary Policy&lt;/a&gt;. The Record of Informal Discussion Form can be found &lt;a href="https://sample.com/holidays"&gt;here&lt;/a&gt;. If you need further support please raise a &lt;a href="https://sample.com/SR"&gt;Service Request&lt;/a&gt; on HRCloud Helpdesk using 'Fair Treatment at Work - Ask a Question'.</t>
  </si>
  <si>
    <t>Here are your first 3 requests:
1. Personal Contribution Approval Requested for Jamie Barrke (123345) on 2023-08-29 by Tracey Clarke
Completed on August 30th 2023
2. Personal Contribution Approval Requested for Jamie Barrke (123345) on 2023-08-29 by Tracey Clarke
Completed on August 29th 2023
3. Personal Contribution Approval Requested for Jamie Barrke (123345) on 2023-08-29 by Tracey Clarke
Completed on August 29th 2023
Next 3</t>
  </si>
  <si>
    <t>Here are your FYIs:
1. HRCloud Learning - You have recently been assigned learning
&lt;a href='https://sample.com/holidays'&gt;View Details&lt;/a&gt;</t>
  </si>
  <si>
    <t>Attempting re-direction to other service</t>
  </si>
  <si>
    <t>Pay Questons</t>
  </si>
  <si>
    <t>Helpdesk Rep</t>
  </si>
  <si>
    <t>Internal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</si>
</sst>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2"/>
      <color theme="1"/>
      <name val="Calibri"/>
      <family val="2"/>
      <scheme val="minor"/>
    </font>
    <font>
      <sz val="11"/>
      <color theme="1"/>
      <name val="Calibri (Body)"/>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rgb="FFFFFF00"/>
        <bgColor indexed="64"/>
      </patternFill>
    </fill>
    <fill>
      <patternFill patternType="solid">
        <fgColor theme="4" tint="0.79998168889431442"/>
        <bgColor theme="4" tint="0.79998168889431442"/>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9" tint="0.39997558519241921"/>
      </top>
      <bottom style="thin">
        <color theme="9" tint="0.39997558519241921"/>
      </bottom>
      <diagonal/>
    </border>
    <border>
      <left/>
      <right/>
      <top/>
      <bottom style="thin">
        <color theme="4" tint="0.39997558519241921"/>
      </bottom>
      <diagonal/>
    </border>
    <border>
      <left/>
      <right/>
      <top style="thin">
        <color theme="4" tint="0.3999755851924192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8">
    <xf numFmtId="0" fontId="0" fillId="0" borderId="0" xfId="0"/>
    <xf numFmtId="0" fontId="0" fillId="0" borderId="0" xfId="0" applyAlignment="1">
      <alignment vertical="center"/>
    </xf>
    <xf numFmtId="0" fontId="18" fillId="0" borderId="0" xfId="0" applyFont="1"/>
    <xf numFmtId="0" fontId="18" fillId="0" borderId="0" xfId="0" applyFont="1" applyAlignment="1">
      <alignment vertical="center"/>
    </xf>
    <xf numFmtId="0" fontId="13" fillId="33" borderId="10" xfId="0" applyFont="1" applyFill="1" applyBorder="1" applyAlignment="1">
      <alignment vertical="top" wrapText="1"/>
    </xf>
    <xf numFmtId="0" fontId="13" fillId="33" borderId="10" xfId="0" applyFont="1" applyFill="1" applyBorder="1" applyAlignment="1">
      <alignment vertical="top"/>
    </xf>
    <xf numFmtId="1" fontId="13" fillId="33" borderId="0" xfId="0" applyNumberFormat="1" applyFont="1" applyFill="1" applyAlignment="1">
      <alignment vertical="top"/>
    </xf>
    <xf numFmtId="0" fontId="0" fillId="0" borderId="0" xfId="0" applyAlignment="1">
      <alignment vertical="top"/>
    </xf>
    <xf numFmtId="0" fontId="0" fillId="0" borderId="0" xfId="0" applyAlignment="1">
      <alignment vertical="top" wrapText="1"/>
    </xf>
    <xf numFmtId="14" fontId="0" fillId="0" borderId="0" xfId="0" applyNumberFormat="1" applyAlignment="1">
      <alignment vertical="top"/>
    </xf>
    <xf numFmtId="21" fontId="0" fillId="0" borderId="0" xfId="0" applyNumberFormat="1" applyAlignment="1">
      <alignment vertical="top"/>
    </xf>
    <xf numFmtId="1" fontId="0" fillId="0" borderId="0" xfId="0" applyNumberFormat="1" applyAlignment="1">
      <alignment vertical="top"/>
    </xf>
    <xf numFmtId="0" fontId="14" fillId="0" borderId="0" xfId="0" applyFont="1" applyAlignment="1">
      <alignment vertical="top"/>
    </xf>
    <xf numFmtId="0" fontId="16" fillId="35" borderId="11" xfId="0" applyFont="1" applyFill="1" applyBorder="1"/>
    <xf numFmtId="0" fontId="0" fillId="0" borderId="0" xfId="0" pivotButton="1"/>
    <xf numFmtId="14" fontId="0" fillId="0" borderId="0" xfId="0" applyNumberFormat="1" applyAlignment="1">
      <alignment horizontal="left"/>
    </xf>
    <xf numFmtId="0" fontId="0" fillId="0" borderId="0" xfId="0" applyAlignment="1">
      <alignment horizontal="left"/>
    </xf>
    <xf numFmtId="9" fontId="0" fillId="0" borderId="0" xfId="42" applyFont="1"/>
    <xf numFmtId="0" fontId="0" fillId="0" borderId="0" xfId="0" applyAlignment="1">
      <alignment wrapText="1"/>
    </xf>
    <xf numFmtId="14" fontId="0" fillId="0" borderId="0" xfId="0" applyNumberFormat="1"/>
    <xf numFmtId="164" fontId="0" fillId="0" borderId="0" xfId="0" applyNumberFormat="1"/>
    <xf numFmtId="164" fontId="14" fillId="0" borderId="0" xfId="0" applyNumberFormat="1" applyFont="1"/>
    <xf numFmtId="164" fontId="0" fillId="34" borderId="0" xfId="0" applyNumberFormat="1" applyFill="1"/>
    <xf numFmtId="0" fontId="16" fillId="35" borderId="11" xfId="0" applyFont="1" applyFill="1" applyBorder="1" applyAlignment="1">
      <alignment horizontal="center"/>
    </xf>
    <xf numFmtId="0" fontId="16" fillId="35" borderId="12" xfId="0" applyFont="1" applyFill="1" applyBorder="1" applyAlignment="1">
      <alignment horizontal="left"/>
    </xf>
    <xf numFmtId="0" fontId="0" fillId="0" borderId="0" xfId="0" applyAlignment="1">
      <alignment horizontal="center"/>
    </xf>
    <xf numFmtId="164" fontId="0" fillId="0" borderId="0" xfId="42" applyNumberFormat="1" applyFont="1" applyAlignment="1">
      <alignment horizontal="center"/>
    </xf>
    <xf numFmtId="9" fontId="16" fillId="35" borderId="12" xfId="42" applyFont="1" applyFill="1" applyBorder="1" applyAlignment="1">
      <alignment horizontal="center"/>
    </xf>
    <xf numFmtId="9" fontId="0" fillId="0" borderId="0" xfId="42" applyFont="1" applyAlignment="1">
      <alignment horizontal="center"/>
    </xf>
    <xf numFmtId="0" fontId="16" fillId="35" borderId="12" xfId="0" applyFont="1" applyFill="1" applyBorder="1" applyAlignment="1">
      <alignment horizontal="center"/>
    </xf>
    <xf numFmtId="0" fontId="16" fillId="33" borderId="10" xfId="0" applyFont="1" applyFill="1" applyBorder="1" applyAlignment="1">
      <alignment vertical="top" wrapText="1"/>
    </xf>
    <xf numFmtId="0" fontId="16" fillId="0" borderId="0" xfId="0" applyFont="1"/>
    <xf numFmtId="0" fontId="16" fillId="0" borderId="0" xfId="0" applyFont="1" applyAlignment="1">
      <alignment horizontal="center"/>
    </xf>
    <xf numFmtId="0" fontId="0" fillId="0" borderId="0" xfId="0" applyNumberFormat="1"/>
    <xf numFmtId="0" fontId="0" fillId="0" borderId="0" xfId="0" applyNumberFormat="1" applyAlignment="1">
      <alignment horizontal="center"/>
    </xf>
    <xf numFmtId="0" fontId="13" fillId="33" borderId="0" xfId="0" applyFont="1" applyFill="1" applyBorder="1" applyAlignment="1">
      <alignment vertical="top" wrapText="1"/>
    </xf>
    <xf numFmtId="0" fontId="16" fillId="0" borderId="0" xfId="0" applyFont="1" applyAlignment="1">
      <alignment vertical="top" wrapText="1"/>
    </xf>
    <xf numFmtId="0" fontId="16" fillId="34" borderId="0" xfId="0" applyFont="1" applyFill="1" applyAlignment="1">
      <alignmen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4">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 3 - Conversational Log Analysis-2024-empty.xlsx]Overall Success Summary!PivotTable2</c:name>
    <c:fmtId val="0"/>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GB"/>
              <a:t>Success Rate</a:t>
            </a:r>
          </a:p>
        </c:rich>
      </c:tx>
      <c:overlay val="0"/>
      <c:spPr>
        <a:noFill/>
        <a:ln>
          <a:noFill/>
        </a:ln>
        <a:effectLst/>
      </c:sp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w="25400">
            <a:solidFill>
              <a:schemeClr val="lt1"/>
            </a:solidFill>
          </a:ln>
          <a:effectLst/>
          <a:sp3d contourW="25400">
            <a:contourClr>
              <a:schemeClr val="lt1"/>
            </a:contourClr>
          </a:sp3d>
        </c:spPr>
        <c:dLbl>
          <c:idx val="0"/>
          <c:layout>
            <c:manualLayout>
              <c:x val="7.9681274900398405E-3"/>
              <c:y val="-2.5974025974025976E-2"/>
            </c:manualLayout>
          </c:layout>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r>
                  <a:rPr lang="en-US"/>
                  <a:t>Failure 26% (</a:t>
                </a:r>
                <a:fld id="{449EFE39-DDD3-184C-825F-C2BE6079A4E0}" type="VALUE">
                  <a:rPr lang="en-US"/>
                  <a:pPr>
                    <a:defRPr sz="1600" b="0" i="0" u="none" strike="noStrike" kern="1200" baseline="0">
                      <a:solidFill>
                        <a:schemeClr val="tx1">
                          <a:lumMod val="75000"/>
                          <a:lumOff val="25000"/>
                        </a:schemeClr>
                      </a:solidFill>
                      <a:latin typeface="+mn-lt"/>
                      <a:ea typeface="+mn-ea"/>
                      <a:cs typeface="+mn-cs"/>
                    </a:defRPr>
                  </a:pPr>
                  <a:t>[VALUE]</a:t>
                </a:fld>
                <a:r>
                  <a:rPr lang="en-US"/>
                  <a:t>)</a:t>
                </a:r>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rgbClr val="92D050"/>
          </a:solidFill>
          <a:ln w="25400">
            <a:solidFill>
              <a:schemeClr val="lt1"/>
            </a:solidFill>
          </a:ln>
          <a:effectLst/>
          <a:sp3d contourW="25400">
            <a:contourClr>
              <a:schemeClr val="lt1"/>
            </a:contourClr>
          </a:sp3d>
        </c:spPr>
        <c:dLbl>
          <c:idx val="0"/>
          <c:layout>
            <c:manualLayout>
              <c:x val="-1.160541586073501E-2"/>
              <c:y val="0.27034883720930231"/>
            </c:manualLayout>
          </c:layout>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r>
                  <a:rPr lang="en-US"/>
                  <a:t>Qualified Success 5% (</a:t>
                </a:r>
                <a:fld id="{031DC38D-407E-0E4A-9CC3-FE2CC64952DE}" type="VALUE">
                  <a:rPr lang="en-US"/>
                  <a:pPr>
                    <a:defRPr sz="1600" b="0" i="0" u="none" strike="noStrike" kern="1200" baseline="0">
                      <a:solidFill>
                        <a:schemeClr val="tx1">
                          <a:lumMod val="75000"/>
                          <a:lumOff val="25000"/>
                        </a:schemeClr>
                      </a:solidFill>
                      <a:latin typeface="+mn-lt"/>
                      <a:ea typeface="+mn-ea"/>
                      <a:cs typeface="+mn-cs"/>
                    </a:defRPr>
                  </a:pPr>
                  <a:t>[VALUE]</a:t>
                </a:fld>
                <a:r>
                  <a:rPr lang="en-US"/>
                  <a:t>)</a:t>
                </a:r>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rgbClr val="00B050"/>
          </a:solidFill>
          <a:ln w="25400">
            <a:solidFill>
              <a:schemeClr val="lt1"/>
            </a:solidFill>
          </a:ln>
          <a:effectLst/>
          <a:sp3d contourW="25400">
            <a:contourClr>
              <a:schemeClr val="lt1"/>
            </a:contourClr>
          </a:sp3d>
        </c:spPr>
        <c:dLbl>
          <c:idx val="0"/>
          <c:layout>
            <c:manualLayout>
              <c:x val="1.0624169986719787E-2"/>
              <c:y val="7.792207792207792E-2"/>
            </c:manualLayout>
          </c:layout>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r>
                  <a:rPr lang="en-US"/>
                  <a:t>Success 69%</a:t>
                </a:r>
                <a:br>
                  <a:rPr lang="en-US"/>
                </a:br>
                <a:r>
                  <a:rPr lang="en-US"/>
                  <a:t>(</a:t>
                </a:r>
                <a:fld id="{46884F63-8F25-F14B-8A2F-150266DB5E60}" type="VALUE">
                  <a:rPr lang="en-US"/>
                  <a:pPr>
                    <a:defRPr sz="1600" b="0" i="0" u="none" strike="noStrike" kern="1200" baseline="0">
                      <a:solidFill>
                        <a:schemeClr val="tx1">
                          <a:lumMod val="75000"/>
                          <a:lumOff val="25000"/>
                        </a:schemeClr>
                      </a:solidFill>
                      <a:latin typeface="+mn-lt"/>
                      <a:ea typeface="+mn-ea"/>
                      <a:cs typeface="+mn-cs"/>
                    </a:defRPr>
                  </a:pPr>
                  <a:t>[VALUE]</a:t>
                </a:fld>
                <a:r>
                  <a:rPr lang="en-US"/>
                  <a:t>)</a:t>
                </a:r>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75000"/>
            </a:schemeClr>
          </a:solidFill>
          <a:ln w="25400">
            <a:solidFill>
              <a:schemeClr val="lt1"/>
            </a:solidFill>
          </a:ln>
          <a:effectLst/>
          <a:sp3d contourW="25400">
            <a:contourClr>
              <a:schemeClr val="lt1"/>
            </a:contourClr>
          </a:sp3d>
        </c:spPr>
        <c:dLbl>
          <c:idx val="0"/>
          <c:layout>
            <c:manualLayout>
              <c:x val="7.9681274900398405E-3"/>
              <c:y val="-2.5974025974025976E-2"/>
            </c:manualLayout>
          </c:layout>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r>
                  <a:rPr lang="en-US"/>
                  <a:t>Failure 26% (</a:t>
                </a:r>
                <a:fld id="{449EFE39-DDD3-184C-825F-C2BE6079A4E0}" type="VALUE">
                  <a:rPr lang="en-US"/>
                  <a:pPr>
                    <a:defRPr sz="1600" b="0" i="0" u="none" strike="noStrike" kern="1200" baseline="0">
                      <a:solidFill>
                        <a:schemeClr val="tx1">
                          <a:lumMod val="75000"/>
                          <a:lumOff val="25000"/>
                        </a:schemeClr>
                      </a:solidFill>
                      <a:latin typeface="+mn-lt"/>
                      <a:ea typeface="+mn-ea"/>
                      <a:cs typeface="+mn-cs"/>
                    </a:defRPr>
                  </a:pPr>
                  <a:t>[VALUE]</a:t>
                </a:fld>
                <a:r>
                  <a:rPr lang="en-US"/>
                  <a:t>)</a:t>
                </a:r>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rgbClr val="92D050"/>
          </a:solidFill>
          <a:ln w="25400">
            <a:solidFill>
              <a:schemeClr val="lt1"/>
            </a:solidFill>
          </a:ln>
          <a:effectLst/>
          <a:sp3d contourW="25400">
            <a:contourClr>
              <a:schemeClr val="lt1"/>
            </a:contourClr>
          </a:sp3d>
        </c:spPr>
        <c:dLbl>
          <c:idx val="0"/>
          <c:layout>
            <c:manualLayout>
              <c:x val="-1.160541586073501E-2"/>
              <c:y val="0.27034883720930231"/>
            </c:manualLayout>
          </c:layout>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r>
                  <a:rPr lang="en-US"/>
                  <a:t>Qualified Success 5% (</a:t>
                </a:r>
                <a:fld id="{031DC38D-407E-0E4A-9CC3-FE2CC64952DE}" type="VALUE">
                  <a:rPr lang="en-US"/>
                  <a:pPr>
                    <a:defRPr sz="1600" b="0" i="0" u="none" strike="noStrike" kern="1200" baseline="0">
                      <a:solidFill>
                        <a:schemeClr val="tx1">
                          <a:lumMod val="75000"/>
                          <a:lumOff val="25000"/>
                        </a:schemeClr>
                      </a:solidFill>
                      <a:latin typeface="+mn-lt"/>
                      <a:ea typeface="+mn-ea"/>
                      <a:cs typeface="+mn-cs"/>
                    </a:defRPr>
                  </a:pPr>
                  <a:t>[VALUE]</a:t>
                </a:fld>
                <a:r>
                  <a:rPr lang="en-US"/>
                  <a:t>)</a:t>
                </a:r>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rgbClr val="00B050"/>
          </a:solidFill>
          <a:ln w="25400">
            <a:solidFill>
              <a:schemeClr val="lt1"/>
            </a:solidFill>
          </a:ln>
          <a:effectLst/>
          <a:sp3d contourW="25400">
            <a:contourClr>
              <a:schemeClr val="lt1"/>
            </a:contourClr>
          </a:sp3d>
        </c:spPr>
        <c:dLbl>
          <c:idx val="0"/>
          <c:layout>
            <c:manualLayout>
              <c:x val="1.0624169986719787E-2"/>
              <c:y val="7.792207792207792E-2"/>
            </c:manualLayout>
          </c:layout>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r>
                  <a:rPr lang="en-US"/>
                  <a:t>Success 69%</a:t>
                </a:r>
                <a:br>
                  <a:rPr lang="en-US"/>
                </a:br>
                <a:r>
                  <a:rPr lang="en-US"/>
                  <a:t>(</a:t>
                </a:r>
                <a:fld id="{46884F63-8F25-F14B-8A2F-150266DB5E60}" type="VALUE">
                  <a:rPr lang="en-US"/>
                  <a:pPr>
                    <a:defRPr sz="1600" b="0" i="0" u="none" strike="noStrike" kern="1200" baseline="0">
                      <a:solidFill>
                        <a:schemeClr val="tx1">
                          <a:lumMod val="75000"/>
                          <a:lumOff val="25000"/>
                        </a:schemeClr>
                      </a:solidFill>
                      <a:latin typeface="+mn-lt"/>
                      <a:ea typeface="+mn-ea"/>
                      <a:cs typeface="+mn-cs"/>
                    </a:defRPr>
                  </a:pPr>
                  <a:t>[VALUE]</a:t>
                </a:fld>
                <a:r>
                  <a:rPr lang="en-US"/>
                  <a:t>)</a:t>
                </a:r>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75000"/>
            </a:schemeClr>
          </a:solidFill>
          <a:ln w="25400">
            <a:solidFill>
              <a:schemeClr val="lt1"/>
            </a:solidFill>
          </a:ln>
          <a:effectLst/>
          <a:sp3d contourW="25400">
            <a:contourClr>
              <a:schemeClr val="lt1"/>
            </a:contourClr>
          </a:sp3d>
        </c:spPr>
        <c:dLbl>
          <c:idx val="0"/>
          <c:layout>
            <c:manualLayout>
              <c:x val="7.9681274900398405E-3"/>
              <c:y val="-2.5974025974025976E-2"/>
            </c:manualLayout>
          </c:layout>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r>
                  <a:rPr lang="en-US"/>
                  <a:t>Failure 26% (</a:t>
                </a:r>
                <a:fld id="{449EFE39-DDD3-184C-825F-C2BE6079A4E0}" type="VALUE">
                  <a:rPr lang="en-US"/>
                  <a:pPr>
                    <a:defRPr sz="1600" b="0" i="0" u="none" strike="noStrike" kern="1200" baseline="0">
                      <a:solidFill>
                        <a:schemeClr val="tx1">
                          <a:lumMod val="75000"/>
                          <a:lumOff val="25000"/>
                        </a:schemeClr>
                      </a:solidFill>
                      <a:latin typeface="+mn-lt"/>
                      <a:ea typeface="+mn-ea"/>
                      <a:cs typeface="+mn-cs"/>
                    </a:defRPr>
                  </a:pPr>
                  <a:t>[VALUE]</a:t>
                </a:fld>
                <a:r>
                  <a:rPr lang="en-US"/>
                  <a:t>)</a:t>
                </a:r>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rgbClr val="92D050"/>
          </a:solidFill>
          <a:ln w="25400">
            <a:solidFill>
              <a:schemeClr val="lt1"/>
            </a:solidFill>
          </a:ln>
          <a:effectLst/>
          <a:sp3d contourW="25400">
            <a:contourClr>
              <a:schemeClr val="lt1"/>
            </a:contourClr>
          </a:sp3d>
        </c:spPr>
        <c:dLbl>
          <c:idx val="0"/>
          <c:layout>
            <c:manualLayout>
              <c:x val="-1.160541586073501E-2"/>
              <c:y val="0.27034883720930231"/>
            </c:manualLayout>
          </c:layout>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r>
                  <a:rPr lang="en-US"/>
                  <a:t>Qualified Success 5% (</a:t>
                </a:r>
                <a:fld id="{031DC38D-407E-0E4A-9CC3-FE2CC64952DE}" type="VALUE">
                  <a:rPr lang="en-US"/>
                  <a:pPr>
                    <a:defRPr sz="1600" b="0" i="0" u="none" strike="noStrike" kern="1200" baseline="0">
                      <a:solidFill>
                        <a:schemeClr val="tx1">
                          <a:lumMod val="75000"/>
                          <a:lumOff val="25000"/>
                        </a:schemeClr>
                      </a:solidFill>
                      <a:latin typeface="+mn-lt"/>
                      <a:ea typeface="+mn-ea"/>
                      <a:cs typeface="+mn-cs"/>
                    </a:defRPr>
                  </a:pPr>
                  <a:t>[VALUE]</a:t>
                </a:fld>
                <a:r>
                  <a:rPr lang="en-US"/>
                  <a:t>)</a:t>
                </a:r>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rgbClr val="00B050"/>
          </a:solidFill>
          <a:ln w="25400">
            <a:solidFill>
              <a:schemeClr val="lt1"/>
            </a:solidFill>
          </a:ln>
          <a:effectLst/>
          <a:sp3d contourW="25400">
            <a:contourClr>
              <a:schemeClr val="lt1"/>
            </a:contourClr>
          </a:sp3d>
        </c:spPr>
        <c:dLbl>
          <c:idx val="0"/>
          <c:layout>
            <c:manualLayout>
              <c:x val="1.0624169986719787E-2"/>
              <c:y val="7.792207792207792E-2"/>
            </c:manualLayout>
          </c:layout>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r>
                  <a:rPr lang="en-US"/>
                  <a:t>Success 69%</a:t>
                </a:r>
                <a:br>
                  <a:rPr lang="en-US"/>
                </a:br>
                <a:r>
                  <a:rPr lang="en-US"/>
                  <a:t>(</a:t>
                </a:r>
                <a:fld id="{46884F63-8F25-F14B-8A2F-150266DB5E60}" type="VALUE">
                  <a:rPr lang="en-US"/>
                  <a:pPr>
                    <a:defRPr sz="1600" b="0" i="0" u="none" strike="noStrike" kern="1200" baseline="0">
                      <a:solidFill>
                        <a:schemeClr val="tx1">
                          <a:lumMod val="75000"/>
                          <a:lumOff val="25000"/>
                        </a:schemeClr>
                      </a:solidFill>
                      <a:latin typeface="+mn-lt"/>
                      <a:ea typeface="+mn-ea"/>
                      <a:cs typeface="+mn-cs"/>
                    </a:defRPr>
                  </a:pPr>
                  <a:t>[VALUE]</a:t>
                </a:fld>
                <a:r>
                  <a:rPr lang="en-US"/>
                  <a:t>)</a:t>
                </a:r>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lumMod val="75000"/>
            </a:schemeClr>
          </a:solidFill>
          <a:ln w="25400">
            <a:solidFill>
              <a:schemeClr val="lt1"/>
            </a:solidFill>
          </a:ln>
          <a:effectLst/>
          <a:sp3d contourW="25400">
            <a:contourClr>
              <a:schemeClr val="lt1"/>
            </a:contourClr>
          </a:sp3d>
        </c:spPr>
        <c:dLbl>
          <c:idx val="0"/>
          <c:layout>
            <c:manualLayout>
              <c:x val="-3.5196687370600416E-2"/>
              <c:y val="-0.11486286089238845"/>
            </c:manualLayout>
          </c:layout>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r>
                  <a:rPr lang="en-US"/>
                  <a:t>Failure 26% (</a:t>
                </a:r>
                <a:fld id="{449EFE39-DDD3-184C-825F-C2BE6079A4E0}" type="VALUE">
                  <a:rPr lang="en-US"/>
                  <a:pPr>
                    <a:defRPr sz="1600" b="0" i="0" u="none" strike="noStrike" kern="1200" baseline="0">
                      <a:solidFill>
                        <a:schemeClr val="tx1">
                          <a:lumMod val="75000"/>
                          <a:lumOff val="25000"/>
                        </a:schemeClr>
                      </a:solidFill>
                      <a:latin typeface="+mn-lt"/>
                      <a:ea typeface="+mn-ea"/>
                      <a:cs typeface="+mn-cs"/>
                    </a:defRPr>
                  </a:pPr>
                  <a:t>[VALUE]</a:t>
                </a:fld>
                <a:r>
                  <a:rPr lang="en-US"/>
                  <a:t>)</a:t>
                </a:r>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spPr>
          <a:solidFill>
            <a:srgbClr val="92D050"/>
          </a:solidFill>
          <a:ln w="25400">
            <a:solidFill>
              <a:schemeClr val="lt1"/>
            </a:solidFill>
          </a:ln>
          <a:effectLst/>
          <a:sp3d contourW="25400">
            <a:contourClr>
              <a:schemeClr val="lt1"/>
            </a:contourClr>
          </a:sp3d>
        </c:spPr>
        <c:dLbl>
          <c:idx val="0"/>
          <c:layout>
            <c:manualLayout>
              <c:x val="-3.2309385239888494E-2"/>
              <c:y val="2.5150699912510833E-2"/>
            </c:manualLayout>
          </c:layout>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r>
                  <a:rPr lang="en-US"/>
                  <a:t>Qualified Success 5% (</a:t>
                </a:r>
                <a:fld id="{031DC38D-407E-0E4A-9CC3-FE2CC64952DE}" type="VALUE">
                  <a:rPr lang="en-US"/>
                  <a:pPr>
                    <a:defRPr sz="1600" b="0" i="0" u="none" strike="noStrike" kern="1200" baseline="0">
                      <a:solidFill>
                        <a:schemeClr val="tx1">
                          <a:lumMod val="75000"/>
                          <a:lumOff val="25000"/>
                        </a:schemeClr>
                      </a:solidFill>
                      <a:latin typeface="+mn-lt"/>
                      <a:ea typeface="+mn-ea"/>
                      <a:cs typeface="+mn-cs"/>
                    </a:defRPr>
                  </a:pPr>
                  <a:t>[VALUE]</a:t>
                </a:fld>
                <a:r>
                  <a:rPr lang="en-US"/>
                  <a:t>)</a:t>
                </a:r>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rgbClr val="00B050"/>
          </a:solidFill>
          <a:ln w="25400">
            <a:solidFill>
              <a:schemeClr val="lt1"/>
            </a:solidFill>
          </a:ln>
          <a:effectLst/>
          <a:sp3d contourW="25400">
            <a:contourClr>
              <a:schemeClr val="lt1"/>
            </a:contourClr>
          </a:sp3d>
        </c:spPr>
        <c:dLbl>
          <c:idx val="0"/>
          <c:layout>
            <c:manualLayout>
              <c:x val="3.7539329322965061E-2"/>
              <c:y val="0.27792213473315835"/>
            </c:manualLayout>
          </c:layout>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r>
                  <a:rPr lang="en-US"/>
                  <a:t>Success 69%</a:t>
                </a:r>
                <a:br>
                  <a:rPr lang="en-US"/>
                </a:br>
                <a:r>
                  <a:rPr lang="en-US"/>
                  <a:t>(</a:t>
                </a:r>
                <a:fld id="{46884F63-8F25-F14B-8A2F-150266DB5E60}" type="VALUE">
                  <a:rPr lang="en-US"/>
                  <a:pPr>
                    <a:defRPr sz="1600" b="0" i="0" u="none" strike="noStrike" kern="1200" baseline="0">
                      <a:solidFill>
                        <a:schemeClr val="tx1">
                          <a:lumMod val="75000"/>
                          <a:lumOff val="25000"/>
                        </a:schemeClr>
                      </a:solidFill>
                      <a:latin typeface="+mn-lt"/>
                      <a:ea typeface="+mn-ea"/>
                      <a:cs typeface="+mn-cs"/>
                    </a:defRPr>
                  </a:pPr>
                  <a:t>[VALUE]</a:t>
                </a:fld>
                <a:r>
                  <a:rPr lang="en-US"/>
                  <a:t>)</a:t>
                </a:r>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view3D>
      <c:rotX val="30"/>
      <c:rotY val="3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'Overall Success Summary'!$B$3</c:f>
              <c:strCache>
                <c:ptCount val="1"/>
                <c:pt idx="0">
                  <c:v>Total</c:v>
                </c:pt>
              </c:strCache>
            </c:strRef>
          </c:tx>
          <c:dPt>
            <c:idx val="0"/>
            <c:bubble3D val="0"/>
            <c:spPr>
              <a:solidFill>
                <a:schemeClr val="accent4">
                  <a:lumMod val="7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B689-B244-982B-C8CD734226BD}"/>
              </c:ext>
            </c:extLst>
          </c:dPt>
          <c:dPt>
            <c:idx val="1"/>
            <c:bubble3D val="0"/>
            <c:spPr>
              <a:solidFill>
                <a:srgbClr val="92D050"/>
              </a:solidFill>
              <a:ln w="25400">
                <a:solidFill>
                  <a:schemeClr val="lt1"/>
                </a:solidFill>
              </a:ln>
              <a:effectLst/>
              <a:sp3d contourW="25400">
                <a:contourClr>
                  <a:schemeClr val="lt1"/>
                </a:contourClr>
              </a:sp3d>
            </c:spPr>
            <c:extLst>
              <c:ext xmlns:c16="http://schemas.microsoft.com/office/drawing/2014/chart" uri="{C3380CC4-5D6E-409C-BE32-E72D297353CC}">
                <c16:uniqueId val="{00000009-B689-B244-982B-C8CD734226BD}"/>
              </c:ext>
            </c:extLst>
          </c:dPt>
          <c:dPt>
            <c:idx val="2"/>
            <c:bubble3D val="0"/>
            <c:spPr>
              <a:solidFill>
                <a:srgbClr val="00B050"/>
              </a:solidFill>
              <a:ln w="25400">
                <a:solidFill>
                  <a:schemeClr val="lt1"/>
                </a:solidFill>
              </a:ln>
              <a:effectLst/>
              <a:sp3d contourW="25400">
                <a:contourClr>
                  <a:schemeClr val="lt1"/>
                </a:contourClr>
              </a:sp3d>
            </c:spPr>
            <c:extLst>
              <c:ext xmlns:c16="http://schemas.microsoft.com/office/drawing/2014/chart" uri="{C3380CC4-5D6E-409C-BE32-E72D297353CC}">
                <c16:uniqueId val="{0000000B-B689-B244-982B-C8CD734226BD}"/>
              </c:ext>
            </c:extLst>
          </c:dPt>
          <c:dLbls>
            <c:dLbl>
              <c:idx val="0"/>
              <c:layout>
                <c:manualLayout>
                  <c:x val="-3.5196687370600416E-2"/>
                  <c:y val="-0.11486286089238845"/>
                </c:manualLayout>
              </c:layout>
              <c:tx>
                <c:rich>
                  <a:bodyPr/>
                  <a:lstStyle/>
                  <a:p>
                    <a:r>
                      <a:rPr lang="en-US"/>
                      <a:t>Failure 26% (</a:t>
                    </a:r>
                    <a:fld id="{449EFE39-DDD3-184C-825F-C2BE6079A4E0}" type="VALUE">
                      <a:rPr lang="en-US"/>
                      <a:pPr/>
                      <a:t>[VALUE]</a:t>
                    </a:fld>
                    <a:r>
                      <a:rPr lang="en-US"/>
                      <a:t>)</a:t>
                    </a:r>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B689-B244-982B-C8CD734226BD}"/>
                </c:ext>
              </c:extLst>
            </c:dLbl>
            <c:dLbl>
              <c:idx val="1"/>
              <c:layout>
                <c:manualLayout>
                  <c:x val="-3.2309385239888494E-2"/>
                  <c:y val="2.5150699912510833E-2"/>
                </c:manualLayout>
              </c:layout>
              <c:tx>
                <c:rich>
                  <a:bodyPr/>
                  <a:lstStyle/>
                  <a:p>
                    <a:r>
                      <a:rPr lang="en-US"/>
                      <a:t>Qualified Success 5% (</a:t>
                    </a:r>
                    <a:fld id="{031DC38D-407E-0E4A-9CC3-FE2CC64952DE}" type="VALUE">
                      <a:rPr lang="en-US"/>
                      <a:pPr/>
                      <a:t>[VALUE]</a:t>
                    </a:fld>
                    <a:r>
                      <a:rPr lang="en-US"/>
                      <a:t>)</a:t>
                    </a:r>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B689-B244-982B-C8CD734226BD}"/>
                </c:ext>
              </c:extLst>
            </c:dLbl>
            <c:dLbl>
              <c:idx val="2"/>
              <c:layout>
                <c:manualLayout>
                  <c:x val="3.7539329322965061E-2"/>
                  <c:y val="0.27792213473315835"/>
                </c:manualLayout>
              </c:layout>
              <c:tx>
                <c:rich>
                  <a:bodyPr/>
                  <a:lstStyle/>
                  <a:p>
                    <a:r>
                      <a:rPr lang="en-US"/>
                      <a:t>Success 69%</a:t>
                    </a:r>
                    <a:br>
                      <a:rPr lang="en-US"/>
                    </a:br>
                    <a:r>
                      <a:rPr lang="en-US"/>
                      <a:t>(</a:t>
                    </a:r>
                    <a:fld id="{46884F63-8F25-F14B-8A2F-150266DB5E60}" type="VALUE">
                      <a:rPr lang="en-US"/>
                      <a:pPr/>
                      <a:t>[VALUE]</a:t>
                    </a:fld>
                    <a:r>
                      <a:rPr lang="en-US"/>
                      <a:t>)</a:t>
                    </a:r>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B689-B244-982B-C8CD734226BD}"/>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noFill/>
                  <a:round/>
                </a:ln>
                <a:effectLst/>
              </c:spPr>
            </c:leaderLines>
            <c:extLst>
              <c:ext xmlns:c15="http://schemas.microsoft.com/office/drawing/2012/chart" uri="{CE6537A1-D6FC-4f65-9D91-7224C49458BB}"/>
            </c:extLst>
          </c:dLbls>
          <c:cat>
            <c:strRef>
              <c:f>'Overall Success Summary'!$A$4:$A$7</c:f>
              <c:strCache>
                <c:ptCount val="3"/>
                <c:pt idx="0">
                  <c:v>Failure</c:v>
                </c:pt>
                <c:pt idx="1">
                  <c:v>Qualified Success</c:v>
                </c:pt>
                <c:pt idx="2">
                  <c:v>Success</c:v>
                </c:pt>
              </c:strCache>
            </c:strRef>
          </c:cat>
          <c:val>
            <c:numRef>
              <c:f>'Overall Success Summary'!$B$4:$B$7</c:f>
              <c:numCache>
                <c:formatCode>General</c:formatCode>
                <c:ptCount val="3"/>
                <c:pt idx="0">
                  <c:v>1295</c:v>
                </c:pt>
                <c:pt idx="1">
                  <c:v>250</c:v>
                </c:pt>
                <c:pt idx="2">
                  <c:v>3411</c:v>
                </c:pt>
              </c:numCache>
            </c:numRef>
          </c:val>
          <c:extLst>
            <c:ext xmlns:c16="http://schemas.microsoft.com/office/drawing/2014/chart" uri="{C3380CC4-5D6E-409C-BE32-E72D297353CC}">
              <c16:uniqueId val="{0000000C-B689-B244-982B-C8CD734226BD}"/>
            </c:ext>
          </c:extLst>
        </c:ser>
        <c:dLbls>
          <c:dLblPos val="outEnd"/>
          <c:showLegendKey val="0"/>
          <c:showVal val="1"/>
          <c:showCatName val="0"/>
          <c:showSerName val="0"/>
          <c:showPercent val="0"/>
          <c:showBubbleSize val="0"/>
          <c:showLeaderLines val="1"/>
        </c:dLbls>
      </c:pie3DChart>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 3 - Conversational Log Analysis-2024-empty.xlsx]Daily Users!PivotTable1</c:name>
    <c:fmtId val="0"/>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1" i="0" u="none" strike="noStrike" kern="1200" spc="0" baseline="0">
                <a:solidFill>
                  <a:sysClr val="windowText" lastClr="000000">
                    <a:lumMod val="65000"/>
                    <a:lumOff val="35000"/>
                  </a:sysClr>
                </a:solidFill>
              </a:rPr>
              <a:t>Interactions Per Day for the Month of August 2023</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'Daily Users'!$B$3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'Daily Users'!$A$4:$A$32</c:f>
              <c:strCache>
                <c:ptCount val="28"/>
                <c:pt idx="0">
                  <c:v>3/1/23</c:v>
                </c:pt>
                <c:pt idx="1">
                  <c:v>3/2/23</c:v>
                </c:pt>
                <c:pt idx="2">
                  <c:v>3/3/23</c:v>
                </c:pt>
                <c:pt idx="3">
                  <c:v>3/4/23</c:v>
                </c:pt>
                <c:pt idx="4">
                  <c:v>3/5/23</c:v>
                </c:pt>
                <c:pt idx="5">
                  <c:v>3/6/23</c:v>
                </c:pt>
                <c:pt idx="6">
                  <c:v>3/7/23</c:v>
                </c:pt>
                <c:pt idx="7">
                  <c:v>3/9/23</c:v>
                </c:pt>
                <c:pt idx="8">
                  <c:v>3/10/23</c:v>
                </c:pt>
                <c:pt idx="9">
                  <c:v>3/11/23</c:v>
                </c:pt>
                <c:pt idx="10">
                  <c:v>3/12/23</c:v>
                </c:pt>
                <c:pt idx="11">
                  <c:v>3/13/23</c:v>
                </c:pt>
                <c:pt idx="12">
                  <c:v>3/14/23</c:v>
                </c:pt>
                <c:pt idx="13">
                  <c:v>3/15/23</c:v>
                </c:pt>
                <c:pt idx="14">
                  <c:v>3/16/23</c:v>
                </c:pt>
                <c:pt idx="15">
                  <c:v>3/17/23</c:v>
                </c:pt>
                <c:pt idx="16">
                  <c:v>3/19/23</c:v>
                </c:pt>
                <c:pt idx="17">
                  <c:v>3/20/23</c:v>
                </c:pt>
                <c:pt idx="18">
                  <c:v>3/21/23</c:v>
                </c:pt>
                <c:pt idx="19">
                  <c:v>3/22/23</c:v>
                </c:pt>
                <c:pt idx="20">
                  <c:v>3/23/23</c:v>
                </c:pt>
                <c:pt idx="21">
                  <c:v>3/24/23</c:v>
                </c:pt>
                <c:pt idx="22">
                  <c:v>3/25/23</c:v>
                </c:pt>
                <c:pt idx="23">
                  <c:v>3/26/23</c:v>
                </c:pt>
                <c:pt idx="24">
                  <c:v>3/27/23</c:v>
                </c:pt>
                <c:pt idx="25">
                  <c:v>3/29/23</c:v>
                </c:pt>
                <c:pt idx="26">
                  <c:v>3/30/23</c:v>
                </c:pt>
                <c:pt idx="27">
                  <c:v>3/31/23</c:v>
                </c:pt>
              </c:strCache>
            </c:strRef>
          </c:cat>
          <c:val>
            <c:numRef>
              <c:f>'Daily Users'!$B$4:$B$32</c:f>
              <c:numCache>
                <c:formatCode>General</c:formatCode>
                <c:ptCount val="28"/>
                <c:pt idx="0">
                  <c:v>208</c:v>
                </c:pt>
                <c:pt idx="1">
                  <c:v>218</c:v>
                </c:pt>
                <c:pt idx="2">
                  <c:v>486</c:v>
                </c:pt>
                <c:pt idx="3">
                  <c:v>155</c:v>
                </c:pt>
                <c:pt idx="4">
                  <c:v>11</c:v>
                </c:pt>
                <c:pt idx="5">
                  <c:v>8</c:v>
                </c:pt>
                <c:pt idx="6">
                  <c:v>216</c:v>
                </c:pt>
                <c:pt idx="7">
                  <c:v>166</c:v>
                </c:pt>
                <c:pt idx="8">
                  <c:v>181</c:v>
                </c:pt>
                <c:pt idx="9">
                  <c:v>187</c:v>
                </c:pt>
                <c:pt idx="10">
                  <c:v>16</c:v>
                </c:pt>
                <c:pt idx="11">
                  <c:v>201</c:v>
                </c:pt>
                <c:pt idx="12">
                  <c:v>226</c:v>
                </c:pt>
                <c:pt idx="13">
                  <c:v>206</c:v>
                </c:pt>
                <c:pt idx="14">
                  <c:v>453</c:v>
                </c:pt>
                <c:pt idx="15">
                  <c:v>235</c:v>
                </c:pt>
                <c:pt idx="16">
                  <c:v>16</c:v>
                </c:pt>
                <c:pt idx="17">
                  <c:v>18</c:v>
                </c:pt>
                <c:pt idx="18">
                  <c:v>225</c:v>
                </c:pt>
                <c:pt idx="19">
                  <c:v>229</c:v>
                </c:pt>
                <c:pt idx="20">
                  <c:v>234</c:v>
                </c:pt>
                <c:pt idx="21">
                  <c:v>225</c:v>
                </c:pt>
                <c:pt idx="22">
                  <c:v>154</c:v>
                </c:pt>
                <c:pt idx="23">
                  <c:v>13</c:v>
                </c:pt>
                <c:pt idx="24">
                  <c:v>13</c:v>
                </c:pt>
                <c:pt idx="25">
                  <c:v>267</c:v>
                </c:pt>
                <c:pt idx="26">
                  <c:v>215</c:v>
                </c:pt>
                <c:pt idx="27">
                  <c:v>174</c:v>
                </c:pt>
              </c:numCache>
            </c:numRef>
          </c:val>
          <c:extLst>
            <c:ext xmlns:c16="http://schemas.microsoft.com/office/drawing/2014/chart" uri="{C3380CC4-5D6E-409C-BE32-E72D297353CC}">
              <c16:uniqueId val="{00000000-B8C2-DD41-9698-18CAF26E6474}"/>
            </c:ext>
          </c:extLst>
        </c:ser>
        <c:dLbls>
          <c:showLegendKey val="0"/>
          <c:showVal val="0"/>
          <c:showCatName val="0"/>
          <c:showSerName val="0"/>
          <c:showPercent val="0"/>
          <c:showBubbleSize val="0"/>
        </c:dLbls>
        <c:gapWidth val="219"/>
        <c:overlap val="-27"/>
        <c:axId val="1183481728"/>
        <c:axId val="1183483456"/>
      </c:barChart>
      <c:catAx>
        <c:axId val="118348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83483456"/>
        <c:crosses val="autoZero"/>
        <c:auto val="1"/>
        <c:lblAlgn val="ctr"/>
        <c:lblOffset val="100"/>
        <c:noMultiLvlLbl val="0"/>
      </c:catAx>
      <c:valAx>
        <c:axId val="1183483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83481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GB" sz="2000" b="1" i="0" u="none" strike="noStrike" kern="1200" spc="0" baseline="0">
                <a:solidFill>
                  <a:sysClr val="windowText" lastClr="000000">
                    <a:lumMod val="65000"/>
                    <a:lumOff val="35000"/>
                  </a:sysClr>
                </a:solidFill>
                <a:effectLst/>
              </a:rPr>
              <a:t>User Stickiness - # of visits (on different dates)</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User Count</c:v>
          </c:tx>
          <c:spPr>
            <a:solidFill>
              <a:schemeClr val="accent1"/>
            </a:solidFill>
            <a:ln>
              <a:noFill/>
            </a:ln>
            <a:effectLst/>
          </c:spPr>
          <c:invertIfNegative val="0"/>
          <c:dLbls>
            <c:dLbl>
              <c:idx val="1"/>
              <c:layout>
                <c:manualLayout>
                  <c:x val="-3.0855539971949508E-2"/>
                  <c:y val="2.577319587628771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15B-A840-8F4F-FFCE58028B8D}"/>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'Repeat Users'!$AK$5:$AK$15</c:f>
              <c:strCache>
                <c:ptCount val="11"/>
                <c:pt idx="0">
                  <c:v>1</c:v>
                </c:pt>
                <c:pt idx="1">
                  <c:v>2</c:v>
                </c:pt>
                <c:pt idx="2">
                  <c:v>3</c:v>
                </c:pt>
                <c:pt idx="3">
                  <c:v>4</c:v>
                </c:pt>
                <c:pt idx="4">
                  <c:v>5</c:v>
                </c:pt>
                <c:pt idx="5">
                  <c:v>6</c:v>
                </c:pt>
                <c:pt idx="6">
                  <c:v>7</c:v>
                </c:pt>
                <c:pt idx="7">
                  <c:v>8</c:v>
                </c:pt>
                <c:pt idx="8">
                  <c:v>9</c:v>
                </c:pt>
                <c:pt idx="9">
                  <c:v>10</c:v>
                </c:pt>
                <c:pt idx="10">
                  <c:v>&gt;10</c:v>
                </c:pt>
              </c:strCache>
            </c:strRef>
          </c:cat>
          <c:val>
            <c:numRef>
              <c:f>'Repeat Users'!$AL$5:$AL$15</c:f>
              <c:numCache>
                <c:formatCode>General</c:formatCode>
                <c:ptCount val="11"/>
                <c:pt idx="0">
                  <c:v>0</c:v>
                </c:pt>
                <c:pt idx="1">
                  <c:v>0</c:v>
                </c:pt>
                <c:pt idx="2">
                  <c:v>0</c:v>
                </c:pt>
                <c:pt idx="3">
                  <c:v>0</c:v>
                </c:pt>
                <c:pt idx="4">
                  <c:v>0</c:v>
                </c:pt>
                <c:pt idx="5">
                  <c:v>0</c:v>
                </c:pt>
                <c:pt idx="6">
                  <c:v>0</c:v>
                </c:pt>
                <c:pt idx="7">
                  <c:v>0</c:v>
                </c:pt>
                <c:pt idx="8">
                  <c:v>0</c:v>
                </c:pt>
                <c:pt idx="9">
                  <c:v>0</c:v>
                </c:pt>
                <c:pt idx="10">
                  <c:v>1</c:v>
                </c:pt>
              </c:numCache>
            </c:numRef>
          </c:val>
          <c:extLst>
            <c:ext xmlns:c16="http://schemas.microsoft.com/office/drawing/2014/chart" uri="{C3380CC4-5D6E-409C-BE32-E72D297353CC}">
              <c16:uniqueId val="{00000000-815B-A840-8F4F-FFCE58028B8D}"/>
            </c:ext>
          </c:extLst>
        </c:ser>
        <c:dLbls>
          <c:showLegendKey val="0"/>
          <c:showVal val="0"/>
          <c:showCatName val="0"/>
          <c:showSerName val="0"/>
          <c:showPercent val="0"/>
          <c:showBubbleSize val="0"/>
        </c:dLbls>
        <c:gapWidth val="219"/>
        <c:overlap val="-27"/>
        <c:axId val="1796427504"/>
        <c:axId val="1796429776"/>
      </c:barChart>
      <c:lineChart>
        <c:grouping val="standard"/>
        <c:varyColors val="0"/>
        <c:ser>
          <c:idx val="1"/>
          <c:order val="1"/>
          <c:tx>
            <c:v>Percentage</c:v>
          </c:tx>
          <c:spPr>
            <a:ln w="28575" cap="rnd">
              <a:solidFill>
                <a:schemeClr val="accent2"/>
              </a:solidFill>
              <a:round/>
            </a:ln>
            <a:effectLst/>
          </c:spPr>
          <c:marker>
            <c:symbol val="none"/>
          </c:marker>
          <c:dLbls>
            <c:dLbl>
              <c:idx val="0"/>
              <c:layout>
                <c:manualLayout>
                  <c:x val="1.1220196353436185E-2"/>
                  <c:y val="-1.546391752577321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15B-A840-8F4F-FFCE58028B8D}"/>
                </c:ext>
              </c:extLst>
            </c:dLbl>
            <c:dLbl>
              <c:idx val="1"/>
              <c:layout>
                <c:manualLayout>
                  <c:x val="-4.2075736325385693E-3"/>
                  <c:y val="-4.63917525773194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15B-A840-8F4F-FFCE58028B8D}"/>
                </c:ext>
              </c:extLst>
            </c:dLbl>
            <c:dLbl>
              <c:idx val="2"/>
              <c:layout>
                <c:manualLayout>
                  <c:x val="8.4151472650771386E-3"/>
                  <c:y val="-2.061855670103102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15B-A840-8F4F-FFCE58028B8D}"/>
                </c:ext>
              </c:extLst>
            </c:dLbl>
            <c:dLbl>
              <c:idx val="3"/>
              <c:layout>
                <c:manualLayout>
                  <c:x val="4.2075736325385693E-3"/>
                  <c:y val="-5.15463917525773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15B-A840-8F4F-FFCE58028B8D}"/>
                </c:ext>
              </c:extLst>
            </c:dLbl>
            <c:dLbl>
              <c:idx val="4"/>
              <c:layout>
                <c:manualLayout>
                  <c:x val="1.4025245441795231E-3"/>
                  <c:y val="-5.92783505154640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15B-A840-8F4F-FFCE58028B8D}"/>
                </c:ext>
              </c:extLst>
            </c:dLbl>
            <c:dLbl>
              <c:idx val="5"/>
              <c:layout>
                <c:manualLayout>
                  <c:x val="0"/>
                  <c:y val="-5.15463917525775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15B-A840-8F4F-FFCE58028B8D}"/>
                </c:ext>
              </c:extLst>
            </c:dLbl>
            <c:dLbl>
              <c:idx val="6"/>
              <c:layout>
                <c:manualLayout>
                  <c:x val="0"/>
                  <c:y val="-5.41237113402061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15B-A840-8F4F-FFCE58028B8D}"/>
                </c:ext>
              </c:extLst>
            </c:dLbl>
            <c:dLbl>
              <c:idx val="7"/>
              <c:layout>
                <c:manualLayout>
                  <c:x val="-1.0285061176745464E-16"/>
                  <c:y val="-4.63917525773195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15B-A840-8F4F-FFCE58028B8D}"/>
                </c:ext>
              </c:extLst>
            </c:dLbl>
            <c:dLbl>
              <c:idx val="8"/>
              <c:layout>
                <c:manualLayout>
                  <c:x val="-2.805049088359149E-3"/>
                  <c:y val="-4.6391752577319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15B-A840-8F4F-FFCE58028B8D}"/>
                </c:ext>
              </c:extLst>
            </c:dLbl>
            <c:dLbl>
              <c:idx val="9"/>
              <c:layout>
                <c:manualLayout>
                  <c:x val="0"/>
                  <c:y val="-4.38144329896908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15B-A840-8F4F-FFCE58028B8D}"/>
                </c:ext>
              </c:extLst>
            </c:dLbl>
            <c:dLbl>
              <c:idx val="10"/>
              <c:layout>
                <c:manualLayout>
                  <c:x val="-1.0285061176745464E-16"/>
                  <c:y val="-3.6082474226804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15B-A840-8F4F-FFCE58028B8D}"/>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'Repeat Users'!$AK$5:$AK$15</c:f>
              <c:strCache>
                <c:ptCount val="11"/>
                <c:pt idx="0">
                  <c:v>1</c:v>
                </c:pt>
                <c:pt idx="1">
                  <c:v>2</c:v>
                </c:pt>
                <c:pt idx="2">
                  <c:v>3</c:v>
                </c:pt>
                <c:pt idx="3">
                  <c:v>4</c:v>
                </c:pt>
                <c:pt idx="4">
                  <c:v>5</c:v>
                </c:pt>
                <c:pt idx="5">
                  <c:v>6</c:v>
                </c:pt>
                <c:pt idx="6">
                  <c:v>7</c:v>
                </c:pt>
                <c:pt idx="7">
                  <c:v>8</c:v>
                </c:pt>
                <c:pt idx="8">
                  <c:v>9</c:v>
                </c:pt>
                <c:pt idx="9">
                  <c:v>10</c:v>
                </c:pt>
                <c:pt idx="10">
                  <c:v>&gt;10</c:v>
                </c:pt>
              </c:strCache>
            </c:strRef>
          </c:cat>
          <c:val>
            <c:numRef>
              <c:f>'Repeat Users'!$AM$5:$AM$15</c:f>
              <c:numCache>
                <c:formatCode>0%</c:formatCode>
                <c:ptCount val="11"/>
                <c:pt idx="0">
                  <c:v>0</c:v>
                </c:pt>
                <c:pt idx="1">
                  <c:v>0</c:v>
                </c:pt>
                <c:pt idx="2">
                  <c:v>0</c:v>
                </c:pt>
                <c:pt idx="3">
                  <c:v>0</c:v>
                </c:pt>
                <c:pt idx="4">
                  <c:v>0</c:v>
                </c:pt>
                <c:pt idx="5">
                  <c:v>0</c:v>
                </c:pt>
                <c:pt idx="6">
                  <c:v>0</c:v>
                </c:pt>
                <c:pt idx="7">
                  <c:v>0</c:v>
                </c:pt>
                <c:pt idx="8">
                  <c:v>0</c:v>
                </c:pt>
                <c:pt idx="9">
                  <c:v>0</c:v>
                </c:pt>
                <c:pt idx="10">
                  <c:v>1</c:v>
                </c:pt>
              </c:numCache>
            </c:numRef>
          </c:val>
          <c:smooth val="0"/>
          <c:extLst>
            <c:ext xmlns:c16="http://schemas.microsoft.com/office/drawing/2014/chart" uri="{C3380CC4-5D6E-409C-BE32-E72D297353CC}">
              <c16:uniqueId val="{00000001-815B-A840-8F4F-FFCE58028B8D}"/>
            </c:ext>
          </c:extLst>
        </c:ser>
        <c:dLbls>
          <c:showLegendKey val="0"/>
          <c:showVal val="0"/>
          <c:showCatName val="0"/>
          <c:showSerName val="0"/>
          <c:showPercent val="0"/>
          <c:showBubbleSize val="0"/>
        </c:dLbls>
        <c:marker val="1"/>
        <c:smooth val="0"/>
        <c:axId val="1796450928"/>
        <c:axId val="1796449200"/>
      </c:lineChart>
      <c:catAx>
        <c:axId val="1796427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429776"/>
        <c:crosses val="autoZero"/>
        <c:auto val="1"/>
        <c:lblAlgn val="ctr"/>
        <c:lblOffset val="100"/>
        <c:noMultiLvlLbl val="0"/>
      </c:catAx>
      <c:valAx>
        <c:axId val="1796429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96427504"/>
        <c:crosses val="autoZero"/>
        <c:crossBetween val="between"/>
      </c:valAx>
      <c:valAx>
        <c:axId val="1796449200"/>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96450928"/>
        <c:crosses val="max"/>
        <c:crossBetween val="between"/>
      </c:valAx>
      <c:catAx>
        <c:axId val="1796450928"/>
        <c:scaling>
          <c:orientation val="minMax"/>
        </c:scaling>
        <c:delete val="1"/>
        <c:axPos val="b"/>
        <c:numFmt formatCode="General" sourceLinked="1"/>
        <c:majorTickMark val="none"/>
        <c:minorTickMark val="none"/>
        <c:tickLblPos val="nextTo"/>
        <c:crossAx val="179644920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GB" sz="2000" b="1" i="0" u="none" strike="noStrike" kern="1200" spc="0" baseline="0">
                <a:solidFill>
                  <a:sysClr val="windowText" lastClr="000000">
                    <a:lumMod val="65000"/>
                    <a:lumOff val="35000"/>
                  </a:sysClr>
                </a:solidFill>
                <a:effectLst/>
              </a:rPr>
              <a:t>Number of Unique Users in Total Interactions </a:t>
            </a:r>
            <a:endParaRPr lang="en-GB" sz="2000" b="0" i="0" u="none" strike="noStrike" kern="1200" spc="0" baseline="0">
              <a:solidFill>
                <a:sysClr val="windowText" lastClr="000000">
                  <a:lumMod val="65000"/>
                  <a:lumOff val="35000"/>
                </a:sysClr>
              </a:solidFill>
              <a:effectLst/>
            </a:endParaRP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Count of Users</c:v>
          </c:tx>
          <c:spPr>
            <a:solidFill>
              <a:schemeClr val="accent1"/>
            </a:solidFill>
            <a:ln>
              <a:noFill/>
            </a:ln>
            <a:effectLst/>
          </c:spPr>
          <c:invertIfNegative val="0"/>
          <c:dLbls>
            <c:dLbl>
              <c:idx val="0"/>
              <c:layout>
                <c:manualLayout>
                  <c:x val="-2.3391812865497082E-2"/>
                  <c:y val="7.025761124121779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1B8-3D43-AB08-5EA6F73D400A}"/>
                </c:ext>
              </c:extLst>
            </c:dLbl>
            <c:dLbl>
              <c:idx val="1"/>
              <c:layout>
                <c:manualLayout>
                  <c:x val="-2.3391812865497075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1B8-3D43-AB08-5EA6F73D400A}"/>
                </c:ext>
              </c:extLst>
            </c:dLbl>
            <c:dLbl>
              <c:idx val="2"/>
              <c:layout>
                <c:manualLayout>
                  <c:x val="-2.0467836257309968E-2"/>
                  <c:y val="7.025761124121779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1B8-3D43-AB08-5EA6F73D400A}"/>
                </c:ext>
              </c:extLst>
            </c:dLbl>
            <c:dLbl>
              <c:idx val="3"/>
              <c:layout>
                <c:manualLayout>
                  <c:x val="-2.7777777777777804E-2"/>
                  <c:y val="9.367681498829039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1B8-3D43-AB08-5EA6F73D400A}"/>
                </c:ext>
              </c:extLst>
            </c:dLbl>
            <c:dLbl>
              <c:idx val="4"/>
              <c:layout>
                <c:manualLayout>
                  <c:x val="-2.6315789473684265E-2"/>
                  <c:y val="2.810304449648711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1B8-3D43-AB08-5EA6F73D400A}"/>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'Unique Users'!$G$3:$G$18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&gt;15</c:v>
                </c:pt>
              </c:strCache>
            </c:strRef>
          </c:cat>
          <c:val>
            <c:numRef>
              <c:f>'Unique Users'!$H$3:$H$18</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numCache>
            </c:numRef>
          </c:val>
          <c:extLst>
            <c:ext xmlns:c16="http://schemas.microsoft.com/office/drawing/2014/chart" uri="{C3380CC4-5D6E-409C-BE32-E72D297353CC}">
              <c16:uniqueId val="{00000000-61B8-3D43-AB08-5EA6F73D400A}"/>
            </c:ext>
          </c:extLst>
        </c:ser>
        <c:dLbls>
          <c:showLegendKey val="0"/>
          <c:showVal val="0"/>
          <c:showCatName val="0"/>
          <c:showSerName val="0"/>
          <c:showPercent val="0"/>
          <c:showBubbleSize val="0"/>
        </c:dLbls>
        <c:gapWidth val="219"/>
        <c:overlap val="-27"/>
        <c:axId val="402572032"/>
        <c:axId val="402599344"/>
      </c:barChart>
      <c:lineChart>
        <c:grouping val="standard"/>
        <c:varyColors val="0"/>
        <c:ser>
          <c:idx val="1"/>
          <c:order val="1"/>
          <c:tx>
            <c:v>Percentage</c:v>
          </c:tx>
          <c:spPr>
            <a:ln w="28575" cap="rnd">
              <a:solidFill>
                <a:schemeClr val="accent2"/>
              </a:solidFill>
              <a:round/>
            </a:ln>
            <a:effectLst/>
          </c:spPr>
          <c:marker>
            <c:symbol val="none"/>
          </c:marker>
          <c:dLbls>
            <c:dLbl>
              <c:idx val="0"/>
              <c:layout>
                <c:manualLayout>
                  <c:x val="-5.8479532163742687E-3"/>
                  <c:y val="-1.8735362997658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1B8-3D43-AB08-5EA6F73D400A}"/>
                </c:ext>
              </c:extLst>
            </c:dLbl>
            <c:dLbl>
              <c:idx val="1"/>
              <c:layout>
                <c:manualLayout>
                  <c:x val="-4.3859649122807015E-3"/>
                  <c:y val="-1.4051522248243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1B8-3D43-AB08-5EA6F73D400A}"/>
                </c:ext>
              </c:extLst>
            </c:dLbl>
            <c:dLbl>
              <c:idx val="2"/>
              <c:layout>
                <c:manualLayout>
                  <c:x val="-8.771929824561403E-3"/>
                  <c:y val="-1.63934426229509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1B8-3D43-AB08-5EA6F73D400A}"/>
                </c:ext>
              </c:extLst>
            </c:dLbl>
            <c:dLbl>
              <c:idx val="3"/>
              <c:layout>
                <c:manualLayout>
                  <c:x val="-1.0233918128655024E-2"/>
                  <c:y val="-2.34192037470726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1B8-3D43-AB08-5EA6F73D400A}"/>
                </c:ext>
              </c:extLst>
            </c:dLbl>
            <c:dLbl>
              <c:idx val="4"/>
              <c:layout>
                <c:manualLayout>
                  <c:x val="-1.1695906432748537E-2"/>
                  <c:y val="-2.34192037470726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1B8-3D43-AB08-5EA6F73D400A}"/>
                </c:ext>
              </c:extLst>
            </c:dLbl>
            <c:dLbl>
              <c:idx val="5"/>
              <c:layout>
                <c:manualLayout>
                  <c:x val="5.8479532163742687E-3"/>
                  <c:y val="-1.8735362997658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1B8-3D43-AB08-5EA6F73D400A}"/>
                </c:ext>
              </c:extLst>
            </c:dLbl>
            <c:dLbl>
              <c:idx val="6"/>
              <c:layout>
                <c:manualLayout>
                  <c:x val="1.4619883040935136E-3"/>
                  <c:y val="-2.34192037470726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1B8-3D43-AB08-5EA6F73D400A}"/>
                </c:ext>
              </c:extLst>
            </c:dLbl>
            <c:dLbl>
              <c:idx val="7"/>
              <c:layout>
                <c:manualLayout>
                  <c:x val="1.4619883040935136E-3"/>
                  <c:y val="-4.4496487119437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1B8-3D43-AB08-5EA6F73D400A}"/>
                </c:ext>
              </c:extLst>
            </c:dLbl>
            <c:dLbl>
              <c:idx val="8"/>
              <c:layout>
                <c:manualLayout>
                  <c:x val="1.4619883040935672E-3"/>
                  <c:y val="-3.747072599531633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61B8-3D43-AB08-5EA6F73D400A}"/>
                </c:ext>
              </c:extLst>
            </c:dLbl>
            <c:dLbl>
              <c:idx val="9"/>
              <c:layout>
                <c:manualLayout>
                  <c:x val="1.4619883040934601E-3"/>
                  <c:y val="-4.4496487119437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1B8-3D43-AB08-5EA6F73D400A}"/>
                </c:ext>
              </c:extLst>
            </c:dLbl>
            <c:dLbl>
              <c:idx val="10"/>
              <c:layout>
                <c:manualLayout>
                  <c:x val="-1.4619883040935672E-3"/>
                  <c:y val="-4.4496487119437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61B8-3D43-AB08-5EA6F73D400A}"/>
                </c:ext>
              </c:extLst>
            </c:dLbl>
            <c:dLbl>
              <c:idx val="11"/>
              <c:layout>
                <c:manualLayout>
                  <c:x val="0"/>
                  <c:y val="-3.98126463700234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61B8-3D43-AB08-5EA6F73D400A}"/>
                </c:ext>
              </c:extLst>
            </c:dLbl>
            <c:dLbl>
              <c:idx val="12"/>
              <c:layout>
                <c:manualLayout>
                  <c:x val="0"/>
                  <c:y val="-3.98126463700234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61B8-3D43-AB08-5EA6F73D400A}"/>
                </c:ext>
              </c:extLst>
            </c:dLbl>
            <c:dLbl>
              <c:idx val="13"/>
              <c:layout>
                <c:manualLayout>
                  <c:x val="2.9239766081870272E-3"/>
                  <c:y val="-3.27868852459016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61B8-3D43-AB08-5EA6F73D400A}"/>
                </c:ext>
              </c:extLst>
            </c:dLbl>
            <c:dLbl>
              <c:idx val="14"/>
              <c:layout>
                <c:manualLayout>
                  <c:x val="-4.3859649122808091E-3"/>
                  <c:y val="-3.74707259953161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61B8-3D43-AB08-5EA6F73D400A}"/>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'Unique Users'!$G$3:$G$18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&gt;15</c:v>
                </c:pt>
              </c:strCache>
            </c:strRef>
          </c:cat>
          <c:val>
            <c:numRef>
              <c:f>'Unique Users'!$I$3:$I$18</c:f>
              <c:numCache>
                <c:formatCode>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numCache>
            </c:numRef>
          </c:val>
          <c:smooth val="0"/>
          <c:extLst>
            <c:ext xmlns:c16="http://schemas.microsoft.com/office/drawing/2014/chart" uri="{C3380CC4-5D6E-409C-BE32-E72D297353CC}">
              <c16:uniqueId val="{00000001-61B8-3D43-AB08-5EA6F73D400A}"/>
            </c:ext>
          </c:extLst>
        </c:ser>
        <c:dLbls>
          <c:showLegendKey val="0"/>
          <c:showVal val="0"/>
          <c:showCatName val="0"/>
          <c:showSerName val="0"/>
          <c:showPercent val="0"/>
          <c:showBubbleSize val="0"/>
        </c:dLbls>
        <c:marker val="1"/>
        <c:smooth val="0"/>
        <c:axId val="1810598048"/>
        <c:axId val="1877725568"/>
      </c:lineChart>
      <c:catAx>
        <c:axId val="40257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599344"/>
        <c:crosses val="autoZero"/>
        <c:auto val="1"/>
        <c:lblAlgn val="ctr"/>
        <c:lblOffset val="100"/>
        <c:noMultiLvlLbl val="0"/>
      </c:catAx>
      <c:valAx>
        <c:axId val="402599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02572032"/>
        <c:crosses val="autoZero"/>
        <c:crossBetween val="between"/>
      </c:valAx>
      <c:valAx>
        <c:axId val="1877725568"/>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810598048"/>
        <c:crosses val="max"/>
        <c:crossBetween val="between"/>
      </c:valAx>
      <c:catAx>
        <c:axId val="1810598048"/>
        <c:scaling>
          <c:orientation val="minMax"/>
        </c:scaling>
        <c:delete val="1"/>
        <c:axPos val="b"/>
        <c:numFmt formatCode="General" sourceLinked="1"/>
        <c:majorTickMark val="none"/>
        <c:minorTickMark val="none"/>
        <c:tickLblPos val="nextTo"/>
        <c:crossAx val="1877725568"/>
        <c:crosses val="autoZero"/>
        <c:auto val="1"/>
        <c:lblAlgn val="ctr"/>
        <c:lblOffset val="100"/>
        <c:noMultiLvlLbl val="0"/>
      </c:cat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2000" b="1" i="0" u="none" strike="noStrike" kern="1200" spc="0" baseline="0">
                <a:solidFill>
                  <a:sysClr val="windowText" lastClr="000000">
                    <a:lumMod val="65000"/>
                    <a:lumOff val="35000"/>
                  </a:sysClr>
                </a:solidFill>
                <a:effectLst/>
              </a:rPr>
              <a:t>Usage by Intent Category</a:t>
            </a:r>
            <a:br>
              <a:rPr lang="en-GB" sz="1600" b="1" i="0" u="none" strike="noStrike" kern="1200" spc="0" baseline="0">
                <a:solidFill>
                  <a:sysClr val="windowText" lastClr="000000">
                    <a:lumMod val="65000"/>
                    <a:lumOff val="35000"/>
                  </a:sysClr>
                </a:solidFill>
                <a:effectLst/>
              </a:rPr>
            </a:br>
            <a:r>
              <a:rPr lang="en-US" sz="1400" b="1" i="0" u="none" strike="noStrike" kern="1200" spc="0" baseline="0">
                <a:solidFill>
                  <a:sysClr val="windowText" lastClr="000000">
                    <a:lumMod val="65000"/>
                    <a:lumOff val="35000"/>
                  </a:sysClr>
                </a:solidFill>
                <a:effectLst/>
              </a:rPr>
              <a:t>Success and Failures </a:t>
            </a:r>
            <a:r>
              <a:rPr lang="en-US" sz="1400" b="0" i="0" u="none" strike="noStrike" kern="1200" spc="0" baseline="0">
                <a:solidFill>
                  <a:sysClr val="windowText" lastClr="000000">
                    <a:lumMod val="65000"/>
                    <a:lumOff val="35000"/>
                  </a:sysClr>
                </a:solidFill>
                <a:effectLst/>
              </a:rPr>
              <a:t>(</a:t>
            </a:r>
            <a:r>
              <a:rPr lang="en-US" sz="1400" b="1" i="0" u="none" strike="noStrike" kern="1200" spc="0" baseline="0">
                <a:solidFill>
                  <a:sysClr val="windowText" lastClr="000000">
                    <a:lumMod val="65000"/>
                    <a:lumOff val="35000"/>
                  </a:sysClr>
                </a:solidFill>
                <a:effectLst/>
              </a:rPr>
              <a:t>% of Failures</a:t>
            </a:r>
            <a:r>
              <a:rPr lang="en-US" sz="1400" b="0" i="0" u="none" strike="noStrike" kern="1200" spc="0" baseline="0">
                <a:solidFill>
                  <a:sysClr val="windowText" lastClr="000000">
                    <a:lumMod val="65000"/>
                    <a:lumOff val="35000"/>
                  </a:sysClr>
                </a:solidFill>
                <a:effectLst/>
              </a:rPr>
              <a:t>)</a:t>
            </a:r>
            <a:endParaRPr lang="en-GB"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717038886763196E-2"/>
          <c:y val="7.1999049687754557E-2"/>
          <c:w val="0.93152452490753235"/>
          <c:h val="0.70418816182459953"/>
        </c:manualLayout>
      </c:layout>
      <c:barChart>
        <c:barDir val="col"/>
        <c:grouping val="stacked"/>
        <c:varyColors val="0"/>
        <c:ser>
          <c:idx val="0"/>
          <c:order val="0"/>
          <c:tx>
            <c:strRef>
              <c:f>'Intent Classification'!$J$4</c:f>
              <c:strCache>
                <c:ptCount val="1"/>
                <c:pt idx="0">
                  <c:v>Success</c:v>
                </c:pt>
              </c:strCache>
            </c:strRef>
          </c:tx>
          <c:spPr>
            <a:solidFill>
              <a:srgbClr val="00B050"/>
            </a:solidFill>
            <a:ln>
              <a:noFill/>
            </a:ln>
            <a:effectLst/>
          </c:spPr>
          <c:invertIfNegative val="0"/>
          <c:cat>
            <c:strRef>
              <c:f>'Intent Classification'!$I$5:$I$39</c:f>
              <c:strCache>
                <c:ptCount val="35"/>
                <c:pt idx="0">
                  <c:v>Absense Questions</c:v>
                </c:pt>
                <c:pt idx="1">
                  <c:v>Absenses</c:v>
                </c:pt>
                <c:pt idx="2">
                  <c:v>Service Request</c:v>
                </c:pt>
                <c:pt idx="3">
                  <c:v>Knowledge</c:v>
                </c:pt>
                <c:pt idx="4">
                  <c:v>Pay Questons</c:v>
                </c:pt>
                <c:pt idx="5">
                  <c:v>Help</c:v>
                </c:pt>
                <c:pt idx="6">
                  <c:v>Quiting and Retiring</c:v>
                </c:pt>
                <c:pt idx="7">
                  <c:v>Flex Hours</c:v>
                </c:pt>
                <c:pt idx="8">
                  <c:v>My Employment Details</c:v>
                </c:pt>
                <c:pt idx="9">
                  <c:v>Benefits</c:v>
                </c:pt>
                <c:pt idx="10">
                  <c:v>Payslip</c:v>
                </c:pt>
                <c:pt idx="11">
                  <c:v>Taxes</c:v>
                </c:pt>
                <c:pt idx="12">
                  <c:v>Manager Tools</c:v>
                </c:pt>
                <c:pt idx="13">
                  <c:v>Wage</c:v>
                </c:pt>
                <c:pt idx="14">
                  <c:v>Worklist</c:v>
                </c:pt>
                <c:pt idx="15">
                  <c:v>Reference Letters</c:v>
                </c:pt>
                <c:pt idx="16">
                  <c:v>Personal Info</c:v>
                </c:pt>
                <c:pt idx="17">
                  <c:v>Talent</c:v>
                </c:pt>
                <c:pt idx="18">
                  <c:v>Misc</c:v>
                </c:pt>
                <c:pt idx="19">
                  <c:v>Harassment and Disputes</c:v>
                </c:pt>
                <c:pt idx="20">
                  <c:v>Expense</c:v>
                </c:pt>
                <c:pt idx="21">
                  <c:v>EAP</c:v>
                </c:pt>
                <c:pt idx="22">
                  <c:v>Careers</c:v>
                </c:pt>
                <c:pt idx="23">
                  <c:v>Learn</c:v>
                </c:pt>
                <c:pt idx="24">
                  <c:v>Work Evaluations</c:v>
                </c:pt>
                <c:pt idx="25">
                  <c:v>IT Support</c:v>
                </c:pt>
                <c:pt idx="26">
                  <c:v>Checklist</c:v>
                </c:pt>
                <c:pt idx="27">
                  <c:v>Feedback and Tool Comments</c:v>
                </c:pt>
                <c:pt idx="28">
                  <c:v>Directory</c:v>
                </c:pt>
                <c:pt idx="29">
                  <c:v>Bank Account</c:v>
                </c:pt>
                <c:pt idx="30">
                  <c:v>Covid</c:v>
                </c:pt>
                <c:pt idx="31">
                  <c:v>Grow</c:v>
                </c:pt>
                <c:pt idx="32">
                  <c:v>Hiring</c:v>
                </c:pt>
                <c:pt idx="33">
                  <c:v>Internal System</c:v>
                </c:pt>
                <c:pt idx="34">
                  <c:v>Helpdesk Rep</c:v>
                </c:pt>
              </c:strCache>
            </c:strRef>
          </c:cat>
          <c:val>
            <c:numRef>
              <c:f>'Intent Classification'!$J$5:$J$39</c:f>
              <c:numCache>
                <c:formatCode>General</c:formatCode>
                <c:ptCount val="35"/>
                <c:pt idx="0">
                  <c:v>530</c:v>
                </c:pt>
                <c:pt idx="1">
                  <c:v>487</c:v>
                </c:pt>
                <c:pt idx="2">
                  <c:v>544</c:v>
                </c:pt>
                <c:pt idx="3">
                  <c:v>443</c:v>
                </c:pt>
                <c:pt idx="4">
                  <c:v>152</c:v>
                </c:pt>
                <c:pt idx="5">
                  <c:v>93</c:v>
                </c:pt>
                <c:pt idx="6">
                  <c:v>175</c:v>
                </c:pt>
                <c:pt idx="7">
                  <c:v>130</c:v>
                </c:pt>
                <c:pt idx="8">
                  <c:v>99</c:v>
                </c:pt>
                <c:pt idx="9">
                  <c:v>71</c:v>
                </c:pt>
                <c:pt idx="10">
                  <c:v>100</c:v>
                </c:pt>
                <c:pt idx="11">
                  <c:v>80</c:v>
                </c:pt>
                <c:pt idx="12">
                  <c:v>44</c:v>
                </c:pt>
                <c:pt idx="13">
                  <c:v>95</c:v>
                </c:pt>
                <c:pt idx="14">
                  <c:v>65</c:v>
                </c:pt>
                <c:pt idx="15">
                  <c:v>56</c:v>
                </c:pt>
                <c:pt idx="16">
                  <c:v>41</c:v>
                </c:pt>
                <c:pt idx="17">
                  <c:v>27</c:v>
                </c:pt>
                <c:pt idx="18">
                  <c:v>26</c:v>
                </c:pt>
                <c:pt idx="19">
                  <c:v>19</c:v>
                </c:pt>
                <c:pt idx="20">
                  <c:v>9</c:v>
                </c:pt>
                <c:pt idx="21">
                  <c:v>26</c:v>
                </c:pt>
                <c:pt idx="22">
                  <c:v>16</c:v>
                </c:pt>
                <c:pt idx="23">
                  <c:v>12</c:v>
                </c:pt>
                <c:pt idx="24">
                  <c:v>12</c:v>
                </c:pt>
                <c:pt idx="25">
                  <c:v>3</c:v>
                </c:pt>
                <c:pt idx="26">
                  <c:v>2</c:v>
                </c:pt>
                <c:pt idx="27">
                  <c:v>11</c:v>
                </c:pt>
                <c:pt idx="28">
                  <c:v>10</c:v>
                </c:pt>
                <c:pt idx="29">
                  <c:v>13</c:v>
                </c:pt>
                <c:pt idx="30">
                  <c:v>9</c:v>
                </c:pt>
                <c:pt idx="31">
                  <c:v>7</c:v>
                </c:pt>
                <c:pt idx="32">
                  <c:v>4</c:v>
                </c:pt>
              </c:numCache>
            </c:numRef>
          </c:val>
          <c:extLst>
            <c:ext xmlns:c16="http://schemas.microsoft.com/office/drawing/2014/chart" uri="{C3380CC4-5D6E-409C-BE32-E72D297353CC}">
              <c16:uniqueId val="{00000000-B059-8748-A98D-30597194BD62}"/>
            </c:ext>
          </c:extLst>
        </c:ser>
        <c:ser>
          <c:idx val="1"/>
          <c:order val="1"/>
          <c:tx>
            <c:strRef>
              <c:f>'Intent Classification'!$K$4</c:f>
              <c:strCache>
                <c:ptCount val="1"/>
                <c:pt idx="0">
                  <c:v>Qualified Success</c:v>
                </c:pt>
              </c:strCache>
            </c:strRef>
          </c:tx>
          <c:spPr>
            <a:solidFill>
              <a:srgbClr val="92D050"/>
            </a:solidFill>
            <a:ln>
              <a:noFill/>
            </a:ln>
            <a:effectLst/>
          </c:spPr>
          <c:invertIfNegative val="0"/>
          <c:cat>
            <c:strRef>
              <c:f>'Intent Classification'!$I$5:$I$39</c:f>
              <c:strCache>
                <c:ptCount val="35"/>
                <c:pt idx="0">
                  <c:v>Absense Questions</c:v>
                </c:pt>
                <c:pt idx="1">
                  <c:v>Absenses</c:v>
                </c:pt>
                <c:pt idx="2">
                  <c:v>Service Request</c:v>
                </c:pt>
                <c:pt idx="3">
                  <c:v>Knowledge</c:v>
                </c:pt>
                <c:pt idx="4">
                  <c:v>Pay Questons</c:v>
                </c:pt>
                <c:pt idx="5">
                  <c:v>Help</c:v>
                </c:pt>
                <c:pt idx="6">
                  <c:v>Quiting and Retiring</c:v>
                </c:pt>
                <c:pt idx="7">
                  <c:v>Flex Hours</c:v>
                </c:pt>
                <c:pt idx="8">
                  <c:v>My Employment Details</c:v>
                </c:pt>
                <c:pt idx="9">
                  <c:v>Benefits</c:v>
                </c:pt>
                <c:pt idx="10">
                  <c:v>Payslip</c:v>
                </c:pt>
                <c:pt idx="11">
                  <c:v>Taxes</c:v>
                </c:pt>
                <c:pt idx="12">
                  <c:v>Manager Tools</c:v>
                </c:pt>
                <c:pt idx="13">
                  <c:v>Wage</c:v>
                </c:pt>
                <c:pt idx="14">
                  <c:v>Worklist</c:v>
                </c:pt>
                <c:pt idx="15">
                  <c:v>Reference Letters</c:v>
                </c:pt>
                <c:pt idx="16">
                  <c:v>Personal Info</c:v>
                </c:pt>
                <c:pt idx="17">
                  <c:v>Talent</c:v>
                </c:pt>
                <c:pt idx="18">
                  <c:v>Misc</c:v>
                </c:pt>
                <c:pt idx="19">
                  <c:v>Harassment and Disputes</c:v>
                </c:pt>
                <c:pt idx="20">
                  <c:v>Expense</c:v>
                </c:pt>
                <c:pt idx="21">
                  <c:v>EAP</c:v>
                </c:pt>
                <c:pt idx="22">
                  <c:v>Careers</c:v>
                </c:pt>
                <c:pt idx="23">
                  <c:v>Learn</c:v>
                </c:pt>
                <c:pt idx="24">
                  <c:v>Work Evaluations</c:v>
                </c:pt>
                <c:pt idx="25">
                  <c:v>IT Support</c:v>
                </c:pt>
                <c:pt idx="26">
                  <c:v>Checklist</c:v>
                </c:pt>
                <c:pt idx="27">
                  <c:v>Feedback and Tool Comments</c:v>
                </c:pt>
                <c:pt idx="28">
                  <c:v>Directory</c:v>
                </c:pt>
                <c:pt idx="29">
                  <c:v>Bank Account</c:v>
                </c:pt>
                <c:pt idx="30">
                  <c:v>Covid</c:v>
                </c:pt>
                <c:pt idx="31">
                  <c:v>Grow</c:v>
                </c:pt>
                <c:pt idx="32">
                  <c:v>Hiring</c:v>
                </c:pt>
                <c:pt idx="33">
                  <c:v>Internal System</c:v>
                </c:pt>
                <c:pt idx="34">
                  <c:v>Helpdesk Rep</c:v>
                </c:pt>
              </c:strCache>
            </c:strRef>
          </c:cat>
          <c:val>
            <c:numRef>
              <c:f>'Intent Classification'!$K$5:$K$39</c:f>
              <c:numCache>
                <c:formatCode>General</c:formatCode>
                <c:ptCount val="35"/>
                <c:pt idx="0">
                  <c:v>37</c:v>
                </c:pt>
                <c:pt idx="1">
                  <c:v>21</c:v>
                </c:pt>
                <c:pt idx="2">
                  <c:v>1</c:v>
                </c:pt>
                <c:pt idx="3">
                  <c:v>6</c:v>
                </c:pt>
                <c:pt idx="4">
                  <c:v>23</c:v>
                </c:pt>
                <c:pt idx="5">
                  <c:v>39</c:v>
                </c:pt>
                <c:pt idx="6">
                  <c:v>13</c:v>
                </c:pt>
                <c:pt idx="7">
                  <c:v>13</c:v>
                </c:pt>
                <c:pt idx="8">
                  <c:v>4</c:v>
                </c:pt>
                <c:pt idx="9">
                  <c:v>8</c:v>
                </c:pt>
                <c:pt idx="10">
                  <c:v>7</c:v>
                </c:pt>
                <c:pt idx="11">
                  <c:v>20</c:v>
                </c:pt>
                <c:pt idx="12">
                  <c:v>17</c:v>
                </c:pt>
                <c:pt idx="13">
                  <c:v>6</c:v>
                </c:pt>
                <c:pt idx="14">
                  <c:v>1</c:v>
                </c:pt>
                <c:pt idx="15">
                  <c:v>2</c:v>
                </c:pt>
                <c:pt idx="17">
                  <c:v>9</c:v>
                </c:pt>
                <c:pt idx="19">
                  <c:v>7</c:v>
                </c:pt>
                <c:pt idx="20">
                  <c:v>3</c:v>
                </c:pt>
                <c:pt idx="21">
                  <c:v>2</c:v>
                </c:pt>
                <c:pt idx="22">
                  <c:v>1</c:v>
                </c:pt>
                <c:pt idx="23">
                  <c:v>2</c:v>
                </c:pt>
                <c:pt idx="25">
                  <c:v>2</c:v>
                </c:pt>
                <c:pt idx="26">
                  <c:v>3</c:v>
                </c:pt>
                <c:pt idx="31">
                  <c:v>1</c:v>
                </c:pt>
                <c:pt idx="32">
                  <c:v>2</c:v>
                </c:pt>
              </c:numCache>
            </c:numRef>
          </c:val>
          <c:extLst>
            <c:ext xmlns:c16="http://schemas.microsoft.com/office/drawing/2014/chart" uri="{C3380CC4-5D6E-409C-BE32-E72D297353CC}">
              <c16:uniqueId val="{00000001-B059-8748-A98D-30597194BD62}"/>
            </c:ext>
          </c:extLst>
        </c:ser>
        <c:ser>
          <c:idx val="2"/>
          <c:order val="2"/>
          <c:tx>
            <c:strRef>
              <c:f>'Intent Classification'!$L$4</c:f>
              <c:strCache>
                <c:ptCount val="1"/>
                <c:pt idx="0">
                  <c:v>Failure</c:v>
                </c:pt>
              </c:strCache>
            </c:strRef>
          </c:tx>
          <c:spPr>
            <a:solidFill>
              <a:schemeClr val="accent4">
                <a:lumMod val="75000"/>
              </a:schemeClr>
            </a:solidFill>
            <a:ln>
              <a:noFill/>
            </a:ln>
            <a:effectLst/>
          </c:spPr>
          <c:invertIfNegative val="0"/>
          <c:cat>
            <c:strRef>
              <c:f>'Intent Classification'!$I$5:$I$39</c:f>
              <c:strCache>
                <c:ptCount val="35"/>
                <c:pt idx="0">
                  <c:v>Absense Questions</c:v>
                </c:pt>
                <c:pt idx="1">
                  <c:v>Absenses</c:v>
                </c:pt>
                <c:pt idx="2">
                  <c:v>Service Request</c:v>
                </c:pt>
                <c:pt idx="3">
                  <c:v>Knowledge</c:v>
                </c:pt>
                <c:pt idx="4">
                  <c:v>Pay Questons</c:v>
                </c:pt>
                <c:pt idx="5">
                  <c:v>Help</c:v>
                </c:pt>
                <c:pt idx="6">
                  <c:v>Quiting and Retiring</c:v>
                </c:pt>
                <c:pt idx="7">
                  <c:v>Flex Hours</c:v>
                </c:pt>
                <c:pt idx="8">
                  <c:v>My Employment Details</c:v>
                </c:pt>
                <c:pt idx="9">
                  <c:v>Benefits</c:v>
                </c:pt>
                <c:pt idx="10">
                  <c:v>Payslip</c:v>
                </c:pt>
                <c:pt idx="11">
                  <c:v>Taxes</c:v>
                </c:pt>
                <c:pt idx="12">
                  <c:v>Manager Tools</c:v>
                </c:pt>
                <c:pt idx="13">
                  <c:v>Wage</c:v>
                </c:pt>
                <c:pt idx="14">
                  <c:v>Worklist</c:v>
                </c:pt>
                <c:pt idx="15">
                  <c:v>Reference Letters</c:v>
                </c:pt>
                <c:pt idx="16">
                  <c:v>Personal Info</c:v>
                </c:pt>
                <c:pt idx="17">
                  <c:v>Talent</c:v>
                </c:pt>
                <c:pt idx="18">
                  <c:v>Misc</c:v>
                </c:pt>
                <c:pt idx="19">
                  <c:v>Harassment and Disputes</c:v>
                </c:pt>
                <c:pt idx="20">
                  <c:v>Expense</c:v>
                </c:pt>
                <c:pt idx="21">
                  <c:v>EAP</c:v>
                </c:pt>
                <c:pt idx="22">
                  <c:v>Careers</c:v>
                </c:pt>
                <c:pt idx="23">
                  <c:v>Learn</c:v>
                </c:pt>
                <c:pt idx="24">
                  <c:v>Work Evaluations</c:v>
                </c:pt>
                <c:pt idx="25">
                  <c:v>IT Support</c:v>
                </c:pt>
                <c:pt idx="26">
                  <c:v>Checklist</c:v>
                </c:pt>
                <c:pt idx="27">
                  <c:v>Feedback and Tool Comments</c:v>
                </c:pt>
                <c:pt idx="28">
                  <c:v>Directory</c:v>
                </c:pt>
                <c:pt idx="29">
                  <c:v>Bank Account</c:v>
                </c:pt>
                <c:pt idx="30">
                  <c:v>Covid</c:v>
                </c:pt>
                <c:pt idx="31">
                  <c:v>Grow</c:v>
                </c:pt>
                <c:pt idx="32">
                  <c:v>Hiring</c:v>
                </c:pt>
                <c:pt idx="33">
                  <c:v>Internal System</c:v>
                </c:pt>
                <c:pt idx="34">
                  <c:v>Helpdesk Rep</c:v>
                </c:pt>
              </c:strCache>
            </c:strRef>
          </c:cat>
          <c:val>
            <c:numRef>
              <c:f>'Intent Classification'!$L$5:$L$39</c:f>
              <c:numCache>
                <c:formatCode>General</c:formatCode>
                <c:ptCount val="35"/>
                <c:pt idx="0">
                  <c:v>249</c:v>
                </c:pt>
                <c:pt idx="1">
                  <c:v>170</c:v>
                </c:pt>
                <c:pt idx="2">
                  <c:v>20</c:v>
                </c:pt>
                <c:pt idx="3">
                  <c:v>64</c:v>
                </c:pt>
                <c:pt idx="4">
                  <c:v>124</c:v>
                </c:pt>
                <c:pt idx="5">
                  <c:v>157</c:v>
                </c:pt>
                <c:pt idx="6">
                  <c:v>40</c:v>
                </c:pt>
                <c:pt idx="7">
                  <c:v>66</c:v>
                </c:pt>
                <c:pt idx="8">
                  <c:v>50</c:v>
                </c:pt>
                <c:pt idx="9">
                  <c:v>54</c:v>
                </c:pt>
                <c:pt idx="10">
                  <c:v>22</c:v>
                </c:pt>
                <c:pt idx="11">
                  <c:v>29</c:v>
                </c:pt>
                <c:pt idx="12">
                  <c:v>67</c:v>
                </c:pt>
                <c:pt idx="13">
                  <c:v>11</c:v>
                </c:pt>
                <c:pt idx="14">
                  <c:v>10</c:v>
                </c:pt>
                <c:pt idx="15">
                  <c:v>7</c:v>
                </c:pt>
                <c:pt idx="16">
                  <c:v>12</c:v>
                </c:pt>
                <c:pt idx="17">
                  <c:v>11</c:v>
                </c:pt>
                <c:pt idx="18">
                  <c:v>17</c:v>
                </c:pt>
                <c:pt idx="19">
                  <c:v>15</c:v>
                </c:pt>
                <c:pt idx="20">
                  <c:v>23</c:v>
                </c:pt>
                <c:pt idx="21">
                  <c:v>4</c:v>
                </c:pt>
                <c:pt idx="22">
                  <c:v>11</c:v>
                </c:pt>
                <c:pt idx="23">
                  <c:v>11</c:v>
                </c:pt>
                <c:pt idx="24">
                  <c:v>6</c:v>
                </c:pt>
                <c:pt idx="25">
                  <c:v>12</c:v>
                </c:pt>
                <c:pt idx="26">
                  <c:v>10</c:v>
                </c:pt>
                <c:pt idx="27">
                  <c:v>4</c:v>
                </c:pt>
                <c:pt idx="28">
                  <c:v>5</c:v>
                </c:pt>
                <c:pt idx="29">
                  <c:v>1</c:v>
                </c:pt>
                <c:pt idx="30">
                  <c:v>2</c:v>
                </c:pt>
                <c:pt idx="32">
                  <c:v>2</c:v>
                </c:pt>
                <c:pt idx="33">
                  <c:v>6</c:v>
                </c:pt>
                <c:pt idx="34">
                  <c:v>3</c:v>
                </c:pt>
              </c:numCache>
            </c:numRef>
          </c:val>
          <c:extLst>
            <c:ext xmlns:c16="http://schemas.microsoft.com/office/drawing/2014/chart" uri="{C3380CC4-5D6E-409C-BE32-E72D297353CC}">
              <c16:uniqueId val="{00000002-B059-8748-A98D-30597194BD62}"/>
            </c:ext>
          </c:extLst>
        </c:ser>
        <c:dLbls>
          <c:showLegendKey val="0"/>
          <c:showVal val="0"/>
          <c:showCatName val="0"/>
          <c:showSerName val="0"/>
          <c:showPercent val="0"/>
          <c:showBubbleSize val="0"/>
        </c:dLbls>
        <c:gapWidth val="219"/>
        <c:overlap val="100"/>
        <c:axId val="1258713631"/>
        <c:axId val="1258598911"/>
      </c:barChart>
      <c:lineChart>
        <c:grouping val="standard"/>
        <c:varyColors val="0"/>
        <c:ser>
          <c:idx val="3"/>
          <c:order val="3"/>
          <c:tx>
            <c:strRef>
              <c:f>'Intent Classification'!$M$4</c:f>
              <c:strCache>
                <c:ptCount val="1"/>
                <c:pt idx="0">
                  <c:v>Failure Ratio</c:v>
                </c:pt>
              </c:strCache>
            </c:strRef>
          </c:tx>
          <c:spPr>
            <a:ln w="28575" cap="rnd">
              <a:solidFill>
                <a:schemeClr val="accent4"/>
              </a:solidFill>
              <a:round/>
            </a:ln>
            <a:effectLst/>
          </c:spPr>
          <c:marker>
            <c:symbol val="none"/>
          </c:marker>
          <c:dLbls>
            <c:dLbl>
              <c:idx val="0"/>
              <c:layout>
                <c:manualLayout>
                  <c:x val="-2.9315451422230757E-2"/>
                  <c:y val="-1.138882800249548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059-8748-A98D-30597194BD62}"/>
                </c:ext>
              </c:extLst>
            </c:dLbl>
            <c:dLbl>
              <c:idx val="1"/>
              <c:layout>
                <c:manualLayout>
                  <c:x val="-4.0283679373837859E-2"/>
                  <c:y val="2.2653068150963809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4.3171624007357134E-2"/>
                      <c:h val="5.976225224002172E-2"/>
                    </c:manualLayout>
                  </c15:layout>
                </c:ext>
                <c:ext xmlns:c16="http://schemas.microsoft.com/office/drawing/2014/chart" uri="{C3380CC4-5D6E-409C-BE32-E72D297353CC}">
                  <c16:uniqueId val="{00000007-B059-8748-A98D-30597194BD62}"/>
                </c:ext>
              </c:extLst>
            </c:dLbl>
            <c:dLbl>
              <c:idx val="2"/>
              <c:layout>
                <c:manualLayout>
                  <c:x val="-3.1543052003410066E-2"/>
                  <c:y val="-4.3102599782785774E-3"/>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2770673486786021E-2"/>
                      <c:h val="4.4008620689655165E-2"/>
                    </c:manualLayout>
                  </c15:layout>
                </c:ext>
                <c:ext xmlns:c16="http://schemas.microsoft.com/office/drawing/2014/chart" uri="{C3380CC4-5D6E-409C-BE32-E72D297353CC}">
                  <c16:uniqueId val="{0000001D-B059-8748-A98D-30597194BD62}"/>
                </c:ext>
              </c:extLst>
            </c:dLbl>
            <c:dLbl>
              <c:idx val="3"/>
              <c:layout>
                <c:manualLayout>
                  <c:x val="-3.8027535560612481E-2"/>
                  <c:y val="-2.8863613222916102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9022988505747119E-2"/>
                      <c:h val="5.3937326660078423E-2"/>
                    </c:manualLayout>
                  </c15:layout>
                </c:ext>
                <c:ext xmlns:c16="http://schemas.microsoft.com/office/drawing/2014/chart" uri="{C3380CC4-5D6E-409C-BE32-E72D297353CC}">
                  <c16:uniqueId val="{00000008-B059-8748-A98D-30597194BD62}"/>
                </c:ext>
              </c:extLst>
            </c:dLbl>
            <c:dLbl>
              <c:idx val="4"/>
              <c:layout>
                <c:manualLayout>
                  <c:x val="-4.0068201193520905E-2"/>
                  <c:y val="-1.9396466874830303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4.9458686590007454E-2"/>
                      <c:h val="3.9698275862068963E-2"/>
                    </c:manualLayout>
                  </c15:layout>
                </c:ext>
                <c:ext xmlns:c16="http://schemas.microsoft.com/office/drawing/2014/chart" uri="{C3380CC4-5D6E-409C-BE32-E72D297353CC}">
                  <c16:uniqueId val="{0000001C-B059-8748-A98D-30597194BD62}"/>
                </c:ext>
              </c:extLst>
            </c:dLbl>
            <c:dLbl>
              <c:idx val="5"/>
              <c:layout>
                <c:manualLayout>
                  <c:x val="-1.7902813299232736E-2"/>
                  <c:y val="-1.9396466874830379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752347772385229E-2"/>
                      <c:h val="6.5560344827586201E-2"/>
                    </c:manualLayout>
                  </c15:layout>
                </c:ext>
                <c:ext xmlns:c16="http://schemas.microsoft.com/office/drawing/2014/chart" uri="{C3380CC4-5D6E-409C-BE32-E72D297353CC}">
                  <c16:uniqueId val="{00000009-B059-8748-A98D-30597194BD62}"/>
                </c:ext>
              </c:extLst>
            </c:dLbl>
            <c:dLbl>
              <c:idx val="6"/>
              <c:layout>
                <c:manualLayout>
                  <c:x val="-5.9676044330776098E-3"/>
                  <c:y val="-0.10775853584034754"/>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2.1325694262641724E-2"/>
                      <c:h val="5.6939655172413783E-2"/>
                    </c:manualLayout>
                  </c15:layout>
                </c:ext>
                <c:ext xmlns:c16="http://schemas.microsoft.com/office/drawing/2014/chart" uri="{C3380CC4-5D6E-409C-BE32-E72D297353CC}">
                  <c16:uniqueId val="{0000000A-B059-8748-A98D-30597194BD62}"/>
                </c:ext>
              </c:extLst>
            </c:dLbl>
            <c:dLbl>
              <c:idx val="7"/>
              <c:layout>
                <c:manualLayout>
                  <c:x val="-1.2787723785166271E-2"/>
                  <c:y val="-1.9396551724138011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1555873290774715E-2"/>
                      <c:h val="8.7112068965517236E-2"/>
                    </c:manualLayout>
                  </c15:layout>
                </c:ext>
                <c:ext xmlns:c16="http://schemas.microsoft.com/office/drawing/2014/chart" uri="{C3380CC4-5D6E-409C-BE32-E72D297353CC}">
                  <c16:uniqueId val="{0000000B-B059-8748-A98D-30597194BD62}"/>
                </c:ext>
              </c:extLst>
            </c:dLbl>
            <c:dLbl>
              <c:idx val="8"/>
              <c:layout>
                <c:manualLayout>
                  <c:x val="-1.0230179028132993E-2"/>
                  <c:y val="2.15517241379309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B059-8748-A98D-30597194BD62}"/>
                </c:ext>
              </c:extLst>
            </c:dLbl>
            <c:dLbl>
              <c:idx val="9"/>
              <c:layout>
                <c:manualLayout>
                  <c:x val="-1.619778346121057E-2"/>
                  <c:y val="-2.1551639288623404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2408388209785796E-2"/>
                      <c:h val="4.1853448275862064E-2"/>
                    </c:manualLayout>
                  </c15:layout>
                </c:ext>
                <c:ext xmlns:c16="http://schemas.microsoft.com/office/drawing/2014/chart" uri="{C3380CC4-5D6E-409C-BE32-E72D297353CC}">
                  <c16:uniqueId val="{0000000C-B059-8748-A98D-30597194BD62}"/>
                </c:ext>
              </c:extLst>
            </c:dLbl>
            <c:dLbl>
              <c:idx val="10"/>
              <c:layout>
                <c:manualLayout>
                  <c:x val="-1.6197783461210633E-2"/>
                  <c:y val="-3.8793103448275863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1555873290774715E-2"/>
                      <c:h val="6.3405172413793107E-2"/>
                    </c:manualLayout>
                  </c15:layout>
                </c:ext>
                <c:ext xmlns:c16="http://schemas.microsoft.com/office/drawing/2014/chart" uri="{C3380CC4-5D6E-409C-BE32-E72D297353CC}">
                  <c16:uniqueId val="{0000000D-B059-8748-A98D-30597194BD62}"/>
                </c:ext>
              </c:extLst>
            </c:dLbl>
            <c:dLbl>
              <c:idx val="12"/>
              <c:layout>
                <c:manualLayout>
                  <c:x val="-1.790277973565331E-2"/>
                  <c:y val="-3.0172328943795818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3260903128796877E-2"/>
                      <c:h val="4.1853448275862064E-2"/>
                    </c:manualLayout>
                  </c15:layout>
                </c:ext>
                <c:ext xmlns:c16="http://schemas.microsoft.com/office/drawing/2014/chart" uri="{C3380CC4-5D6E-409C-BE32-E72D297353CC}">
                  <c16:uniqueId val="{0000000E-B059-8748-A98D-30597194BD62}"/>
                </c:ext>
              </c:extLst>
            </c:dLbl>
            <c:dLbl>
              <c:idx val="13"/>
              <c:layout>
                <c:manualLayout>
                  <c:x val="-1.7050264816642166E-2"/>
                  <c:y val="-6.0344827586206976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8375992642863371E-2"/>
                      <c:h val="9.5732758620689654E-2"/>
                    </c:manualLayout>
                  </c15:layout>
                </c:ext>
                <c:ext xmlns:c16="http://schemas.microsoft.com/office/drawing/2014/chart" uri="{C3380CC4-5D6E-409C-BE32-E72D297353CC}">
                  <c16:uniqueId val="{0000000F-B059-8748-A98D-30597194BD62}"/>
                </c:ext>
              </c:extLst>
            </c:dLbl>
            <c:dLbl>
              <c:idx val="14"/>
              <c:layout>
                <c:manualLayout>
                  <c:x val="-1.3640238704177323E-2"/>
                  <c:y val="-1.7241294461037199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4965932966819047E-2"/>
                      <c:h val="5.6939655172413783E-2"/>
                    </c:manualLayout>
                  </c15:layout>
                </c:ext>
                <c:ext xmlns:c16="http://schemas.microsoft.com/office/drawing/2014/chart" uri="{C3380CC4-5D6E-409C-BE32-E72D297353CC}">
                  <c16:uniqueId val="{00000010-B059-8748-A98D-30597194BD62}"/>
                </c:ext>
              </c:extLst>
            </c:dLbl>
            <c:dLbl>
              <c:idx val="16"/>
              <c:layout>
                <c:manualLayout>
                  <c:x val="-1.5345268542199551E-2"/>
                  <c:y val="2.586215381482487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6670962804841209E-2"/>
                      <c:h val="5.2629310344827575E-2"/>
                    </c:manualLayout>
                  </c15:layout>
                </c:ext>
                <c:ext xmlns:c16="http://schemas.microsoft.com/office/drawing/2014/chart" uri="{C3380CC4-5D6E-409C-BE32-E72D297353CC}">
                  <c16:uniqueId val="{00000011-B059-8748-A98D-30597194BD62}"/>
                </c:ext>
              </c:extLst>
            </c:dLbl>
            <c:dLbl>
              <c:idx val="18"/>
              <c:layout>
                <c:manualLayout>
                  <c:x val="-2.0460358056266049E-2"/>
                  <c:y val="-2.8017156530002717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2408388209785796E-2"/>
                      <c:h val="3.9698275862068963E-2"/>
                    </c:manualLayout>
                  </c15:layout>
                </c:ext>
                <c:ext xmlns:c16="http://schemas.microsoft.com/office/drawing/2014/chart" uri="{C3380CC4-5D6E-409C-BE32-E72D297353CC}">
                  <c16:uniqueId val="{0000001A-B059-8748-A98D-30597194BD62}"/>
                </c:ext>
              </c:extLst>
            </c:dLbl>
            <c:dLbl>
              <c:idx val="21"/>
              <c:layout>
                <c:manualLayout>
                  <c:x val="-2.0460324492686623E-2"/>
                  <c:y val="1.9396551724137932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3260903128796877E-2"/>
                      <c:h val="6.7715517241379308E-2"/>
                    </c:manualLayout>
                  </c15:layout>
                </c:ext>
                <c:ext xmlns:c16="http://schemas.microsoft.com/office/drawing/2014/chart" uri="{C3380CC4-5D6E-409C-BE32-E72D297353CC}">
                  <c16:uniqueId val="{00000019-B059-8748-A98D-30597194BD62}"/>
                </c:ext>
              </c:extLst>
            </c:dLbl>
            <c:dLbl>
              <c:idx val="22"/>
              <c:layout>
                <c:manualLayout>
                  <c:x val="-2.5575414006752992E-2"/>
                  <c:y val="-2.8017241379310345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4113418047807958E-2"/>
                      <c:h val="5.0474137931034481E-2"/>
                    </c:manualLayout>
                  </c15:layout>
                </c:ext>
                <c:ext xmlns:c16="http://schemas.microsoft.com/office/drawing/2014/chart" uri="{C3380CC4-5D6E-409C-BE32-E72D297353CC}">
                  <c16:uniqueId val="{00000018-B059-8748-A98D-30597194BD62}"/>
                </c:ext>
              </c:extLst>
            </c:dLbl>
            <c:dLbl>
              <c:idx val="23"/>
              <c:layout>
                <c:manualLayout>
                  <c:x val="-1.9607843137254902E-2"/>
                  <c:y val="-1.7241294461037279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1555873290774715E-2"/>
                      <c:h val="4.4008620689655165E-2"/>
                    </c:manualLayout>
                  </c15:layout>
                </c:ext>
                <c:ext xmlns:c16="http://schemas.microsoft.com/office/drawing/2014/chart" uri="{C3380CC4-5D6E-409C-BE32-E72D297353CC}">
                  <c16:uniqueId val="{00000017-B059-8748-A98D-30597194BD62}"/>
                </c:ext>
              </c:extLst>
            </c:dLbl>
            <c:dLbl>
              <c:idx val="25"/>
              <c:layout>
                <c:manualLayout>
                  <c:x val="-1.8755328218243945E-2"/>
                  <c:y val="-1.7241294461037199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752347772385229E-2"/>
                      <c:h val="3.1077586206896546E-2"/>
                    </c:manualLayout>
                  </c15:layout>
                </c:ext>
                <c:ext xmlns:c16="http://schemas.microsoft.com/office/drawing/2014/chart" uri="{C3380CC4-5D6E-409C-BE32-E72D297353CC}">
                  <c16:uniqueId val="{00000015-B059-8748-A98D-30597194BD62}"/>
                </c:ext>
              </c:extLst>
            </c:dLbl>
            <c:dLbl>
              <c:idx val="26"/>
              <c:layout>
                <c:manualLayout>
                  <c:x val="-1.4492753623188406E-2"/>
                  <c:y val="-1.5086122047244134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4.178605231890771E-2"/>
                      <c:h val="5.6939655172413783E-2"/>
                    </c:manualLayout>
                  </c15:layout>
                </c:ext>
                <c:ext xmlns:c16="http://schemas.microsoft.com/office/drawing/2014/chart" uri="{C3380CC4-5D6E-409C-BE32-E72D297353CC}">
                  <c16:uniqueId val="{00000016-B059-8748-A98D-30597194BD62}"/>
                </c:ext>
              </c:extLst>
            </c:dLbl>
            <c:dLbl>
              <c:idx val="27"/>
              <c:layout>
                <c:manualLayout>
                  <c:x val="-2.0460358056265986E-2"/>
                  <c:y val="2.8017241379310266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752347772385229E-2"/>
                      <c:h val="5.9094827586206898E-2"/>
                    </c:manualLayout>
                  </c15:layout>
                </c:ext>
                <c:ext xmlns:c16="http://schemas.microsoft.com/office/drawing/2014/chart" uri="{C3380CC4-5D6E-409C-BE32-E72D297353CC}">
                  <c16:uniqueId val="{00000013-B059-8748-A98D-30597194BD62}"/>
                </c:ext>
              </c:extLst>
            </c:dLbl>
            <c:dLbl>
              <c:idx val="31"/>
              <c:layout>
                <c:manualLayout>
                  <c:x val="-1.278772378516624E-2"/>
                  <c:y val="-4.95689655172413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B059-8748-A98D-30597194BD62}"/>
                </c:ext>
              </c:extLst>
            </c:dLbl>
            <c:dLbl>
              <c:idx val="33"/>
              <c:layout>
                <c:manualLayout>
                  <c:x val="-1.5330188679245283E-2"/>
                  <c:y val="-1.9396551724137956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2.6078431372549019E-2"/>
                      <c:h val="6.1249999999999999E-2"/>
                    </c:manualLayout>
                  </c15:layout>
                </c:ext>
                <c:ext xmlns:c16="http://schemas.microsoft.com/office/drawing/2014/chart" uri="{C3380CC4-5D6E-409C-BE32-E72D297353CC}">
                  <c16:uniqueId val="{00000005-B059-8748-A98D-30597194BD62}"/>
                </c:ext>
              </c:extLst>
            </c:dLbl>
            <c:dLbl>
              <c:idx val="34"/>
              <c:layout>
                <c:manualLayout>
                  <c:x val="-2.2165387894288274E-2"/>
                  <c:y val="1.7241379310344807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8866155157715257E-2"/>
                      <c:h val="9.5732758620689681E-2"/>
                    </c:manualLayout>
                  </c15:layout>
                </c:ext>
                <c:ext xmlns:c16="http://schemas.microsoft.com/office/drawing/2014/chart" uri="{C3380CC4-5D6E-409C-BE32-E72D297353CC}">
                  <c16:uniqueId val="{00000012-B059-8748-A98D-30597194BD62}"/>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'Intent Classification'!$I$5:$I$39</c:f>
              <c:strCache>
                <c:ptCount val="35"/>
                <c:pt idx="0">
                  <c:v>Absense Questions</c:v>
                </c:pt>
                <c:pt idx="1">
                  <c:v>Absenses</c:v>
                </c:pt>
                <c:pt idx="2">
                  <c:v>Service Request</c:v>
                </c:pt>
                <c:pt idx="3">
                  <c:v>Knowledge</c:v>
                </c:pt>
                <c:pt idx="4">
                  <c:v>Pay Questons</c:v>
                </c:pt>
                <c:pt idx="5">
                  <c:v>Help</c:v>
                </c:pt>
                <c:pt idx="6">
                  <c:v>Quiting and Retiring</c:v>
                </c:pt>
                <c:pt idx="7">
                  <c:v>Flex Hours</c:v>
                </c:pt>
                <c:pt idx="8">
                  <c:v>My Employment Details</c:v>
                </c:pt>
                <c:pt idx="9">
                  <c:v>Benefits</c:v>
                </c:pt>
                <c:pt idx="10">
                  <c:v>Payslip</c:v>
                </c:pt>
                <c:pt idx="11">
                  <c:v>Taxes</c:v>
                </c:pt>
                <c:pt idx="12">
                  <c:v>Manager Tools</c:v>
                </c:pt>
                <c:pt idx="13">
                  <c:v>Wage</c:v>
                </c:pt>
                <c:pt idx="14">
                  <c:v>Worklist</c:v>
                </c:pt>
                <c:pt idx="15">
                  <c:v>Reference Letters</c:v>
                </c:pt>
                <c:pt idx="16">
                  <c:v>Personal Info</c:v>
                </c:pt>
                <c:pt idx="17">
                  <c:v>Talent</c:v>
                </c:pt>
                <c:pt idx="18">
                  <c:v>Misc</c:v>
                </c:pt>
                <c:pt idx="19">
                  <c:v>Harassment and Disputes</c:v>
                </c:pt>
                <c:pt idx="20">
                  <c:v>Expense</c:v>
                </c:pt>
                <c:pt idx="21">
                  <c:v>EAP</c:v>
                </c:pt>
                <c:pt idx="22">
                  <c:v>Careers</c:v>
                </c:pt>
                <c:pt idx="23">
                  <c:v>Learn</c:v>
                </c:pt>
                <c:pt idx="24">
                  <c:v>Work Evaluations</c:v>
                </c:pt>
                <c:pt idx="25">
                  <c:v>IT Support</c:v>
                </c:pt>
                <c:pt idx="26">
                  <c:v>Checklist</c:v>
                </c:pt>
                <c:pt idx="27">
                  <c:v>Feedback and Tool Comments</c:v>
                </c:pt>
                <c:pt idx="28">
                  <c:v>Directory</c:v>
                </c:pt>
                <c:pt idx="29">
                  <c:v>Bank Account</c:v>
                </c:pt>
                <c:pt idx="30">
                  <c:v>Covid</c:v>
                </c:pt>
                <c:pt idx="31">
                  <c:v>Grow</c:v>
                </c:pt>
                <c:pt idx="32">
                  <c:v>Hiring</c:v>
                </c:pt>
                <c:pt idx="33">
                  <c:v>Internal System</c:v>
                </c:pt>
                <c:pt idx="34">
                  <c:v>Helpdesk Rep</c:v>
                </c:pt>
              </c:strCache>
            </c:strRef>
          </c:cat>
          <c:val>
            <c:numRef>
              <c:f>'Intent Classification'!$M$5:$M$39</c:f>
              <c:numCache>
                <c:formatCode>0%</c:formatCode>
                <c:ptCount val="35"/>
                <c:pt idx="0">
                  <c:v>0.30514705882352944</c:v>
                </c:pt>
                <c:pt idx="1">
                  <c:v>0.25073746312684364</c:v>
                </c:pt>
                <c:pt idx="2">
                  <c:v>3.5398230088495575E-2</c:v>
                </c:pt>
                <c:pt idx="3">
                  <c:v>0.12475633528265107</c:v>
                </c:pt>
                <c:pt idx="4">
                  <c:v>0.41471571906354515</c:v>
                </c:pt>
                <c:pt idx="5">
                  <c:v>0.54325259515570934</c:v>
                </c:pt>
                <c:pt idx="6">
                  <c:v>0.17543859649122806</c:v>
                </c:pt>
                <c:pt idx="7">
                  <c:v>0.31578947368421051</c:v>
                </c:pt>
                <c:pt idx="8">
                  <c:v>0.32679738562091504</c:v>
                </c:pt>
                <c:pt idx="9">
                  <c:v>0.40601503759398494</c:v>
                </c:pt>
                <c:pt idx="10">
                  <c:v>0.17054263565891473</c:v>
                </c:pt>
                <c:pt idx="11">
                  <c:v>0.22480620155038761</c:v>
                </c:pt>
                <c:pt idx="12">
                  <c:v>0.5234375</c:v>
                </c:pt>
                <c:pt idx="13">
                  <c:v>9.8214285714285712E-2</c:v>
                </c:pt>
                <c:pt idx="14">
                  <c:v>0.13157894736842105</c:v>
                </c:pt>
                <c:pt idx="15">
                  <c:v>0.1076923076923077</c:v>
                </c:pt>
                <c:pt idx="16">
                  <c:v>0.22641509433962265</c:v>
                </c:pt>
                <c:pt idx="17">
                  <c:v>0.23404255319148937</c:v>
                </c:pt>
                <c:pt idx="18">
                  <c:v>0.39534883720930231</c:v>
                </c:pt>
                <c:pt idx="19">
                  <c:v>0.36585365853658536</c:v>
                </c:pt>
                <c:pt idx="20">
                  <c:v>0.65714285714285714</c:v>
                </c:pt>
                <c:pt idx="21">
                  <c:v>0.125</c:v>
                </c:pt>
                <c:pt idx="22">
                  <c:v>0.39285714285714285</c:v>
                </c:pt>
                <c:pt idx="23">
                  <c:v>0.44</c:v>
                </c:pt>
                <c:pt idx="24">
                  <c:v>0.33333333333333331</c:v>
                </c:pt>
                <c:pt idx="25">
                  <c:v>0.70588235294117652</c:v>
                </c:pt>
                <c:pt idx="26">
                  <c:v>0.66666666666666663</c:v>
                </c:pt>
                <c:pt idx="27">
                  <c:v>0.26666666666666666</c:v>
                </c:pt>
                <c:pt idx="28">
                  <c:v>0.33333333333333331</c:v>
                </c:pt>
                <c:pt idx="29">
                  <c:v>7.1428571428571425E-2</c:v>
                </c:pt>
                <c:pt idx="30">
                  <c:v>0.18181818181818182</c:v>
                </c:pt>
                <c:pt idx="31">
                  <c:v>0</c:v>
                </c:pt>
                <c:pt idx="32">
                  <c:v>0.25</c:v>
                </c:pt>
                <c:pt idx="33">
                  <c:v>1</c:v>
                </c:pt>
                <c:pt idx="34">
                  <c:v>1</c:v>
                </c:pt>
              </c:numCache>
            </c:numRef>
          </c:val>
          <c:smooth val="0"/>
          <c:extLst>
            <c:ext xmlns:c16="http://schemas.microsoft.com/office/drawing/2014/chart" uri="{C3380CC4-5D6E-409C-BE32-E72D297353CC}">
              <c16:uniqueId val="{00000003-B059-8748-A98D-30597194BD62}"/>
            </c:ext>
          </c:extLst>
        </c:ser>
        <c:dLbls>
          <c:showLegendKey val="0"/>
          <c:showVal val="0"/>
          <c:showCatName val="0"/>
          <c:showSerName val="0"/>
          <c:showPercent val="0"/>
          <c:showBubbleSize val="0"/>
        </c:dLbls>
        <c:marker val="1"/>
        <c:smooth val="0"/>
        <c:axId val="1809969536"/>
        <c:axId val="2028848336"/>
      </c:lineChart>
      <c:catAx>
        <c:axId val="1258713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58598911"/>
        <c:crosses val="autoZero"/>
        <c:auto val="1"/>
        <c:lblAlgn val="ctr"/>
        <c:lblOffset val="100"/>
        <c:noMultiLvlLbl val="0"/>
      </c:catAx>
      <c:valAx>
        <c:axId val="1258598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58713631"/>
        <c:crosses val="autoZero"/>
        <c:crossBetween val="between"/>
      </c:valAx>
      <c:valAx>
        <c:axId val="2028848336"/>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809969536"/>
        <c:crosses val="max"/>
        <c:crossBetween val="between"/>
      </c:valAx>
      <c:catAx>
        <c:axId val="1809969536"/>
        <c:scaling>
          <c:orientation val="minMax"/>
        </c:scaling>
        <c:delete val="1"/>
        <c:axPos val="b"/>
        <c:numFmt formatCode="General" sourceLinked="1"/>
        <c:majorTickMark val="none"/>
        <c:minorTickMark val="none"/>
        <c:tickLblPos val="nextTo"/>
        <c:crossAx val="202884833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 3 - Conversational Log Analysis-2024-empty.xlsx]System Errors!PivotTable7</c:name>
    <c:fmtId val="0"/>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t>SYSTEM</a:t>
            </a:r>
            <a:r>
              <a:rPr lang="en-US" sz="2000" b="1" baseline="0"/>
              <a:t> ERRORS</a:t>
            </a:r>
            <a:endParaRPr lang="en-US" sz="2000" b="1"/>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'System Errors'!$B$5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'System Errors'!$A$6:$A$11</c:f>
              <c:strCache>
                <c:ptCount val="5"/>
                <c:pt idx="0">
                  <c:v>Attempting re-routing</c:v>
                </c:pt>
                <c:pt idx="1">
                  <c:v>I couldn't connect to the application</c:v>
                </c:pt>
                <c:pt idx="2">
                  <c:v>I'm experiencing some technical issues</c:v>
                </c:pt>
                <c:pt idx="3">
                  <c:v>I don't recognise your account</c:v>
                </c:pt>
                <c:pt idx="4">
                  <c:v>There don't appear to be any absence plan details</c:v>
                </c:pt>
              </c:strCache>
            </c:strRef>
          </c:cat>
          <c:val>
            <c:numRef>
              <c:f>'System Errors'!$B$6:$B$11</c:f>
              <c:numCache>
                <c:formatCode>General</c:formatCode>
                <c:ptCount val="5"/>
                <c:pt idx="0">
                  <c:v>150</c:v>
                </c:pt>
                <c:pt idx="1">
                  <c:v>1</c:v>
                </c:pt>
                <c:pt idx="2">
                  <c:v>12</c:v>
                </c:pt>
                <c:pt idx="3">
                  <c:v>1</c:v>
                </c:pt>
                <c:pt idx="4">
                  <c:v>4</c:v>
                </c:pt>
              </c:numCache>
            </c:numRef>
          </c:val>
          <c:extLst>
            <c:ext xmlns:c16="http://schemas.microsoft.com/office/drawing/2014/chart" uri="{C3380CC4-5D6E-409C-BE32-E72D297353CC}">
              <c16:uniqueId val="{00000000-662B-F64D-B60B-FBF891FB5D8B}"/>
            </c:ext>
          </c:extLst>
        </c:ser>
        <c:dLbls>
          <c:dLblPos val="inEnd"/>
          <c:showLegendKey val="0"/>
          <c:showVal val="1"/>
          <c:showCatName val="0"/>
          <c:showSerName val="0"/>
          <c:showPercent val="0"/>
          <c:showBubbleSize val="0"/>
        </c:dLbls>
        <c:gapWidth val="182"/>
        <c:axId val="1780986800"/>
        <c:axId val="1780934640"/>
      </c:barChart>
      <c:catAx>
        <c:axId val="1780986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80934640"/>
        <c:crosses val="autoZero"/>
        <c:auto val="1"/>
        <c:lblAlgn val="ctr"/>
        <c:lblOffset val="100"/>
        <c:noMultiLvlLbl val="0"/>
      </c:catAx>
      <c:valAx>
        <c:axId val="17809346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8098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12700</xdr:colOff>
      <xdr:row>0</xdr:row>
      <xdr:rowOff>25400</xdr:rowOff>
    </xdr:from>
    <xdr:to>
      <xdr:col>12</xdr:col>
      <xdr:colOff>368300</xdr:colOff>
      <xdr:row>24</xdr:row>
      <xdr:rowOff>25400</xdr:rowOff>
    </xdr:to>
    <xdr:graphicFrame macro="">
      <xdr:nvGraphicFramePr>
        <xdr:cNvPr id="2" name="Chart 1">
          <a:extLst>
            <a:ext uri="{FF2B5EF4-FFF2-40B4-BE49-F238E27FC236}">
              <a16:creationId xmlns:a16="http://schemas.microsoft.com/office/drawing/2014/main" id="{E3E70931-B38F-FC99-969F-611F034C14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165100</xdr:colOff>
      <xdr:row>18</xdr:row>
      <xdr:rowOff>88900</xdr:rowOff>
    </xdr:from>
    <xdr:to>
      <xdr:col>3</xdr:col>
      <xdr:colOff>787400</xdr:colOff>
      <xdr:row>31</xdr:row>
      <xdr:rowOff>122618</xdr:rowOff>
    </xdr:to>
    <xdr:pic>
      <xdr:nvPicPr>
        <xdr:cNvPr id="3" name="Picture 2">
          <a:extLst>
            <a:ext uri="{FF2B5EF4-FFF2-40B4-BE49-F238E27FC236}">
              <a16:creationId xmlns:a16="http://schemas.microsoft.com/office/drawing/2014/main" id="{2EE4F7B2-27CA-2D95-BEB0-740105D242BC}"/>
            </a:ext>
          </a:extLst>
        </xdr:cNvPr>
        <xdr:cNvPicPr>
          <a:picLocks noChangeAspect="1"/>
        </xdr:cNvPicPr>
      </xdr:nvPicPr>
      <xdr:blipFill>
        <a:blip xmlns:r="http://schemas.openxmlformats.org/officeDocument/2006/relationships" r:embed="rId2"/>
        <a:stretch>
          <a:fillRect/>
        </a:stretch>
      </xdr:blipFill>
      <xdr:spPr>
        <a:xfrm>
          <a:off x="165100" y="3517900"/>
          <a:ext cx="3365500" cy="251021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12700</xdr:colOff>
      <xdr:row>0</xdr:row>
      <xdr:rowOff>12700</xdr:rowOff>
    </xdr:from>
    <xdr:to>
      <xdr:col>15</xdr:col>
      <xdr:colOff>508000</xdr:colOff>
      <xdr:row>31</xdr:row>
      <xdr:rowOff>101600</xdr:rowOff>
    </xdr:to>
    <xdr:graphicFrame macro="">
      <xdr:nvGraphicFramePr>
        <xdr:cNvPr id="2" name="Chart 1">
          <a:extLst>
            <a:ext uri="{FF2B5EF4-FFF2-40B4-BE49-F238E27FC236}">
              <a16:creationId xmlns:a16="http://schemas.microsoft.com/office/drawing/2014/main" id="{90C7034E-A53A-8FF6-6541-C1CB7315F4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0.62637</cdr:x>
      <cdr:y>0.4322</cdr:y>
    </cdr:from>
    <cdr:to>
      <cdr:x>0.68987</cdr:x>
      <cdr:y>0.49364</cdr:y>
    </cdr:to>
    <cdr:sp macro="" textlink="">
      <cdr:nvSpPr>
        <cdr:cNvPr id="2" name="TextBox 1">
          <a:extLst xmlns:a="http://schemas.openxmlformats.org/drawingml/2006/main">
            <a:ext uri="{FF2B5EF4-FFF2-40B4-BE49-F238E27FC236}">
              <a16:creationId xmlns:a16="http://schemas.microsoft.com/office/drawing/2014/main" id="{E878B40D-F98E-029C-0EA2-06944956F53A}"/>
            </a:ext>
          </a:extLst>
        </cdr:cNvPr>
        <cdr:cNvSpPr txBox="1"/>
      </cdr:nvSpPr>
      <cdr:spPr>
        <a:xfrm xmlns:a="http://schemas.openxmlformats.org/drawingml/2006/main">
          <a:off x="6515100" y="2590800"/>
          <a:ext cx="660400" cy="368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solidFill>
                <a:srgbClr val="FF0000"/>
              </a:solidFill>
            </a:rPr>
            <a:t>Pay Day</a:t>
          </a:r>
        </a:p>
      </cdr:txBody>
    </cdr:sp>
  </cdr:relSizeAnchor>
</c:userShapes>
</file>

<file path=xl/drawings/drawing4.xml><?xml version="1.0" encoding="utf-8"?>
<xdr:wsDr xmlns:xdr="http://schemas.openxmlformats.org/drawingml/2006/spreadsheetDrawing" xmlns:a="http://schemas.openxmlformats.org/drawingml/2006/main">
  <xdr:twoCellAnchor>
    <xdr:from>
      <xdr:col>40</xdr:col>
      <xdr:colOff>0</xdr:colOff>
      <xdr:row>0</xdr:row>
      <xdr:rowOff>38100</xdr:rowOff>
    </xdr:from>
    <xdr:to>
      <xdr:col>50</xdr:col>
      <xdr:colOff>800100</xdr:colOff>
      <xdr:row>26</xdr:row>
      <xdr:rowOff>12700</xdr:rowOff>
    </xdr:to>
    <xdr:graphicFrame macro="">
      <xdr:nvGraphicFramePr>
        <xdr:cNvPr id="2" name="Chart 1">
          <a:extLst>
            <a:ext uri="{FF2B5EF4-FFF2-40B4-BE49-F238E27FC236}">
              <a16:creationId xmlns:a16="http://schemas.microsoft.com/office/drawing/2014/main" id="{E48575C5-D334-CE59-2484-A0C0A3BA88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25400</xdr:colOff>
      <xdr:row>0</xdr:row>
      <xdr:rowOff>25400</xdr:rowOff>
    </xdr:from>
    <xdr:to>
      <xdr:col>20</xdr:col>
      <xdr:colOff>457200</xdr:colOff>
      <xdr:row>27</xdr:row>
      <xdr:rowOff>127000</xdr:rowOff>
    </xdr:to>
    <xdr:graphicFrame macro="">
      <xdr:nvGraphicFramePr>
        <xdr:cNvPr id="3" name="Chart 2">
          <a:extLst>
            <a:ext uri="{FF2B5EF4-FFF2-40B4-BE49-F238E27FC236}">
              <a16:creationId xmlns:a16="http://schemas.microsoft.com/office/drawing/2014/main" id="{B393798C-64A1-9DF2-8AFC-344C2EE21C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800100</xdr:colOff>
      <xdr:row>0</xdr:row>
      <xdr:rowOff>12700</xdr:rowOff>
    </xdr:from>
    <xdr:to>
      <xdr:col>32</xdr:col>
      <xdr:colOff>12700</xdr:colOff>
      <xdr:row>31</xdr:row>
      <xdr:rowOff>0</xdr:rowOff>
    </xdr:to>
    <xdr:graphicFrame macro="">
      <xdr:nvGraphicFramePr>
        <xdr:cNvPr id="4" name="Chart 3">
          <a:extLst>
            <a:ext uri="{FF2B5EF4-FFF2-40B4-BE49-F238E27FC236}">
              <a16:creationId xmlns:a16="http://schemas.microsoft.com/office/drawing/2014/main" id="{E81AD431-AE7C-BD22-13D8-AFAD656E6A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25400</xdr:colOff>
      <xdr:row>0</xdr:row>
      <xdr:rowOff>12700</xdr:rowOff>
    </xdr:from>
    <xdr:to>
      <xdr:col>13</xdr:col>
      <xdr:colOff>584200</xdr:colOff>
      <xdr:row>22</xdr:row>
      <xdr:rowOff>165100</xdr:rowOff>
    </xdr:to>
    <xdr:graphicFrame macro="">
      <xdr:nvGraphicFramePr>
        <xdr:cNvPr id="2" name="Chart 1">
          <a:extLst>
            <a:ext uri="{FF2B5EF4-FFF2-40B4-BE49-F238E27FC236}">
              <a16:creationId xmlns:a16="http://schemas.microsoft.com/office/drawing/2014/main" id="{D566C609-4E01-AA53-EEDE-9B173948B6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Richard H Miller" refreshedDate="45295.730760532409" createdVersion="8" refreshedVersion="8" minRefreshableVersion="3" recordCount="10266" xr:uid="{08921E26-0498-734C-B4BF-AA7C4B99475F}">
  <cacheSource type="worksheet">
    <worksheetSource ref="A1:O540" sheet="Log Data"/>
  </cacheSource>
  <cacheFields count="15">
    <cacheField name="text" numFmtId="0">
      <sharedItems containsDate="1" containsMixedTypes="1" minDate="2023-01-01T00:00:00" maxDate="2024-01-02T00:00:00" count="3681" longText="1">
        <s v="When is my probation due?"/>
        <s v="baance"/>
        <s v="The validation formula NBS_ANC_PHASED_RETURN_EOSP_DATE_WORKED failed with an error status when the current entry value was passed. (PAY-1635147)The validation formula error message is You are trying to enter phased return hours after a full return to work has been made. If you need to claim phased return hours for a previous sickness period which has now ended, please raise a service request through Ask HR. Use the error text to diagnose the reason for failure. If no error text is returned, the validation formula must be changed or a validation override message must be defined."/>
        <s v="where is the staff retirement hceck list"/>
        <s v="Retirement check list"/>
        <s v="entitlement"/>
        <s v="i dont have a name"/>
        <s v="i wish to retire"/>
        <s v="Are there any policies about making yourself look busy in teams?"/>
        <s v="Hodo I extend a SoW in PeopleCloud"/>
        <s v="how do I extend someone in PeopleCloud"/>
        <s v="Update on vacancy"/>
        <s v="i want to delete an on call"/>
        <s v="car allowance mileage claim"/>
        <s v="number"/>
        <s v="Volunteering"/>
        <s v="The validation formula NBS_ANC_PHASED_RETURN_EOSP_DATE_WORKED failed with an error status when the current entry value was passed. (PAY-1635147)The validation formula error message is You are trying to enter phased return hours after a full return to work has been made. If you need to claim phased return hours for a previous sickness period which has now ended, please raise a service request through Ask HR. Use the error text to diagnose the reason for failure. If no error text is returned, the validation formula must be changed or a validation override message must be defined._x000a_ ...hi i have started my phased return hours today and have had this please can you assist me"/>
        <s v="what's grade b"/>
        <s v="I need to contact payroll regarding swopping my company car for the car allownace scheme"/>
        <s v="accomodation"/>
        <s v="accomodation expenses"/>
        <s v="Hi One of my direct reports can no longer access the timesheet portal. Can you help?"/>
        <s v="view my job description"/>
        <s v="delegate"/>
        <s v="can i move to a different hub?"/>
        <s v="im in need of some information about a consultant of mine transferring to a new team in a different department"/>
        <s v="deskside assessment"/>
        <s v="How do I add I am a carer?"/>
        <s v="In peoplecloud"/>
        <s v="I have completed the tasks assigned to me"/>
        <s v="Hello, back in June last year my friend Caroline Rowe p503671 applied for a MR vacancy with Nationwide she was successful and started 10th October 2022 I believe she submitted my name Wendy Reed and P74623 for the referral payment which I haven't received, is there anyway you could look at this for me please."/>
        <s v="Hi, _x000a_I have an Industrial Placement on a fixed term contract and have received an email to end her contract. As she plans to leave on the same end date as originally agreed, please can you confirm that there is no action needed?_x000a__x000a_Thanks_x000a__x000a_Jenna"/>
        <s v="I have a DRC who has recently left the Society. She live a long way from any office and I need to get her laptop returned. Is there a process where she can return it to a branch?"/>
        <s v="I volunteer each week in a local food bank, i work 22.5hours per week so what is my entitlement for days off thanks"/>
        <s v="What grade am I?"/>
        <s v="What job grade am I?"/>
        <s v="can i check if my consultant Dani redfern is due to have a pay increase following his probation confirmation?"/>
        <s v="my request 0000254070 is not showing"/>
        <s v="Can I keep my office chair"/>
        <s v="can you tell who is or was P11226  please?"/>
        <s v="I dont know thats"/>
        <s v="Can I have some advice on the Cycle2Work scheme please?"/>
        <s v="how long do i have off for covid?"/>
        <s v="what do I need to do with premature birrth"/>
        <s v="Morning, retiring colleague has had access disabled too early"/>
        <s v="how do I restore IT access having terminated my Intern with an end date of 25/8"/>
        <s v="where does pension pay show"/>
        <s v="One of my team doesn't have the right learning assigned, how does he get learning assigned?"/>
        <s v="hi, I'm filling my employee statement and I work half a day in April in a factory and I'm not sure if I have to answer A or B"/>
        <s v="Hi, I work in complaints and I need a P number of a staff member who has left the Society. I need their P number and department. I believe they were a mortgage consultant"/>
        <s v="Market pay data maximum"/>
        <s v="my contribution"/>
        <s v="can i retire and still get full APP"/>
        <s v="link to unconscious bias training"/>
        <s v="i consend my hours so work my 35 hour week over 4 days - why have I had 7 hours deducted from my absence allowance"/>
        <s v="In July you updated scheduled KPI on QStory, ever since then, I've found it impossible to stay on track with my schedule. Are you going to give us administration time so we can get other work we need done in the day, or will I be forced to do this outside of my work hours unpaid?"/>
        <s v="employee care"/>
        <s v="How can I change the date of resignation submission"/>
        <s v="access request"/>
        <s v="i've been asked to approve a welfare loan"/>
        <s v="how can i speak to a person"/>
        <s v="Ive been told that I can't as we are moving to multi skilled branch"/>
        <s v="can you email me this document please? How We Work Together Policy (Hybrid _ Homeworking) - 16 May 2023.pdf"/>
        <s v="probation"/>
        <s v="when will i pass my probation"/>
        <s v="have i passed my probation"/>
        <s v="my probation date has passed"/>
        <s v="salary sacrifice"/>
        <s v="When did worthing branch open?"/>
        <s v="I am editing my goals and saving the information but it is not being saved when I go back into them"/>
        <s v="latest policy for changing hub location"/>
        <s v="there is no submit button on the service request screen"/>
        <s v="Book a welfare meeting"/>
        <s v="welfare"/>
        <s v="Long term absence"/>
        <s v="One of my employees is pregnant. She is due at the end of October. She has read she can take 4 weeks unpaid partental leave at the end of MAT leave. She has ask if she can take it before? IE start of Sept - is this possible?"/>
        <s v="why is my MyReward not working"/>
        <s v="I have worked for nationwide for 34 years and handed in my notice mean I leave on 31st October - can you please confirm my holiday entitlement for this year thanks you"/>
        <s v="How di I check someone has passed probation?"/>
        <s v="create hr case"/>
        <s v="DEATH IN BENEFIT TAX"/>
        <s v="Has my request for Contract of Employment been received."/>
        <s v="is already the 10th and can not see my bought holidays"/>
        <s v="previous member of staff"/>
        <s v="resigned"/>
        <s v="staff"/>
        <s v="former staff"/>
        <s v="what is it"/>
        <s v="Hello, I've updated my bank details on this app for salary, but I still got a task assigned to me to do this"/>
        <s v="Hi regarding recent announcement of FPMs moving to Aegon."/>
        <s v="toil"/>
        <s v="uniform"/>
        <s v="Check life assurance beneficiaries"/>
        <s v="Check my life assurance beneficiaries"/>
        <s v="Check who my life assurance beneficiaries are"/>
        <s v="Can you help me find out what location a colleague would be allocated to if they changed to an Admin profile?"/>
        <s v="how much compassionate leave can we have in 12 months?"/>
        <s v="why is my name not on the intranet"/>
        <s v="i am in the Directory but not on sharepoint"/>
        <s v="why is my name not on sharepoint"/>
        <s v="claim for eye test and glasses"/>
        <s v="claim expenses"/>
        <s v="pay"/>
        <s v="Am I required to be contactable during the day at work?"/>
        <s v="Policy if someone can't be contacted"/>
        <s v="Hello - I need proof of my london location allowance in a PDF letter please."/>
        <s v="ATM overtime rate"/>
        <s v="do our wages get paid into our account this friday?"/>
        <s v="Guidance for someone turning part time"/>
        <s v="how long can an employee claim travel expenses adter relocation"/>
        <s v="Cant end sickness"/>
        <s v="I am a new starter, but have worked at Nationwide previously. All my data appears to be attached to my previous employment here and not my current role."/>
        <s v="raising for another consultant regarding holiday, currently doing manager cover"/>
        <s v="Remove old e-learning"/>
        <s v="annualised"/>
        <s v="different contract types"/>
        <s v="Staff charge cards"/>
        <s v="what is my take home salary"/>
        <s v="How do you set up a trial flexible working period in Peoplesoft?"/>
        <s v="I have new starter that has hit a 4th Absence since start date of 9th may i completed ill health support plan on third absence but called on sick today"/>
        <s v="Report for elearning compliance to non mandatory"/>
        <s v="pro rata salary"/>
        <s v="do i need team leader approval to book a golden day"/>
        <s v="do i need team leader approval to book holiday"/>
        <s v="Hi can you please tell me if i can still claim Â£100 towards the cost of new glasses if the form has been correctly completed by the optician"/>
        <s v="working abroad"/>
        <s v="Can I work overseas"/>
        <s v="Can I work from Spain"/>
        <s v="Can I work remotely"/>
        <s v="if I carry forward 35 hours will I get 5 weeks holiday nexy year?"/>
        <s v="if I carry forward 35 hours will I get 5 weeks holiday next year?"/>
        <s v="As per my comment above If this can be looked into please , regards Kerry"/>
        <s v="holiday renewal"/>
        <s v="wrong paid amount"/>
        <s v="dresscode"/>
        <s v="dress code"/>
        <s v="You can select this benefit at any time throughout the scheme year, with the last selection to be submitted by 30 September 2023. Once you have a selection in place, you cannot amend or cancel it."/>
        <s v="hi"/>
        <s v="leave search"/>
        <s v="I want to leave the search"/>
        <s v="where has my 31 hours 45 mins holiday gone"/>
        <s v="what month can i not enrol in MyReward"/>
        <s v="Did my submissions get approved?"/>
        <s v="holiday pay supplement"/>
        <s v="need to confirm an employees probation date"/>
        <s v="Hi, my last day with nationwide is on the 31st, please can you confirm if i am due anymore pay after the 21st august?"/>
        <s v="Hi, I need to find out the official last day for my Direct Reports Bupa Healthcare policy as she has resigned with a last working day of 23rd August."/>
        <s v="Hi my manager Ruth Sampson sent request to get my hours amended to 21 hours per week and backdated to July 2021.  Can you tell me if this is still in progress or do you require further information?  She printed  completed the form  Have you got this?"/>
        <s v="Hi my manager Ruth Sampson sent request to get my hours amended to 21 hours per week and backdated to July 2021.  Can you tell me if this is still in progress or do you require further information?  She printed  completed the form  Have you got this? Thanks Tanya"/>
        <s v="hi if i book a half day holiday do i finish at 12.30pm or 12 oclock  thanks"/>
        <s v="what time do i finish on a half day"/>
        <s v="can you help me with an expense form"/>
        <s v="Incorrect absence balance"/>
        <s v="Pay issue"/>
        <s v="what is an entitlement retro day"/>
        <s v="request P60 for 2016, 2017, 2018, 2019,2020 &amp; 2021"/>
        <s v="what is NWDD GPP SMART Employees Contribution"/>
        <s v="What is a salary offset"/>
        <s v="NWDD GPP SMART Employees Contribution"/>
        <s v="awol"/>
        <s v="personal financial management"/>
        <s v="vaping at work"/>
        <s v="bye"/>
        <s v="branch working arrangements"/>
        <s v="great"/>
        <s v="how do I change my reports leaving date"/>
        <s v="pay calculator"/>
        <s v="salary calculator"/>
        <s v="my pay is wrong"/>
        <s v="where do i find the expeenses policy"/>
        <s v="how can i get paper payslips sent out for a member of my team?"/>
        <s v="can you tell me how my pay has been calculated"/>
        <s v="Payslip not opening"/>
        <s v="payslip unavailable"/>
        <s v="I need guidance on unauthorised TOIL day swap"/>
        <s v="access pass for new starter"/>
        <s v="eyetest when on mat leave"/>
        <s v="Is my manager notified when I complete learning?"/>
        <s v="long service"/>
        <s v="Can overtime claims be submitted in advance?"/>
        <s v="How to raise faults against peoplecloud"/>
        <s v="Advise on reservist time off and no-standard shift patterns"/>
        <s v="reservist time off"/>
        <s v="reservist"/>
        <s v="reservistreservist"/>
        <s v="domestic emergency"/>
        <s v="leaving pay"/>
        <s v="additional compensation"/>
        <s v="resignation when dismissed"/>
        <s v="why does all my submitted overtime have same date"/>
        <s v="Working in Northern Ireland"/>
        <s v="Working inside the UK"/>
        <s v="Working outside UK"/>
        <s v="PRTW"/>
        <s v="when are expenses paid"/>
        <s v="payment of travel expenses"/>
        <s v="Why is my final holiday payment less than what I am owed?"/>
        <s v="claim lodging allowance for staying with family"/>
        <s v="lodging allowance"/>
        <s v="stay with family"/>
        <s v="personal contribution"/>
        <s v="staying with family"/>
        <s v="Where would I find information regarding my pension associated with my previous employee number?"/>
        <s v="can i apply for a job less that 6 months after"/>
        <s v="Hi. I'm in the process of extending the contract for my intern. Because of payroll cut off technically that means they have to leave for a day before rejoining. Do I still have to decomission tech in that case?"/>
        <s v="I've got a question about decomissioning tech when we're extending a contract"/>
        <s v="i don't understand my absence balance"/>
        <s v="paye"/>
        <s v="when is the 2024 bank holiday calculator coming out"/>
        <s v="Do full-time employees get paid overtime"/>
        <s v="Im full-time do i get paid overtime pay"/>
        <s v="what bank hoilday im i entiled to be off"/>
        <s v="keying absence"/>
        <s v="i havent received my salary"/>
        <s v="when does 2024 holiday entitlement get put on  the system please"/>
        <s v="when do es holiday allocation get posted for 2024"/>
        <s v="speak to someone about my payslip"/>
        <s v="Can I speak to someone about my August payslip?"/>
        <s v="it wont let me access the pdf"/>
        <s v="Yes, but I didn't recieve my pay for the 31st august"/>
        <s v="i need proof of my holiday booking"/>
        <s v="How can I change my windows profile phone number"/>
        <s v="how can i check if I have been added to payroll"/>
        <s v="how to put in a notice immediate effect"/>
        <s v="i have had a overtime request duplicated and approved twice for 09/03/23. can this be adjusted by payroll as should only be one dayof overtime worked and approved"/>
        <s v="I havent been paid"/>
        <s v="Hi, I've worked out between Peoplecloud and Qstory that I didn't submit 22/12/2022 as holiday. This has resulted in me having 7 hours more than I should on Peoplecloud. Is it possible to deduct this please?"/>
        <s v="Stop getting email about holiday request from employee that has left."/>
        <s v="How do I view a team members holiday"/>
        <s v="What is payroll number?"/>
        <s v="holiday supplement"/>
        <s v="Completion of probation"/>
        <s v="what does my tax code mean"/>
        <s v="whay has my tax gone up"/>
        <s v="overtime non branch"/>
        <s v="My holiday entitlement has gone from 128 hours to 110 hours on the feed to Qstory, how do i request for this to be looked into. thank you"/>
        <s v="MY REWARD LOG IN"/>
        <s v="Hi I pay the full 7% into my pension and I want to make additional payments.  I would like to do this via salary sacrifice and after attempting to do this on the Aviva App it wouldn't let me and asked that i called.  I called the Aviva line and they said i need to go through Nationwide."/>
        <s v="will my salary decrease if I move roles within the same career family"/>
        <s v="what does Grade B mean"/>
        <s v="what does healthcare entitlement S mean"/>
        <s v="employee statement"/>
        <s v="cash to car form"/>
        <s v="leaving the society and update address"/>
        <s v="moving departments"/>
        <s v="I'm trying to claim mileage for the first time, I have a car allowance but on NEO the only option available to me is Mileage no car allowance so I can't complete my claim"/>
        <s v="Please can you explain my holiday entitlement, I have been employed with NBS for coming up 27yrs, based on the policy that equates to 30 days paid holiday per annum, yet on peoplecloud this is showing as 203 (29 days). In addition I have noticed 7hrs have been deducted for public bank holiday, please can you explain this to me."/>
        <s v="I have added my car to my profile and tried to follow the instructions on the intranet"/>
        <s v="summer internship"/>
        <s v="i need to see a job role for a job i have applied for"/>
        <s v="Why does my absence balance show Public Holiday -5h15m ?"/>
        <s v="When will my skill and competency upskill be applied to my payslip?"/>
        <s v="When will I be paid my Skills and Competency Pay"/>
        <s v="where can I find team members contracted hours?"/>
        <s v="contracted hours?"/>
        <s v="working out holiday for leaver"/>
        <s v="someone leaving wants to know how much holiday they have left"/>
        <s v="hi can you tee my calculated final salary on my leaving date the 1st september"/>
        <s v="sell back holidays"/>
        <s v="advisor"/>
        <s v="permission to take laptop abroad"/>
        <s v="take laptop abroad"/>
        <s v="take equipment abroad"/>
        <s v="take laptop out of UK"/>
        <s v="my payments method not working"/>
        <s v="finding out someones hours of holiday left before they leave"/>
        <s v="cant take holiday before i leave"/>
        <s v="Neo expenses help"/>
        <s v="missing holiday balance"/>
        <s v="pending worker"/>
        <s v="A person in HR who can deal with tenant references"/>
        <s v="Can I see diversity characteristics for my team"/>
        <s v="view diversity characteristics for my team"/>
        <s v="How can I view a Service Request my manager raised?"/>
        <s v="my working pattern is wrong"/>
        <s v="change JB code"/>
        <s v="Provides a link to the Manager's Checklist on the intranet."/>
        <s v="Raise issue regarding TUPE"/>
        <s v="How do request time off for an operation"/>
        <s v="holiday entitlemen"/>
        <s v="I want guidance on how to change employee grade"/>
        <s v="My holiday was previously recorded on Q story can you move my holiday across to people cloud"/>
        <s v="TUPE concerns"/>
        <s v="appreciate"/>
        <s v="Have an ex employee on the phone who needs to contact HR about a Cheshire Building society pension, who does she need to contact?"/>
        <s v="what is my holiday entitlement from 01/01/2024"/>
        <s v="how should antenatal appointments be keyed?"/>
        <s v="can we time off for antenatal appointments"/>
        <s v="children sick"/>
        <s v="This is a request for me to reduce my hours not for anyone else.  This is my initial request"/>
        <s v="sorry my request was nothing to do with overtime"/>
        <s v="pay is wrong"/>
        <s v="HELLO"/>
        <s v="Record or request absence"/>
        <s v="do i qualify for some of next years sharing in success if i leave the society"/>
        <s v="employer number for visa"/>
        <s v="Hi do we get a day off for moving home as its a lifetime event?"/>
        <s v="My name is Sebastiao Fernandes Emp. T491126, Can you please help me. I need to know how to raise peoplecloud ticket.. Please let me know"/>
        <s v="Has my flexible working request been received?"/>
        <s v="where is dob held on peolpecloud"/>
        <s v="Where is Date of Birth held on PeopleCloud?"/>
        <s v="demotion"/>
        <s v="One of my team has secured a new role how does this get updated in the system"/>
        <s v="I requested a work chair 2 months ago as I have back pains and do not currently have the right chair but I still haven't received it."/>
        <s v="No, this chair is part of my work equiptment"/>
        <s v="Work from home chair"/>
        <s v="annualised conntract"/>
        <s v="manager requests"/>
        <s v="IT Ticket"/>
        <s v="Computer ticket"/>
        <s v="compassionate leave"/>
        <s v="when do holidays end"/>
        <s v="do i take the -hrs 45 mins off my total"/>
        <s v="log volunteering"/>
        <s v="medical appointment"/>
        <s v="Is a letter produced after an In Year Salary Award has been keyed"/>
        <s v="confirm Member representative days"/>
        <s v="year end statement"/>
        <s v="I would like to know the latest date I can hand my notice in next year for retiring on the Thursday 20th March 2025."/>
        <s v="appeal previous diciplinary"/>
        <s v="appeal"/>
        <s v="book holiday on restricted date"/>
        <s v="i have somone who is ill and thy have another sick line"/>
        <s v="Hi, someone has transferred to the screening analytics team but doesn't have an active admin/retail profile so can't log on, can you assist please?"/>
        <s v="I have a Nationwide-HR Employee-Package PDF file that is blank. Please can someone resend me the document"/>
        <s v="I have an employee package pdf I need sending to me"/>
        <s v="how do I claim for lodgings?"/>
        <s v="claim lodgings"/>
        <s v="override approval overtime"/>
        <s v="No worries. I think she has left nationwide but i wanted to trace her manager"/>
        <s v="All sorted now"/>
        <s v="If its the correct code or not isn't really my issue, I was previously a company car user and gave this up earlier this year so was expecting a change of code at some point.  I just want to check that it is the change of code that is the reason for the uplift in net pay."/>
        <s v="Hi How do I find my own JB Code"/>
        <s v="How do i get annual leave entitlement added?"/>
        <s v="IS there any relocation allowance?"/>
        <s v="How do I view what has been keyed for my half year?"/>
        <s v="How do I find out what my manager has keyed for my mid-year reflections?"/>
        <s v="part time work pay and policies"/>
        <s v="I need a copy of my ill health stage one meeting paperwork"/>
        <s v="Moving line manager"/>
        <s v="Can you please confirm my used holiday for this year from jan to to date as i know i get bank holiday extra as i don't work Mondays"/>
        <s v="time outside of my contracted hours"/>
        <s v="absence request due to hospital procedure"/>
        <s v="help with behaviours"/>
        <s v="employee ideas"/>
        <s v="Hi, my holiday balance appears to be wrong. I am on a 35 hour week but I have logged each days hoilday as 8.30 till 5 and not 7 hours. How can I correct this"/>
        <s v="Okay that seems simple enough, but can I correct my previous abscneces"/>
        <s v="compensation if glasses are needed it"/>
        <s v="how can I extend probation period of my reportee"/>
        <s v="money owed"/>
        <s v="outstanding expenses for a leaver"/>
        <s v="i mean when does out new annual holiday allwoance refresh?"/>
        <s v="hiliday calcualot"/>
        <s v="Where is the holiday entitlement calculator"/>
        <s v="i am unable to access this refresher training Activity  which is required ... I had a previous fault raised 0000246128 in June but it has not yet been resolved Becoming an Approved Assessor v1.1_x0009_Required_x000a_SCORM 1.2"/>
        <s v="I am not a new starter"/>
        <s v="I have changed my working days to 4 days how much holiday allowance do i get"/>
        <s v="Christmas holiday embargo"/>
        <s v="Maximum time off at christmas"/>
        <s v="Can i have a second job?"/>
        <s v="I don't understand the holiday accrual on peoplecloud"/>
        <s v="how can I extend the probation period of my reportee"/>
        <s v="can you please change whom my claim was assigned to"/>
        <s v="Can I cancel my pending request for overtime approval and submit new claim"/>
        <s v="Trying to delete overtime"/>
        <s v="how do i take 30 mins holiday"/>
        <s v="I've looked at this and it doesn't mention the cover I have for sick pay"/>
        <s v="hi, I'm looking to changing my hours, been told to contact hr, who do I speak to?"/>
        <s v="domestic leave"/>
        <s v="how to submit holiday"/>
        <s v="I have recently changed my working hours from 5 days to 4 how much is my holiday allowance now"/>
        <s v="how to cancel overtime"/>
        <s v="Issue with absence balance"/>
        <s v="when did i become a senior fraud analyst - I need info for a witness statement and I cannot tell from records held"/>
        <s v="Hi there, please can you let me know if my overtime has been approved as I have received an email from yourselves saying it has been cancelled? It shows on submitted claims but doesn@t say one way or another?"/>
        <s v="where can I find overttime logged by a member of staff"/>
        <s v="Hi I've just joined (P511424) Jonathan Avrancsev &lt;Jonathan.Avrancsev@nationwide.co.uk&gt; and would like to have my role title details corrected as this has been misspelt. See attachment below."/>
        <s v="i have withdrawn unapproved overtime request"/>
        <s v="privacy policy"/>
        <s v="Does the Absence Balance mean how many days are left to take or how many have been taken already?"/>
        <s v="move day"/>
        <s v="change contingent worker"/>
        <s v="I want to promote"/>
        <s v="what is the service level for actioning promotion requests"/>
        <s v="i dont know"/>
        <s v="P45"/>
        <s v="where do i send my P45"/>
        <s v="When does my probation end?"/>
        <s v="service level for promotion requests"/>
        <s v="How much holiday do I have left to use?"/>
        <s v="holiday policy"/>
        <s v="I have bought extra holiday, do they automatically go onto my allowance or do they need approving?"/>
        <s v="HOW MANY HOPURS DO I HAVE LEFT"/>
        <s v="Do I have anything to approve?"/>
        <s v="HOLIDAY BALANCE"/>
        <s v="holiday entitement"/>
        <s v="See my unused holiday"/>
        <s v="poayment"/>
        <s v="Where are the holiday calculators"/>
        <s v="delegate line manager responsibilities"/>
        <s v="delegating access before I go on leave"/>
        <s v="Holiday"/>
        <s v="agent"/>
        <s v="Raise a Service Request"/>
        <s v="fuiucking useless"/>
        <s v="What is my holiday balance?"/>
        <s v="What happens to any holiday I don't take?"/>
        <s v="Help with holiday error"/>
        <s v="no"/>
        <s v="Can i order new uniform for my new starter?"/>
        <s v="Find HR Policies"/>
        <s v="new starter"/>
        <s v="How many hours in total can I take as holiday from today to 31/12/2023?"/>
        <s v="balance remaining"/>
        <s v="my contract"/>
        <s v="Hourly pay"/>
        <s v="annual leave holiday calculator"/>
        <s v="how much holiday can i buy?"/>
        <s v="ask hr"/>
        <s v="speak with someone"/>
        <d v="2023-07-10T00:00:00"/>
        <s v="how much holiday have i got left to book"/>
        <s v="how much holiday have i got left from october 2023"/>
        <s v="how much holiday have i got left until 31st dec 2023"/>
        <s v="how much holiday have i got left"/>
        <s v="find he policies"/>
        <s v="Performance support plan"/>
        <s v="can i talk with someone?"/>
        <s v="holidays"/>
        <s v="did buy holidays"/>
        <s v="bought holidays"/>
        <s v="PAID HOLIDAYS"/>
        <s v="See my current salary"/>
        <s v="what is Time of in lieu and how does it work?"/>
        <s v="askhr"/>
        <s v="can i carry over holiday"/>
        <s v="reduce hours"/>
        <s v="holiday calc"/>
        <s v="holiday calculatore"/>
        <s v="go part time"/>
        <s v="part-time"/>
        <s v="Where can I see my payslip"/>
        <s v="How much holiday am I entitled to"/>
        <s v="CURRENT SALARY"/>
        <s v="How much holiday can I carry forward"/>
        <s v="how many days is 115..hours 40 minutes"/>
        <s v="Good Morning , I have recieved"/>
        <s v="recognising loyalty"/>
        <s v="hoilday help"/>
        <s v="howdy"/>
        <s v="help"/>
        <s v="Absence balance as 01/01/23"/>
        <s v="I am leaving the Society on 1st September, how much holiday allowance do I have?"/>
        <s v="holiday calculator"/>
        <s v="please can i speak to an advisor"/>
        <s v="search"/>
        <s v="view past absenses"/>
        <s v="ok thanks"/>
        <s v="i need to report a death"/>
        <s v="getting help from HR?"/>
        <s v="how many days holiday year can you carry over to next year?"/>
        <s v="absence query"/>
        <s v="Job role"/>
        <s v="What is my cost centre"/>
        <d v="2023-12-31T00:00:00"/>
        <s v="does this mean i have 59 hours and 30 mins to take? Not including the holiday booked already?"/>
        <s v="speak to an advisor"/>
        <s v="Good Afternoon"/>
        <s v="annual holiday entitlement"/>
        <s v="chat with live agent"/>
        <s v="I am leaving and I am unsure of my holiday entitlement upon leaving"/>
        <s v="My holiday was previously recorded on Q story can you move my holiday across to people cloud?"/>
        <s v="public holidays 2024"/>
        <s v="See my payslips"/>
        <s v="how many holidays per year"/>
        <s v="my leaves"/>
        <s v="my unused holidays"/>
        <s v="do i take the -hrs 45 mins off my total?"/>
        <s v="service request help"/>
        <s v="How much notice do I have to give to retire"/>
        <s v="bank holidays"/>
        <s v="speak to hr"/>
        <s v="if i increased my hours"/>
        <s v="view balance as of 31/12/23"/>
        <s v="What is my holiday balance as of 31/12/23"/>
        <s v="What is my holiday balance"/>
        <s v="When will I get my P45"/>
        <s v="will i be paid holiday balance if not used"/>
        <s v="I'm done"/>
        <s v="Emergency dependance leave"/>
        <s v="holiday allowance"/>
        <s v="If I leave, is my unused holiday paid to me?"/>
        <s v="moving house"/>
        <s v="do i need to use holiday to move house"/>
        <s v="When does my probation end"/>
        <s v="Probation period"/>
        <s v="show my absence balance"/>
        <s v="mulit skilled uplift payment"/>
        <s v="return from maternity"/>
        <s v="manager keying maternity"/>
        <s v="eye test"/>
        <s v="Â£1000.00 uplift payment"/>
        <s v="mulit-skilled member payment"/>
        <s v="recruitment fee"/>
        <s v="finders fee"/>
        <s v="internal vacancies"/>
        <s v="internal vacancy"/>
        <s v="recruitment"/>
        <s v="sickness"/>
        <s v="payrise not showing on people cloud"/>
        <s v="sorry but I cant see anything on people cloud"/>
        <s v="lunch breaks"/>
        <s v="I am trying to submit my hours worked for phased return but people soft won't allow me"/>
        <s v="when can people take their lunch break"/>
        <s v="I am currently on a phased return but get this error message when I try to submit my hours worked"/>
        <s v="how do i update derived working hours"/>
        <s v="how can a former employee contact payroll?"/>
        <s v="holiday on resignation"/>
        <s v="resignation"/>
        <s v="holiday when leaving"/>
        <s v="resignation holiday"/>
        <s v="resignation policy"/>
        <s v="leaver"/>
        <s v="resign"/>
        <s v="holiday entitlement"/>
        <s v="leaver holiday"/>
        <s v="how do i put in a holiday"/>
        <s v="How do I find my P45?"/>
        <s v="notify you of a pregnancy"/>
        <s v="expense policy"/>
        <s v="annual holiday calculator"/>
        <s v="what is a telephone number for hr"/>
        <s v="VRF form unable to submit"/>
        <s v="pay in lieu of notice"/>
        <s v="access to qstory"/>
        <s v="Need guidance on cameras"/>
        <s v="Need help with policy query"/>
        <s v="telephone number"/>
        <s v="need to call hr"/>
        <s v="One of my team members has been deleted off the system"/>
        <s v="how do i log illness"/>
        <s v="grievnace"/>
        <s v="bullying"/>
        <s v="time off to attend court"/>
        <s v="bereavement"/>
        <s v="when will i see my new job role ?"/>
        <s v="Contract"/>
        <s v="key change of hours"/>
        <s v="mobile access for pay"/>
        <s v="i want to delete"/>
        <s v="How do I cancel approved overtime?"/>
        <s v="I am looking for the improvement support plan"/>
        <s v="Can i contact a HR agent"/>
        <s v="return from maternity leave"/>
        <s v="how long is my probation period"/>
        <s v="what are the notice periods for either party inside and outside of prohibation"/>
        <s v="where can I find my pension policy number"/>
        <s v="whats my payroll number"/>
        <s v="payroll number"/>
        <s v="return to work policy"/>
        <s v="How can I see what my holiday entitlement is this year"/>
        <s v="team member missing from My Team"/>
        <s v="how much time are we allowed for personal development"/>
        <s v="personal development time"/>
        <s v="HR rep"/>
        <s v="Ex employee wants P60"/>
        <s v="how does an ex employee get their p60 details"/>
        <s v="investigate claim"/>
        <s v="extend probation"/>
        <s v="how do you extend probation?"/>
        <s v="flexible working form"/>
        <s v="what will my salary be if reduce my hours?"/>
        <s v="how do I set up line manager delegations when I am off for my sabbatical ?"/>
        <s v="need to speak to an advisor"/>
        <s v="change of hours"/>
        <s v="pay after change of hours"/>
        <s v="questionnaire"/>
        <s v="Change person type"/>
        <s v="employment contract"/>
        <s v="I'm changing my hours from September how can i calculate my new holiday"/>
        <s v="upload maternity return to work form"/>
        <s v="how do i upload a maternity return to work form to peoplecloud"/>
        <s v="what grade am i"/>
        <s v="Contact payroll about tax code"/>
        <s v="Hi there just want to know if you can carry holiday next year"/>
        <s v="pension"/>
        <s v="grooming standards"/>
        <s v="uniform standards"/>
        <s v="I'm being discriminated against and need help"/>
        <s v="paternity checklist"/>
        <s v="who do i contact about a vacancy i have applied for"/>
        <s v="I would like for you to check what my holiday allowance is full time equivalent please? I just want to check my holiday is worked out correctly. I currently work 18.5 hours a week"/>
        <s v="application for new job"/>
        <s v="vacancy application"/>
        <s v="process to move to some from secondment to permanment"/>
        <s v="changing a secondment"/>
        <s v="moving a permanment role from secondment"/>
        <s v="Who can i contact about CIFAS"/>
        <s v="how do i delegate approvals"/>
        <s v="What is notice period"/>
        <s v="how leave encashment calculated as part of leaver"/>
        <s v="hi i currently work 35 hours and i am looking to redice my hours to 28 hours per week - what would my monthly pay be please"/>
        <s v="what holiday entilment would i get for 28 hours plaese"/>
        <s v="holiday calendar"/>
        <s v="I've tried that - too confusing - I might get it wrong - i want an official HR response."/>
        <s v="My manager has agreed flexible working (10 in 9) - how do we formalise this?  Is it just a case of him changing my my hours on peoplecloud?"/>
        <s v="OVERTIME"/>
        <s v="how many holidays are we allowed  per year?"/>
        <s v="Fair Treatment at Work - Ask a Question"/>
        <s v="Delegate Peoplecloud"/>
        <s v="What ban is Compliance Advice Manager"/>
        <s v="MY pay details"/>
        <s v="How much do I get paid"/>
        <s v="How do I cancel holiday?"/>
        <s v="what is your phone number"/>
        <s v="Hi I accidently added a sickness onto my own people cloud instead of one of my team, how do I remove this?"/>
        <s v="Should I include non working days when entering a sickness absence for a person working compressed hours"/>
        <s v="outstanding overtime requests"/>
        <s v="I have an HR helpdesk service request - it was reopened last week but now it does not show in the list"/>
        <s v="parental leave"/>
        <s v="paternity"/>
        <s v="interim appraisals"/>
        <s v="make a secondment permanent"/>
        <s v="show my payslip"/>
        <s v="payslip"/>
        <s v="show me my payslip"/>
        <s v="timesheet"/>
        <s v="help with pay"/>
        <s v="end secondment"/>
        <s v="is a scheduled holiday deducted from holiday balance"/>
        <s v="i am retiring on 13th October and still have holiday that I have accrued but wont have time to take.  will this show in my final payslip"/>
        <s v="Is there a number I can call?"/>
        <s v="covid"/>
        <s v="overtime payment"/>
        <s v="overtime payment amounts"/>
        <s v="P60 statement"/>
        <s v="give delgate access"/>
        <s v="how much holiday do i have left"/>
        <s v="copyof contact"/>
        <s v="I have recently changed my allocated days. My days are now Tues Wed and Thurs wef 14th August.  I believe this has been keyed on the system. My holiday remaining has increased, before I get excited could you please confirm I'm reading it correctly I have 28hours 15 mins remaining?  Thank you, Clare :-)"/>
        <s v="staff loyalty"/>
        <s v="dependent leave"/>
        <s v="new starter p45"/>
        <s v="how much is my shift allowance"/>
        <s v="retirement"/>
        <s v="It's not sick leave"/>
        <s v="It's still not sick leave.  it's a career break."/>
        <s v="how much noctie do you to give after work for 32 years"/>
        <s v="carers leave"/>
        <s v="part time holiday calculator"/>
        <s v="volunteer"/>
        <s v="change the address at payslips"/>
        <s v="How do i clear the public holiday from my absence balance"/>
        <s v="i want to use 0.45 holiday, but it won't let me submit it"/>
        <s v="holiday request of 0.45"/>
        <s v="want to book holiday request of 0.45 of an hour but it won't submit"/>
        <s v="what is my holiday entitilement?"/>
        <s v="holuday calculator"/>
        <s v="how do I raise a ticket with HR"/>
        <s v="raise a ticket with HR"/>
        <s v="I'd like to raise a HR request"/>
        <s v="holiday left in 2023"/>
        <s v="people cloud manager keying guide"/>
        <s v="After becoming a parent and after maternity leave is completed, what other leave is an employee entitled to, both paid and unpaid plus is there a return to work policy?"/>
        <s v="overtime claim"/>
        <s v="whats the last day you can submit overtime"/>
        <s v="submitting overtime"/>
        <s v="how to submit overtimmme"/>
        <s v="how to submit overtime"/>
        <s v="submit obertime"/>
        <s v="how much holiday pro rata"/>
        <s v="holiday entitelement"/>
        <s v="reduce my hours"/>
        <s v="i am looking to reduce my hours to 30 per week how will this affect my holiday please?"/>
        <s v="role delegation"/>
        <s v="myreward"/>
        <s v="do we get paid in arrear"/>
        <s v="how do you pay when i leave natiowndie"/>
        <s v="Hi, I can't  see where I am supposed to upload my Quarterly 1-1 document in people cloud, it wont let me add an anytime document with the dates April - June. Please can you advise."/>
        <s v="end contract"/>
        <s v="where can i update details of my Next of Kin"/>
        <s v="I want to work out my holiday entitlement"/>
        <s v="As a muilt skilled branch how do I book holiday"/>
        <s v="resignattion"/>
        <s v="When will my leave from MyReward display in people cloud"/>
        <s v="where do i locate my consultants DoB on people cloud"/>
        <s v="team sickness"/>
        <s v="carers day"/>
        <s v="holiday balance 2024 please"/>
        <s v="Thank you but this does not answer my question"/>
        <s v="Leaving"/>
        <s v="Resignation Checklist"/>
        <s v="how to raise a greivance"/>
        <s v="chnage line manger of direct report"/>
        <s v="Darren Milne"/>
        <s v="Rajeev Sharma"/>
        <s v="holiday pay"/>
        <s v="enroll in pension"/>
        <s v="p45 upload"/>
        <s v="Case management"/>
        <s v="ex staff"/>
        <s v="Approving an in year salary award"/>
        <s v="worklist"/>
        <s v="what is loyalty bonus absence"/>
        <s v="loyalty bonus absence"/>
        <s v="absence types"/>
        <s v="New Starter Decleration form"/>
        <s v="HR phone"/>
        <s v="Hello my salary was meant to go up by Â£1000 in August 2023 - this is not showing on pepople cloud"/>
        <s v="hoilday en"/>
        <s v="remuneration"/>
        <s v="how much do i pay into works pension"/>
        <s v="can you tell me about time off in lieu"/>
        <s v="my reward"/>
        <s v="Car allowance"/>
        <s v="Need to chnage department code"/>
        <s v="Secondment"/>
        <s v="employee Refferal checme"/>
        <s v="how long does my sabbatical leave last"/>
        <s v="Would that change if she switched to an admin profile?"/>
        <s v="Can I speak to an HR colleague please"/>
        <s v="Additional pay"/>
        <s v="remaining holiday"/>
        <s v="performance improvement"/>
        <s v="p number"/>
        <s v="yearly wage"/>
        <s v="can i be made to change my working pattern"/>
        <s v="ipad bought through myreward"/>
        <s v="On my own peoplecloud I can easily locate my holiday balance. Is there a way to do this for a team member?"/>
        <s v="housing support package"/>
        <s v="When will my expenses get paid?"/>
        <s v="logging compassionate leave"/>
        <s v="bereavement leave"/>
        <s v="logging bereavement absence for team member"/>
        <s v="unused holiday"/>
        <s v="no help at all - thanks"/>
        <s v="contact number"/>
        <s v="working from home allowance"/>
        <s v="key leaver"/>
        <s v="assign working apttern"/>
        <s v="tm overtime"/>
        <s v="do our wages go in on friday?"/>
        <s v="hybrid working"/>
        <s v="hi, I'm having issues with the travel policy , can someone point me in right direction please?"/>
        <s v="is tehre a phone number I can ask a question on?"/>
        <s v="part time"/>
        <s v="pay slip from June 2022"/>
        <s v="payslip august"/>
        <s v="pay slips"/>
        <s v="How to key missing diversity info"/>
        <s v="j)_x0009_How to key diversity info"/>
        <s v="How to key diversity info"/>
        <s v="how do I record my missing divesity info"/>
        <s v="how to view sickness record"/>
        <s v="My last day will be 25 August 2023. Are you able to confirm if I will be owed holiday or if I owe to the business?"/>
        <s v="How much will my line report get for SMP?"/>
        <s v="delegate approval"/>
        <s v="how to claim on call payument"/>
        <s v="keying on call"/>
        <s v="keying overtime claims"/>
        <s v="where is diversity"/>
        <s v="phone number"/>
        <s v="HR phone number please"/>
        <s v="How to change my Work Schedule Assignmen"/>
        <s v="Speak to advisor"/>
        <s v="redundancy calculator"/>
        <s v="how to work out pro rata salary"/>
        <s v="Can you help with an appricate anytime award please?"/>
        <s v="employee reffernce"/>
        <s v="mat leave"/>
        <s v="Book holiday"/>
        <s v="half day holiday"/>
        <s v="specific absence help"/>
        <s v="can someone call me please?"/>
        <s v="how do I report sexual misconduct"/>
        <s v="cannot raise service request"/>
        <s v="can i buy holiday now"/>
        <s v="additional responsibilit"/>
        <s v="how to change team shedule"/>
        <s v="I work full time does that mean i can carry forward 35 hours?"/>
        <s v="contracted hours"/>
        <s v="working hours"/>
        <s v="I have queries with my overtime pay"/>
        <s v="competency uplift payment"/>
        <s v="change assigned cost cente"/>
        <s v="what is askhr telephone number"/>
        <s v="Request P60 document"/>
        <s v="where is responsibility allowance on peoplecloud"/>
        <s v="right to work"/>
        <s v="maternity leave returner"/>
        <s v="I jave some concerns about sexual misconduct"/>
        <s v="I want to appeal getting no bonus"/>
        <s v="branch working arrangements guidance"/>
        <s v="can you show me branch network working arrangements info"/>
        <s v="what's payrolls email address"/>
        <s v="how to change a working pattern"/>
        <s v="will I get a tax rebate"/>
        <s v="who do I contact about a death in service"/>
        <s v="historic payslips"/>
        <s v="how much will my final pay be"/>
        <s v="leavers pay"/>
        <s v="where do I book medical appointments"/>
        <s v="I need guidance on sorting an issue that's causing conflict at work"/>
        <s v="its about conflict at work"/>
        <s v="working hours calculator"/>
        <s v="change working hours"/>
        <s v="where is the salary guidance tool"/>
        <s v="How much holiday do I have left to use"/>
        <s v="What is the leaving process"/>
        <s v="2024 holiday allowance"/>
        <s v="what was my salary in 2015??"/>
        <s v="phone HR"/>
        <s v="The current rate of pay on my first payslip calculates as  Â£19,413.  Is that because I am being paid for 3 weeks and not 4 weeks?"/>
        <s v="show me number to call HR"/>
        <s v="Why is my current rate of pay on my first payslip much lower than expected.  It should work out to Â£23500 but it works out as Â£19413"/>
        <s v="This is not a tax question"/>
        <s v="It is not 23500 on my first payslip.  Why is it wrong?"/>
        <s v="What is salary sacrifice?"/>
        <s v="MATERNITY RETURN TO WORK HELP"/>
        <s v="how does my new starter get their building pass"/>
        <s v="Time off for funeral"/>
        <s v="eyetest"/>
        <s v="previous employer pension"/>
        <s v="final pay"/>
        <s v="number to call HR"/>
        <s v="I need payslips from before 2020"/>
        <s v="career break"/>
        <s v="Payroll contact number"/>
        <s v="sabbatical"/>
        <s v="Hr contact number"/>
        <s v="unpaid break"/>
        <s v="getting help from HR"/>
        <s v="I need help with my pay"/>
        <s v="I need help from payroll"/>
        <s v="payroll"/>
        <s v="what was my holiday allowance for this year"/>
        <s v="team members date of birth"/>
        <s v="condenced hours"/>
        <s v="maternity return"/>
        <s v="My start date is incorrect so my holiday entitlement is lower than it should be. Please can we get this corrected?"/>
        <s v="final holiday payment"/>
        <s v="how to cancel holiday"/>
        <s v="cancel absence"/>
        <s v="change of job code"/>
        <s v="Phone number for HR"/>
        <s v="how can I request a pay rise"/>
        <s v="how can I ask for a pay rise"/>
        <s v="keying bereavement leave"/>
        <s v="delegation"/>
        <s v="how can i speak to hr"/>
        <s v="help reading payslip"/>
        <s v="Contracting for another company"/>
        <s v="second employment"/>
        <s v="rules for second employment"/>
        <s v="I joined on the 31st august and I haven't been paid for that day"/>
        <s v="contacing hr about pay"/>
        <s v="contact telephone number"/>
        <s v="I want to fill in my new starter declaration"/>
        <s v="What is HR telephone number?"/>
        <s v="HR telephone number?"/>
        <s v="query pay"/>
        <s v="Pay slip query"/>
        <s v="give me a hr numbr to call"/>
        <s v="change hours"/>
        <s v="Payroll email address"/>
        <s v="show me the payroll team's email"/>
        <s v="I have not been paid"/>
        <s v="show my absence balances"/>
        <s v="covering branch"/>
        <s v="can you help me with nationwide pension fund query"/>
        <s v="what are the rules regarding emergency leave"/>
        <s v="NEED TO SPEAK TO HR MEMBER"/>
        <s v="where is the telephone number for HR"/>
        <s v="telephone number for human resources"/>
        <s v="dependants leave"/>
        <s v="emergency dependants leave"/>
        <s v="how much annual leave do I have left"/>
        <s v="how much holiday did i have this year"/>
        <s v="holiday calculator 2024"/>
        <s v="How to request a change of hours"/>
        <s v="Expression of Wish"/>
        <s v="New starter hasnt been paid"/>
        <s v="HR Email address"/>
        <s v="No HR email"/>
        <s v="show me HR email address"/>
        <s v="where can i get proof of employment"/>
        <s v="what is the hr email?"/>
        <s v="show me HR's email"/>
        <s v="what is the human resources email?"/>
        <s v="give me HR's emaik"/>
        <s v="change jb"/>
        <s v="How do I raise a request to have my salary increase?"/>
        <s v="who do I talk to about my salary?"/>
        <s v="holiday calulator"/>
        <s v="how much pay will i get if i change my hours"/>
        <s v="changing my hours"/>
        <s v="Can i work from abroad?"/>
        <s v="How does an ex employee contact hR"/>
        <s v="buy holidays"/>
        <s v="Job change but my holidays dont reflect my booked off time"/>
        <s v="Can you explain my holiday entitlement to me, my normal accrual holidays is 30 days (210 hours), yet  7hrs have been deducted? This may be something to do with the minus 7hrs for bank holiday which again I donâ€™t understand, can you help me. I have asked my line manager and this was his response 'It looks like its deducted the 7 hours for  January 1st, as this was a Sunday but for clarity Iâ€™d send an Ask HR request!'"/>
        <s v="return to work document"/>
        <s v="How much sick time have I used?"/>
        <s v="where do we find that information"/>
        <s v="How do I request a change of working patterns from full time to working Tuesday to Friday."/>
        <s v="emerrgency leave for dependants"/>
        <s v="holiday calcualtor"/>
        <s v="person not showing as leaving"/>
        <s v="person leaving"/>
        <s v="speak to payroll"/>
        <s v="hr email"/>
        <s v="I am a new starter and have not seen my e-learning come through"/>
        <s v="additional responsibility"/>
        <s v="How to raise a PeopleCloud ticket"/>
        <s v="working hours on 5th September"/>
        <s v="I want to update job for my direct report"/>
        <s v="taking a career break"/>
        <s v="How to arrange a career break"/>
        <s v="Does a career break impact annual holiday allowance"/>
        <s v="how much is my holiday entitlement?"/>
        <s v="payslips after bonus are different"/>
        <s v="net pay is higher than normal"/>
        <s v="eye care"/>
        <s v="what's the policy on allocating a hub for new starters?"/>
        <s v="new starter hub allocation"/>
        <s v="How to work out holiday when leaving"/>
        <s v="information on career breaks"/>
        <s v="wage slip wrong"/>
        <s v="Buying Holidays"/>
        <s v="need urgent assistance with a leaver who was terminated early"/>
        <s v="my holiday hours"/>
        <s v="when do holidays renew"/>
        <s v="show my performance plan"/>
        <s v="i need a contact number"/>
        <s v="what is 2024 holiday allowance"/>
        <s v="what is HR telephone number"/>
        <s v="revoke delegation"/>
        <s v="can I use up all my holiday allowance when I leave"/>
        <s v="End of year documents"/>
        <s v="prolonged sickness benefit"/>
        <s v="Hello, I would like to submit a flexible working request please"/>
        <s v="employee refrence"/>
        <s v="MY UNUSED HOLIDAY"/>
        <s v="HR phone number"/>
        <s v="Lease car benefit in kind"/>
        <s v="uplift in pay for stage 3 mortgage advisor"/>
        <s v="but if i am on 11.87 an hour and i multiple that by 35 amd ,ultiply it by four weeks, my gross pay should have appeared higher on my july wage slip..."/>
        <s v="complaint against my manager"/>
        <s v="how do i extend an absence?"/>
        <s v="what is resolution framework for fair treatment complaint"/>
        <s v="what is family support leave"/>
        <s v="email address for hr"/>
        <s v="break entitlement"/>
        <s v="Hi, Who can I contact via email to confirm holiday booking procedure, purchased holidays and carrying normal holidays into next years allocation?"/>
        <s v="Hi, Who in HR can I contact via email to confirm booking of purchased holidays and carrying over normal holidays?"/>
        <s v="bought holiday"/>
        <s v="CALL"/>
        <s v="Where do I find an In Year Salary Review Request"/>
        <s v="unable to book Recognising Loyalty"/>
        <s v="booking addtional days"/>
        <s v="absence balance wrong"/>
        <s v="volunteer day"/>
        <s v="claim expenses biot not helping"/>
        <s v="In the event of redundancy are there any enhancements to pensions"/>
        <s v="Leave for stress"/>
        <s v="email HR"/>
        <s v="send me HR email"/>
        <s v="holidays left"/>
        <s v="buying additional holiday"/>
        <s v="submitted wrong answer for new starter declaration"/>
        <s v="I need to buy additional holiday but already did so during enrolment. This is due to having to unexpectantly move house which is not one of the lifestyle events listed"/>
        <s v="how to log service holiday?"/>
        <s v="start hr case"/>
        <s v="will i be paid my holiday balance when i leave"/>
        <s v="Notice period for contract type 9"/>
        <s v="recognising loyalty leave"/>
        <s v="Change employees JB code"/>
        <s v="Natalie Elly's manager"/>
        <s v="Natalie Elly"/>
        <s v="Dependancy leave"/>
        <s v="Do I get money if I nedd glasses"/>
        <s v="emergency dependant leave"/>
        <s v="what holiday am i entitled to"/>
        <s v="when do the new holidays start please?"/>
        <s v="holiday allwoance"/>
        <s v="how to request a change in hours"/>
        <s v="how do I change my hours"/>
        <s v="when do i get my new holiday allowance?"/>
        <s v="See my teams goals"/>
        <s v="holiday entilement"/>
        <s v="can i email myself my payslip"/>
        <s v="when can we take annual leave while on maternity"/>
        <s v="I recently changed my working days from 5 days to 4 and would like to know my holiday allowance"/>
        <s v="leavers final payslip"/>
        <s v="unpaid lead"/>
        <s v="unpaid leave"/>
        <s v="How many hours are my holiday?"/>
        <s v="submit holiday"/>
        <s v="manager approval issues"/>
        <s v="issue with approving my overtime request"/>
        <s v="manage an employee base location"/>
        <s v="manage employee work location"/>
        <s v="fixed term extension"/>
        <s v="update on fixed term extension request"/>
        <s v="overtime records for staff"/>
        <s v="resolution framework"/>
        <s v="Bupa query"/>
        <s v="how much holiday do i have for 2024"/>
        <s v="02.08.2023"/>
        <s v="date of birth"/>
        <s v="I need P60 and P11D for past tax years"/>
        <s v="i used the save button"/>
        <s v="how do i contact ask HR?"/>
        <s v="flexible working request"/>
        <s v="employee loan"/>
        <s v="leaving nationwide"/>
        <s v="Our M&amp;FW interns are with us until 25 August. My particular Intern is interested in a full time vacancy and is actively looking for jobs on our internal site, can you confirm, if he was to apply for a job and his internship comes to an end upon being offered an interview or a job how does this work?"/>
        <s v="flexible working"/>
        <s v="Reference Email of HR"/>
        <s v="I can't find the Bullying policy which explains the steps i need to take to raise a bullying grievence"/>
        <s v="grievance"/>
        <s v="flexible working appeal"/>
        <s v="how can i get my payslip on my own device"/>
        <s v="public holiday calculator"/>
        <s v="maternity leave"/>
        <s v="where do i find my contract"/>
        <s v="what is email for hr"/>
        <s v="how to add a performance document"/>
        <s v="What is the HR email address?"/>
        <s v="Hi! I cannot see payslips older than april 2021, same for P60"/>
        <s v="how much pay will I get if I change my hours?"/>
        <s v="P60s where can I find them"/>
        <s v="why has my expense not been paid"/>
        <s v="delegation of my line manager roles"/>
        <s v="Raise a grievance"/>
        <s v="How do I contact payroll?"/>
        <s v="How do I contact payroll"/>
        <s v="pay dates"/>
        <s v="Hi Can you please check my Absences to date showing 50Hr 30 Mins."/>
        <s v="What happens to unused holiday"/>
        <s v="how to key a schedule assignment"/>
        <s v="contact HR"/>
        <s v="How to download payslips"/>
        <s v="sickness 7 days"/>
        <s v="how can i delegate"/>
        <s v="How to give access to another manager in my absence"/>
        <s v="How to submit my P45"/>
        <s v="2024 holiday"/>
        <s v="is there an inflationary pay rise this year?"/>
        <s v="how do I check my expression of wish form"/>
        <s v="Hi, one of my members of staff is on maternity leave  until October. She is looking to visit the branch to catch up with her training and get up to date with everything. Do I have to contact you before hand as you may have to unlock her login details/email"/>
        <s v="closed recruitment"/>
        <s v="Where can I see which fund my pension is invested in and the current value of my fund"/>
        <s v="what are the working hours for christmas 2023"/>
        <s v="what is hr's email?"/>
        <s v="can an employee access emails while on long term sick leave?"/>
        <s v="My final day of work with NBS is the 1st of september. Can you tell me how much holiday I'll have outstanding when I leave as I may take it before I leave."/>
        <s v="I need help with one of my teams work schedules"/>
        <s v="How can I get feedback survey responses delivered to my manager as opposed to me"/>
        <s v="how can i access my payslip on my mobile"/>
        <s v="peoplecloud personal access"/>
        <s v="extend maternity leave"/>
        <s v="Record sickness for a staff member"/>
        <s v="can i get maternity leave if im sick"/>
        <s v="what do i do if i need a sick day"/>
        <s v="Why has my location changed?"/>
        <s v="when will my new starter get paid"/>
        <s v="Where to record that a direct report has resigned"/>
        <s v="im not sure if that will help with my query. im in need of the name and department within financial crime, that my consultant will be moving to so i can make contact with them regarding transferring her over to the new team"/>
        <s v="where can i see this on peoplecloud"/>
        <s v="overtime rate"/>
        <s v="how do I speak to a real HR person"/>
        <s v="How do I contact HR?"/>
        <s v="how do I complete my mid year performance doc"/>
        <s v="how do I complete my performance reflections doc"/>
        <s v="What Pay Band is Daniel Gill?"/>
        <s v="how can i contact HR by telephone"/>
        <s v="Balance of holiday as of 31.12.23"/>
        <s v="refelctions document"/>
        <s v="New starter asked to hand in notice"/>
        <s v="process for new starter leaving"/>
        <s v="How can I contact HR"/>
        <s v="How can I contact the HR team"/>
        <s v="HI, i have tried accessing my reward to amend my pension contributions however it is saying i am a leaver. i left nationwide in may 21 and have re started today however have the same P number as last time."/>
        <s v="how much do i get paid for overtime"/>
        <s v="I would like to see my benefits in kind"/>
        <s v="delegate access"/>
        <s v="Advice on Phased Return and Sick days"/>
        <s v="Can I contact an AskHR agent"/>
        <s v="Manager keying guide"/>
        <s v="what is my salary range?"/>
        <s v="Hi, I need advice on an employee who has taken a career break and wants to return."/>
        <s v="This is not helpful.  Can i raise an HR request please"/>
        <s v="family days"/>
        <s v="I dont think I have been paid for working Saturday 6TH May, this was to be paid at single time."/>
        <s v="can you tell me my salary full time"/>
        <s v="Can you you help me get access to grow learning?"/>
        <s v="How do I know my outstanding holiday balance"/>
        <s v="Is there a way to delegate authority for line manager when off sick"/>
        <s v="when is the final pay when you leave nationwide"/>
        <s v="how many holiday hours did I start the year with please?"/>
        <s v="currant date holidays says i have 100 hours but balance shows nill why is this"/>
        <s v="how much notice do i have to give for retirement"/>
        <s v="Hi, I have a colleague on maternity leave who needs to access her laptop and Outlook account, how do I arrange this please?"/>
        <s v="team absence"/>
        <s v="Im concerned for the welfare of a colleague"/>
        <s v="Good Morning. I was wondering how my final pay will be given? Will August be my last pay or will I receive any pay in September as well?"/>
        <s v="How do I add my family to my Bupa policy"/>
        <s v="HI WHERE CAN I PRINT P60 2020 &amp; 2021"/>
        <s v="p45 upload from previous employer"/>
        <s v="call hr"/>
        <s v="flexible working request form"/>
        <s v="how much would i earn if i was full time"/>
        <s v="how would a member of staff raise a complaint regarding BUPA my Rewards service"/>
        <s v="myreward complaint"/>
        <s v="hi there just wanted to check if my overtime that was submitted today will be paid in August salary as manager approved just after 12.00"/>
        <s v="new starter employee number"/>
        <s v="problem with elearning"/>
        <s v="public holiday 2024"/>
        <s v="How to extend a fixed term contract"/>
        <s v="human help?"/>
        <s v="How do I record a leaver"/>
        <s v="can i call HR?"/>
        <s v="new starter bit locker pin"/>
        <s v="How can i email HR"/>
        <s v="'View balance as of another date"/>
        <s v="how is my holiday allocated if i work compressed hours"/>
        <s v="what is my seniority date"/>
        <s v="can i get a refubnd for my holiday purchase"/>
        <s v="return to work checklist"/>
        <s v="I think I should have increased public holiday balance"/>
        <s v="what is the phone number for HR"/>
        <s v="interview questionss"/>
        <s v="How do I setup my Bupa?"/>
        <s v="How can I phone HR"/>
        <s v="askhr email"/>
        <s v="miscarriage"/>
        <s v="How do I change team member department"/>
        <s v="Flexible Working Confirmation Form"/>
        <s v="leavers form"/>
        <s v="people cloud access"/>
        <s v="sexual misconduct"/>
        <s v="late night taxi form"/>
        <s v="how to enroll in pension"/>
        <s v="how do i speak to some one in HR"/>
        <s v="peoplecloud managers guide"/>
        <s v="is my tax code right"/>
        <s v="how do I get copies of my payslips from before 1021"/>
        <s v="when will I get my final payslip"/>
        <s v="What will a reference say"/>
        <s v="where is the sickness absence logged"/>
        <s v="When submitting an overtime claim, does this have to be after the date of the overtime?"/>
        <s v="can I submit a claim before the date of the overtime?"/>
        <s v="endng a secondment early"/>
        <s v="how do I get payslips back to 2020"/>
        <s v="My P11D doesn't look correct"/>
        <s v="I have an issue with pay"/>
        <s v="Where can I see overtime I've submitted"/>
        <s v="my holiday entitlement for the year"/>
        <s v="Support for role change?"/>
        <s v="Can I alter my leaving date"/>
        <s v="hello i am leaving nationwide 15th Sept, how can i find out if i have holidays owed or if and how much i will be dedected from my final wage slip if i ow holidays back? kids regards gemma P19225"/>
        <s v="Hello, I understand that I am required to give 3 months notice before retirement rather than 1 month if I change employer.  Is there any reason why I can't give 1 month notice, leave NBS and then claim my pensions via Aviva and Buck?  Thank you."/>
        <s v="I don't think my annual leave allowance is accurate"/>
        <s v="Eligible Leaver Form not displaying under goals and performance"/>
        <s v="Is there a cut off point for payrises to start"/>
        <s v="what is additional responsibility pay"/>
        <s v="Good morning, When does 2024 holiday allocation get added?  I have Holidays booked for 2024 that i want to book off work but cant because there is no allocation?  please advise"/>
        <s v="Hi, i have had my duplicate overtime claim for 9/3/23 approved twice by my manager. will this be adjusted and not go thru twice"/>
        <s v="new starter declaration"/>
        <s v="My salary was incorrect."/>
        <s v="how to book work anniversary leave"/>
        <s v="how to key return to work hours"/>
        <s v="can you confirm who authorises my additional personal contribution claims. my line manager isn't receiving them"/>
        <s v="Hi can I have the number for resourcing team"/>
        <s v="when will next years bank holiday calculator be available?"/>
        <s v="hi I have an industrial placement working for me Gibril Keita but i cant see &quot;myteams&quot; in peoplecloud. I need  it so i can uplaod his goals before he leaves"/>
        <s v="how much notice do I need to give if I decide to retire?"/>
        <s v="I need to submit an ask HR question"/>
        <s v="copy of P11d"/>
        <s v="full time salary"/>
        <s v="I recently change my hours to full time, but the sabatical leave has not been updated."/>
        <s v="Can i check what overtime claim has been made"/>
        <s v="where are the user guides to uplift salary"/>
        <s v="uplift salary guide"/>
        <s v="addtional responsibility allowance form"/>
        <s v="Raise a formal grievance how?"/>
        <s v="change job title"/>
        <s v="employment breaks"/>
        <s v="Hey my pay is wrong, I should be on Â£23,000"/>
        <s v="i am trying to convert a staff member from fixed to permanent"/>
        <s v="full time wage"/>
        <s v="Where should I send my P45?"/>
        <s v="what is my 2024 holiday allowance"/>
        <s v="Is there a contact for recruitment for someone external"/>
        <s v="secondment extension"/>
        <s v="Help with Resignation"/>
        <s v="how to check overtime submitted"/>
        <s v="Who do i give my P45 to"/>
        <s v="holiday and saturday working"/>
        <s v="workplace conflict"/>
        <s v="return to work checklsit"/>
        <s v="how many holidays will i accrue if i retire on 01/04/2024"/>
        <s v="holiday and maternity"/>
        <s v="Flexible Working Request Confirmation form"/>
        <s v="Team goals"/>
        <s v="what category of service request should I raise"/>
        <s v="When will my pay uplift show"/>
        <s v="upload p45"/>
        <s v="where can I find the PeopleCloud Manager Keying Guide - 17 August 2023"/>
        <s v="how do i change a job title on people cloud"/>
        <s v="how much maternity pay will I get"/>
        <s v="Show me how I can manage my team"/>
        <s v="in charge payment"/>
        <s v="Where do I find the severance calculator"/>
        <s v="Whereâ€™s the redundancy calculator"/>
        <s v="How much maternity pay will I get?"/>
        <s v="return to work"/>
        <s v="sickness policy"/>
        <s v="how to change my preferred name"/>
        <s v="View Service Requests"/>
        <s v="completed training still showing"/>
        <s v="121 form"/>
        <s v="Hey, please can someone let me know my notice period?"/>
        <s v="I need to change my name"/>
        <s v="Why is my bought holiday not showing in my account?"/>
        <s v="What is my notice period?"/>
        <s v="Find User Guides"/>
        <s v="reference request"/>
        <s v="employee references"/>
        <s v="notice period"/>
        <s v="death in service"/>
        <s v="msm payment"/>
        <s v="where is tasha guise based"/>
        <s v="Tasha Guise"/>
        <s v="How do I change Tasha's location"/>
        <s v="bank hholidays"/>
        <s v="Find my department"/>
        <s v="bank holiday"/>
        <s v="scottish bank holidays"/>
        <s v="workplace adjustment"/>
        <s v="I need a copy of contract"/>
        <s v="i am not a new srarter"/>
        <s v="employee personal loan"/>
        <s v="public holidays"/>
        <s v="ill support plan"/>
        <s v="maternity leave questionnaire"/>
        <s v="view status of promote request"/>
        <s v="maternity"/>
        <s v="if i decide to retire how much notice do i need to give please"/>
        <s v="how long is a notice period whilst in probation"/>
        <s v="where to find my employment contract"/>
        <s v="maternity pay questionnaire"/>
        <s v="Whereâ€™s the severance pay calculator"/>
        <s v="pregnancy"/>
        <s v="I want to update my email address"/>
        <s v="holiday entitle entitlement calculator"/>
        <s v="when do i have to use my ried over holiday"/>
        <s v="I've been told a new work pattern has been set up for one of my reports, but it isn't recognised when I'm trying to update peoplecloud?"/>
        <s v="public holiday calc"/>
        <s v="View balance as of another date"/>
        <s v="Where can i get my contract?"/>
        <s v="working pattern"/>
        <s v="Hoe to change location"/>
        <s v="how do i claim overtime"/>
        <s v="redundancy policy"/>
        <s v="talk to someone"/>
        <s v="Job reference"/>
        <s v="contract location"/>
        <s v="Ben Hopkins"/>
        <s v="Hi - I have a query on a recent change to my Tax code - can you help on that or do I need to speak to HMRC directly ?"/>
        <s v="kit day"/>
        <s v="email address"/>
        <s v="View future absences"/>
        <s v="View absence balance (excl. sickness balance)"/>
        <s v="holiday purchase hasnt synced"/>
        <s v="change location"/>
        <s v="change employees location"/>
        <s v="what is my career family"/>
        <s v="bank holiday calculator"/>
        <s v="View past absences"/>
        <s v="Reference requests"/>
        <s v="retirement policy"/>
        <s v="when are bought holidays added to the balance?"/>
        <d v="2023-01-01T00:00:00"/>
        <s v="what do i need to do if im being bullied?"/>
        <d v="2023-03-03T00:00:00"/>
        <d v="2024-01-01T00:00:00"/>
        <s v="how do i change my role title?"/>
        <s v="Where would i find my contract"/>
        <s v="flexible working decline form"/>
        <s v="reference"/>
        <s v="what is my bank holiday allowance"/>
        <s v="policy"/>
        <s v="withdraw resignation"/>
        <s v="hi can you tell me how many hours i can claim for saturday working if we open from 9am to 12pm"/>
        <s v="attending funeral"/>
        <s v="Where the holiday calculator"/>
        <s v="holiday entitlement calculator"/>
        <s v="occupational health referral"/>
        <s v="opt out pension"/>
        <s v="opt out of my pension"/>
        <s v="service request"/>
        <s v="Improvement support plan"/>
        <s v="complaint"/>
        <s v="Holiday entitlemment calculator"/>
        <s v="what does &quot;Salary offset backpay&quot; mean ?"/>
        <s v="can i work abroad"/>
        <s v="how many days can you carry over into next holiday year]"/>
        <s v="Absence balance"/>
        <s v="HR FORM"/>
        <s v="how to claim overtime"/>
        <s v="Contract types information"/>
        <s v="Where is contract type information"/>
        <s v="Where is contract type information?"/>
        <s v="where will i find details about contracts"/>
        <s v="probibition policy"/>
        <s v="hr telephone number"/>
        <s v="information about different contracts"/>
        <s v="information about contracts"/>
        <s v="how do i speak to HR?"/>
        <s v="in charge"/>
        <s v="additional responsibility payment"/>
        <s v="on call guide"/>
        <s v="What platform is Grow on"/>
        <s v="Grow edcast"/>
        <s v="Speak to agent"/>
        <s v="when are bought holidays added to absence balance?"/>
        <s v="what is my notice period"/>
        <s v="illness policy"/>
        <s v="references"/>
        <s v="why doesn't calendar show public holidays?"/>
        <s v="severance"/>
        <s v="show me the redundancy calculator"/>
        <s v="How are reference requests received into HR?"/>
        <s v="Thank you!! :)"/>
        <s v="How much notice do I need to give?"/>
        <s v="can you please help me?"/>
        <s v="cut off dates"/>
        <s v="How do i get my AJI (job profile)?"/>
        <s v="HR Policies"/>
        <s v="How much severance pay will I get"/>
        <s v="Looking for an older payslip"/>
        <s v="Looking for April 2022 payslip"/>
        <s v="Looking for May 2022 payslip"/>
        <s v="Looking for June 2022 payslip"/>
        <s v="where can i find information on emergency loans?"/>
        <s v="Looking for July 2022 payslip"/>
        <s v="healthcare"/>
        <s v="change employee location"/>
        <s v="do my holiday hours automatically update when I change my hours?"/>
        <s v="How are public holidays calculated"/>
        <s v="How many hours is a bank holiday"/>
        <s v="Where are the Holiday Entitlment Calculators"/>
        <s v="p11d"/>
        <s v="Hi, can i have someone check all my holiday has been added - i came back part way through the year and then purchased 5 days holiday - it has been taken from my wages but i'm not sure if its been added to my allowance"/>
        <s v="what is my holiday entitlement"/>
        <s v="wheres the holiday calculator"/>
        <s v="tax code"/>
        <s v="new joiner"/>
        <s v="how do i change my hours?"/>
        <s v="half-day holiday"/>
        <s v="current holiday entitlement"/>
        <s v="record of informal discussion"/>
        <s v="view my absence requests"/>
        <s v="flexi request"/>
        <s v="Maternity &amp; Adoption Leave Keying Guide"/>
        <s v="how much holiday do you get for 5 years service"/>
        <s v="increase hours"/>
        <s v="carry over holiday"/>
        <s v="change employee cost centre"/>
        <s v="need more help"/>
        <s v="approve"/>
        <s v="hi i am looking to reduce my working hours how can i put in a request"/>
        <s v="thank you"/>
        <s v="how long have i worked for nationwide"/>
        <s v="purchased holiday not showing"/>
        <s v="I am on a fixed term contract ending 22 September, how much holiday do I have left?"/>
        <s v="What happens to any holiday I don't take"/>
        <s v="Speak to someone"/>
        <s v="fixed term perm"/>
        <s v="tenancy reference"/>
        <s v="Holiday Entitlement calendar"/>
        <s v="cancel resignation"/>
        <s v="Extend fixed term contract"/>
        <s v="how do i find out my hourly rate"/>
        <s v="how to i delete a bank account"/>
        <s v="bupa"/>
        <s v="flexible working hours"/>
        <s v="update bank details"/>
        <s v="how do i get a employer reference"/>
        <s v="get car allowance"/>
        <s v="change line manager"/>
        <s v="i think my tax code is wrong"/>
        <s v="i think my earning for the current tax year are wrong on the hmrc website"/>
        <s v="hmrc has the income for my tax code?"/>
        <s v="Public holiday dates"/>
        <s v="hr forms"/>
        <s v="im on a saturday contract, what do i claim for overtime"/>
        <s v="severance calcualtor"/>
        <s v="paternity leave"/>
        <s v="When will my redundancy be paid?"/>
        <s v="death policy"/>
        <s v="contract type"/>
        <s v="My personal email needs to be changed"/>
        <s v="changed address"/>
        <s v="absence triggers"/>
        <s v="How  much maternity pay will I recieve"/>
        <s v="how much maternity pay will i recieve"/>
        <s v="is it possible to purchase holiday"/>
        <s v="hi i returned from sickness yesterday and im on a phased return please could you assist me on how im out my hours through please"/>
        <s v="how do i get a copy of my contract of employment"/>
        <s v="sick pay"/>
        <s v="raise a ticket"/>
        <s v="location changes"/>
        <s v="Leave balance in days"/>
        <s v="expenses policy"/>
        <s v="How much maternity pay will I get?'"/>
        <s v="raise service request"/>
        <s v="how much notice do I need to give before the resignation"/>
        <s v="emergency tax"/>
        <s v="P45/New Starter Declaration"/>
        <s v="no if my hours reduce from 35hours to 28 hours would i get less holidays per annual year"/>
        <s v="what is my hourly rate."/>
        <s v="bodycare"/>
        <s v="Employment reference"/>
        <s v="where do i find  In Year Salary Review Request Form"/>
        <s v="how much notice do i need to give to leave nationwide"/>
        <s v="Employee statement is incorrect"/>
        <s v="shared parental leave"/>
        <s v="what is my holiday entitlement?"/>
        <s v="I joined on 31/10/1988  how much notice do I need to give if I intend to retire on 31/03/2024.  And how much if it was 23/02/2024"/>
        <s v="team birthday"/>
        <s v="apply for car allowance"/>
        <s v="holiday carry over"/>
        <s v="how do I calculate my hourly rate?"/>
        <s v="how many holidays do i get"/>
        <s v="overtime and benefits guide"/>
        <s v="payment of salary"/>
        <s v="sorry, that doesnt answer the question"/>
        <s v="scottish bank holiday"/>
        <s v="how do i book half a day"/>
        <s v="Speak to an agent"/>
        <s v="scotland bank holiday"/>
        <s v="people cloud keying guide"/>
        <s v="How much redundancy pay will I get"/>
        <s v="how much notice do i have to give"/>
        <s v="where is my contract"/>
        <s v="update tax code"/>
        <s v="How do i opt out of pension"/>
        <s v="how do i stop my pension contributions"/>
        <s v="complete mid year performance reflection"/>
        <s v="What band am I?"/>
        <s v="What is my pay band"/>
        <s v="my pay band"/>
        <s v="pay band"/>
        <s v="My role details?"/>
        <s v="What is the generic contact email for employment references for myself?"/>
        <s v="What is my salary"/>
        <s v="my job detials"/>
        <s v="Holiday entitlement calcluator"/>
        <s v="scotland bank holidays"/>
        <s v="hourly wage"/>
        <s v="cancel submitted holiday"/>
        <s v="Change my employees working hours"/>
        <s v="I need a letter"/>
        <s v="Can I speak to an agent?"/>
        <s v="change work pattern"/>
        <s v="where can i find the performance goals"/>
        <s v="lodging allowance net - what should be entered in Unit section"/>
        <s v="Is my tax code correct?"/>
        <s v="delegation access"/>
        <s v="time off policy"/>
        <s v="Maternity pay"/>
        <s v="when can i key interim appraisals"/>
        <s v="Hi, Would you be able to provide me a Statement of Employment letter? Thanks"/>
        <s v="Do you offer the Menopause Package through Bupa as part of my benefits package?"/>
        <s v="how do I change my name"/>
        <s v="How can i view my contract?"/>
        <s v="E-Learning keeps crashing so I can't complete it"/>
        <s v="holidays carried over"/>
        <s v="Link does not work"/>
        <s v="view service request"/>
        <s v="Do know now"/>
        <s v="Cannot find the holiday calculator"/>
        <s v="when did i join nationwide"/>
        <s v="sell holiday"/>
        <s v="where is the severance calculator"/>
        <s v="employment letter request"/>
        <s v="how to find out career family"/>
        <s v="career family"/>
        <s v="overtime cut off"/>
        <s v="Holiday guide"/>
        <s v="View absences for a specific duration"/>
        <s v="Jan 2023 and October 2023"/>
        <s v="A team member is leaving through retirement, what do I need to do"/>
        <s v="what is my current work pattern?"/>
        <s v="Benefits in kind"/>
        <s v="View my p60 document"/>
        <s v="How many hours in total can I take as holiday from today to 31/12/2023"/>
        <s v="where's the holiday calculator"/>
        <s v="I need more advice"/>
        <s v="removing payment method"/>
        <s v="i am an on emergency tax code"/>
        <s v="i would like to talk to someone about my pension ..how much i am currently paying into it and whether i can increase this.  also my projected figures for taking my pension next year when i turn 55"/>
        <s v="service request SLA"/>
        <s v="HOW MUCH NOTICE TO GIVE BEFORE LEAVE NATIONWIDE"/>
        <s v="search knowledge"/>
        <s v="mileage"/>
        <s v="good morning - Liz Davis p09443 is due to retire - I think the date has been keyed in correctly as she has been removed from the systems, her last actual working day is today, however she is then taking her 6 weeks sabbatical so her last day of employment is actually 19th September so her termination of employment should have been 20th September - How can I get this amended and her back on systems for today?"/>
        <s v="i have 2 pensions one is with aviva can you tell me who the other one is with and how i go about finding out about drawing down"/>
        <s v="WHY IT'S ELEARNING DO NOT OPEN?"/>
        <s v="what is my monthly salary"/>
        <s v="payslips"/>
        <s v="internal job moves and management of goals"/>
        <s v="family leave"/>
        <s v="user guides"/>
        <s v="illness absense"/>
        <s v="how much holiday do we get"/>
        <s v="how much maternity will i get"/>
        <s v="Where do I send a reference to?"/>
        <s v="How would I find out my redundancy rights please?"/>
        <s v="How could I see a copy of my contract with regards to redundancy rights"/>
        <s v="public holiday"/>
        <s v="Hi, I am unable to open the ill health support plan, are you able to send this to me please?"/>
        <s v="performance"/>
        <s v="Holiday error"/>
        <s v="Holidays wont work"/>
        <s v="family support"/>
        <s v="2 pay rises in the same year"/>
        <s v="can i get some info pls about maternity leave ?"/>
        <s v="part time holiday"/>
        <s v="how do i find out about my pension"/>
        <s v="uplift"/>
        <s v="MANAGING UNDER PERFORMANCE"/>
        <s v="pay day"/>
        <s v="shift allowance"/>
        <s v="retiremet"/>
        <s v="retirement guide"/>
        <d v="2023-03-21T00:00:00"/>
        <s v="21st august and 31st december"/>
        <s v="17th november and 31st december"/>
        <d v="2023-11-13T00:00:00"/>
        <s v="I want to record an absence"/>
        <s v="What is the maximum salary for my role?"/>
        <s v="what is my salary pay band?"/>
        <s v="market pay for my role"/>
        <s v="can i amended a job role?"/>
        <s v="market pay range for my role"/>
        <s v="retiring"/>
        <s v="job code"/>
        <s v="can i have a copy of my latest interview notes ?"/>
        <s v="p60"/>
        <s v="past absences"/>
        <s v="how much holiday can i buy"/>
        <s v="how do i work out a team members hourly rate"/>
        <s v="view holiday policy and guidance"/>
        <s v="Hello, I need to check my remaining sick pay entitlement"/>
        <s v="Hi,I found that there is old address in my payslips._x000a_I changed my home address on 4/4/2023. Could you help me please to change it at my payslips?_x000a_Thanks"/>
        <s v="Public holiday allowance"/>
        <s v="types of working contracts"/>
        <s v="buy holiday"/>
        <s v="how much holiday have i left to use"/>
        <s v="View balance as of today"/>
        <s v="I need to make an occupational health referral"/>
        <s v="can I forward any untaken holiday before going on maternity"/>
        <s v="How can I get a copy of my contract"/>
        <s v="how do i work out how much holiday i have"/>
        <s v="london allowance"/>
        <s v="Hr Policy on ordering a normal chair"/>
        <s v="location change"/>
        <s v="update address"/>
        <s v="performance support agreement"/>
        <s v="what is my student loan deduction"/>
        <s v="how do i change an employees cost centre"/>
        <s v="external  candidate HR email address"/>
        <s v="does Nationwide pay for an eye test"/>
        <s v="How to change the cost centre for my team"/>
        <s v="What workplace adjustments are there"/>
        <s v="holiday pro rata"/>
        <s v="change name"/>
        <s v="If I am signed off ill by a doctor and had holiday absence booked do I lose those days holiday"/>
        <s v="private healthcare"/>
        <s v="acces to grow learning"/>
        <s v="i havent been given access to grow learning"/>
        <s v="change my hours"/>
        <s v="payroll cutoff"/>
        <s v="sickness and holidays"/>
        <s v="policy eye"/>
        <s v="carry holiday over"/>
        <s v="Subject access"/>
        <s v="salary"/>
        <s v="do we get paid in advance?"/>
        <s v="severance calculator"/>
        <s v="how do I get paid after i left nationwide"/>
        <s v="but i need to approve one"/>
        <s v="Having problems with my holidays"/>
        <s v="I need help calculating holidays"/>
        <s v="how many holiday hours did I start the year with please"/>
        <s v="where's my base location"/>
        <s v="how do i raise a concern"/>
        <s v="when can you book 2024 holidays"/>
        <s v="holiday entitlement calculator please"/>
        <s v="raise a request"/>
        <s v="How much Holiday am I entitled to?"/>
        <s v="how to key a phased return to work"/>
        <d v="2023-03-13T00:00:00"/>
        <s v="someone has asked for a reference"/>
        <s v="fixed term contract"/>
        <s v="I would like to know if i have Private Health care please"/>
        <s v="where is the redundancy calculator?"/>
        <s v="sick pay arrangement"/>
        <s v="where is the redundancy calculator"/>
        <s v="tax"/>
        <s v="severance pay"/>
        <s v="change of my address"/>
        <s v="Hi Could you possibly tell me how many days holiday i get per year please ?"/>
        <s v="how do i change my pronoun?"/>
        <s v="how much holiday have i got"/>
        <d v="2023-10-07T00:00:00"/>
        <s v="07/0/202"/>
        <d v="2023-10-10T00:00:00"/>
        <s v="2024 allowance please"/>
        <s v="bereavement policy"/>
        <s v="What was my holiday entitlement?"/>
        <s v="location code"/>
        <s v="find my contract"/>
        <s v="no i am not asking that"/>
        <s v="practice interview"/>
        <s v="Pluralsite access for grow"/>
        <s v="Access to Pluralsight for Grow"/>
        <s v="Raise a peoplecloud service request"/>
        <s v="what date is payday in August?"/>
        <s v="mat leave return to work"/>
        <s v="what do i need to do to process an employees resignation"/>
        <s v="Recruitement"/>
        <s v="move a staff member"/>
        <s v="Can I have my contract?"/>
        <s v="I need a copy of my contract"/>
        <s v="15year loyalty day?"/>
        <s v="when is the payslip made available"/>
        <s v="WHAT IS THE NOTICE PERIOD WHEN YOU WANT TO RETIRE"/>
        <s v="time off"/>
        <s v="How to key paternity leave"/>
        <s v="key paternity leave"/>
        <s v="Where's MyReward holidays"/>
        <s v="raise a disciplinary case"/>
        <s v="Incorrect Gender"/>
        <s v="Hello, where might I find more information about the healthcare cover that I have?"/>
        <s v="hello would like to know reg my holidays i did buy"/>
        <s v="i want to add my son to my bupa cover"/>
        <s v="hourly rate"/>
        <s v="What are my current assignments?"/>
        <d v="2023-09-27T00:00:00"/>
        <s v="how to book partial days holiday"/>
        <s v="MAT B1 form to submit"/>
        <s v="how to change a people cloud job title"/>
        <s v="good morning - i have just purchased a days holiday, when will this show in my holiday entitlement"/>
        <s v="Has my HR service request been looked at and actioned yet?"/>
        <s v="what is my annual income"/>
        <s v="how many days holiday can you carry over"/>
        <s v="why cant i get access to my rewards"/>
        <s v="what is Time of in lieu and how does it work"/>
        <s v="how do i request flexible working"/>
        <s v="Job change"/>
        <s v="Tell me about Death in Service"/>
        <s v="I was called out when not on call (so Emergency Call-Out) at 2am weekday. According to the On Call policy I'm entitled to Disturbance Allowance and Overtime. Which options do I select to claim"/>
        <s v="staff complaint"/>
        <s v="Nationwide Group Life Assurance Expression of Wish Form"/>
        <s v="what is my maternity pay"/>
        <s v="Natalie Rogers"/>
        <s v="When will my last payment for my welfare loan be taken and how much will it be for?"/>
        <s v="additional responsibilities"/>
        <s v="public holiday entitlement calculator please"/>
        <s v="adoption pay"/>
        <s v="Performance management"/>
        <s v="Performance Support Agreement template"/>
        <s v="printed payslips"/>
        <s v="share parental leave"/>
        <s v="Hi, please I would like to know why the tax code OT was used for my taxes. thank you"/>
        <s v="Okay thank you"/>
        <s v="So filling my new starter declaration will align my taxes?"/>
        <s v="Help with mail that has come into the society that needs to be forwarded to Payroll Department"/>
        <s v="I have been affected by the recent announcement and being tupe to Aegon. I Normally buy 2 weeks extra holiday when the option opens in October. If i do that will this be honored going forward"/>
        <s v="urgent and sensitive- would like a call back"/>
        <s v="it's urgent or sensitive  need a call back"/>
        <s v="public holiday entitlement"/>
        <s v="Link doesnt work"/>
        <d v="2023-05-01T00:00:00"/>
        <s v="can i sell holiday"/>
        <s v="work place adjustment"/>
        <s v="my learning lesson 4 referrals to further support and escalation , i have completed the learning but it wont show as completed"/>
        <s v="adding paternity leave"/>
        <s v="where can i find my contract"/>
        <s v="How do i key paternity leave"/>
        <s v="when can i see this months payslip"/>
        <s v="what is my wage for august"/>
        <s v="Hi, i want to know how long (how many months) i get paid if off work sick.. That information is required for a cover i am trying to subscribe and the policy i have checked so far does not clearly specify. Kindly help clarify"/>
        <s v="can i change my name?"/>
        <s v="Covering a different location"/>
        <s v="I want to change bank account details for wages"/>
        <s v="meal allowance policy"/>
        <s v="Our colleague housing support package"/>
        <s v="Why do i have zero hours as my absence balance when i am meant to have 16.5 hours"/>
        <s v="update my name"/>
        <s v="Hi, my holiday annual accrual for this year states 165 hours, could I ask if this is correct as I am full time? Many thanks"/>
        <s v="holiday b alance"/>
        <s v="view holiday balance"/>
        <s v="welfare loan final payment date"/>
        <s v="sickness during annual leave"/>
        <s v="What is the official pay date"/>
        <s v="birthday"/>
        <s v="where can I find my expression of wish form"/>
        <s v="hr number"/>
        <s v="My FTE looks wrong"/>
        <s v="Can you explain how location allowance works"/>
        <s v="change my name"/>
        <s v="change email name"/>
        <s v="Can you help me change my working hours"/>
        <s v="When will I  be payed"/>
        <s v="when is next payday"/>
        <s v="where are hr forms"/>
        <s v="london location allowance"/>
        <s v="new working pattern"/>
        <s v="how do i change my working pattern"/>
        <s v="update email"/>
        <s v="Changing my Job pattern"/>
        <s v="How do i find hourly rate"/>
        <s v="Holiday when on maternity"/>
        <s v="when do we get paid?"/>
        <s v="pay day?"/>
        <s v="when can i view this months wageslip"/>
        <s v="London weighting"/>
        <s v="I was just wondering if by moving to London that i would get London weighting?"/>
        <s v="How do i claim overtime for weekend"/>
        <s v="WHAT IS THE CURRENT COVID 19 GUIDANCE?"/>
        <s v="how ,many holidays until today"/>
        <s v="hi can i key absence in hours"/>
        <s v="what is my public holiday"/>
        <s v="my holiday allowance"/>
        <s v="How to key end of placement"/>
        <s v="august pay#"/>
        <s v="view absence balance"/>
        <s v="my reward option on maternity leave"/>
        <s v="pay and benefits"/>
        <s v="How to get an employee reference"/>
        <s v="What is an annualised contract"/>
        <s v="do i book bank holidays as leave if i work compressed hours"/>
        <s v="when is the next payslip due"/>
        <s v="do i need to book bank holidays as leave if i work compressed hours"/>
        <s v="If I was to add my wife as a dependant on the Nationwide Healthcare Plan, would cover start immediately after acceptance, or from the start of the next policy year?"/>
        <s v="How do I key missing diversity info"/>
        <s v="when can i view my next wageslip"/>
        <s v="When is your payslip available"/>
        <s v="hi i need my p60 for previuos years"/>
        <s v="when will my bought holiday show on my i cloud"/>
        <s v="list of pay days"/>
        <s v="forgot password for PeopleCloud mobile device"/>
        <s v="change employee job title"/>
        <s v="change of hours pay"/>
        <s v="what career family am I in"/>
        <s v="how can a leaver contact HR"/>
        <s v="when are payslips uploaded"/>
        <s v="how do you change line manager"/>
        <s v="Work Schedule Assignment"/>
        <s v="work schedule"/>
        <s v="Hi - my Absence balance does not appear to reflect the 5 days I bought"/>
        <s v="Flexible working pattern trial period"/>
        <s v="do you still get paid your location allowance while on maternity"/>
        <s v="who does employer references"/>
        <s v="how much sickness do we get paid"/>
        <s v="payday"/>
        <s v="how do i amend an employees working pattern"/>
        <s v="Hi who do i contact regards a work reference for a properties i am renting"/>
        <s v="what is the email i give for a emplotment reference"/>
        <s v="3 week holiday"/>
        <s v="I have returned to work from Long Term Sick and I am putting my hours worked through on OSP Phased Return. I have today received what I think might be a generic email stating - Weâ€™re getting in touch to let you know that, weâ€™ve had to terminate the transaction as it failed and could not progress - I cannot see anything on PeopleCloud stating this as failed and checked with my Line Manager. Could someone check this to see if all is good please as I'm confused to find any that might have failed. Mobile is 07837 488060 if required."/>
        <s v="How do I check that I am enrolled in the Bupa healthcare scheme?"/>
        <s v="How do I check that I am enrolled in the Bupa healthcare scheme"/>
        <s v="check new salary"/>
        <s v="how to check new salary"/>
        <s v="Hi, i chose the wrong role for the eLearning, how do i change?"/>
        <s v="calculator for working hours"/>
        <s v="how do i access the redundancy calculator"/>
        <s v="up coming payslip dates"/>
        <s v="confirm probation"/>
        <s v="i have three team members showing as no goals added, i believe they followed the correct process can you please tell me how i can fix this please"/>
        <s v="Holiday days"/>
        <s v="When is pay day"/>
        <s v="Hi is anyone available to discuss an appeal of SIS discussion hearing I am currently completing"/>
        <s v="How do I know my final holiday balance?"/>
        <s v="how much holiday left"/>
        <s v="update my address"/>
        <s v="jury service"/>
        <s v="Was is the payment for being in charge of a branch"/>
        <s v="What is the in charge rate"/>
        <s v="when are payslip[s uploaded"/>
        <s v="'How are reference requests received into HR?'."/>
        <s v="financial reference"/>
        <s v="where is my employment contract"/>
        <s v="can you show me the severence calculator"/>
        <s v="when do i get paid"/>
        <s v="There is an unusual deduction on my payslip 'salary offset backpay'. What is this please"/>
        <s v="change of hours request"/>
        <s v="my payslip is incorrect its missing overtime"/>
        <s v="2 emails advsing my overtime has not been processed, can you please confirm this has went through ok ? Thanks _x000a_Kerry"/>
        <s v="how long have I been working here"/>
        <s v="How can I raise concerns regarding sexual misconduct in the workplace"/>
        <s v="what is the contact phone number for private healthcare?"/>
        <s v="explain my payslip"/>
        <s v="Outside Employment / Work Activity - Manager Guide"/>
        <s v="Time off in lieu"/>
        <s v="calculate my holiday"/>
        <s v="conflicts of interest policy"/>
        <s v="I saw this online but can't seem to buy holiday"/>
        <s v="if i started this year as a job family level C, do i get free healthcare?"/>
        <s v="how to change contracted hours"/>
        <s v="what travel expenses can i claim"/>
        <s v="responsibility"/>
        <s v="Absence balance as of 01/03/23"/>
        <s v="welfare loan"/>
        <s v="holiday pay query"/>
        <s v="I am leaving the Society on 1st September, how much holiday allowance do I have"/>
        <s v="unused holiday balance"/>
        <s v="How much overtime pay did I get"/>
        <s v="Next"/>
        <s v="Overtime pay is not reflected on my payslip"/>
        <s v="how can i get a copy of my contract for employment?"/>
        <s v="HPolicy"/>
        <s v="Guide"/>
        <s v="When is the cut off period for overtime pay"/>
        <s v="find article"/>
        <s v="how do i cancel pension"/>
        <s v="national insurance"/>
        <s v="change national insurance"/>
        <s v="leave nationwide"/>
        <s v="return to wrok form"/>
        <s v="'find &quot;peopleCloud user guides&quot;'"/>
        <s v="guidance"/>
        <s v="secondment form"/>
        <s v="find"/>
        <s v="'search &quot;how to guides&quot;'"/>
        <s v="'search &quot;occupational health&quot;"/>
        <s v="search &quot;occupational health&quot;"/>
        <s v="book an absence"/>
        <s v="occupational health"/>
        <s v="&quot;occupational health&quot;"/>
        <s v="find &quot;occupational health&quot;"/>
        <s v="hr policy point"/>
        <s v="How to request flexible working?"/>
        <s v="i have completed the learning lesson 4 referrals to further support &amp; escalation but it wont save and close"/>
        <s v="can i speak to a human"/>
        <s v="How to cancel a holiday balance of 7hrs that has been taken off my absence balance which I ended up working instead?"/>
        <s v="Holiday that was not cancelled"/>
        <s v="am i eligible for the Nationwide Healthcare Plan"/>
        <s v="my tax code still showing as the old one"/>
        <s v="loan"/>
        <s v="I have a request regarding this months payslip - for some reason I have received a deduction of almost Â£130.00  - This is different to my July pay - has this got something to do with being paid pay increase in April and bonus in June - this has not just happened to me either there are others where this has impacted"/>
        <s v="mmy rights if I resign"/>
        <s v="in year salary"/>
        <s v="improving performance"/>
        <s v="my tax code needs updating"/>
        <s v="why has my tax gone up"/>
        <s v="tax rebate"/>
        <s v="How do I raise concerns about sexual conduct"/>
        <s v="how do I book sick leave for a part timer"/>
        <s v="do I have to take all my holiday before going on adoption leave"/>
        <s v="my service ticket is missing"/>
        <s v="what is my shift pattern"/>
        <s v="how do I update a reports working schedule"/>
        <s v="why hasn't my tax code been updated"/>
        <s v="am I paying too much national insurance"/>
        <s v="adoption"/>
        <s v="is anything waiting for my appproval"/>
        <s v="done"/>
        <s v="has my claim been approved"/>
        <s v="where are the forms"/>
        <s v="when will i receive my Myreward product"/>
        <s v="how do I notify of a death"/>
        <s v="what is the number for AskHR"/>
        <s v="P11"/>
        <s v="can I speak to an agent"/>
        <s v="how long until my ticket is resolved"/>
        <s v="how doo I apply for healthcare"/>
        <s v="How to change a work schedule"/>
        <s v="how can I update a reports cost code"/>
        <s v="how do you move a report to a new department"/>
        <s v="change department"/>
        <s v="when is payday"/>
        <s v="when will payslips be available"/>
        <s v="has anyone sent me approval requests"/>
        <s v="what happens to my holiday when I leave"/>
        <s v="what happens to my rewards if I leave"/>
        <s v="how to I update my expression of wish"/>
        <s v="will I get paid this month"/>
        <s v="how does pay work"/>
        <s v="I just started when will I be paid"/>
        <s v="how do I copied of my old payslips"/>
        <s v="can I send my payslips home"/>
        <s v="how do I update my diversity info"/>
        <s v="who can help me with an urgent ticket"/>
        <s v="I don;t have a P45"/>
        <s v="I need support to resolve workplace conflict"/>
        <s v="I want to raise a greivance"/>
        <s v="I want to report harassment"/>
        <s v="someine is being bullied"/>
        <s v="if you can't help me who can"/>
        <s v="what is the phone number for human resources"/>
        <s v="where are the user guides"/>
        <s v="not paid overtime"/>
        <s v="paper payslips"/>
        <s v="is public holiday already taken off"/>
        <s v="can you tell me how my final payslip has been calculated"/>
        <s v="In charge payments"/>
        <s v="Process for reviewing job level"/>
        <s v="Please can i talk to a member of staff in HR"/>
        <s v="discrepancy with payslip"/>
        <s v="My assigned learning does not have a launch button"/>
        <s v="What is my salary?"/>
        <s v="This is a query about my salary"/>
        <s v="What is salary sacrifice applied to?"/>
        <s v="I want help processing"/>
        <s v="waht is holiday pay supplement"/>
        <s v="talk to HR"/>
        <s v="conflict of interest"/>
        <s v="hr support"/>
        <s v="How much would I be paid if I change my hours"/>
        <s v="speak to someone in HR"/>
        <s v="Who do i forward a reference request on to?"/>
        <s v="help hr"/>
        <s v="when are P60s available"/>
        <s v="copies of payslips"/>
        <s v="How long have I been working in this org?"/>
        <s v="advise of long term eye issue"/>
        <s v="hi can i please get an employment letter"/>
        <s v="Where is my contract?"/>
        <s v="How to book further paternity leave"/>
        <s v="should i include pregnancy absences in an occupational health referral?"/>
        <s v="Hey, what does the salary offset back pay refer to on the payslip refer to?"/>
        <s v="HiI am going on maternity leave from 22nd of August.  How do i return my laptop?"/>
        <s v="My maternity starts on 22nd of August. why is my salary lower on August payslip."/>
        <s v="pLEASE I NEED SOMEONE HELP"/>
        <s v="request flexible working"/>
        <s v="How to opt out of pension"/>
        <s v="where can i see the date and total  amount of sick pay"/>
        <s v="manager infolets"/>
        <s v="how do I complete mid year reflections document"/>
        <s v="has everyone completed their performance evaluations"/>
        <s v="my hours"/>
        <s v="Keep in touch days"/>
        <s v="employee anniversary"/>
        <s v="how can i get a copy of my p60 for 2020 &amp; 2021"/>
        <s v="why is my pay different"/>
        <s v="How many days holiday can I carry forward?"/>
        <s v="How many days annual leave can I carry forward to next year?"/>
        <s v="In year salary award"/>
        <s v="Unable to save Goals progress updates"/>
        <s v="whats my notice period?"/>
        <s v="referenceletter"/>
        <s v="Hi, Im trying to key a performance review for an intern leaver but i have no option to do so in peoplecloud"/>
        <s v="additional responsibility payments"/>
        <s v="add payment information"/>
        <s v="how can I contact HR?"/>
        <s v="what was my holiday this year"/>
        <s v="what does retro mean on my payslip"/>
        <s v="what is holiday pay supplement on payslip"/>
        <s v="Incorrect Tax code"/>
        <s v="payslip explain"/>
        <s v="view leave policies"/>
        <s v="how many days holiday year can you carry over to next year"/>
        <s v="hey, whats the number for HR please?"/>
        <s v="im on maternity leave"/>
        <s v="please can i have the phone number for hr"/>
        <s v="Phone number for mat colleagues to contact HR"/>
        <s v="WHEN YOU HAVE REACHED MAXUMUM SALARY FOR ROLE WHAT HAPPENS WHEN PAY RISES COME AROUND"/>
        <s v="change of working hours"/>
        <s v="Can we work in Northern Ireland"/>
        <s v="How does overtime work"/>
        <s v="change manager"/>
        <s v="Start date is wrong"/>
        <s v="I need an update on a tenancy reference request"/>
        <s v="overtime cutoff"/>
        <s v="work anniversary"/>
        <s v="flexible hours"/>
        <s v="where's the holiday calculator?"/>
        <s v="I work condensed hours, 4 days per week, meaning I don't work on Tuesdays. How does this work when a bank holiday falls on a Tuesday i.e. Boxing Day this year"/>
        <s v="How can I tell if a public holiday surplus has been applied to my holiday balance?"/>
        <s v="'How much maternity pay will I get?_x000a__x000a_How much maternity pay will I get?"/>
        <s v="absence"/>
        <s v="when i my next payday"/>
        <s v="Hi, I don't understand why I've been paid less can some one please help me with this?"/>
        <s v="How much adoption pay will I get?"/>
        <s v="Why has my tax cide changed"/>
        <s v="That doesn't answer my question"/>
        <s v="family emergency"/>
        <s v="I don't understad my holiday balance"/>
        <s v="how to get my salary increase"/>
        <s v="how to delegate access for holiday approval"/>
        <s v="Eligible Leaver Form"/>
        <s v="When would my payrise kick in"/>
        <s v="when would a pay increase start"/>
        <s v="increase my salary"/>
        <s v="in year pay award"/>
        <s v="How can i re set an e learning module?"/>
        <s v="emoplyee reference"/>
        <s v="acting up pay"/>
        <s v="additional responsibility pay"/>
        <s v="HiI am looking at my holiday on People cloud and would appreciate some clarification.  The  entitlement of 72hr 30 min does that include public holidays? Also In have holiday that is not shown on the plan balance which are as follows - 6/7/8 Sept total 21hrs and 2/8 - 3 hrs."/>
        <s v="request p45"/>
        <s v="how much is overtime earned"/>
        <s v="how do you print pay slips"/>
        <s v="my tax isnt right how can i update this"/>
        <s v="what is the cut off for overtime"/>
        <s v="where do I find my employment contract"/>
        <s v="why has my tax code changed"/>
        <s v="Sick policy"/>
        <s v="How do I contact HR"/>
        <s v="does my leaver get p45"/>
        <s v="My salary seems incorrect. I am currently on a phased return and I have asked my line manager Kym Goldsworthy to help me look into this with the HR case person please Thank you"/>
        <s v="requesting a reference"/>
        <s v="when will I receive my payslip"/>
        <s v="what if my employee has not received their p45"/>
        <s v="what if p45 does not arrive"/>
        <s v="that is not what i asked"/>
        <s v="how to change email address"/>
        <s v="please could you provide a hr email"/>
        <s v="give reference"/>
        <s v="public holiday calcualtor"/>
        <s v="I require a financial reference"/>
        <s v="do we get bank holidays off?"/>
        <s v="Hi, I need to change my windows profile telephone number"/>
        <s v="policies regarding quitting"/>
        <s v="what is the payroll cut-off date?"/>
        <s v="Holiday balance is incorrect"/>
        <s v="my yearly holiday total"/>
        <s v="When do we get paid"/>
        <s v="I cant see my payslip yet"/>
        <s v="What is my email address?"/>
        <s v="What is HR email address?"/>
        <s v="pensions query"/>
        <s v="holiday issue"/>
        <s v="Why has my PAYE increased"/>
        <s v="Hi Please could you explain why I'm paying more tax this month.  I have checked HMRC and they estimate my earnings to be Â£54,190 but my actual income is lower Â£45,354"/>
        <s v="Can you confirm if my monthly gross figure was for the whole month of August or from 7th August when I started?"/>
        <s v="holiday balance incorrect"/>
        <s v="There I was paid for three weeks?"/>
        <s v="Work out hourly rate of pay"/>
        <s v="how much holiday until 31/12/2024"/>
        <s v="I think I have paid too much tax this month"/>
        <s v="What is my hire date?"/>
        <s v="How many days holiday to book?"/>
        <s v="hol sup"/>
        <s v="Guidance and Support option &gt; Search for PeopleCloud User Guides button."/>
        <s v="how can i find out the highest my salary can go in my role"/>
        <s v="change address"/>
        <s v="carry forward holiday"/>
        <s v="how much do i earn 4 days a week?"/>
        <s v="Hi I am a new starter(today). I have my P45. what do I do with it?"/>
        <s v="overtime admin"/>
        <s v="ive been emergency taxed"/>
        <s v="what tax code"/>
        <d v="2023-04-01T00:00:00"/>
        <s v="Changing flexible working pattern"/>
        <s v="Thanks this isn't relevant to my query?"/>
        <s v="will my salary decrease"/>
        <s v="show absence balance"/>
        <s v="How do I add, share or update performance goals"/>
        <s v="how do i key 45 minutes through as overtime please ?"/>
        <s v="Return to work from sickness"/>
        <s v="Car to cash form"/>
        <s v="what does contract type 28 mean"/>
        <s v="When was my last day off"/>
        <s v="what career family am i"/>
        <s v="what function am i"/>
        <s v="can you help me with death in service enefits"/>
        <s v="if I take my deferred nationwide pension does that affect my death in service benefit"/>
        <s v="pension opt out enquiry"/>
        <s v="when will I receive my severance pay?"/>
        <s v="update address once left"/>
        <s v="how to add half hour overtime"/>
        <s v="How does a leaver contact hr"/>
        <s v="Thanks"/>
        <s v="Does family support leave cover parents"/>
        <s v="change job role"/>
        <s v="leavers guide"/>
        <s v="responsibility allowance"/>
        <s v="payslip query"/>
        <s v="question on payslip"/>
        <s v="BRANCH COVER"/>
        <s v="working out how much holiday someone leaving has"/>
        <s v="how many days holiday can you roll over"/>
        <s v="can i see a job role"/>
        <s v="How do I get a copy of my employment contract"/>
        <d v="2023-03-22T00:00:00"/>
        <s v="SICKNESS WELLBEING"/>
        <s v="does this mean i have 59 hours and 30 mins to take? Not including the holiday booked already"/>
        <s v="How do I change my name?"/>
        <s v="holiday balance shown does that include the balance of the recognising loyalty balance???"/>
        <s v="Can I raise a service request please"/>
        <s v="where do i enter overtime"/>
        <s v="What is our stance on Covid after testing positive"/>
        <s v="I have been deducted some pay and i don't know why"/>
        <s v="how much shared parental pay will i get"/>
        <s v="kit days"/>
        <s v="how do i see my anual salary"/>
        <s v="Can i see my payslip on my phone"/>
        <s v="Hi where do I find london weighting"/>
        <s v="holiday entitilement 2024"/>
        <s v="is there a bank holiday calculator"/>
        <s v="holiday entiltelment"/>
        <d v="2023-03-25T00:00:00"/>
        <s v="How can I change my work email?"/>
        <s v="On Call Policy"/>
        <s v="Development goal"/>
        <s v="tentant referrence"/>
        <s v="how many days can i carry forward"/>
        <s v="whats the  HR contact number?"/>
        <s v="Change work location of direct report"/>
        <s v="carry holiday"/>
        <s v="absence policy"/>
        <s v="where is the holiday calculator"/>
        <s v="cannot see what I am looking for - what is the current maximum holiday carry over"/>
        <s v="how do I update my name?"/>
        <s v="how to i add a payment method"/>
        <s v="so if I am on 35 hours full time then I can carry over  this amount e.g. 7 days"/>
        <s v="that is of no help"/>
        <s v="so can you confirm if I can carry over 7 days"/>
        <s v="someone whos leaving holiday balance gone"/>
        <s v="Yes"/>
        <s v="Lisa Smith"/>
        <s v="22/033/23"/>
        <s v="holiday balance not showing"/>
        <s v="grow learning access"/>
        <s v="New starter pay"/>
        <s v="See my holiday balance"/>
        <s v="where can i see my holiday balance"/>
        <s v="becoming a parent"/>
        <s v="severance calc"/>
        <s v="what date did I join nationwide?"/>
        <s v="Hi, I've moved house. I've changed my address to my new address within peoplecloud contact details. can you advise does this suffice?"/>
        <s v="great thank you"/>
        <s v="hr contact phone number for visa"/>
        <s v="what are the overtime rates"/>
        <s v="secondment agreement"/>
        <s v="Cancel a leaver"/>
        <s v="When to key a sickness absence"/>
        <s v="bank holiday for part time"/>
        <s v="sickness/absence return to work form"/>
        <s v="Hi, I need to update my home address on peopleclouds but it is not giving me the option to update"/>
        <s v="How do i book half day"/>
        <s v="hr contact"/>
        <s v="Holiday Calculater"/>
        <s v="Show me the managers leavers checklist"/>
        <s v="how to change name"/>
        <s v="change email address"/>
        <s v="maternity calculator"/>
        <s v="team holiday balance"/>
        <s v="keith coatsworth"/>
        <s v="flexible working questionnaire"/>
        <s v="Hi were do i go to submit a welfare loan request?"/>
        <s v="I would like a copy of my contract please"/>
        <s v="how do i work out what holiday i am entitled too"/>
        <s v="HR service request"/>
        <s v="how to cancel an absence request"/>
        <s v="flexible working reques"/>
        <s v="The Holiday Entitlement Calculator"/>
        <s v="calculate hourly pay"/>
        <s v="keying guide"/>
        <s v="Please can you tell me the formula for which holiday is calculated"/>
        <s v="how many holiday hours can be moved to the new year"/>
        <s v="Can you please tell me my full year annual leave allowed?"/>
        <s v="forms"/>
        <s v="how many hours can you take forward a year"/>
        <d v="2023-03-23T00:00:00"/>
        <s v="Guides"/>
        <s v="family support leave balance"/>
        <s v="what will my pay be if i change my hours?"/>
        <s v="my benefits"/>
        <s v="Delegated access"/>
        <s v="how do I change my bank account"/>
        <s v="for my salary"/>
        <s v="how much do i get paid?"/>
        <s v="There is a mistake with my start date on the system"/>
        <s v="changing hours"/>
        <s v="working from home"/>
        <s v="how do i speak to hr"/>
        <s v="holiday calculstor"/>
        <s v="working from home change of address"/>
        <s v="contact details for HR"/>
        <s v="The link doesnt work"/>
        <s v="how to change working pattern"/>
        <s v="change work pattern in peoplecloud"/>
        <s v="hours calculator"/>
        <s v="can i be sick"/>
        <s v="Fit note"/>
        <s v="severance pay calculator"/>
        <s v="probation confirmation"/>
        <s v="I need more help"/>
        <s v="Changing address"/>
        <s v="How do I get annual leave approved when my manager is on leave?"/>
        <s v="what will my salary be if i increase my hours?"/>
        <s v="what is my holiday entitlment?"/>
        <s v="Cannot complete secure coding e learning"/>
        <s v="service request update"/>
        <s v="how do i ask for feedback?"/>
        <s v="responsibility pay"/>
        <s v="Uplift in salary"/>
        <s v="where can i find how to become a member of the diversity panel"/>
        <s v="Diversity interviewer"/>
        <s v="uplift salary"/>
        <s v="so im currently stepping up to cover my TL as she is off, in the course of this step up a member of the team has had a series of sick, a shift where they spent hours on not ready with out communicating to anyone and has now had a systems issue where they have not done any follow up with systems, both systems and management have tried to contact but they haven't responded, we have managed to confirm the managers and systems were contacting the correct number,  im looking to find advise on if we can with hold pay, the correct way to approach a conversation on the matter of them working from hub or if we have ground to take take things further"/>
        <s v="i wou;d like to speak to somone in hr"/>
        <s v="Hiya, would i please be able to request a copy of my P60 21/22 to be emailed to me."/>
        <s v="bank holiday scotland"/>
        <s v="public holiday scotland"/>
        <s v="how is holiday considered if you leave the society"/>
        <s v="Its is to do with retiring and pensions"/>
        <s v="how much family support leave do i have left"/>
        <s v="if i leave to i paid my holiday"/>
        <s v="short break policy"/>
        <s v="get payslips from home"/>
        <s v="see my contract"/>
        <s v="How much holiday do I have left?"/>
        <s v="less tax taken than normal in my pay"/>
        <s v="eye care policy"/>
        <s v="do we have any support options for study loans for members of staff?"/>
        <s v="what bank details do i need to provide to get paid"/>
        <s v="make a flexible working request"/>
        <s v="location for new starters"/>
        <s v="see my hourly salary"/>
        <s v="flexible guide"/>
        <s v="flexible working policy"/>
        <s v="How to work out holiday when leaving?"/>
        <s v="When do I get paid?"/>
        <s v="Hi i am trying to APPLY for ILR. I need a visa reference letter"/>
        <s v="over time not paid"/>
        <s v="overtime not paid"/>
        <s v="What career family am I in?"/>
        <s v="Hello, if you can direct me to where I can send a ticket request for fixing the internet for a laptop. It cuts off the internet about every half an hour. I sent a ticket to servicehub then they asked me to send a ticket to the ITHub. I am unsure where I can send this request so the laptop can stay connected to the internet without me restarting it evert half an hour. Please advise, thank you."/>
        <s v="Is there any concept of leave carry forward?"/>
        <s v="employee reference"/>
        <s v="leave policy"/>
        <s v="What is my holiday allowance in 2024"/>
        <s v="Holiday entitalment"/>
        <s v="email"/>
        <s v="what do you do with public holiday allowances"/>
        <s v="Where is the maternity leave and pay questionnaire?"/>
        <s v="show my performance evaluation"/>
        <s v="need help with welfare loan"/>
        <s v="I AM OUT OF OFFICE AND NEED TO CONTACT HR"/>
        <s v="i have not been paid my overtime"/>
        <s v="it was approved"/>
        <s v="How do I know my service request has sent?"/>
        <s v="has my service request submitted?"/>
        <s v="severance pay estimator"/>
        <s v="is my request submitted?"/>
        <s v="REFERENCE GUIDENCE"/>
        <s v="i need a contact number for hr"/>
        <s v="change teams working hours"/>
        <s v="goals"/>
        <s v="employee reference guide"/>
        <s v="show me gayle mcvea assignement"/>
        <s v="handing my notice in"/>
        <s v="request feedback"/>
        <s v="Hi, I have just finished my 1st week of training and have a P45. How do I send it over?"/>
        <s v="i need an employment reference"/>
        <s v="My tax code needs changing due to my company car"/>
        <s v="My lease car benefit in kind is incorrect"/>
        <s v="sending personal email to work email"/>
        <s v="1. home"/>
        <s v="I shall be retiring on 24th November this year.  Will my pension be paid automatically or do I need to do anything?"/>
        <s v="How do I get my pension?"/>
        <s v="what is my hourly rate"/>
        <s v="both my wage slips are different though"/>
        <s v="making complaint"/>
        <s v="complaint about harrassment"/>
        <s v="harassment"/>
        <s v="what is Payroll Giving &amp; Every Penny Helps"/>
        <s v="my overtime is wrong"/>
        <s v="how to change a termination date"/>
        <s v="how do I change hours?"/>
        <s v="salary reference"/>
        <s v="see my pension statement"/>
        <s v="Can I change my contact's information?"/>
        <s v="Hi has my 10 years service extra day holiday been added? :) thank you"/>
        <s v="Hi, Who in HR can I contact via email?"/>
        <s v="Can you tell me how long a notice that I have to give for retirement and if it is 3 mths, can I be held to that."/>
        <s v="Hi, how can i get a copy of my employment contract?"/>
        <s v="Am I eligible for healthcare?"/>
        <s v="when will I receive my P45?"/>
        <s v="What would my holiday be if I left on the 16/09/2023"/>
        <s v="how much holiday did I buy"/>
        <s v="were to fill in bank details"/>
        <s v="death during service"/>
        <s v="Can you please tell me my hourly rate, as I am on term time I am struggling to work it out"/>
        <s v="Learning modules not showing for new starter"/>
        <s v="submitted wrong hourly rate"/>
        <s v="book a half day"/>
        <s v="can i get a copy of my contract?"/>
        <s v="schedule assignment change"/>
        <s v="part day sickness"/>
        <s v="approve overtime"/>
        <s v="thats not right"/>
        <s v="cancel team holiday"/>
        <s v="can I ask who the line manager was for Evie Robb"/>
        <s v="Someone wants an update on a job application"/>
        <s v="how much maternity pay do i get"/>
        <s v="role profile"/>
        <s v="i would like to know what the policy is to give notice for resignation"/>
        <s v="new starter unable to access learning"/>
        <s v="Where do i send reference request"/>
        <s v="death service"/>
        <s v="My August pay was Â£900 higher than July. Is this attributed to the new tax code I've been given and everything is as it should be?"/>
        <s v="what is a career family"/>
        <s v="where can i find my contract of employment"/>
        <s v="How do I find my Job code"/>
        <s v="I'd like to understand Public Holiday Surplus which is -7hrs"/>
        <s v="I need help understanding holiday balance."/>
        <s v="Progress against goals section"/>
        <s v="where do I record Progress against Goals?"/>
        <s v="Where do I key a termination"/>
        <s v="Hi, where can I find my contract of employment?"/>
        <s v="Extra responsibility"/>
        <s v="recognising loyalty holiday"/>
        <s v="Sickness Absence (while on holiday)"/>
        <s v="One of my team was ill whilst on holiday"/>
        <s v="overtime requst"/>
        <s v="How to work out holiday when leaving?,"/>
        <s v="how much holidays do get"/>
        <s v="Occ health referral"/>
        <s v="work out hourly pay"/>
        <s v="How many hours do you have to work to have a break"/>
        <s v="What is HR policy on taking appointments"/>
        <s v="The family details (children incorrect) on my Bupa account are incorrect. How do I get them updated?"/>
        <s v="How can i change my hours"/>
        <s v="find a form"/>
        <s v="I have 2 different start dates on my profile"/>
        <s v="change cost centre"/>
        <s v="holiday cancel"/>
        <s v="what is my start date"/>
        <s v="How can I change the Probation period of my reportee"/>
        <s v="How much pay will I receive in September"/>
        <s v="next 3"/>
        <s v="copy of contract"/>
        <s v="how 2 guide template"/>
        <s v="when do holidays renew please?"/>
        <s v="healthcare tax"/>
        <s v="Ive been emergency taxed, is there any way to claim this back?"/>
        <s v="i have spoken to HMRC and there is nothing they can do. Is there anyway to claim the  overpayment of tax prior to my next wage?"/>
        <s v="how much oay will i get if i change my hours?"/>
        <s v="Where do I send my MAT B 1 form?"/>
        <s v="Can I get a copy of my contract"/>
        <s v="How can I view my department?"/>
        <s v="change contact number"/>
        <s v="contact number for ask hr"/>
        <s v="please could you tell me where I  find a flexible working request forms as looking to decrease my hours"/>
        <s v="christmas holiday"/>
        <s v="work anniverary"/>
        <s v="If I leave, is my unused holiday paid to me"/>
        <s v="Keeping in touch days"/>
        <s v="overtime was not approved"/>
        <s v="update work pattern"/>
        <s v="How do I get information about my sick pay?"/>
        <s v="I am getting a mortgage and need a letter explaining my sickness benefits"/>
        <s v="I have updated my name after getting married and need my email address updating"/>
        <s v="I got married last week and need to change my surname"/>
        <s v="where do i upload p45"/>
        <s v="how to update my payment details"/>
        <s v="how do I change my contracted hours"/>
        <s v="Hi can you tell me how to get a employers reference from Nationwide"/>
        <s v="Hi may i know what is happening with my holidays"/>
        <s v="Morning, I am needing some help in regards a letter confirming my uplift in salary due to competency.  I also need a copy of my contract, to show my employee benefits.   I am trying to get a mortgage and unless I get this information and confirmation of my uplift in salary any potential offer I put into for a property and subsequent mtg will not go through.  I can then potentially lose my home!"/>
        <s v="employers reference"/>
        <s v="manager is unable to approve overtime"/>
        <s v="overtime approval"/>
        <s v="See my payslip"/>
        <s v="what is PSA"/>
        <s v="Hi, my line manager has approved a holiday cancellation for 30/05/2023 - -5/06/2023 but this has not been added back to my holiday balance.  To-date I have taken:_x000a_3 - 6 January â€“ 28 hours_x000a_21 April â€“ 7 hours_x000a__x000a_Scheduled:_x000a__x000a_4 - 8 September â€“ 35 hours _x000a_27 - 28 November â€“ 14 hours_x000a__x000a_Therefore 175 hours â€“ 84 = 91"/>
        <s v="How do I give notice to leave"/>
        <s v="what is my bank holiday entitlement"/>
        <s v="Change work schedule"/>
        <s v="can I change my base location"/>
        <s v="hello. please can you tell me how I can cancel leave booked as I need to reschedule later on September due to flight problems . Many thanks"/>
        <s v="How do I contact HR about my absence balance"/>
        <s v="extending a fixed term contract"/>
        <s v="Changing bank details"/>
        <s v="Can I see the holiday calculator"/>
        <s v="Pension tax relief"/>
        <s v="How to change my email address"/>
        <s v="I changed my name a while ago but my email is incorrect"/>
        <s v="Does this mean that my overtime has been approved?"/>
        <s v="job codes"/>
        <s v="maternity claims"/>
        <s v="what is my career family ?"/>
        <s v="change role profile band E"/>
        <s v="Change role profile"/>
        <s v="change of role"/>
        <s v="Not helpful! Especially as a woman who has not been able to have children!"/>
        <s v="change office location"/>
        <s v="amend location"/>
        <s v="how to i change location"/>
        <s v="can you carry over annual leave"/>
        <s v="when is pay review"/>
        <s v="How to change my location"/>
        <s v="change my location"/>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MABEL.CLARKSON@NATIONWIDE.CO.UK%22%2c+env%3a+%22https://dnn.fa.em2.oraclecloud.com%22%7d&amp;opauniqueuser=MABEL.CLARKSON@NATIONWIDE.CO.UK"/>
        <s v="Sure. To reassign existing reports or add direct reports for a manager, try the &lt;a href=&quot;https://dnn.fa.em2.oraclecloud.com/hcmUI/faces/deeplink?objType=MY_TEAM&quot;&gt;Manage Direct Reports page&lt;/a&gt;._x000a__x000a_Take a look at the &lt;a href=&quot;https://dnn.fa.em2.oraclecloud.com/fscmUI/faces/deeplink?objType=CSO_ARTICLE_CONTENT_KM&amp;objKey=docId%3DHRGUI56%3Blocale%3Den_US&amp;action=EDIT_IN_TAB&quot;&gt;PeopleCloud Manager Keying Guide&lt;/a&gt; to find out how."/>
        <s v="Sure. I can help with that. Here's where you &lt;a href=&quot;http://dnn.fa.em2.oraclecloud.com/fscmUI/faces/deeplink?objType=SVC_SERVICE_REQUEST_HCM&amp;amp;action=CREATE_IN_TAB&amp;amp;objKey&quot;&gt;raise new requests&lt;/a&gt;.Â If it's urgent or sensitive or you'd like a call back please tell us in the Subject line.&lt;br /&gt;_x000a_Here are yourÂ &lt;a href=&quot;https://dnn.fa.em2.oraclecloud.com/fscmUI/faces/deeplink?objType=SVC_SERVICE_REQUEST_HCM&amp;amp;action=EDIT_IN_POPUP&quot;&gt;existing requests&lt;/a&gt;. To get an update on a request, open it, add a note and click Submit. The SLA for resolving requests varies depending on the topic and the urgency. The team will respond as soon as possible."/>
        <s v="Employees in the Branch Network are eligible for an in-charge payment when:&lt;br /&gt;_x000a_- they're required to be in-charge of a branch (Mon - Sun) for a minimum period of 3 consecutive hours which includes either the branch opening time or the branch closing time&lt;br /&gt;_x000a_- they're not claiming an additional responsibility payment for the same period of time&lt;br /&gt;_x000a_- they're not a Branch Manager, Senior Branch Manager, Member Services Manager, Assistant Branch Manager or Area Manager (Mortgage Supervision) or District Manager&lt;br /&gt;_x000a_Please have a look at the &lt;a href=&quot;https://dnn.fa.em2.oraclecloud.com:443/fscmUI/faces/deeplink?objType=CSO_ARTICLE_CONTENT_KM&amp;objKey=docId%3DHRPOL7%3Blocale%3Den_US&amp;action=EDIT_IN_TAB&quot;&gt;Branch Network Working Arrangements Policy&lt;/a&gt; for more information."/>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carolyn.bishop@nationwide.co.uk%22%2c+env%3a+%22https://dnn.fa.em2.oraclecloud.com%22%7d&amp;opauniqueuser=carolyn.bishop@nationwide.co.uk_x000a_Job Security and Redundancy Policy: https://dnn.fa.em2.oraclecloud.com:443/fscmUI/faces/deeplink?objType=CSO_ARTICLE_CONTENT_KM&amp;objKey=docId%3DHRPOL17%3Blocale%3Den_US&amp;action=EDIT_IN_TAB"/>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THEOPHILUS.EKUE@NATIONWIDE.CO.UK%22%2c+env%3a+%22https://dnn.fa.em2.oraclecloud.com%22%7d&amp;opauniqueuser=THEOPHILUS.EKUE@NATIONWIDE.CO.UK_x000a_Job Security and Redundancy Policy: https://dnn.fa.em2.oraclecloud.com:443/fscmUI/faces/deeplink?objType=CSO_ARTICLE_CONTENT_KM&amp;objKey=docId%3DHRPOL17%3Blocale%3Den_US&amp;action=EDIT_IN_TAB"/>
        <s v="Ok. It sounds like you'd like to cancel some holiday that's already been approved by your manager. Go to your &lt;a href=&quot;https://dnn.fa.em2.oraclecloud.com/fscmUI/faces/deeplink?objType=EXISTING_ABSENCES&amp;amp;action=NONE&quot;&gt;Existing Absences page&lt;/a&gt; and find the holiday you'd like to cancel. Click the pencil icon on the right of the entry. And then click Delete at the top of the page. The entry will show a status of Withdrawn."/>
        <s v="All the HR Policies are held on the &lt;a href=&quot;https://dnn.fa.em2.oraclecloud.com:443/fscmUI/faces/deeplink?objType=CSO_ARTICLE_CONTENT_KM&amp;objKey=docId%3DHRPOL78%3Blocale%3Den_US&amp;action=EDIT_IN_TAB&quot;&gt;HR Policy Point&lt;/a&gt; in Knowledge. When you open a policy, clicking on the star next to the article name saves the policy as a favourite in your Knowledge tab."/>
        <s v="You have the following time off in the next twelve months._x000a__x000a_&lt;b&gt;49 hrs&lt;/b&gt; of &lt;b&gt;Holiday&lt;/b&gt; from Sep 11th to Sep 19th_x000a__x000a_Schedule time off: https://dnn.fa.em2.oraclecloud.com/hcmUI/faces/deeplink?objType=ADD_ABSENCE&amp;action=NONE_x000a_View past absences_x000a_View absences for a specific duration_x000a_View absence balance (excl. sickness balance)"/>
        <s v="Attempting re-routing"/>
        <s v="When your leaving date has been recorded on PeopleCloud you'll receive a task into your PeopleCloud checklist. This is your invitation to complete an Exit Questionnaire before you leave. Clicking the link will open a new page behind the page you're on. Go to the new page to access the questionnaire. It'll take around 5 minutes and every response is read by the Exit Management Team in the People Function. We need you to be really honest and we'll treat your feedback with appropriate sensitivity. If you'd prefer to talk through your experiences instead, or if you have any questions, please contact &lt;a href=&quot;mailto:exitmanagement@nationwide.co.uk?subject=Exit%20questionnaire%20query&quot;&gt;exitmanagement@nationwide.co.uk&lt;/a&gt;"/>
        <s v="At Nationwide we offer a &lt;a href=&quot;https://nbsuk.sharepoint.com/sites/INTRA-EmployeeBenefits/SitePages/Voluntary%20benefits.aspx&quot;&gt;range of voluntary / flexible benefits&lt;/a&gt;. There are benefits you can start and stop at anytime and others that you can sign up for and amend during the &lt;a href=&quot;https://nbsuk.sharepoint.com/sites/INTRA-EmployeeBenefits/SitePages/Q-and-As.aspx#jumpLinkHeadingID5&quot;&gt;annual enrolment window&lt;/a&gt;Â (unless you experience a &lt;a href=&quot;https://nbsuk.sharepoint.com/sites/INTRA-EmployeeBenefits/SitePages/Q-and-As.aspx#jumpLinkHeadingID11&quot;&gt;lifestyle event&lt;/a&gt;, in which case you can make changes outside the enrolment window)."/>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Katharine.Spencer@nationwide.co.uk%22%2c+env%3a+%22https://dnn.fa.em2.oraclecloud.com%22%7d&amp;opauniqueuser=Katharine.Spencer@nationwide.co.uk"/>
        <s v="When an employee is phasing their return to work from sick leave they need to record the details of their phased return on PeopleCloud Me. Doing this ensures they're paid the appropriate sick pay for the hours they're not at work. Their manager must also make sure that the employee's sickness absence end date matches the last day of their phased return to work. Please take a look at this &lt;a href=&quot;https://dnn.fa.em2.oraclecloud.com:443/fscmUI/faces/deeplink?objType=CSO_ARTICLE_CONTENT_KM&amp;objKey=docId%3DHRGUI136%3Blocale%3Den_US&amp;action=EDIT_IN_TAB&quot;&gt;Employee and Manager Phased Return to Work Guide&lt;/a&gt; for step-by-step instructions."/>
        <s v="&lt;a href=&quot;https://dnn.fa.em2.oraclecloud.com/fscmUI/faces/deeplink?objType=EMP_PERSONAL_DETAILS&amp;action=NONE&quot;&gt;View and update your personal details&lt;/a&gt; including your name, marital status and other demographic information. If you're changing your address or your legal name, remember to also notify HMRC._x000a__x000a_View your profile in &lt;a href=&quot;https://dnn.fa.em2.oraclecloud.com/fscmUI/faces/deeplink?objType=DIRECTORY_SEARCH&amp;action=NONE&quot;&gt;Directory&lt;/a&gt;."/>
        <s v="You'll find your latest P60 and P11D here on yourÂ &lt;a href=&quot;https://dnn.fa.em2.oraclecloud.com/fscmUI/faces/deeplink?objType=VIEW_RES_YEAR_END_DOCS&amp;amp;action=NONE&quot;&gt;Payroll Year End Documents&lt;/a&gt;Â page. Previous year's documents can be found in your &lt;a href=&quot;https://dnn.fa.em2.oraclecloud.com/fscmUI/faces/deeplink?objType=DOCUMENT_RECORDS&amp;amp;action=NONE&quot;&gt;Document Records&lt;/a&gt; page. To see them you need to click on the X, next to where it says Payroll at the top of the page. If you need copies from before this please raise a &lt;a href=&quot;https://dnn.fa.em2.oraclecloud.com/fscmUI/faces/deeplink?objType=SVC_SERVICE_REQUEST_HCM&amp;amp;action=CREATE_IN_TAB&amp;amp;objKey=SelfServiceCategory_c%3DNBS_HRM_PAB%3BSelfServiceSubCategory_c%3DNBS_HRM_PAB_AAQ%3BChannelTypeCd%3DNBS_HRM_ODA&quot;&gt;Service Request&lt;/a&gt;."/>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Tazmin.Karim@nationwide.co.uk%22%2c+env%3a+%22https://dnn.fa.em2.oraclecloud.com%22%7d&amp;opauniqueuser=Tazmin.Karim@nationwide.co.uk"/>
        <s v="If you've completed a learning module, but it's not showing as complete, check to make sure that you clicked on Save &amp; Close when you completed it.&lt;br /&gt;_x000a_&lt;b&gt;Navigation buttons not showing?&lt;/b&gt;&lt;br /&gt;_x000a_This may be because the zoom setting on your internet browser is too high. Please check by opening your browser and clicking on the three dots at the top right of the screen. It needs to be set to 75% or less.&lt;br /&gt;_x000a_&lt;b&gt;Video not playing or something else?&lt;/b&gt;&lt;br /&gt;_x000a_Please raise a &lt;a href=&quot;https://dnn.fa.em2.oraclecloud.com/fscmUI/faces/deeplink?objType=SVC_SERVICE_REQUEST_HCM&amp;action=CREATE_IN_TAB&amp;objKey=SelfServiceCategory_c%3DNBS_HRM_MMDS%3BSelfServiceSubCategory_c%3DNBS_HRM_MMDS_AAQ%3BChannelTypeCd%3DNBS_HRM_ODA&quot;&gt;service request&lt;/a&gt; making sure to tell us the name of the module you're in and the issues you're experiencing."/>
        <s v="If you can't see the navigation buttons on your learning it may be because the zoom setting on your internet browser is too high. Please check by opening your browser and clicking on the three dots at the top right of the screen. It needs to be set to 75% or less.&lt;br /&gt;_x000a_&lt;b&gt;Completed learning showing as incomplete?&lt;/b&gt;&lt;br /&gt;_x000a_If you've completed a learning module, but it's not showing as complete, check to make sure that you clicked on Save &amp; Close when you completed it.&lt;br /&gt;_x000a_&lt;b&gt;Video not playing or something else?&lt;/b&gt;&lt;br /&gt;_x000a_Please raise a &lt;a href=&quot;https://dnn.fa.em2.oraclecloud.com/fscmUI/faces/deeplink?objType=SVC_SERVICE_REQUEST_HCM&amp;action=CREATE_IN_TAB&amp;objKey=SelfServiceCategory_c%3DNBS_HRM_MMDS%3BSelfServiceSubCategory_c%3DNBS_HRM_MMDS_AAQ%3BChannelTypeCd%3DNBS_HRM_ODA&quot;&gt;service request&lt;/a&gt; making sure to tell us the name of the module you're in and the issues you're experiencing."/>
        <s v="All the HR Forms are held on the &lt;a href=&quot;https://dnn.fa.em2.oraclecloud.com:443/fscmUI/faces/deeplink?objType=CSO_ARTICLE_CONTENT_KM&amp;amp;objKey=docId%3DHRFOR29%3Blocale%3Den_US&amp;amp;action=EDIT_IN_TAB&quot;&gt;HR Forms site&lt;/a&gt; in Knowledge. When you open a form, clicking on the star next to the article name saves the form as a favourite in your Knowledge tab."/>
        <s v="Everyone needs to give their manager a certain amount of notice before leaving. How much notice you have to give depends on how long youâ€™ve worked with us, your role and your reason for leaving. Take a look atÂ &lt;a href=&quot;https://dnn.fa.em2.oraclecloud.com:443/fscmUI/faces/deeplink?objType=CSO_ARTICLE_CONTENT_KM&amp;amp;objKey=docId%3DHRPOL8%3Blocale%3Den_US&amp;amp;action=EDIT_IN_TAB&quot;&gt;The Contractual Terms Handbook&lt;/a&gt;, and to find your specific notice period you should look at your employment contract and the statement of terms and conditions that accompanied it. There are no standard notice periods for employees who are moving into a different role at Nationwide, so please use the guidelines in the handbook. They can be varied by agreement between the existing manager, hiring manager and employee."/>
        <s v="Iâ€™m sorry I havenâ€™t been able to help on this occasion. Most people find the guidance they need here:Â &lt;br /&gt;_x000a_&lt;a href=&quot;https://dnn.fa.em2.oraclecloud.com/fscmUI/faces/deeplink?objType=CSO_ARTICLE_CONTENT_KM&amp;amp;objKey=docId%3DHRGUI46%3Blocale%3Den_US&amp;amp;action=EDIT_IN_TAB&quot;&gt;Troubleshooting Tips and Workarounds&lt;/a&gt;&lt;br /&gt;_x000a_&lt;a href=&quot;https://dnn.fa.em2.oraclecloud.com/fscmUI/faces/deeplink?objType=CSO_ARTICLE_CONTENT_KM&amp;amp;objKey=docId%3DHRGUI10%3Blocale%3Den_US&amp;amp;action=EDIT_IN_TAB&quot;&gt;PeopleCloud User Guides&lt;/a&gt;Â &lt;br /&gt;_x000a_&lt;a href=&quot;https://dnn.fa.em2.oraclecloud.com/fscmUI/faces/deeplink?objType=CSO_ARTICLE_CONTENT_KM&amp;amp;objKey=docId%3DHRPOL79%3Blocale%3Den_US&amp;amp;action=EDIT_IN_TAB&quot;&gt;HR Policy Point&lt;/a&gt;&lt;br /&gt;_x000a_&lt;a href=&quot;https://dnn.fa.em2.oraclecloud.com/fscmUI/faces/deeplink?objType=CSO_ARTICLE_CONTENT_KM&amp;amp;objKey=docId%3DHRFOR29%3Blocale%3Den_US&amp;amp;action=EDIT_IN_TAB&quot;&gt;HR Forms&lt;/a&gt;&lt;br /&gt;_x000a_If you need further support, you canÂ &lt;a href=&quot;http://dnn.fa.em2.oraclecloud.com/fscmUI/faces/deeplink?objType=SVC_SERVICE_REQUEST_HCM&amp;amp;action=CREATE_IN_TAB&amp;amp;objKey&quot;&gt;raise a service request&lt;/a&gt; or if you alreadyÂ have a service request in progress youÂ can &lt;a href=&quot;https://dnn.fa.em2.oraclecloud.com/fscmUI/faces/deeplink?objType=SVC_SERVICE_REQUEST_HCM&amp;amp;action=EDIT_IN_POPUP&quot;&gt;add a note&lt;/a&gt;."/>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COLIN.SMITH@NATIONWIDE.CO.UK%22%2c+env%3a+%22https://dnn.fa.em2.oraclecloud.com%22%7d&amp;opauniqueuser=COLIN.SMITH@NATIONWIDE.CO.UK_x000a_Job Security and Redundancy Policy: https://dnn.fa.em2.oraclecloud.com:443/fscmUI/faces/deeplink?objType=CSO_ARTICLE_CONTENT_KM&amp;objKey=docId%3DHRPOL17%3Blocale%3Den_US&amp;action=EDIT_IN_TAB"/>
        <s v="Ok. I think youâ€™re asking about your bought holidays. Holiday bought via MyReward during the &lt;a href=&quot;https://nbsuk.sharepoint.com/sites/INTRA-EmployeeBenefits/SitePages/Q-and-As.aspx#jumpLinkHeadingID5&quot;&gt;annual enrolment window&lt;/a&gt; will show on your &lt;a href=&quot;https://dnn.fa.em2.oraclecloud.com/fscmUI/faces/deeplink?objType=ABSENCE_BALANCE&amp;amp;action=NONE&quot;&gt;Absence Balances&lt;/a&gt;Â on or around the first working day in January. Holiday bought outside of annual enrolment will show on or around the tenth day of the month it becomes effective. When you open your Absence Balance page, remember that its defaulted to show your remaining balances, not your total entitlements. To see your full bought holiday information you need to click into the detailed view. This &lt;a href=&quot;https://dnn.fa.em2.oraclecloud.com/fscmUI/faces/deeplink?objType=CSO_ARTICLE_CONTENT_KM&amp;amp;objKey=docId%3DHRGUI155%3Blocale%3Den_US&amp;amp;action=EDIT_IN_TAB&quot;&gt;guide&lt;/a&gt; shows you how. It also explains the order in which the system deducts different your holiday types."/>
        <s v="Holidays and Absence_x000a_Would you like to:_x000a_See how much unused holiday you have left_x000a_Request leave / record an absence: https://dnn.fa.em2.oraclecloud.com/hcmUI/faces/deeplink?objType=ADD_ABSENCE&amp;action=NONE_x000a_View Holiday Policy and Guidance_x000a_Use the Holiday Entitlement Calculator: https://dnn.fa.em2.oraclecloud.com:443/fscmUI/faces/deeplink?objType=CSO_ARTICLE_CONTENT_KM&amp;objKey=docId%3DHRIA7%3Blocale%3Den_US&amp;action=EDIT_IN_TAB"/>
        <s v="I think you're asking about your sickness absence balance. Only your manager can see your sickness absence balance figures in PeopleCloud, so please speak to them if you need this information."/>
        <s v="All the User Guides are heldÂ &lt;a href=&quot;https://dnn.fa.em2.oraclecloud.com/fscmUI/faces/deeplink?objType=CSO_ARTICLE_CONTENT_KM&amp;amp;objKey=docId%3DHRGUI10%3Blocale%3Den_US&amp;amp;action=EDIT_IN_TAB&quot;&gt;here&lt;/a&gt; in Knowledge. When you open a guide, clicking on the star next to the article name saves it as a favourite in your Knowledge tab."/>
        <s v="Ok. I think you're asking about employee references. At Nationwide, we provide: employment references (regulated and non-regulated), mortgage / tenancy references, Visa Right to Work references, job seekers references and references to support unemployment / sickness insurance claims. &lt;a href=&quot;https://dnn.fa.em2.oraclecloud.com/fscmUI/faces/deeplink?objType=CSO_ARTICLE_CONTENT_KM&amp;amp;objKey=docId%3DHRFOR137%3Blocale%3Den_US&amp;amp;action=EDIT_IN_TAB&quot;&gt;Find out more&lt;/a&gt;, including how to request them, how long they take to produce and opting out. If you're asked to provide a character reference for a colleague or ex-colleague, please ask them to contact us themselves to request this."/>
        <s v="Ok. It sounds like you're looking for information about employee pensions or life assurance payments. All our pensions guidance can be foundÂ &lt;a href=&quot;https://nbsuk.sharepoint.com/sites/INTRA-Pensions&quot;&gt;here&lt;/a&gt;. If its about life assurance payments you'll find the guidance you need &lt;a href=&quot;https://nbsuk.sharepoint.com/sites/INTRA-Pensions/SitePages/Death-in-Service.aspx&quot;&gt;here&lt;/a&gt;."/>
        <s v="Here is what I think you need._x000a_Try the &lt;a href=&quot;https://dnn.fa.em2.oraclecloud.com/hcmUI/faces/deeplink?objType=VIEW_RES_PAY_METHOD&amp;action=NONE&quot;&gt;Payment Methods&lt;/a&gt; page to tell us to pay your salary into a different bank / building society account. _x000a__x000a_This &lt;a href=&quot;https://dnn.fa.em2.oraclecloud.com/fscmUI/faces/deeplink?objType=CSO_ARTICLE_CONTENT_KM&amp;objKey=docId%3DHRGUI59%3Blocale%3Den_US&amp;action=EDIT_IN_TAB&quot;&gt;Guide&lt;/a&gt; shows you how to make the changes."/>
        <s v="Choose the right person to see their work location._x000a__x000a_Senior Case Owner_x000a_https://dnn.fa.em2.oraclecloud.com/hcmUI/personImage?personId=204440003537299&amp;returnSquare=true&amp;maxSize=800&amp;returnInitials=Y_x000a_Tasha  Bandey_x000a__x000a_HR Systems Manager_x000a_https://dnn.fa.em2.oraclecloud.com/hcmUI/personImage?personId=204440003502097&amp;returnSquare=true&amp;maxSize=800&amp;returnInitials=Y_x000a_Tasha Guise_x000a__x000a_FC Analyst_x000a_https://dnn.fa.em2.oraclecloud.com/hcmUI/personImage?personId=202000285415099&amp;returnSquare=true&amp;maxSize=800&amp;returnInitials=Y_x000a_Tasha Jordan_x000a__x000a_Financial Planning Manager_x000a_https://dnn.fa.em2.oraclecloud.com/hcmUI/personImage?personId=204440003487805&amp;returnSquare=true&amp;maxSize=800&amp;returnInitials=Y_x000a_Tasha Lenny_x000a__x000a_Contact Centre Snr Consultant_x000a_https://dnn.fa.em2.oraclecloud.com/hcmUI/personImage?personId=202000562350593&amp;returnSquare=true&amp;maxSize=800&amp;returnInitials=Y_x000a_Tasha Speirs_x000a__x000a_Show More"/>
        <s v="&lt;b&gt;Tasha Guise's&lt;/b&gt; office location is Nationwide House, Pipers Way in Swindon, Wiltshire, GB_x000a__x000a_View &lt;b&gt;Natasha's&lt;/b&gt; profile in &lt;a href=&quot;https://dnn.fa.em2.oraclecloud.com/fscmUI/faces/deeplink?objType=DIRECTORY_SEARCH&amp;action=NONE&quot;&gt;Directory&lt;/a&gt; to know more."/>
        <s v="Ok you can do that here.&lt;br /&gt;_x000a_&lt;a href=&quot;https://dnn.fa.em2.oraclecloud.com/fscmUI/faces/deeplink?objType=MY_TEAM&amp;amp;action=NONE&quot;&gt;Manage your direct report's work location / cost code&lt;/a&gt;. Take a look at the &lt;a href=&quot;https://dnn.fa.em2.oraclecloud.com/fscmUI/faces/deeplink?objType=CSO_ARTICLE_CONTENT_KM&amp;amp;objKey=docId%3DHRGUI56%3Blocale%3Den_US&amp;amp;action=EDIT_IN_TAB&quot;&gt;PeopleCloud Manager Keying Guide&lt;/a&gt; to find out how."/>
        <s v="Here's your absence balance as of 01/03/2023._x000a__x000a_&lt;b&gt;113 hrs 15 mins&lt;/b&gt; of Holiday _x000a_&lt;b&gt;35 hrs&lt;/b&gt; of Family Support Leave _x000a_&lt;b&gt;0 hrs&lt;/b&gt; of Recognising Loyalty _x000a_&lt;b&gt;0 hrs&lt;/b&gt; of Work Anniversary _x000a_&lt;b&gt;0 hrs&lt;/b&gt; of MyReward _x000a_&lt;b&gt;-15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If you decide that you no longer want to return to work at the end of your adoption or maternity leave you'll have the opportunity to tell us when we get in touch with you 4 months before your indicative return date. You'll need to complete the Non-Return to Work Form that we'll send you at the time. Remember that you have the option to take an Employment Break to extend your time off by up to 5 years. Please discuss this with your manager. While you're on leave you can get in touch by emailing AskHR@nationwide.co.uk"/>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NATASHA.WATKINS@NATIONWIDE.CO.UK%22%2c+env%3a+%22https://dnn.fa.em2.oraclecloud.com%22%7d&amp;opauniqueuser=NATASHA.WATKINS@NATIONWIDE.CO.UK"/>
        <s v="Thereâ€™s no need to change a role profile unless the core accountabilities of the role have changed significantly. Terminology changes can be reflected in the individual's goals instead. For simple job title changes complete a &lt;a href=&quot;https://dnn.fa.em2.oraclecloud.com/fscmUI/faces/deeplink?objType=CSO_ARTICLE_CONTENT_KM&amp;amp;objKey=docId%3DHRFOR132%3blocale%3Den_US&amp;amp;action=EDIT_IN_TAB&quot;&gt;Job Title Change Request Form&lt;/a&gt; (including the approval). Then send the form to us by raising a &lt;a href=&quot;https://dnn.fa.em2.oraclecloud.com/fscmUI/faces/deeplink?objType=SVC_SERVICE_REQUEST_HCM&amp;amp;action=CREATE_IN_TAB&quot;&gt;Service Request&lt;/a&gt;Â and attaching the form to the request. If itâ€™s a job evaluation resulting from organisational structure changes you need to discuss this with your People Function contact. If you don't have a contact complete a &lt;a href=&quot;https://forms.office.com/Pages/ResponsePage.aspx?id=9ZPtGHDklkmw75VUr5hdUDVAS_15z99Gg2Xq2kXwjARUQUI2Vlg2NjFDMU80QU85Sk9ZSTlLNzg2Vy4u&quot;&gt;People Change Initiation Form&lt;/a&gt; and weâ€™ll assign one to you. For any other type of job evaluations complete the &lt;a href=&quot;https://dnn.fa.em2.oraclecloud.com/fscmUI/faces/deeplink?objType=CSO_ARTICLE_CONTENT_KM&amp;amp;objKey=docId%3DHRFOR165%3blocale%3Den_US&amp;amp;action=EDIT_IN_TAB&quot;&gt;Job Evaluation Request Form&lt;/a&gt; and send to the email address provided."/>
        <s v="Public holidays have already been included in your holiday calculations. This may result in you having a public holiday surplus, or a deficit, depending on your work schedule. If you have a deficit, its already been deducted from your holiday balance. If you have a surplus, this is additional holiday that you're entitled to take above that shown on your holiday balance. &lt;a href=&quot;https://dnn.fa.em2.oraclecloud.com:443/fscmUI/faces/deeplink?objType=CSO_ARTICLE_CONTENT_KM&amp;amp;objKey=docId%3DHRCAL21%3Blocale%3Den_US&amp;amp;action=EDIT_IN_TAB&quot;&gt;Use&lt;/a&gt;Â the public holiday calculator to see UK public holiday dates and understand how your public holiday entitlement is calculated. You'll find further information on pg.9 of the &lt;a href=&quot;https://dnn.fa.em2.oraclecloud.com:443/fscmUI/faces/deeplink?objType=CSO_ARTICLE_CONTENT_KM&amp;amp;objKey=docId%3DHRPOL45%3Blocale%3Den_US&amp;amp;action=EDIT_IN_TAB&quot;&gt;Time Off Policy&lt;/a&gt;Â and in theÂ &lt;a href=&quot;https://dnn.fa.em2.oraclecloud.com:443/fscmUI/faces/deeplink?objType=CSO_ARTICLE_CONTENT_KM&amp;amp;objKey=docId%3DHRGUI155%3Blocale%3Den_US&amp;amp;action=EDIT_IN_TAB&quot;&gt;Holiday Guide&lt;/a&gt;."/>
        <s v="There's a dedicated AskHR email service for ex-employees and for colleagues on long term leave with no access to PeopleCloud. If it's aboutÂ Fair Treatment at Work, sickness absence or wellbeing, it's FTAWaskaquestion@nationwide.co.uk. For any other HR topic, itâ€™s AskHR@nationwide.co.uk.Â If you're in the business you can get in touch byÂ &lt;a href=&quot;http://dnn.fa.em2.oraclecloud.com/fscmUI/faces/deeplink?objType=SVC_SERVICE_REQUEST_HCM&amp;amp;action=CREATE_IN_TAB&amp;amp;objKey&quot;&gt;raising a service request&lt;/a&gt;, and if youÂ already have a service request inÂ progress, you canÂ &lt;a href=&quot;https://dnn.fa.em2.oraclecloud.com/fscmUI/faces/deeplink?objType=SVC_SERVICE_REQUEST_HCM&amp;amp;action=EDIT_IN_POPUP&quot;&gt;add a note&lt;/a&gt;. If your query is in relation to reference requests, just ask me something like 'How are reference requests received into HR?'."/>
        <s v="Your department is &lt;b&gt;V966 - Payments&lt;/b&gt;._x000a__x000a_Need to see a co-worker's department? Try something like 'Show me John Smith's department'"/>
        <s v="The maximum number of annual holiday hours you can carry forward aligns with your average contracted weekly hours on 31st December. So, if you're contracted to work 20 hours a week you can carry forward up to 20 hours of holiday. However, if you're on maternity or adoption leave over the start of the new year you can carry forward all your unused holiday. There's guidance on carrying forward holiday and sickness absence on pg.8 of the &lt;a href=&quot;https://dnn.fa.em2.oraclecloud.com:443/fscmUI/faces/deeplink?objType=CSO_ARTICLE_CONTENT_KM&amp;amp;objKey=docId%3DHRPOL45%3Blocale%3Den_US&amp;amp;action=EDIT_IN_TAB&quot;&gt;Time Off Policy&lt;/a&gt;. It's not possible to carry forward any holiday bought via MyReward."/>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Faye.Gowan@nationwide.co.uk%22%2c+env%3a+%22https://dnn.fa.em2.oraclecloud.com%22%7d&amp;opauniqueuser=Faye.Gowan@nationwide.co.uk"/>
        <s v="Hereâ€™s the information I think you need. Take a look at the &lt;a href=&quot;https://nbsuk.sharepoint.com/sites/INTRA-Recruitment&quot;&gt;Recruitment site&lt;/a&gt;. If youâ€™re planning to recruit you need to make sure all the &lt;a href=&quot;https://nbsuk.sharepoint.com/sites/INTRA-Recruitment/SitePages/creating-and-advertising-vacancies.aspx&quot;&gt;correct approvals&lt;/a&gt; are in place before you start recruiting. If youâ€™re hiring permanent resource your Resourcing Business Partner can provide additional support and guidance. Youâ€™ll find their contact detailsÂ &lt;a href=&quot;https://nbsuk.sharepoint.com/sites/INTRA-Recruitment/SitePages/Resourcing-Team-Contacts.aspx&quot;&gt;here&lt;/a&gt;."/>
        <s v="Find out about workplace adjustments and how to request them &lt;a href=&quot;https://nbsuk.sharepoint.com/sites/INTRA-Wellbeing/SitePages/Workplace-Adjustments.aspx&quot;&gt;here&lt;/a&gt;. If you have any questions you can contact the Attendance and Wellbeing Team by raising a &lt;a href=&quot;https://dnn.fa.em2.oraclecloud.com/fscmUI/faces/deeplink?objType=SVC_SERVICE_REQUEST_HCM&amp;amp;action=CREATE_IN_TAB&amp;amp;objKey=SelfServiceCategory_c%3DNBS_HRM_WA%3BSelfServiceSubCategory_c%3DNBS_HRM_WA_AAQ%3BChannelTypeCd%3DNBS_HRM_ODA&quot;&gt;service request&lt;/a&gt;."/>
        <s v="Ok. I think you're asking about employment T&amp;Cs. To get a copy of your contract, just raise aÂ &lt;a href=&quot;https://dnn.fa.em2.oraclecloud.com/fscmUI/faces/deeplink?objType=SVC_SERVICE_REQUEST_HCM&amp;amp;action=CREATE_IN_TAB&amp;amp;objKey=SelfServiceCategory_c%3DNBS_HRM_OTHER%3BSelfServiceSubCategory_c%3DNBS_HRM_OTHER_AAQ%3BChannelTypeCd%3DNBS_HRM_ODA&quot;&gt;Service Request&lt;/a&gt;. In the meantime, you can see what type of contract you're on by matching your &lt;a href=&quot;https://dnn.fa.em2.oraclecloud.com/fscmUI/faces/deeplink?objType=MY_EMPLOYMENT_INFO&amp;amp;action=NONE&quot;&gt;contract number &lt;/a&gt;with the related contract name inÂ thisÂ &lt;a href=&quot;https://dnn.fa.em2.oraclecloud.com:443/fscmUI/faces/deeplink?objType=CSO_ARTICLE_CONTENT_KM&amp;amp;objKey=docId%3DHRGUI207%3Blocale%3Den_US&amp;amp;action=EDIT_IN_TAB&quot;&gt;guide&lt;/a&gt;. To find a direct report's contract number, &lt;a href=&quot;https://dnn.fa.em2.oraclecloud.com/fscmUI/faces/deeplink?objType=MY_TEAM&amp;amp;action=NONE&quot;&gt;click on the 3 dots next to their name&lt;/a&gt;Â and select Employment Info. Contract types are important for things like overtime. The system shows you the overtime options you're contractually entitled to, but the policy specifies the correct claim rates, based on when the hours were worked. Managers and employees are both responsible for ensuring claims are accurate."/>
        <s v="Another worker's payroll information is not something you can view."/>
        <s v="Please have a look at section 2.3 of the &lt;a href=&quot;https://dnn.fa.em2.oraclecloud.com/fscmUI/faces/deeplink?objType=CSO_ARTICLE_CONTENT_KM&amp;objKey=docId%3DHRPOL1%3Blocale%3Den_US&amp;action=EDIT_IN_TAB&quot;&gt;Financial Support and Benefits Policy&lt;/a&gt; which explains everything about the welfare loan process. To apply, you need to submit a Welfare Loan Request via PeopleCloud. The &lt;a href=&quot;https://dnn.fa.em2.oraclecloud.com/fscmUI/faces/deeplink?objType=CSO_ARTICLE_CONTENT_KM&amp;objKey=docId%3DHRGUI55%3Blocale%3Den_US&amp;action=EDIT_IN_TAB&quot;&gt;PeopleCloud Overtime &amp; Benefits Guide&lt;/a&gt; shows you how to do that."/>
        <s v="New starters should have access to their eLearning and Compliance modules by lunchtime on their first day. If they donâ€™t have access by 3pm please raise a &lt;a href=&quot;https://dnn.fa.em2.oraclecloud.com/fscmUI/faces/deeplink?objType=SVC_SERVICE_REQUEST_HCM&amp;action=CREATE_IN_TAB&amp;objKey=SelfServiceCategory_c%3DNBS_HRM_MMDS%3BSelfServiceSubCategory_c%3DNBS_HRM_MMDS_AAQ%3BChannelTypeCd%3DNBS_HRM_ODA&quot;&gt;Service Request&lt;/a&gt;"/>
        <s v="Please have a look at the &lt;a href=&quot;https://dnn.fa.em2.oraclecloud.com:443/fscmUI/faces/deeplink?objType=CSO_ARTICLE_CONTENT_KM&amp;objKey=docId%3DHRPOL40%3Blocale%3Den_US&amp;action=EDIT_IN_TAB&quot;&gt;Ill Health Capability Policy&lt;/a&gt;. The Ill Health Support Plan form can be found &lt;a href=&quot;https://dnn.fa.em2.oraclecloud.com:443/fscmUI/faces/deeplink?objType=CSO_ARTICLE_CONTENT_KM&amp;objKey=docId%3DHRFOR119%3Blocale%3Den_US&amp;action=EDIT_IN_TAB&quot;&gt;here&lt;/a&gt;. If you need further support please raise a &lt;a href=&quot;https://dnn.fa.em2.oraclecloud.com/fscmUI/faces/deeplink?objType=SVC_SERVICE_REQUEST_HCM&amp;action=CREATE_IN_TAB&amp;objKey=SelfServiceCategory_c%3DNBS_HRM_SS_FTAW%3BSelfServiceSubCategory_c%3DNBS_HRM_SS_FTAW_AAQ%3BChannelTypeCd%3DNBS_HRM_ODA&quot;&gt;Service Request&lt;/a&gt; on PeopleCloud Helpdesk using 'Fair Treatment at Work - Ask a Question'."/>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KELLY.LECAPPELAIN@NATIONWIDE.CO.UK%22%2c+env%3a+%22https://dnn.fa.em2.oraclecloud.com%22%7d&amp;opauniqueuser=KELLY.LECAPPELAIN@NATIONWIDE.CO.UK"/>
        <s v="Sure. Just so you know, it's not possible to record part days sickness absence on PeopleCloud. So you only need to record sick leave on here when someone works less than 50% of their contracted daily hours due to being ill. Here's how you book part days holiday. You'll see the duration automatically defaults to whole days. You need overtype this to reduce the duration. Make sure to use this format, HH:MM (e.g. 03:30 for 3 hrs 30 mins, 03:00 for 3 hours). Then click Submit."/>
        <s v="Once an overtime claim has been submitted it can't be rerouted. If it needs to be actioned by a different manager, and they don't already have the delegated access they need to do this, we can set this up for them. We can only take instruction from the original manager's manager. They need to raise a &lt;a href=&quot;https://dnn.fa.em2.oraclecloud.com/fscmUI/faces/deeplink?objType=SVC_SERVICE_REQUEST_HCM&amp;action=CREATE_IN_TAB&amp;objKey=SelfServiceCategory_c%3DNBS_HRM_MMDS%3BSelfServiceSubCategory_c%3DNBS_HRM_MMDS_AAQ%3BChannelTypeCd%3DNBS_HRM_ODA&quot;&gt;Service Request&lt;/a&gt;, making sure to enter 'Delegated Access' in summary, and enter the delegate's name and reason for needing the access in the details section."/>
        <s v="There are no scheduled absences for your reports between 01/03/2023 and 31/07/2024."/>
        <s v="You have 24 submissions pending approval:"/>
        <s v="Type_x000a_1. Next to see next set of requests_x000a_2. Done to end the conversation"/>
        <s v="Here are your first 3 requests:_x000a__x000a_1. Promotion for Alex Godden, 093522 (2023-07-17)_x000a_Assigned on July 19th 2023_x000a__x000a_2. Transfer for Alex Godden , 093522 (2023-07-17)_x000a_Completed by Abby Gleeson on July 14th 2023_x000a__x000a_3. Transfer for Lauren Jamieson , 500547 (2023-07-01)_x000a_Completed by Caitlin James on June 21st 2023_x000a__x000a_Next 3"/>
        <s v="Apologies, I'm experiencing some technical issues on my end. Please wait a moment and try again."/>
        <s v="You can submit another claim for the overtime that you missed. You don't need to include the overtime that you've already submitted a claim for - just add the missing hours. If you've missed the cut-off you can still submit this additional claim and it'll be processed in the following month's pay."/>
        <s v="Sorry, I tried but I am unable to find anyone with the name &lt;b&gt;Hceck&lt;/b&gt; in your team. You can try entering a different name."/>
        <s v="I am still not able to find the person. Try entering their full name. Just so you know, my directory only shows active colleagues. If the person you're looking for has left or is temporarily inactive they won't show. The same applies to the intranet directory."/>
        <s v="Here's your absence balance as of 01/03/2023._x000a__x000a_&lt;b&gt;140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Oops. You don't have the permissions to update another worker's personal or employment information."/>
        <s v="Ok. It sounds like youâ€™re looking for support with a complaint. If itâ€™s in relation to the recruitment process please speak to your &lt;a href=&quot;https://nbsuk.sharepoint.com/sites/INTRA-Recruitment/SitePages/Resourcing-Team-Contacts.aspx&quot;&gt;Resourcing Business Partner&lt;/a&gt; in the first instance. Theyâ€™ll be able to help you escalate it further, if required. If itâ€™s about a different HR process, or you need us to provide you with employee information so you can progress a complaint that youâ€™re handling, please raise a &lt;a href=&quot;https://dnn.fa.em2.oraclecloud.com/fscmUI/faces/deeplink?objType=SVC_SERVICE_REQUEST_HCM&amp;amp;action=CREATE_IN_TAB&amp;amp;objKey=SelfServiceCategory_c%3DNBS_HRM_OTHER%3BSelfServiceSubCategory_c%3DNBS_HRM_OTHER_AAQ%3BChannelTypeCd%3DNBS_HRM_ODA&quot;&gt;Service Request&lt;/a&gt;, making sure to give us as much information as possible."/>
        <s v="You have 8 submissions pending approval:"/>
        <s v="Here are your first 3 requests:_x000a__x000a_1. Chloe Parkinson Provided Final Feedback for My Performance Reflections 2022-23 - End of Year_x000a_Completed on April 11th 2023_x000a__x000a_2. Chloe Parkinson Provided Final Feedback for My Performance Reflections 2022-23 - End of Year_x000a_Assigned to Maia Anslow on April 11th 2023_x000a__x000a_3. Self-Evaluation for Chloe Parkinson in My Performance Reflections 2022-23 - End of Year Was Completed_x000a_Assigned to Maia Anslow on March 28th 2023_x000a__x000a_Next 3"/>
        <s v="Ok. It sounds like you're asking about reversing a leavers resignation / termination transaction. AskHR can action this for you. If it's about one of your direct reports please raise a &lt;a href=&quot;https://dnn.fa.em2.oraclecloud.com/fscmUI/faces/deeplink?objType=SVC_SERVICE_REQUEST_HCM&amp;amp;action=CREATE_IN_TAB&amp;amp;objKey=SelfServiceCategory_c%3DNBS_HRM_LEAVERS%3BSelfServiceSubCategory_c%3DNBS_HRM_LEAVERS_AAQ%3BChannelTypeCd%3DNBS_HRM_ODA&quot;&gt;Service Request&lt;/a&gt;,Â making sure to enter their name and the reason for the reversal. If it's about your resignation please speak to your manager in the first instance. They will then need to raise a Service Request using the guidance above."/>
        <s v="Goodbye for now. I'm here to help anytime you have another question or you can't find what you're looking for."/>
        <s v="To record that you're leaving through resignation or retirement go to the &lt;a href=&quot;https://dnn.fa.em2.oraclecloud.com/fscmUI/faces/deeplink?objType=RESIGNATION&amp;amp;action=NONE&quot;&gt;Resignation&lt;/a&gt;Â page and follow the steps in this &lt;a href=&quot;https://dnn.fa.em2.oraclecloud.com:443/fscmUI/faces/deeplink?objType=CSO_ARTICLE_CONTENT_KM&amp;amp;objKey=docId%3DHRGUI11%3Blocale%3Den_US&amp;amp;action=EDIT_IN_TAB&quot;&gt;Resignation Guide&lt;/a&gt;. Your leaving date is your last day of paid work at Nationwide. Please record this correctly and select the appropriate leaving reason. You may want to check your &lt;a href=&quot;https://dnn-dev10.fa.em2.oraclecloud.com/hcmUI/faces/deeplink?objType=EMP_CONTACT_INFO&amp;amp;action=NONE&quot;&gt;home address&lt;/a&gt; is correct in case we need to send your P45 and Leaving Confirmation Letter to you by post after you've left."/>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Fern.Welsh@nationwide.co.uk%22%2c+env%3a+%22https://dnn.fa.em2.oraclecloud.com%22%7d&amp;opauniqueuser=Fern.Welsh@nationwide.co.uk"/>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KATE.SHAW@NATIONWIDE.CO.UK%22%2c+env%3a+%22https://dnn.fa.em2.oraclecloud.com%22%7d&amp;opauniqueuser=KATE.SHAW@NATIONWIDE.CO.UK_x000a_Job Security and Redundancy Policy: https://dnn.fa.em2.oraclecloud.com:443/fscmUI/faces/deeplink?objType=CSO_ARTICLE_CONTENT_KM&amp;objKey=docId%3DHRPOL17%3Blocale%3Den_US&amp;action=EDIT_IN_TAB"/>
        <s v="Your Resourcing Consultant is best placed to update you about your job application or interview. Please contact &lt;a href=&quot;https://nbsuk.sharepoint.com/sites/INTRA-Recruitment/SitePages/Resourcing-Team-Contacts.aspx&quot;&gt;them&lt;/a&gt; directly."/>
        <s v="4 months before your return to work date we'll send you your accrued holiday breakdown and ask you to confirm your return to work plans. The holiday breakdown will help you to decide if you want to use some of your accrued holiday immediately after your leave ends (to extend your leave), or use it after you've returned. While you're on leave you can get in touch by emailing AskHR@nationwide.co.uk"/>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Kate.Saunders@nationwide.co.uk%22%2c+env%3a+%22https://dnn.fa.em2.oraclecloud.com%22%7d&amp;opauniqueuser=Kate.Saunders@nationwide.co.uk"/>
        <s v="Tell your manager as soon as your agency confirms youâ€™ve been matched with a child. If you've already been matched and youâ€™re waiting for a placement date to be agreed, still have a conversation with your manager, so you can start preparing for your adoption leave together. You need to submit your planned adoption leave dates in PeopleCloud within 7 days of being notified of your placement date (if possible). You can change your leave dates if you need to. You just need to make sure you do this at least 28 days before the date you orginally planned to start your leave on. This &lt;a href=&quot;https://dnn.fa.em2.oraclecloud.com:443/fscmUI/faces/deeplink?objType=CSO_ARTICLE_CONTENT_KM&amp;objKey=docId%3DHRGUI52%3Blocale%3Den_US&amp;action=EDIT_IN_TAB&quot;&gt;guide&lt;/a&gt; shows you how to submit your leave dates. And if you haven't already done so, please read the Adoption section of the &lt;a href=&quot;https://dnn.fa.em2.oraclecloud.com:443/fscmUI/faces/deeplink?objType=CSO_ARTICLE_CONTENT_KM&amp;objKey=docId%3DHRPOL12%3Blocale%3Den_US&amp;action=EDIT_IN_TAB&quot;&gt;Becoming a Parent Policy&lt;/a&gt;."/>
        <s v="Sorry, you can't update your work email. Only Logical Access can do this. If you've recently updated your name or preferred name in PeopleCloud, Logical Access will email you in the next few days to ask if you'd like to update your work email to match your new name details._x000a__x000a_Your work email is &lt;a href='mailto:Shabana.Shaikh@nationwide.co.uk'&gt;Shabana.Shaikh@nationwide.co.uk&lt;/a&gt;._x000a__x000a_&lt;a href=&quot;https://dnn.fa.em2.oraclecloud.com/hcmUI/faces/deeplink?objType=EMP_CONTACT_INFO&amp;action=NONE&quot;&gt;View additional contact information&lt;/a&gt; including your phone, email, home address and other communication methods."/>
        <s v="Adoption Leave_x000a_To find out more please have a look at the Adoption Leave Policy. _x000a__x000a_You may also find it helpful to use the Adoption Pay &amp; Leave Questionnaire which will estimate your leave and pay values based on the information you enter into it._x000a_Adoption Leave Policy: https://dnn.fa.em2.oraclecloud.com:443/fscmUI/faces/deeplink?objType=CSO_ARTICLE_CONTENT_KM&amp;objKey=docId%3DHRPOL12%3Blocale%3Den_US&amp;action=EDIT_IN_TAB_x000a_Adoption Pay &amp; Leave Questionnaire: https://nbs-opa.custhelp.com/web-determinations/startsession/NBS_Adoption?seedData=%7bname%3a+%22christopher.moore@nationwide.co.uk%22%2c+env%3a+%22https://dnn.fa.em2.oraclecloud.com%22%7d&amp;opauniqueuser=christopher.moore@nationwide.co.uk"/>
        <s v="You don't have permission to access this information."/>
        <s v="What is the full name of the person whose information you want to see?"/>
        <s v="Hmm. I didn't find anyone with that name. Try with a variation of that name."/>
        <s v="Your preferred name is &lt;b&gt;Sharon&lt;/b&gt;._x000a__x000a_&lt;a href=&quot;https://dnn.fa.em2.oraclecloud.com/fscmUI/faces/deeplink?objType=EMP_PERSONAL_DETAILS&amp;action=NONE&quot;&gt;View and update your personal details&lt;/a&gt; including your name, marital status and other demographic information. If you're changing your address or your legal name, remember to also notify HMRC._x000a__x000a_View your profile in &lt;a href=&quot;https://dnn.fa.em2.oraclecloud.com/fscmUI/faces/deeplink?objType=DIRECTORY_SEARCH&amp;action=NONE&quot;&gt;Directory&lt;/a&gt;._x000a__x000a_Need to see one of your co-workers nickname? Try &lt;q&gt;Show me John Smith's nickname&lt;/q&gt;."/>
        <s v="I'm sorry. I can't find any active colleagues with that name. Just so you know, my directory only shows active colleagues. If the person you're looking for has left or is temporarily inactive they won't show. The same applies to the intranet directory."/>
        <s v="I'm here if you need another question answered."/>
        <s v="The system needs to know your direct report's work schedules because it uses this information to calculate how much holiday entitlement they're using each time they take annual leave and how much sick pay they get when they're on sick leave. It also uses it to calculate their pay when they first join Nationwide, their new salary if they change their hours during employment and their final pay when they leave. If their work schedule is incorrect their holiday entitlement and pay will be incorrect, and if they have no work schedule details they won't be able to submit absence requests in the system. If your team member has a complicated work pattern and you need additional support please raise a &lt;a href=&quot;https://dnn.fa.em2.oraclecloud.com/fscmUI/faces/deeplink?objType=SVC_SERVICE_REQUEST_HCM&amp;action=CREATE_IN_TAB&amp;objKey=SelfServiceCategory_c%3DNBS_HRM_MMDS%3BSelfServiceSubCategory_c%3DNBS_HRM_MMDS_AAQ%3BChannelTypeCd%3DNBS_HRM_ODA&quot;&gt;Service Request&lt;/a&gt;."/>
        <s v="Here's your absence balance as of 01/03/2023._x000a__x000a_&lt;b&gt;40 hrs 45 mins&lt;/b&gt; of Holiday _x000a_&lt;b&gt;0 hrs&lt;/b&gt; of Recognising Loyalty _x000a_&lt;b&gt;0 hrs&lt;/b&gt; of Work Anniversary _x000a_&lt;b&gt;0 hrs&lt;/b&gt; of MyReward _x000a_&lt;b&gt;-23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Please give me a date to calculate your absence balance. Something like '15/02/23'._x000a__x000a_I'm done"/>
        <s v="Here's your absence balance as of 31/12/2023._x000a__x000a_&lt;b&gt;26 hrs 45 mins&lt;/b&gt; of Holiday _x000a_&lt;b&gt;0 hrs&lt;/b&gt; of Recognising Loyalty _x000a_&lt;b&gt;0 hrs&lt;/b&gt; of Work Anniversary _x000a_&lt;b&gt;0 hrs&lt;/b&gt; of MyReward _x000a_&lt;b&gt;-23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Jordan.Slade@nationwide.co.uk%22%2c+env%3a+%22https://dnn.fa.em2.oraclecloud.com%22%7d&amp;opauniqueuser=Jordan.Slade@nationwide.co.uk"/>
        <s v="You can &lt;a href=&quot;https://dnn.fa.em2.oraclecloud.com/fscmUI/faces/deeplink?objType=WORKER_TEAM_SCHEDULE_RUI&amp;amp;action=NONE&quot;&gt;view your own work schedule&lt;/a&gt;, however only HR or your manager can update it. Blue indicates your work schedule and yellow indicates your holidays. If you're changing your hours, your manager will update your schedule as long as you're not changing the total number of hours you work per week. Otherwise, HR will update it when they process your Flexible Working Request. If you spot that your schedule isn't right, please speak to your manager in the first instance."/>
        <s v="Only HR or your manager can update your employment information. Please speak to your manager in the first instance. If they're unable to update your details themselves they can raise a service request via their Helpdesk tab in PeopleCloud and the team will help them._x000a__x000a_Your &lt;a href=&quot;https://dnn.fa.em2.oraclecloud.com/hcmUI/faces/deeplink?objType=EMP_CONTACT_INFO&amp;action=NONE&quot;&gt;contact information&lt;/a&gt; page can help you view and update your home address. You should only have one home address on PeopleCloud, so please make sure you use the pencil icon to edit your address. Don't add a separate entry. PeopleCloud feeds this information into the other employee systems that need your address details, so you only need to enter your address here._x000a__x000a_However, you can &lt;a href=&quot;https://dnn.fa.em2.oraclecloud.com/hcmUI/faces/deeplink?objType=CHANGE_LOCATION&quot;&gt;manage your employee's work location&lt;/a&gt;."/>
        <s v="You submit Overtime and On call claims via &lt;a href=&quot;https://dnn.fa.em2.oraclecloud.com/fscmUI/faces/deeplink?objType=NFX_MANAGE_MY_PER_CONTRIBUTION&amp;action=NONE&quot;&gt;Personal Contributions&lt;/a&gt;. Please have a look at the &lt;a href=&quot;https://dnn.fa.em2.oraclecloud.com/fscmUI/faces/deeplink?objType=CSO_ARTICLE_CONTENT_KM&amp;objKey=docId%3DHRGUI55%3Blocale%3Den_US&amp;action=EDIT_IN_TAB&quot;&gt;Overtime and Benefits Guide&lt;/a&gt; to understand the steps you need to follow to create, save, update or submit your claims. If you need clarification about your eligibility you'll find it useful to refer to the &lt;a href=&quot;https://dnn.fa.em2.oraclecloud.com/fscmUI/faces/deeplink?objType=CSO_ARTICLE_CONTENT_KM&amp;objKey=docId%3DHRPOL10%3Blocale%3Den_US&amp;action=EDIT_IN_TAB&quot;&gt;Overtime and Additional Hours Policy&lt;/a&gt; and the &lt;a href=&quot;https://dnn.fa.em2.oraclecloud.com/fscmUI/faces/deeplink?objType=CSO_ARTICLE_CONTENT_KM&amp;objKey=docId%3DHRPOL7%3Blocale%3Den_US&amp;action=EDIT_IN_TAB&quot;&gt;Branch Network Arrangements Policy&lt;/a&gt; and the &lt;a href=&quot;https://dnn.fa.em2.oraclecloud.com/fscmUI/faces/deeplink?objType=CSO_ARTICLE_CONTENT_KM&amp;objKey=docId%3DHRPOL9%3Blocale%3Den_US&amp;action=EDIT_IN_TAB&quot;&gt;On Call Policy&lt;/a&gt;."/>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ANDREW.INGRAM@NATIONWIDE.CO.UK%22%2c+env%3a+%22https://dnn.fa.em2.oraclecloud.com%22%7d&amp;opauniqueuser=ANDREW.INGRAM@NATIONWIDE.CO.UK"/>
        <s v="If you're having difficulty accessing the Exit Questionnaire please note that you need to scroll to the bottom of the notification and click on the link to access the exit questionnaire invitation. When you click on the link to the questionnaire that's within the invite, a new survey page will open up behind the page you're on. This is the Exit Questionnaire. If you're still having difficulties please contact us via the &lt;a href=&quot;mailto:exitmanagement@nationwide.co.uk&quot;&gt;Exit Management Team mailbox&lt;/a&gt;."/>
        <s v="You were paid ------ GBP on 20/07/2023._x000a_Here's your payslip information."/>
        <s v="&lt;a href='https://dnn.fa.em2.oraclecloud.com/hcmUI/content/conn/FusionAppsContentRepository/uuid/dDocID:8516172?download&amp;XFND_SCHEME_ID=1&amp;XFND_CERT_FP=E7A6669B1744C0DE0883C285E2A79DD364729D79&amp;XFND_RANDOM=3230762519773787392&amp;XFND_EXPIRES=1690909216937&amp;XFND_SIGNATURE=d8UMRLndGLhE-xr04M5QFNd-v-6v7j9jeuKuWP6tLXo6Id0DmoDUVGLhYW~p-YlmZMt~HLcx~n2Jnr~z-i419VFWCe~YLGSRLKhQb3OoTZHLsHbRKkRnnbDn2iJ04W036~o1gX2V5T4WI4Vt1c2Hfus6EfCoWrnjE4tY6Te2T~0_&amp;Id=8516172' &gt;View your payslip&lt;/a&gt;"/>
        <s v="&lt;a href='https://dnn.fa.em2.oraclecloud.com/fscmUI/faces/deeplink?objType=VIEW_RES_PAY_SLIP&amp;action=NONE' &gt;View all payslips&lt;/a&gt;"/>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CHRIS.SHELLEY@NATIONWIDE.CO.UK%22%2c+env%3a+%22https://dnn.fa.em2.oraclecloud.com%22%7d&amp;opauniqueuser=CHRIS.SHELLEY@NATIONWIDE.CO.UK_x000a_Job Security and Redundancy Policy: https://dnn.fa.em2.oraclecloud.com:443/fscmUI/faces/deeplink?objType=CSO_ARTICLE_CONTENT_KM&amp;objKey=docId%3DHRPOL17%3Blocale%3Den_US&amp;action=EDIT_IN_TAB"/>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Kelly.Porter@nationwide.co.uk%22%2c+env%3a+%22https://dnn.fa.em2.oraclecloud.com%22%7d&amp;opauniqueuser=Kelly.Porter@nationwide.co.uk"/>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Kelly.Porter@nationwide.co.uk%22%2c+env%3a+%22https://dnn.fa.em2.oraclecloud.com%22%7d&amp;opauniqueuser=Kelly.Porter@nationwide.co.uk_x000a_Job Security and Redundancy Policy: https://dnn.fa.em2.oraclecloud.com:443/fscmUI/faces/deeplink?objType=CSO_ARTICLE_CONTENT_KM&amp;objKey=docId%3DHRPOL17%3Blocale%3Den_US&amp;action=EDIT_IN_TAB"/>
        <s v="Here's your absence balance as of 02/03/2023._x000a__x000a_&lt;b&gt;82 hrs 15 mins&lt;/b&gt; of Holiday _x000a_&lt;b&gt;0 hrs&lt;/b&gt; of Recognising Loyalty _x000a_&lt;b&gt;0 hrs&lt;/b&gt; of Work Anniversary _x000a_&lt;b&gt;0 hrs&lt;/b&gt; of MyReward _x000a_&lt;b&gt;-12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03/02/2023._x000a__x000a_&lt;b&gt;151 hrs 15 mins&lt;/b&gt; of Holiday _x000a_&lt;b&gt;0 hrs&lt;/b&gt; of Recognising Loyalty _x000a_&lt;b&gt;0 hrs&lt;/b&gt; of Work Anniversary _x000a_&lt;b&gt;15 hrs&lt;/b&gt; of MyReward _x000a_&lt;b&gt;-12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I think youâ€™re asking about who can help you with strategic workforce planning. Your Recruitment Delivery Manager can support you with this. Speak with your Senior Leadership Team because your Recruitment Delivery Manager will have already introduced themselves to your function leader and explained how they can support."/>
        <s v="&lt;p&gt;Ok. We've changed the way you contact AskHR to align with our Society Strategy and drive service excellence. Your query needs input from one of my human team mates, so please &lt;a href=&quot;http://dnn.fa.em2.oraclecloud.com/fscmUI/faces/deeplink?objType=SVC_SERVICE_REQUEST_HCM&amp;amp;action=CREATE_IN_TAB&amp;amp;objKey&quot;&gt;raise a service request&lt;/a&gt;. Or if youÂ already have a service request inÂ progress you can &lt;a href=&quot;https://dnn.fa.em2.oraclecloud.com/fscmUI/faces/deeplink?objType=SVC_SERVICE_REQUEST_HCM&amp;amp;action=EDIT_IN_POPUP&quot;&gt;add a note&lt;/a&gt;. If it's urgent or sensitive please tell us in the subject line. If you need a call back you can also tell us in the subject line.&lt;/p&gt;"/>
        <s v="You don't seem to have added a work phone number to your contact info._x000a__x000a_&lt;a href=&quot;https://dnn.fa.em2.oraclecloud.com/hcmUI/faces/deeplink?objType=EMP_CONTACT_INFO&amp;action=NONE&quot;&gt;View and update your home and work phone numbers&lt;/a&gt;._x000a__x000a_View your profile in &lt;a href=&quot;https://dnn.fa.em2.oraclecloud.com/fscmUI/faces/deeplink?objType=DIRECTORY_SEARCH&amp;action=NONE&quot;&gt;Directory&lt;/a&gt;._x000a__x000a_Need to see one of your co-workers phone number? Try &lt;q&gt;Show me John Smith's phone number&lt;/q&gt;."/>
        <s v="Please contact the Case Management Team by raising a &lt;a href=&quot;https://dnn.fa.em2.oraclecloud.com/fscmUI/faces/deeplink?objType=SVC_SERVICE_REQUEST_HCM&amp;action=CREATE_IN_TAB&amp;objKey=SelfServiceCategory_c%3DNBS_HRM_SS_FTAW%3BSelfServiceSubCategory_c%3DNBS_HRM_SS_FTAW_AAQ%3BChannelTypeCd%3DNBS_HRM_ODA&quot;&gt;Service Request&lt;/a&gt; on PeopleCloud Helpdesk using the categories 'Fair Treatment at Work - Ask a Question'."/>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Libina.LopesNemeRosa@nationwide.co.uk%22%2c+env%3a+%22https://dnn.fa.em2.oraclecloud.com%22%7d&amp;opauniqueuser=Libina.LopesNemeRosa@nationwide.co.uk"/>
        <s v="Managers can see when their team members have holiday, non-work days and other time-off by going to the Team Schedule link on the left side of the My Team tab. To see your own schedule go to your PeopleCloud Me tab &gt; Time &amp; Absences &gt; Team Schedule where you'll see your schedule and the schedules of all those that report into your manager. PeopleCloud uses direct reporting lines to define whose schedules you can see / can't see. Therefore, if you're in a cluster group it's not possible to see the schedules of all those within your cluster."/>
        <s v="&lt;b&gt;Ben Hopkins's&lt;/b&gt; office location is Nationwide House, Pipers Way in Swindon, Wiltshire, GB_x000a__x000a_View &lt;b&gt;Benjamin's&lt;/b&gt; profile in &lt;a href=&quot;https://dnn.fa.em2.oraclecloud.com/fscmUI/faces/deeplink?objType=DIRECTORY_SEARCH&amp;action=NONE&quot;&gt;Directory&lt;/a&gt; to know more."/>
        <s v="Tax codes are driven by HMRC and its HMRC who determine your tax code, based on your individual circumstances and tax allowance thresholds. When your circumstances change they may need to put you onto a different tax code. If HMRC have notified you that your tax code has changed, or that it will be changed soon, they will have also notified us. When we receive their notification we'll apply your tax code change in the next pay run (or the pay run that aligns with the date your new code comes into effect if its future-dated) and yourÂ  payslip will reflect this. If you have any questions about your tax in the meantime pleaseÂ &lt;a href=&quot;https://www.gov.uk/government/organisations/hm-revenue-customs/contact/income-tax-enquiries-for-individuals-pensioners-and-employees&quot;&gt;contact HMRC&lt;/a&gt;. Remember to have your National Insurance number to hand when you contact them."/>
        <s v="Here's your absence balance as of 02/03/2023._x000a__x000a_&lt;b&gt;85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Keeping in Touch Days (KIT days) are a way for you to stay in touch with your team and with work while you're on leave. They're ideal for attending things like department briefings, team meetings, training or volunteering. If you're on maternity or adoption leave you can have up to 10 KIT days. If you're on shared parental leave you can have up to 20 KIT days. Take a look at the Adoption, Maternity or Shared Parental Leave guidancein the &lt;a href=&quot;https://dnn.fa.em2.oraclecloud.com:443/fscmUI/faces/deeplink?objType=CSO_ARTICLE_CONTENT_KM&amp;objKey=docId%3DHRPOL12%3Blocale%3Den_US&amp;action=EDIT_IN_TAB&quot;&gt;Becoming a Parent Policy&lt;/a&gt; for more information."/>
        <s v="Your work email is &lt;a href='mailto:Abigail.Hawkins@nationwide.co.uk'&gt;Abigail.Hawkins@nationwide.co.uk&lt;/a&gt;._x000a__x000a_&lt;a href=&quot;https://dnn.fa.em2.oraclecloud.com/hcmUI/faces/deeplink?objType=EMP_CONTACT_INFO&amp;action=NONE&quot;&gt;View additional contact information&lt;/a&gt; including your phone, email, home address and other communication methods._x000a__x000a_Need to see a co-workers work email address? Try something like 'Show me John Smith's email'."/>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KEVIN.SMITH2@NATIONWIDE.CO.UK%22%2c+env%3a+%22https://dnn.fa.em2.oraclecloud.com%22%7d&amp;opauniqueuser=KEVIN.SMITH2@NATIONWIDE.CO.UK_x000a_Job Security and Redundancy Policy: https://dnn.fa.em2.oraclecloud.com:443/fscmUI/faces/deeplink?objType=CSO_ARTICLE_CONTENT_KM&amp;objKey=docId%3DHRPOL17%3Blocale%3Den_US&amp;action=EDIT_IN_TAB"/>
        <s v="Here's your absence balance as of 02/03/2023._x000a__x000a_&lt;b&gt;104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have the following time off in the next twelve months._x000a__x000a_&lt;b&gt;21 hrs&lt;/b&gt; of &lt;b&gt;Holiday&lt;/b&gt; from Aug 16th to Aug 18th_x000a_&lt;b&gt;21 hrs&lt;/b&gt; of &lt;b&gt;Holiday&lt;/b&gt; from Sep 13th to Sep 15th_x000a__x000a_Schedule time off: https://dnn.fa.em2.oraclecloud.com/hcmUI/faces/deeplink?objType=ADD_ABSENCE&amp;action=NONE_x000a_View absences for a specific duration_x000a_View absence balance (excl. sickness balance)"/>
        <s v="Here's your absence balance as of 02/03/2023._x000a__x000a_&lt;b&gt;104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s v="Please have a look at the &lt;a href=&quot;https://dnn.fa.em2.oraclecloud.com:443/fscmUI/faces/deeplink?objType=CSO_ARTICLE_CONTENT_KM&amp;objKey=docId%3DHRPOL31%3Blocale%3Den_US&amp;action=EDIT_IN_TAB&quot;&gt;Disciplinary Policy&lt;/a&gt;. The Record of Informal Discussion Form can be found &lt;a href=&quot;https://dnn.fa.em2.oraclecloud.com:443/fscmUI/faces/deeplink?objType=CSO_ARTICLE_CONTENT_KM&amp;objKey=docId%3DHRFOR99%3Blocale%3Den_US&amp;action=EDIT_IN_TAB&quot;&gt;here&lt;/a&gt;. If you need further support please raise a &lt;a href=&quot;https://dnn.fa.em2.oraclecloud.com/fscmUI/faces/deeplink?objType=SVC_SERVICE_REQUEST_HCM&amp;action=CREATE_IN_TAB&amp;objKey=SelfServiceCategory_c%3DNBS_HRM_SS_FTAW%3BSelfServiceSubCategory_c%3DNBS_HRM_SS_FTAW_AAQ%3BChannelTypeCd%3DNBS_HRM_ODA&quot;&gt;Service Request&lt;/a&gt; on PeopleCloud Helpdesk using 'Fair Treatment at Work - Ask a Question'."/>
        <s v="Please take a look at the &lt;a href=&quot;https://dnn.fa.em2.oraclecloud.com:443/fscmUI/faces/deeplink?objType=CSO_ARTICLE_CONTENT_KM&amp;objKey=docId%3DHRGUI147%3Blocale%3Den_US&amp;action=EDIT_IN_TAB&quot;&gt;PeopleCloud Mobile Guide&lt;/a&gt; for step by step instructions about how to access and use it on your mobile device. There are some important steps that you'll need to carry out first, before accessing PeopleCloud on your device. The guide above contains all the information you need. Please read all the information that applies to you before you begin."/>
        <s v="You'll find all the information you need to understand career families &lt;a href=&quot;https://nbsuk.sharepoint.com/sites/INTRA-CareerFamilies&quot;&gt;here&lt;/a&gt;. To see which career family you're in take a look at your &lt;a href=&quot;https://dnn.fa.em2.oraclecloud.com/fscmUI/faces/deeplink?objType=MY_EMPLOYMENT_INFO&amp;amp;action=NONE&quot;&gt;Employment Info&lt;/a&gt;."/>
        <s v="Here's your absence balance as of 02/03/2023._x000a__x000a_&lt;b&gt;144 hrs&lt;/b&gt; of Holiday _x000a_&lt;b&gt;0 hrs&lt;/b&gt; of Recognising Loyalty _x000a_&lt;b&gt;0 hrs&lt;/b&gt; of Work Anniversary _x000a_&lt;b&gt;0 hrs&lt;/b&gt; of MyReward _x000a_&lt;b&gt;-9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ve taken the following time off in the last twelve months._x000a__x000a_&lt;b&gt;28 hrs&lt;/b&gt; of &lt;b&gt;Holiday&lt;/b&gt; from May 30th to Jun 2nd_x000a_&lt;b&gt;7 hrs&lt;/b&gt; of &lt;b&gt;Holiday&lt;/b&gt; on May 26th_x000a_&lt;b&gt;28 hrs&lt;/b&gt; of &lt;b&gt;Holiday&lt;/b&gt; from May 2nd to May 5th_x000a_&lt;b&gt;7 hrs&lt;/b&gt; of &lt;b&gt;Holiday&lt;/b&gt; on Mar 31st_x000a_&lt;b&gt;7 hrs&lt;/b&gt; of &lt;b&gt;Holiday&lt;/b&gt; on Dec 30th_x000a_&lt;b&gt;7 hrs&lt;/b&gt; of &lt;b&gt;Holiday&lt;/b&gt; on Dec 28th_x000a_&lt;b&gt;7 hrs&lt;/b&gt; of &lt;b&gt;Holiday&lt;/b&gt; on Dec 20th_x000a_&lt;b&gt;7 hrs&lt;/b&gt; of &lt;b&gt;Holiday&lt;/b&gt; on Dec 19th_x000a_&lt;b&gt;7 hrs&lt;/b&gt; of &lt;b&gt;Holiday&lt;/b&gt; on Dec 15th_x000a_&lt;b&gt;7 hrs&lt;/b&gt; of &lt;b&gt;Holiday&lt;/b&gt; on Dec 12th_x000a_&lt;b&gt;14 hrs&lt;/b&gt; of &lt;b&gt;Holiday&lt;/b&gt; from Dec 5th to Dec 6th_x000a_&lt;b&gt;14 hrs&lt;/b&gt; of &lt;b&gt;Holiday&lt;/b&gt; from Oct 3rd to Oct 4th_x000a_&lt;b&gt;7 hrs&lt;/b&gt; of &lt;b&gt;Holiday&lt;/b&gt; on Sep 20th_x000a_&lt;b&gt;70 hrs&lt;/b&gt; of &lt;b&gt;Holiday&lt;/b&gt; from Sep 5th to Sep 16th_x000a_&lt;b&gt;21 hrs&lt;/b&gt; of &lt;b&gt;Holiday&lt;/b&gt; from Aug 17th to Aug 19th_x000a__x000a_Schedule time off: https://dnn.fa.em2.oraclecloud.com/hcmUI/faces/deeplink?objType=ADD_ABSENCE&amp;action=NONE_x000a_View absences for a specific duration_x000a_View absence balance (excl. sickness balance)"/>
        <s v="Here's your absence balance as of 31/12/2023._x000a__x000a_&lt;b&gt;144 hrs&lt;/b&gt; of Holiday _x000a_&lt;b&gt;0 hrs&lt;/b&gt; of Recognising Loyalty _x000a_&lt;b&gt;0 hrs&lt;/b&gt; of Work Anniversary _x000a_&lt;b&gt;0 hrs&lt;/b&gt; of MyReward _x000a_&lt;b&gt;-9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JULIE.GROUNDS@NATIONWIDE.CO.UK%22%2c+env%3a+%22https://dnn.fa.em2.oraclecloud.com%22%7d&amp;opauniqueuser=JULIE.GROUNDS@NATIONWIDE.CO.UK"/>
        <s v="Here's your absence balance as of 02/03/2023._x000a__x000a_&lt;b&gt;98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don't have any time off taken or scheduled between 02/03/2023 and 03/03/2023. _x000a__x000a_To see your end of year Holiday Balance, select 'View balance as of another date' below and input '31/12/23' when prompted_x000a__x000a_Schedule time off: https://dnn.fa.em2.oraclecloud.com/hcmUI/faces/deeplink?objType=ADD_ABSENCE&amp;action=NONE_x000a_View absence balance (excl. sickness balance)"/>
        <s v="Here's your absence balance as of 01/01/2023._x000a__x000a_&lt;b&gt;122 hrs 45 mins&lt;/b&gt; of Holiday _x000a_&lt;b&gt;0 hrs&lt;/b&gt; of Recognising Loyalty _x000a_&lt;b&gt;0 hrs&lt;/b&gt; of Work Anniversary _x000a_&lt;b&gt;21 hrs&lt;/b&gt; of MyReward _x000a_&lt;b&gt;30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31/12/2023._x000a__x000a_&lt;b&gt;62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Please have a look at sections 2.5 and 2.7 of the &lt;a href=&quot;https://dnn.fa.em2.oraclecloud.com:443/fscmUI/faces/deeplink?objType=CSO_ARTICLE_CONTENT_KM&amp;objKey=docId%3DHRPOL37%3Blocale%3Den_US&amp;action=EDIT_IN_TAB&quot;&gt;Code of Conduct Policy&lt;/a&gt;. If you need further support please raise a &lt;a href=&quot;https://dnn.fa.em2.oraclecloud.com/fscmUI/faces/deeplink?objType=SVC_SERVICE_REQUEST_HCM&amp;action=CREATE_IN_TAB&amp;objKey=SelfServiceCategory_c%3DNBS_HRM_SS_FTAW%3BSelfServiceSubCategory_c%3DNBS_HRM_SS_FTAW_AAQ%3BChannelTypeCd%3DNBS_HRM_ODA&quot;&gt;Service Request&lt;/a&gt; on PeopleCloud Helpdesk using 'Fair Treatment at Work - Ask a Question'."/>
        <s v="Here's your absence balance as of 03/03/2023._x000a__x000a_&lt;b&gt;122 hrs 45 mins&lt;/b&gt; of Holiday _x000a_&lt;b&gt;0 hrs&lt;/b&gt; of Recognising Loyalty _x000a_&lt;b&gt;0 hrs&lt;/b&gt; of Work Anniversary _x000a_&lt;b&gt;21 hrs&lt;/b&gt; of MyReward _x000a_&lt;b&gt;2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03/03/2023._x000a__x000a_&lt;b&gt;104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01/01/2024._x000a__x000a_&lt;b&gt;126 hrs&lt;/b&gt; of Holiday _x000a_&lt;b&gt;0 hrs&lt;/b&gt; of Recognising Loyalty _x000a_&lt;b&gt;0 hrs&lt;/b&gt; of Work Anniversary _x000a_&lt;b&gt;0 hrs&lt;/b&gt; of MyReward _x000a_&lt;b&gt;12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Only HR or your manager can update your employment information. Please speak to your manager in the first instance. If they're unable to update your details themselves they can raise a service request via their Helpdesk tab in PeopleCloud and the team will help them."/>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DAVE.MAULE@NATIONWIDE.CO.UK%22%2c+env%3a+%22https://dnn.fa.em2.oraclecloud.com%22%7d&amp;opauniqueuser=DAVE.MAULE@NATIONWIDE.CO.UK_x000a_Job Security and Redundancy Policy: https://dnn.fa.em2.oraclecloud.com:443/fscmUI/faces/deeplink?objType=CSO_ARTICLE_CONTENT_KM&amp;objKey=docId%3DHRPOL17%3Blocale%3Den_US&amp;action=EDIT_IN_TAB"/>
        <s v="Ok. You're asking about requesting or giving performance feedback through PeopleCloud. It's not possible to do this currently. If this changes we'll communicate it out across the whole business through the usual channels. In the meantime, you can still request feedback from your colleagues through email and store it locally."/>
        <s v="Ok, I think youâ€™re asking for an update about a job change where the role has already been offered to you / your team member. Please raise a &lt;a href=&quot;https://dnn.fa.em2.oraclecloud.com/fscmUI/faces/deeplink?objType=SVC_SERVICE_REQUEST_HCM&amp;amp;action=CREATE_IN_TAB&amp;amp;objKey=SelfServiceCategory_c%3DNBS_HRM_JCNH%3BSelfServiceSubCategory_c%3DNBS_HRM_JCNH_AAQ%3BChannelTypeCd%3DNBS_HRM_ODA&quot;&gt;service request&lt;/a&gt; or if you already have a service request in progress you can &lt;a href=&quot;https://dnn.fa.em2.oraclecloud.com/fscmUI/faces/deeplink?objType=SVC_SERVICE_REQUEST_HCM&amp;amp;action=EDIT_IN_POPUP&quot;&gt;add a note&lt;/a&gt;."/>
        <s v="Here's your absence balance as of 02/03/2023._x000a__x000a_&lt;b&gt;66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have the following time off in the next twelve months._x000a__x000a_&lt;b&gt;7 hrs&lt;/b&gt; of &lt;b&gt;Holiday&lt;/b&gt; on Aug 4th_x000a_&lt;b&gt;21 hrs&lt;/b&gt; of &lt;b&gt;Holiday&lt;/b&gt; from Aug 22nd to Aug 25th_x000a_&lt;b&gt;7 hrs&lt;/b&gt; of &lt;b&gt;Holiday&lt;/b&gt; on Oct 6th_x000a_&lt;b&gt;21 hrs&lt;/b&gt; of &lt;b&gt;Holiday&lt;/b&gt; from Oct 24th to Oct 27th_x000a__x000a_Schedule time off: https://dnn.fa.em2.oraclecloud.com/hcmUI/faces/deeplink?objType=ADD_ABSENCE&amp;action=NONE_x000a_View absences for a specific duration_x000a_View absence balance (excl. sickness balance)"/>
        <s v="If the document you want to download is on your &lt;a href=&quot;https://dnn.fa.em2.oraclecloud.com/fscmUI/faces/deeplink?objType=VIEW_RES_PAY_SLIP&amp;amp;action=NONE&quot;&gt;Payslip page&lt;/a&gt;Â or &lt;a href=&quot;https://dnn.fa.em2.oraclecloud.com/fscmUI/faces/deeplink?objType=VIEW_RES_YEAR_END_DOCS&amp;amp;action=NONE&quot;&gt;Year End Docs page&lt;/a&gt;, clicking on the document will start the downloading process, regardless of what type of computer or device you're using. To download documents from yourÂ Document Records page you'll need to do this via a Windows pc. Click the spectacles icon to the right of the document, then click on the download icon at the bottom of the screen. If you don't have access to a Windows pc, please raise a &lt;a href=&quot;https://dnn.fa.em2.oraclecloud.com/fscmUI/faces/deeplink?objType=SVC_SERVICE_REQUEST_HCM&amp;amp;action=CREATE_IN_TAB&amp;amp;objKey=SelfServiceCategory_c%3DNBS_HRM_OTHER%3BSelfServiceSubCategory_c%3DNBS_HRM_OTHER_AAQ%3BChannelTypeCd%3DNBS_HRM_ODA&quot;&gt;Service Request&lt;/a&gt; and we'll provide copies of your document/s to you."/>
        <s v="The &lt;a href=&quot;https://dnn.fa.em2.oraclecloud.com:443/fscmUI/faces/deeplink?objType=CSO_ARTICLE_CONTENT_KM&amp;objKey=docId%3DHRPOL10%3Blocale%3Den_US&amp;action=EDIT_IN_TAB&quot;&gt;Overtime &amp; Additional Hours Policy&lt;/a&gt;, the &lt;a href=&quot;https://dnn.fa.em2.oraclecloud.com:443/fscmUI/faces/deeplink?objType=CSO_ARTICLE_CONTENT_KM&amp;objKey=docId%3DHRPOL7%3Blocale%3Den_US&amp;action=EDIT_IN_TAB&quot;&gt;Branch Network Arrangements Policy&lt;/a&gt; and the &lt;a href=&quot;https://dnn.fa.em2.oraclecloud.com:443/fscmUI/faces/deeplink?objType=CSO_ARTICLE_CONTENT_KM&amp;objKey=docId%3DHRPOL9%3Blocale%3Den_US&amp;action=EDIT_IN_TAB&quot;&gt;On Call Policy&lt;/a&gt; are available in Knowledge. When you open a policy, clicking on the star next to the article name saves the policy as a favourite in your Knowledge tab."/>
        <s v="Ok. It sounds like you want to withdraw from a learning module that's been assigned to you. We can do this for you on instruction from your manager / senior manager. Please ask them to raise aÂ &lt;a href=&quot;https://dnn.fa.em2.oraclecloud.com/fscmUI/faces/deeplink?objType=SVC_SERVICE_REQUEST_HCM&amp;amp;action=CREATE_IN_TAB&amp;amp;objKey=SelfServiceCategory_c%3DNBS_HRM_MMDS%3BSelfServiceSubCategory_c%3DNBS_HRM_MMDS_AAQ%3BChannelTypeCd%3DNBS_HRM_ODA&quot;&gt;service request&lt;/a&gt;, making sure to tell us the name of the module you wish to withdraw from and why."/>
        <s v="You don't seem to have added a work phone number to your contact info._x000a__x000a_View your profile in &lt;a href=&quot;https://dnn.fa.em2.oraclecloud.com/fscmUI/faces/deeplink?objType=DIRECTORY_SEARCH&amp;action=NONE&quot;&gt;Directory&lt;/a&gt;._x000a__x000a_&lt;a href=&quot;https://dnn.fa.em2.oraclecloud.com/hcmUI/faces/deeplink?objType=EMP_CONTACT_INFO&amp;action=NONE&quot;&gt;View and update your home and work phone numbers&lt;/a&gt;."/>
        <s v="With their team member's consent managers can refer them to Occupational Health (OH). Take a look at this &lt;a href=&quot;https://nbsuk.sharepoint.com/sites/INTRA-Wellbeing/SitePages/Occupational-Health.aspx&quot;&gt;Occupational Health guidance&lt;/a&gt; to find find out how."/>
        <s v="Please have a look at the &lt;a href=&quot;https://dnn.fa.em2.oraclecloud.com:443/fscmUI/faces/deeplink?objType=CSO_ARTICLE_CONTENT_KM&amp;objKey=docId%3DHRPOL35%3Blocale%3Den_US&amp;action=EDIT_IN_TAB&quot;&gt;Improving Performance Policy&lt;/a&gt;. You'll find the Performance Support Agreement form &lt;a href=&quot;https://dnn.fa.em2.oraclecloud.com:443/fscmUI/faces/deeplink?objType=CSO_ARTICLE_CONTENT_KM&amp;objKey=docId%3DHRFOR50%3Blocale%3Den_US&amp;action=EDIT_IN_TAB&quot;&gt;here&lt;/a&gt;. If you need further support please raise a &lt;a href=&quot;https://dnn.fa.em2.oraclecloud.com/fscmUI/faces/deeplink?objType=SVC_SERVICE_REQUEST_HCM&amp;action=CREATE_IN_TAB&amp;objKey=SelfServiceCategory_c%3DNBS_HRM_SS_FTAW%3BSelfServiceSubCategory_c%3DNBS_HRM_SS_FTAW_AAQ%3BChannelTypeCd%3DNBS_HRM_ODA&quot;&gt;Service Request&lt;/a&gt; on PeopleCloud Helpdesk using 'Fair Treatment at Work - Ask a Question'."/>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debora.calongableazard@nationwide.co.uk%22%2c+env%3a+%22https://dnn.fa.em2.oraclecloud.com%22%7d&amp;opauniqueuser=debora.calongableazard@nationwide.co.uk"/>
        <s v="Your payslip shows you much more than your take home pay, tax and NI. It also shows things like your pension contributions, allowances and salary sacrifices. Take a look at the &lt;a href=&quot;https://dnn.fa.em2.oraclecloud.com/fscmUI/faces/deeplink?objType=CSO_ARTICLE_CONTENT_KM&amp;amp;objKey=docId%3DHRGUI60%3Blocale%3Den_US&amp;amp;action=EDIT_IN_TAB&quot;&gt;Payslip Guide&lt;/a&gt; to find out more. You may also find it useful to look at the &lt;a href=&quot;https://dnn.fa.em2.oraclecloud.com:443/fscmUI/faces/deeplink?objType=CSO_ARTICLE_CONTENT_KM&amp;amp;objKey=docId%3DHRGUI134%3Blocale%3Den_US&amp;amp;action=EDIT_IN_TAB&quot;&gt;Holiday Pay Supplement Guide&lt;/a&gt;. If you still have a question after reading the guides, please raise a &lt;a href=&quot;https://dnn.fa.em2.oraclecloud.com/fscmUI/faces/deeplink?objType=SVC_SERVICE_REQUEST_HCM&amp;amp;action=CREATE_IN_TAB&amp;amp;objKey=SelfServiceCategory_c%3DNBS_HRM_PAB%3BSelfServiceSubCategory_c%3DNBS_HRM_PAB_AAQ%3BChannelTypeCd%3DNBS_HRM_ODA&quot;&gt;Service Request&lt;/a&gt;."/>
        <s v="Ok. It sounds like you want to find out about work experience at Nationwide. Take a look at the guidance on theÂ &lt;a href=&quot;https://nbsuk.sharepoint.com/sites/INTRA-EmergingTalent/SitePages/Work-Experience.aspx&quot;&gt;Work Experience site&lt;/a&gt;. If you still have a query get in touch by emailing &lt;a href=&quot;mailto:emerging.talent@nationwide.co.uk?subject=Work%20experience%20query&quot;&gt;Emerging.Talent@nationwide.co.uk&lt;/a&gt;."/>
        <s v="Here's your absence balance as of 02/03/2023._x000a__x000a_&lt;b&gt;65 hrs 30 mins&lt;/b&gt; of Holiday _x000a_&lt;b&gt;0 hrs&lt;/b&gt; of Recognising Loyalty _x000a_&lt;b&gt;0 hrs&lt;/b&gt; of Work Anniversary _x000a_&lt;b&gt;0 hrs&lt;/b&gt; of MyReward _x000a_&lt;b&gt;-10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r direct reports can be off for up to 7 calendar days without providing medical certification (a fit note). They need to provide a fit note from their 8th calendar day of absence. When you receive a fit note, upload a copy onto their absence record and store the original in their local file. Then make sure their sickness absence end date on PeopleCloud matches the end date on the fit note. There's more guidance &lt;a href=&quot;https://dnn.fa.em2.oraclecloud.com:443/fscmUI/faces/deeplink?objType=CSO_ARTICLE_CONTENT_KM&amp;amp;objKey=docId%3DHRGUI122%3Blocale%3Den_US&amp;amp;action=EDIT_IN_TAB&quot;&gt;here&lt;/a&gt;."/>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Alina-Simona.Cleveti@nationwide.co.uk%22%2c+env%3a+%22https://dnn.fa.em2.oraclecloud.com%22%7d&amp;opauniqueuser=Alina-Simona.Cleveti@nationwide.co.uk"/>
        <s v="For information about your sick leave and pay entitlements please take a look at the &lt;a href=&quot;https://dnn.fa.em2.oraclecloud.com:443/fscmUI/faces/deeplink?objType=CSO_ARTICLE_CONTENT_KM&amp;objKey=docId%3DHRPOL41%3Blocale%3Den_US&amp;action=EDIT_IN_TAB&quot;&gt;Sickness Absence Policy&lt;/a&gt;."/>
        <s v="Sure. Here's how you can do it._x000a_&lt;a href='https://dnn.fa.em2.oraclecloud.com/hcmUI/faces/deeplink?objType=MY_EMPLOYMENT_INFO&amp;action=NONE'&gt;View your start date&lt;/a&gt;"/>
        <s v="You'll find you National Insurance number on your &lt;a href=&quot;https://dnn.fa.em2.oraclecloud.com/fscmUI/faces/deeplink?objType=VIEW_RES_PAY_SLIP&amp;action=NONE&quot;&gt;payslip&lt;/a&gt; and it's also shown in your &lt;a href=&quot;https://dnn.fa.em2.oraclecloud.com/fscmUI/faces/deeplink?objType=EMP_PERSONAL_DETAILS&amp;action=NONE&quot;&gt;personal information&lt;/a&gt;."/>
        <s v="Here's your absence balance as of 02/03/2023._x000a__x000a_&lt;b&gt;65 hrs&lt;/b&gt; of Holiday _x000a_&lt;b&gt;0 hrs&lt;/b&gt; of Recognising Loyalty _x000a_&lt;b&gt;0 hrs&lt;/b&gt; of Work Anniversary _x000a_&lt;b&gt;0 hrs&lt;/b&gt; of MyReward _x000a_&lt;b&gt;-12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can find your Performance Documents from previous years &lt;a href=&quot;https://dnn.fa.em2.oraclecloud.com/fscmUI/faces/deeplink?objType=WORKER_EVALUATION&amp;action=NONE&quot;&gt;here&lt;/a&gt;. Using the dropdown options you can select previous years and also switch between in progress and completed documents."/>
        <s v="Your current pay rate is -------GBP  annually. Your last approved adjustment was an increase of &lt;b&gt;11&lt;/b&gt;% (----GBP) effective on April 01, 2023."/>
        <s v="All the GROW FAQs are in a comprehensive &lt;a href=&quot;https://dnn.fa.em2.oraclecloud.com:443/fscmUI/faces/deeplink?objType=CSO_ARTICLE_CONTENT_KM&amp;amp;objKey=docId%3DHRGUI169%3Blocale%3Den_US&amp;amp;action=EDIT_IN_TAB&quot;&gt;Knowledge article&lt;/a&gt;. We'll keep updating it as GROW is rolled out to more areas. To make it easier for you to check for updates you can save the article as a Favourite on your PeopleCloud My Knowledge tab by clicking on the star next to the article name."/>
        <s v="Only HR or your manager can update your employment information. Please speak to your manager in the first instance. If they're unable to update your details themselves they can raise a service request via their Helpdesk tab in PeopleCloud and the team will help them._x000a__x000a_Your &lt;a href=&quot;https://dnn.fa.em2.oraclecloud.com/hcmUI/faces/deeplink?objType=EMP_CONTACT_INFO&amp;action=NONE&quot;&gt;contact information&lt;/a&gt; page can help you view and update your home address. You should only have one home address on PeopleCloud, so please make sure you use the pencil icon to edit your address. Don't add a separate entry. PeopleCloud feeds this information into the other employee systems that need your address details, so you only need to enter your address here."/>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JOE.BRYANT@NATIONWIDE.CO.UK%22%2c+env%3a+%22https://dnn.fa.em2.oraclecloud.com%22%7d&amp;opauniqueuser=JOE.BRYANT@NATIONWIDE.CO.UK_x000a_Job Security and Redundancy Policy: https://dnn.fa.em2.oraclecloud.com:443/fscmUI/faces/deeplink?objType=CSO_ARTICLE_CONTENT_KM&amp;objKey=docId%3DHRPOL17%3Blocale%3Den_US&amp;action=EDIT_IN_TAB"/>
        <s v="Sure. You're asking about managers MI. As a manager you can see key data about your team via the Analytics section at the bottom of your My Team page. Click Refresh to bring up the reports. They show who's got incomplete / overdue Learning, fewer goals than they need, incomplete diversity information or high sickness rates. You'll also see your headcount, your recent joiners and recent leavers. There's more guidance &lt;a href=&quot;https://dnn.fa.em2.oraclecloud.com/fscmUI/faces/deeplink?objType=CSO_ARTICLE_CONTENT_KM&amp;amp;objKey=docId%3DHRGUI56%3Blocale%3Den_US&amp;amp;action=EDIT_IN_TAB&quot;&gt;here&lt;/a&gt;."/>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joanne.giles@nationwide.co.uk%22%2c+env%3a+%22https://dnn.fa.em2.oraclecloud.com%22%7d&amp;opauniqueuser=joanne.giles@nationwide.co.uk_x000a_Job Security and Redundancy Policy: https://dnn.fa.em2.oraclecloud.com:443/fscmUI/faces/deeplink?objType=CSO_ARTICLE_CONTENT_KM&amp;objKey=docId%3DHRPOL17%3Blocale%3Den_US&amp;action=EDIT_IN_TAB"/>
        <s v="Thank you too. I'm glad I could help."/>
        <s v="Sure.Â &lt;a href=&quot;https://nbsuk.sharepoint.com/sites/INTRA-Salary/SitePages/Payroll-and-payment-of-salary.aspx&quot;&gt;Here&lt;/a&gt; are the payroll, overtime and HR cut-offs for this year. Overtime claims that are approved after the cut off will be paid the following month. You don't need to resubmit these claims."/>
        <s v="To get a copy of an AJI please raise a &lt;a href=&quot;https://dnn.fa.em2.oraclecloud.com/fscmUI/faces/deeplink?objType=SVC_SERVICE_REQUEST_HCM&amp;amp;action=CREATE_IN_TAB&amp;amp;objKey=SelfServiceCategory_c%3DNBS_HRM_OTHER%3BSelfServiceSubCategory_c%3DNBS_HRM_OTHER_AAQ%3BChannelTypeCd%3DNBS_HRM_ODA&quot;&gt;Service Request&lt;/a&gt;."/>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Anne-Marie.stein@nationwide.co.uk%22%2c+env%3a+%22https://dnn.fa.em2.oraclecloud.com%22%7d&amp;opauniqueuser=Anne-Marie.stein@nationwide.co.uk"/>
        <s v="Here's your absence balance as of 03/03/2023._x000a__x000a_&lt;b&gt;126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have the following time off in the next twelve months._x000a__x000a_&lt;b&gt;35 hrs&lt;/b&gt; of &lt;b&gt;Holiday&lt;/b&gt; from Sep 25th to Sep 29th_x000a_&lt;b&gt;28 hrs&lt;/b&gt; of &lt;b&gt;Holiday&lt;/b&gt; from Oct 2nd to Oct 5th_x000a_&lt;b&gt;28 hrs&lt;/b&gt; of &lt;b&gt;Holiday&lt;/b&gt; from Nov 28th to Dec 1st_x000a_&lt;b&gt;35 hrs&lt;/b&gt; of &lt;b&gt;Holiday&lt;/b&gt; from Dec 4th to Dec 8th_x000a__x000a_Schedule time off: https://dnn.fa.em2.oraclecloud.com/hcmUI/faces/deeplink?objType=ADD_ABSENCE&amp;action=NONE_x000a_View absences for a specific duration_x000a_View absence balance (excl. sickness balance)"/>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MICHAEL.WOOD@NATIONWIDE.CO.UK%22%2c+env%3a+%22https://dnn.fa.em2.oraclecloud.com%22%7d&amp;opauniqueuser=MICHAEL.WOOD@NATIONWIDE.CO.UK_x000a_Job Security and Redundancy Policy: https://dnn.fa.em2.oraclecloud.com:443/fscmUI/faces/deeplink?objType=CSO_ARTICLE_CONTENT_KM&amp;objKey=docId%3DHRPOL17%3Blocale%3Den_US&amp;action=EDIT_IN_TAB"/>
        <s v="You have 10 submissions pending approval:"/>
        <s v="Here are your first 3 requests:_x000a__x000a_1. Becci Hollebon Provided Final Feedback for My Performance Reflections 2022-23 - End of Year_x000a_Assigned to Joshua Wadhams on March 7th 2023_x000a__x000a_2. Becci Hollebon Provided Final Feedback for My Performance Reflections 2022-23 - End of Year_x000a_Completed on March 7th 2023_x000a__x000a_3. Self-Evaluation for Becci Hollebon in My Performance Reflections 2022-23 - End of Year Was Completed_x000a_Completed on March 7th 2023_x000a__x000a_Next 3"/>
        <s v="Please check to see if your claim was approved on time. To do this, click on the bell icon at the top right of your screen, then click on 'Show All' and then on 'All'. Use the Search to find all your 'personal contribution' requests, then open each request and you'll see the approval status and date the bottom of the screen. If it's not showing as approved please contact your manager. If it was approved after cut-off you'll receive it a month in arrears."/>
        <s v="&lt;a href='https://dnn.fa.em2.oraclecloud.com/hcmUI/content/conn/FusionAppsContentRepository/uuid/dDocID:8516275?download&amp;XFND_SCHEME_ID=1&amp;XFND_CERT_FP=E7A6669B1744C0DE0883C285E2A79DD364729D79&amp;XFND_RANDOM=1708555882222094483&amp;XFND_EXPIRES=1691055718479&amp;XFND_SIGNATURE=bZNeyo6lNx1ixr87psXKa05ru6yOvqToCddWB~shdePuhWy7Uh18Qj7GTE1FAkS8jDmgpfmvmr6fP3qwS2-sIYm-kVGudYFdMqZaj2uDfuWUDXhD6~JNEZ3ZGVZZVMrLG6rtcsPemLZ-NhsZHLZy8XcrgP5IL~xceUFrLFD5ZxU_&amp;Id=8516275' &gt;View your payslip&lt;/a&gt;"/>
        <s v="&lt;a href='https://dnn.fa.em2.oraclecloud.com/hcmUI/content/conn/FusionAppsContentRepository/uuid/dDocID:8516275?download&amp;XFND_SCHEME_ID=1&amp;XFND_CERT_FP=E7A6669B1744C0DE0883C285E2A79DD364729D79&amp;XFND_RANDOM=-4787578112373020911&amp;XFND_EXPIRES=1691055735888&amp;XFND_SIGNATURE=IuBqPCrfWIjT7k7EHgE9DXpAXAyyCMeuCqp-G7Uv51okE8ed-ZhNSlAogHRVZ4DQOsBJZ--w9DJ4eMZw4FfDQf2svOf1A0Nqr5MCOwhJyPx8uNPaIS93CyvWdcru8GfTF2c9~qzHhY675RyuI7i1MTwixCoTjHY0T~AbtpZYoho_&amp;Id=8516275' &gt;View your payslip&lt;/a&gt;"/>
        <s v="You were paid ------ GBP on 21/04/2022._x000a_Here's your payslip information."/>
        <s v="&lt;a href='https://dnn.fa.em2.oraclecloud.com/hcmUI/content/conn/FusionAppsContentRepository/uuid/dDocID:4790679?download&amp;XFND_SCHEME_ID=1&amp;XFND_CERT_FP=E7A6669B1744C0DE0883C285E2A79DD364729D79&amp;XFND_RANDOM=-718608157082116529&amp;XFND_EXPIRES=1691055750518&amp;XFND_SIGNATURE=gBo7oQYyhqWspLoD0FDihm~eG4dIN05gSUSvHt9Cu1Uxc64UwbIUE3hxz8fso4phhikaa3x0bsUEzXrsZ4Pt9R~83yA2zaGdF1xiY1jN7BfHwm0rhwneut81mC8JJxJAXT8gML-Ipxw0a9QB-nbN0saNelnZA1gtA-IIXGvK8VM_&amp;Id=4790679' &gt;View your payslip&lt;/a&gt;"/>
        <s v="You were paid ------ GBP on 19/05/2022._x000a_Here's your payslip information."/>
        <s v="&lt;a href='https://dnn.fa.em2.oraclecloud.com/hcmUI/content/conn/FusionAppsContentRepository/uuid/dDocID:5057739?download&amp;XFND_SCHEME_ID=1&amp;XFND_CERT_FP=E7A6669B1744C0DE0883C285E2A79DD364729D79&amp;XFND_RANDOM=5010650394235283599&amp;XFND_EXPIRES=1691055912438&amp;XFND_SIGNATURE=KhEtjKiS4PozyACd35GkgeCogkuWLzL3fvlognY9109hLToTvQyHRRZzgIb2NCxdJBRzoQUosz~tsTeFdzN27hLF0JJMThr47g2DYEJ~ozZY6nKBqaObgD1eh6U~Og3fNduV0qHuciRLh9RJaw9sHTfNPsNbYzYM-xIV7gP1MM8_&amp;Id=5057739' &gt;View your payslip&lt;/a&gt;"/>
        <s v="You were paid ------ GBP on 21/06/2022._x000a_Here's your payslip information."/>
        <s v="&lt;a href='https://dnn.fa.em2.oraclecloud.com/hcmUI/content/conn/FusionAppsContentRepository/uuid/dDocID:5310279?download&amp;XFND_SCHEME_ID=1&amp;XFND_CERT_FP=E7A6669B1744C0DE0883C285E2A79DD364729D79&amp;XFND_RANDOM=2645885095831976111&amp;XFND_EXPIRES=1691056006127&amp;XFND_SIGNATURE=biuY0LEvBd2ActrTAUwyUFxzjh8as-uq4wi1pVDguF5lb6eDvSeeVoHj8xhBsoi~jvyF-dCPtcqBPxCBAPgZWWt2OBPN6vdx7s37KqIlDCBVhwbAz0IPiXBxef--7lKxfqIiWIaOxj87I6N1RKEt64yCDaV0nTL4QXstLLVpM2A_&amp;Id=5310279' &gt;View your payslip&lt;/a&gt;"/>
        <s v="You were paid ------ GBP on 21/07/2022._x000a_Here's your payslip information."/>
        <s v="&lt;a href='https://dnn.fa.em2.oraclecloud.com/hcmUI/content/conn/FusionAppsContentRepository/uuid/dDocID:5582474?download&amp;XFND_SCHEME_ID=1&amp;XFND_CERT_FP=E7A6669B1744C0DE0883C285E2A79DD364729D79&amp;XFND_RANDOM=7447097353027932642&amp;XFND_EXPIRES=1691056386645&amp;XFND_SIGNATURE=j5tPoj9XoL3cqhy5keRgCF5k7sTXK6cvX6QyoArJN7iubCLeBEoA7qrvuYgAhTUcmUOd3QcynZVUE2wBTxmvMi5FB6OFki~F6OxwJxILT72xum-vHPIy5WkRalqGnuoe0oPNkNQrXwMunBXPctICK1m6sCkXdOVaDi~SYpNEU9k_&amp;Id=5582474' &gt;View your payslip&lt;/a&gt;"/>
        <s v="Sure. You'd like to know if you can submit holiday requests for next year. Yes, you can do this. Your manager will assess your requests in the usual way. To book holiday, tell me 'Book absence'."/>
        <s v="It sounds like you're asking about the Nationwide Corporate Healthcare Plan. You'll find all the information you need on the &lt;a href=&quot;https://nbsuk.sharepoint.com/sites/INTRA-EmployeeBenefits/SitePages/Healthcare.aspx&quot;&gt;Healthcare site&lt;/a&gt; and in the &lt;a href=&quot;https://dnn.fa.em2.oraclecloud.com:443/fscmUI/faces/deeplink?objType=CSO_ARTICLE_CONTENT_KM&amp;amp;objKey=docId%3DHRPOL28%3Blocale%3Den_US&amp;amp;action=EDIT_IN_TAB&quot;&gt;Healthcare and Protection Benefits Policy&lt;/a&gt;."/>
        <s v="When your hours are changed in PeopleCloud your new holiday and pay details will show the following day. If they don't, please contact your line manager to make sure they've updated your work schedule or submitted your flexible working form to HR on time. Your change of hours is effective from the date you agreed, and when PeopleCloud is updated it will be based on this date."/>
        <s v="&lt;a href='https://dnn.fa.em2.oraclecloud.com/hcmUI/content/conn/FusionAppsContentRepository/uuid/dDocID:5310279?download&amp;XFND_SCHEME_ID=1&amp;XFND_CERT_FP=E7A6669B1744C0DE0883C285E2A79DD364729D79&amp;XFND_RANDOM=8773446458188326075&amp;XFND_EXPIRES=1691057086957&amp;XFND_SIGNATURE=bmCftqoIjNm0LxqIqWcDoJi2lL3p7CzrPED3OlzvixoVVDXl8xVEWNlB-tajMa5bp-mj-l8747D1VSFdsrRp5D4P7eh5KwdYrYSvr3muIXxupxWOstIwNnushdlszUfD0Z7m55zOxaDuf58ADmWQN92qufYb1Gh5kcXReHwEsX8_&amp;Id=5310279' &gt;View your payslip&lt;/a&gt;"/>
        <s v="Here's your absence balance as of 03/03/2023._x000a__x000a_&lt;b&gt;87 hrs 15 mins&lt;/b&gt; of Holiday _x000a_&lt;b&gt;0 hrs&lt;/b&gt; of Recognising Loyalty _x000a_&lt;b&gt;0 hrs&lt;/b&gt; of Work Anniversary _x000a_&lt;b&gt;0 hrs&lt;/b&gt; of MyReward _x000a_&lt;b&gt;-13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lt;a href='https://dnn.fa.em2.oraclecloud.com/hcmUI/content/conn/FusionAppsContentRepository/uuid/dDocID:5057739?download&amp;XFND_SCHEME_ID=1&amp;XFND_CERT_FP=E7A6669B1744C0DE0883C285E2A79DD364729D79&amp;XFND_RANDOM=9185165410045540540&amp;XFND_EXPIRES=1691057391046&amp;XFND_SIGNATURE=lyZmuEgNu2~gEV2dVvF-RRfEDwfFhlDMwIV4hzRWoMqa7PVdXM2eqZwj9zs7hJ1a88nkAX2tMV0tVaU6kZg5I8254cws9lhdKrSpUCGD5FphDKRnPK34FKrbvXFkNPL4d6Rnv~8ospzQhTna57ZOSEMElptgtZ~iGtcItAEKN8o_&amp;Id=5057739' &gt;View your payslip&lt;/a&gt;"/>
        <s v="Here's your absence balance as of 03/03/2023._x000a__x000a_&lt;b&gt;65 hrs 30 mins&lt;/b&gt; of Holiday _x000a_&lt;b&gt;0 hrs&lt;/b&gt; of Recognising Loyalty _x000a_&lt;b&gt;0 hrs&lt;/b&gt; of Work Anniversary _x000a_&lt;b&gt;0 hrs&lt;/b&gt; of MyReward _x000a_&lt;b&gt;-10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anna.bethell@nationwide.co.uk%22%2c+env%3a+%22https://dnn.fa.em2.oraclecloud.com%22%7d&amp;opauniqueuser=anna.bethell@nationwide.co.uk_x000a_Job Security and Redundancy Policy: https://dnn.fa.em2.oraclecloud.com:443/fscmUI/faces/deeplink?objType=CSO_ARTICLE_CONTENT_KM&amp;objKey=docId%3DHRPOL17%3Blocale%3Den_US&amp;action=EDIT_IN_TAB"/>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Anne-Marie.stein@nationwide.co.uk%22%2c+env%3a+%22https://dnn.fa.em2.oraclecloud.com%22%7d&amp;opauniqueuser=Anne-Marie.stein@nationwide.co.uk_x000a_Job Security and Redundancy Policy: https://dnn.fa.em2.oraclecloud.com:443/fscmUI/faces/deeplink?objType=CSO_ARTICLE_CONTENT_KM&amp;objKey=docId%3DHRPOL17%3Blocale%3Den_US&amp;action=EDIT_IN_TAB"/>
        <s v="Before your direct report can use a keeping in touch day there several things you need to check well ahead of the day. Make sure there's a desktop/laptop for them to use and their systems access is active. If you need to order a laptop and other equipment, follow the guidance &lt;a href=&quot;https://nbsuk.sharepoint.com/sites/INTRA-TechnologyForYou/SitePages/desktop-laptop-support.aspx&quot;&gt;here&lt;/a&gt;. The &lt;a href=&quot;https://nbsuk.sharepoint.com/sites/INTRA-ItSystemsAccess/SitePages/Keeping-in-Touch-(KIT)-Days.aspx&quot;&gt;Logical Access KIT Guide&lt;/a&gt; explains how to reactivate their systems access. If they're coming into a work building you need to arrange for their security pass to be reactivated, or make sure that you're available to sign them in when they arrive. To reactivate their pass email &lt;a href=&quot;mailto:accesscontrol@nationwide.co.uk&quot;&gt;Access Control&lt;/a&gt;. KIT day pay can't be claimed until after the KIT day. There's step-by-step guidance on making a claim &lt;a href=&quot;https://dnn.fa.em2.oraclecloud.com:443/fscmUI/faces/deeplink?objType=CSO_ARTICLE_CONTENT_KM&amp;amp;objKey=docId%3DHRGUI52%3Blocale%3Den_US&amp;amp;action=EDIT_IN_TAB&quot;&gt;here&lt;/a&gt;."/>
        <s v="When you leave Nationwide we'll send your P45 Leaving Certificate to your home address. We'll do this after we've processed and paid your final salary payment. Please make sure your address details are up-to-date before you leave. You can check your address details &lt;a href=&quot;https://dnn.fa.em2.oraclecloud.com/fscmUI/faces/deeplink?objType=EMP_CONTACT_INFO&amp;amp;action=NONE&quot;&gt;here&lt;/a&gt;."/>
        <s v="You'll find your tax code on your &lt;a href=&quot;https://dnn.fa.em2.oraclecloud.com/fscmUI/faces/deeplink?objType=VIEW_RES_PAY_SLIP&amp;action=NONE&quot;&gt;payslip&lt;/a&gt;."/>
        <s v="I can help you with tasks like managing your direct reports, approving requests and delegating your access before you go on leave.&lt;br&gt;&lt;br&gt;I can also help you view and update your personal information, contact details, emergency contacts, and photo._x000a__x000a_1. Manage your direct reports_x000a_2. Manage your employee's salary_x000a_3. Promote Employee_x000a_4. View and update your contact information_x000a_5. Transfer Employee"/>
        <s v="If you're onboarding a new starter this &lt;a href=&quot;https://nbsuk.sharepoint.com/sites/INTRA-Recruitment/Shared%20Documents/New%20Starter%20Line%20Managers%20Guide.pptx&quot;&gt;guidance&lt;/a&gt; explains what you need to do and how to do it."/>
        <s v="If you need to get delegated access to approve requests on behalf of a manager who's absent please raise a &lt;a href=&quot;https://dnn.fa.em2.oraclecloud.com/fscmUI/faces/deeplink?objType=SVC_SERVICE_REQUEST_HCM&amp;amp;action=CREATE_IN_TAB&amp;amp;objKey=SelfServiceCategory_c%3DNBS_HRM_MMDS%3BSelfServiceSubCategory_c%3DNBS_HRM_MMDS_AAQ%3BChannelTypeCd%3DNBS_HRM_ODA&quot;&gt;Service Request&lt;/a&gt; making sure to tell us exactly what access you need. For data privacy reasons, we can only take instruction from the absent manager's manager and we can only delegate access to them or someone who's been authorised to have this access by them. If you're not the absent manager's manager please ask them to contact us instead. If you're a PA who needs delegated access to deputise for your manager you need to ask them to assign this to you via PeopleCloud as only they can do thi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HANNAH.VANCRAEYENEST@NATIONWIDE.CO.UK%22%2c+env%3a+%22https://dnn.fa.em2.oraclecloud.com%22%7d&amp;opauniqueuser=HANNAH.VANCRAEYENEST@NATIONWIDE.CO.UK"/>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SUSAN.CROSS@NATIONWIDE.CO.UK%22%2c+env%3a+%22https://dnn.fa.em2.oraclecloud.com%22%7d&amp;opauniqueuser=SUSAN.CROSS@NATIONWIDE.CO.UK"/>
        <s v="Here's your absence balance as of 03/03/2023._x000a__x000a_&lt;b&gt;72 hrs 15 mins&lt;/b&gt; of Holiday _x000a_&lt;b&gt;0 hrs&lt;/b&gt; of Recognising Loyalty _x000a_&lt;b&gt;0 hrs&lt;/b&gt; of Work Anniversary _x000a_&lt;b&gt;0 hrs&lt;/b&gt; of MyReward _x000a_&lt;b&gt;-6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mm. I didn't understand that date. Tell me something like &quot;May 1st&quot;. _x000a__x000a_I'm done"/>
        <s v="Here's your absence balance as of 03/03/2023._x000a__x000a_&lt;b&gt;148 hrs 45 mins&lt;/b&gt; of Holiday _x000a_&lt;b&gt;0 hrs&lt;/b&gt; of Recognising Loyalty _x000a_&lt;b&gt;0 hrs&lt;/b&gt; of Work Anniversary _x000a_&lt;b&gt;0 hrs&lt;/b&gt; of MyReward _x000a_&lt;b&gt;-7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ve taken the following time off in the last twelve months._x000a__x000a_&lt;b&gt;26 hrs 15 mins&lt;/b&gt; of &lt;b&gt;Holiday&lt;/b&gt; from Jul 4th to Jul 6th_x000a_&lt;b&gt;26 hrs 15 mins&lt;/b&gt; of &lt;b&gt;Holiday&lt;/b&gt; from May 8th to May 11th_x000a_&lt;b&gt;8 hrs 45 mins&lt;/b&gt; of &lt;b&gt;Holiday&lt;/b&gt; on Mar 2nd_x000a_&lt;b&gt;2 days&lt;/b&gt; of &lt;b&gt;Sickness&lt;/b&gt; from Dec 12th to Dec 13th_x000a_&lt;b&gt;26 hrs 15 mins&lt;/b&gt; of &lt;b&gt;Holiday&lt;/b&gt; from Dec 5th to Dec 7th_x000a_&lt;b&gt;3 days&lt;/b&gt; of &lt;b&gt;Sickness&lt;/b&gt; from Sep 12th to Sep 14th_x000a_&lt;b&gt;43 hrs 45 mins&lt;/b&gt; of &lt;b&gt;Holiday&lt;/b&gt; from Aug 10th to Aug 17th_x000a__x000a_Schedule time off: https://dnn.fa.em2.oraclecloud.com/hcmUI/faces/deeplink?objType=ADD_ABSENCE&amp;action=NONE_x000a_View absences for a specific duration_x000a_View absence balance (excl. sickness balance)"/>
        <s v="You've taken the following time off in the last twelve months._x000a__x000a_&lt;b&gt;7 hrs&lt;/b&gt; of &lt;b&gt;Holiday&lt;/b&gt; on Jun 2nd_x000a_&lt;b&gt;1 day&lt;/b&gt; of &lt;b&gt;Sickness&lt;/b&gt; on Apr 17th_x000a_&lt;b&gt;3 hrs 50 mins&lt;/b&gt; of &lt;b&gt;Holiday&lt;/b&gt; on Mar 17th_x000a_&lt;b&gt;1 day&lt;/b&gt; of &lt;b&gt;Sickness&lt;/b&gt; on Feb 24th_x000a_&lt;b&gt;7 hrs&lt;/b&gt; of &lt;b&gt;Holiday&lt;/b&gt; on Feb 3rd_x000a_&lt;b&gt;14 hrs&lt;/b&gt; of &lt;b&gt;Holiday&lt;/b&gt; from Jan 30th to Jan 31st_x000a_&lt;b&gt;35 hrs&lt;/b&gt; of &lt;b&gt;Holiday&lt;/b&gt; from Dec 21st to Dec 29th_x000a_&lt;b&gt;21 hrs&lt;/b&gt; of &lt;b&gt;Holiday&lt;/b&gt; from Dec 14th to Dec 16th_x000a_&lt;b&gt;7 hrs&lt;/b&gt; of &lt;b&gt;Holiday&lt;/b&gt; on Dec 2nd_x000a_&lt;b&gt;7 hrs&lt;/b&gt; of &lt;b&gt;Holiday&lt;/b&gt; on Nov 25th_x000a_&lt;b&gt;7 hrs&lt;/b&gt; of &lt;b&gt;Holiday&lt;/b&gt; on Nov 11th_x000a_&lt;b&gt;7 hrs&lt;/b&gt; of &lt;b&gt;Holiday&lt;/b&gt; on Oct 31st_x000a_&lt;b&gt;21 hrs&lt;/b&gt; of &lt;b&gt;Holiday&lt;/b&gt; from Sep 7th to Sep 9th_x000a__x000a_Schedule time off: https://dnn.fa.em2.oraclecloud.com/hcmUI/faces/deeplink?objType=ADD_ABSENCE&amp;action=NONE_x000a_View future absences_x000a_View absences for a specific duration_x000a_View absence balance (excl. sickness balance)"/>
        <s v="You don't have any time off in the next twelve months._x000a__x000a_Schedule time off: https://dnn.fa.em2.oraclecloud.com/hcmUI/faces/deeplink?objType=ADD_ABSENCE&amp;action=NONE_x000a_View absences for a specific duration_x000a_View absence balance (excl. sickness balance)"/>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LIAM.COOK@NATIONWIDE.CO.UK%22%2c+env%3a+%22https://dnn.fa.em2.oraclecloud.com%22%7d&amp;opauniqueuser=LIAM.COOK@NATIONWIDE.CO.UK"/>
        <s v="Adoption Leave_x000a_To find out more please have a look at the Adoption Leave Policy. _x000a__x000a_You may also find it helpful to use the Adoption Pay &amp; Leave Questionnaire which will estimate your leave and pay values based on the information you enter into it._x000a_Adoption Leave Policy: https://dnn.fa.em2.oraclecloud.com:443/fscmUI/faces/deeplink?objType=CSO_ARTICLE_CONTENT_KM&amp;objKey=docId%3DHRPOL12%3Blocale%3Den_US&amp;action=EDIT_IN_TAB_x000a_Adoption Pay &amp; Leave Questionnaire: https://nbs-opa.custhelp.com/web-determinations/startsession/NBS_Adoption?seedData=%7bname%3a+%22LISA.ROBINSON@NATIONWIDE.CO.UK%22%2c+env%3a+%22https://dnn.fa.em2.oraclecloud.com%22%7d&amp;opauniqueuser=LISA.ROBINSON@NATIONWIDE.CO.UK"/>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MICHELLE.WILSON@NATIONWIDE.CO.UK%22%2c+env%3a+%22https://dnn.fa.em2.oraclecloud.com%22%7d&amp;opauniqueuser=MICHELLE.WILSON@NATIONWIDE.CO.UK"/>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EMMA.YOUNG@NATIONWIDE.CO.UK%22%2c+env%3a+%22https://dnn.fa.em2.oraclecloud.com%22%7d&amp;opauniqueuser=EMMA.YOUNG@NATIONWIDE.CO.UK"/>
        <s v="Your current pay rate is -------GBP  annually. Your last approved adjustment was an increase of &lt;b&gt;6.5&lt;/b&gt;% (----GBP) effective on April 01, 2023."/>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Lisa.Davies@nationwide.co.uk%22%2c+env%3a+%22https://dnn.fa.em2.oraclecloud.com%22%7d&amp;opauniqueuser=Lisa.Davies@nationwide.co.uk"/>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carrie-anne.fiocca@nationwide.co.uk%22%2c+env%3a+%22https://dnn.fa.em2.oraclecloud.com%22%7d&amp;opauniqueuser=carrie-anne.fiocca@nationwide.co.uk"/>
        <s v="Ok. I think you're looking for help with loyalty leave. The &lt;a href=&quot;https://nbsuk.sharepoint.com/sites/INTRA-Recognition/SitePages/Recognising-loyalty.aspx&quot;&gt;Recognising Loyalty site&lt;/a&gt; is where you'll find the policy together with guidance on how and when to use your one-off holidays. You may also find it useful to look at the related &lt;a href=&quot;https://dnn.fa.em2.oraclecloud.com/fscmUI/faces/deeplink?objType=CSO_ARTICLE_CONTENT_KM&amp;amp;objKey=docId%3DHRGUI10%3Blocale%3Den_US&amp;amp;action=EDIT_IN_TAB&quot;&gt;PeopleCloud User Guides&lt;/a&gt;."/>
        <s v="Sure. I can help with that._x000a__x000a_&lt;a href=&quot;https://dnn.fa.em2.oraclecloud.com/fscmUI/faces/deeplink?objType=EMP_PERSONAL_DETAILS&amp;action=NONE&quot;&gt;View and update your personal details&lt;/a&gt; including your name, marital status and other demographic information. If you're changing your address or your legal name, remember to also notify HMRC._x000a__x000a_&lt;a href=&quot;https://dnn.fa.em2.oraclecloud.com/hcmUI/faces/deeplink?objType=EMP_CONTACT_INFO&amp;action=NONE&quot;&gt;View and update your contact details&lt;/a&gt; including your phone, email, home address and other communication methods."/>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JULY.FOSTER@NATIONWIDE.CO.UK%22%2c+env%3a+%22https://dnn.fa.em2.oraclecloud.com%22%7d&amp;opauniqueuser=JULY.FOSTER@NATIONWIDE.CO.UK"/>
        <s v="I'm sorry. I don't recognise your account information. Please clear your browser cache or refresh your browser tab and try again. If that doesnâ€™t work please raise a Service Request via your Helpdesk tab and we'll look into this for you."/>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MELISSA.WIGNALL@NATIONWIDE.CO.UK%22%2c+env%3a+%22https://dnn.fa.em2.oraclecloud.com%22%7d&amp;opauniqueuser=MELISSA.WIGNALL@NATIONWIDE.CO.UK"/>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DAWN.HENDERSON@NATIONWIDE.CO.UK%22%2c+env%3a+%22https://dnn.fa.em2.oraclecloud.com%22%7d&amp;opauniqueuser=DAWN.HENDERSON@NATIONWIDE.CO.UK"/>
        <s v="Sure. You can change the working hours here._x000a_&lt;a href='https://dnn.fa.em2.oraclecloud.com/hcmUI/faces/deeplink?objType=MY_TEAM' &gt;Change your direct report's work schedule&lt;/a&gt;_x000a__x000a_There's additional guidance &lt;a href=&quot;https://dnn.fa.em2.oraclecloud.com/fscmUI/faces/deeplink?objType=CSO_ARTICLE_CONTENT_KM&amp;objKey=docId%3DHRGUI56%3Blocale%3Den_US&amp;action=EDIT_IN_TAB&quot;&gt;here&lt;/a&gt;. The policy and guidance are &lt;a href=&quot;https://dnn.fa.em2.oraclecloud.com:443/fscmUI/faces/deeplink?objType=CSO_ARTICLE_CONTENT_KM&amp;objKey=docId%3DHRPOL13%3Blocale%3Den_US&amp;action=EDIT_IN_TAB&quot;&gt;here&lt;/a&gt;."/>
        <s v="Your current annual salary is shown in your &lt;a href=&quot;https://dnn.fa.em2.oraclecloud.com/fscmUI/faces/deeplink?objType=PERSON_SPOTLIGHT_CMP&amp;amp;action=NONE&quot;&gt;Compensation&lt;/a&gt; section. This shows your basic (notional) salary, before any deductions and it doesn't include bonuses. If you started part way through the month your first months pay will align with the number of working days you were employed at Nationwide that month.Â If you joined before the 14th of the month your first pay day will be in the same month. If you joined on or after the 14th your first pay day will be the following month and it'll include your backdated pay for the month you started in. Your salary will be paid into the account you specified when you completed your Welcome Pack.Â We transfer your pay so that it reaches your chosen account on &lt;a href=&quot;https://nbsuk.sharepoint.com/sites/INTRA-salary/sitepages/payroll-and-payment-of-salary.aspx&quot;&gt;pay day&lt;/a&gt;. How long it takes to show as cleared funds in your account is determined by your bank's / building society's own timescales.Â YourÂ &lt;a href=&quot;https://dnn.fa.em2.oraclecloud.com/fscmUI/faces/deeplink?objType=VIEW_RES_PAY_SLIP&amp;amp;action=NONE&quot;&gt;payslip&lt;/a&gt;Â will be available 3 working days before pay day."/>
        <s v="To record your 1st period of paternity leave go to &lt;a href=&quot;https://dnn.fa.em2.oraclecloud.com/fscmUI/faces/deeplink?objType=ADD_ABSENCE&amp;amp;action=NONE&quot;&gt;Add Absence&lt;/a&gt;, select Paternity Leave as the Type and complete the 3 fields on the left. Then click Submit. The absence will show in &lt;a href=&quot;https://dnn.fa.em2.oraclecloud.com/fscmUI/faces/deeplink?objType=EXISTING_ABSENCES&amp;amp;action=NONE&quot;&gt;Existing Absences&lt;/a&gt;. Before recording your 2nd second period of paternity leave you need to go back to Existing Absences, complete the other 3 fields of your first request and click Submit. Then go ahead and book your 2nd period of leave in &lt;a href=&quot;http://dnn.fa.em2.oraclecloud.com/fscmUI/faces/deeplink?objType=ADD_ABSENCE&amp;amp;action=NONE&quot;&gt;Add Absence&lt;/a&gt;. If you're recording paternity leave on behalf of a direct report there's guidance in the &lt;a href=&quot;https://dnn.fa.em2.oraclecloud.com:443/fscmUI/faces/deeplink?objType=CSO_ARTICLE_CONTENT_KM&amp;amp;objKey=docId%3DHRGUI56%3Blocale%3Den_US&amp;amp;action=EDIT_IN_TAB&quot;&gt;PeopleCloud Manager Keying Guide&lt;/a&gt;. The policy is &lt;a href=&quot;https://dnn.fa.em2.oraclecloud.com:443/fscmUI/faces/deeplink?objType=CSO_ARTICLE_CONTENT_KM&amp;amp;objKey=docId%&quot;&gt;here&lt;/a&gt; if you need to refer to it."/>
        <s v="You have 1 pending approval requests and 24 FYIs."/>
        <s v="To take an action, enter:_x000a_1. Approve_x000a_2. Reject_x000a_3. Defer_x000a_4. Done, to end the conversation"/>
        <s v="Here's the first request:_x000a_1. Approval of Holiday Absence Request for Tiffany Bolourie from 2023-08-04 to 2023-08-04_x000a__x000a_&lt;a href='https://dnn.fa.em2.oraclecloud.com:443/hcmUI/faces/adf.task-flow?tz=UTC&amp;df=medium&amp;dt=both&amp;tf=short&amp;lg=en&amp;cy=US&amp;bpmWorklistTaskId=c8af78b9-c2e9-4452-8003-3fdb5a68b579&amp;bpmBrowserWindowStatus=taskFlowReturn&amp;bpmWorklistContext=e04a47d8-213e-4a8f-bb8c-0b5b07a94365%3B%3BG%3B%3B7%2BDLhGXfEiEKE7bT2926LlBumQqiBFS5ok3sIP6yl0ziN7mmrZQfToVwLciAY36zs1qIedcPD9nE0uCZgUK1ES9y1AW2lQRiZIFviZVoNXo8vCIUUxgc3WIli5Hr03ULPTMza5opzplhg2a%2F%2B5dZkL4tSDz3Hqp7O5qqpqMS4MM%3D&amp;bpmClientType=&amp;sf=alta&amp;_id=UnifiedNotificationFlow&amp;_document=WEB-INF%2Foracle%2Fapps%2Ffinancials%2FcommonModules%2Fshared%2FpublicUi%2FonlineNotification%2Fflow%2FUnifiedNotificationFlow.xml' target='_blank'&gt;View Approval&lt;/a&gt;"/>
        <s v="Your request for approval was completed successfully."/>
        <s v="That's all of your pending requests."/>
        <s v="Here are your first 3 FYIs:_x000a__x000a_1. PeopleCloud Learning - You have recently been assigned learning_x000a__x000a_&lt;a href='https://dnn.fa.em2.oraclecloud.com:443/hcmUI/faces/adf.task-flow?tz=UTC&amp;df=medium&amp;dt=both&amp;tf=short&amp;lg=en&amp;cy=US&amp;bpmWorklistTaskId=ea7cb885-8f48-438e-b5ab-b177aeddb5ad&amp;bpmBrowserWindowStatus=taskFlowReturn&amp;bpmWorklistContext=e04a47d8-213e-4a8f-bb8c-0b5b07a94365%3B%3BG%3B%3B7%2BDLhGXfEiEKE7bT2926LlBumQqiBFS5ok3sIP6yl0ziN7mmrZQfToVwLciAY36zs1qIedcPD9nE0uCZgUK1ES9y1AW2lQRiZIFviZVoNXo8vCIUUxgc3WIli5Hr03ULPTMza5opzplhg2a%2F%2B5dZkL4tSDz3Hqp7O5qqpqMS4MM%3D&amp;bpmClientType=&amp;sf=alta&amp;_id=HcmEmailNotificationHumantask_TF&amp;_document=WEB-INF%2Foracle%2Fapps%2Fhcm%2Fcommon%2Fcore%2Falerts%2FpublicUi%2Fcomponent%2Fflow%2FHcmEmailNotificationHumantask_TFxml.xml' target='_blank'&gt;View Details&lt;/a&gt;_x000a__x000a__x000a_2. Goals Were Shared by Clare Dickinson_x000a__x000a_&lt;a href='https://dnn.fa.em2.oraclecloud.com:443/hcmUI/faces/adf.task-flow?tz=UTC&amp;df=medium&amp;dt=both&amp;tf=short&amp;lg=en&amp;cy=US&amp;bpmWorklistTaskId=bfb2d094-e126-4e17-83fd-651fd3dbb423&amp;bpmBrowserWindowStatus=taskFlowReturn&amp;bpmWorklistContext=e04a47d8-213e-4a8f-bb8c-0b5b07a94365%3B%3BG%3B%3B7%2BDLhGXfEiEKE7bT2926LlBumQqiBFS5ok3sIP6yl0ziN7mmrZQfToVwLciAY36zs1qIedcPD9nE0uCZgUK1ES9y1AW2lQRiZIFviZVoNXo8vCIUUxgc3WIli5Hr03ULPTMza5opzplhg2a%2F%2B5dZkL4tSDz3Hqp7O5qqpqMS4MM%3D&amp;bpmClientType=&amp;sf=alta&amp;_id=UnifiedNotificationFlow&amp;_document=WEB-INF%2Foracle%2Fapps%2Ffinancials%2FcommonModules%2Fshared%2FpublicUi%2FonlineNotification%2Fflow%2FUnifiedNotificationFlow.xml' target='_blank'&gt;View Details&lt;/a&gt;_x000a__x000a__x000a_3. Goals Were Shared by Clare Dickinson_x000a__x000a_&lt;a href='https://dnn.fa.em2.oraclecloud.com:443/hcmUI/faces/adf.task-flow?tz=UTC&amp;df=medium&amp;dt=both&amp;tf=short&amp;lg=en&amp;cy=US&amp;bpmWorklistTaskId=1d923562-72ff-42c4-9f2c-18c21ecd7830&amp;bpmBrowserWindowStatus=taskFlowReturn&amp;bpmWorklistContext=e04a47d8-213e-4a8f-bb8c-0b5b07a94365%3B%3BG%3B%3B7%2BDLhGXfEiEKE7bT2926LlBumQqiBFS5ok3sIP6yl0ziN7mmrZQfToVwLciAY36zs1qIedcPD9nE0uCZgUK1ES9y1AW2lQRiZIFviZVoNXo8vCIUUxgc3WIli5Hr03ULPTMza5opzplhg2a%2F%2B5dZkL4tSDz3Hqp7O5qqpqMS4MM%3D&amp;bpmClientType=&amp;sf=alta&amp;_id=UnifiedNotificationFlow&amp;_document=WEB-INF%2Foracle%2Fapps%2Ffinancials%2FcommonModules%2Fshared%2FpublicUi%2FonlineNotification%2Fflow%2FUnifiedNotificationFlow.xml' target='_blank'&gt;View Details&lt;/a&gt;"/>
        <s v="Enter_x000a_1. Next, to see next set of FYIs_x000a_2. Done, to end the conversation"/>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JASBINDER.BAHIA@NATIONWIDE.CO.UK%22%2c+env%3a+%22https://dnn.fa.em2.oraclecloud.com%22%7d&amp;opauniqueuser=JASBINDER.BAHIA@NATIONWIDE.CO.UK"/>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JULIET.JAMES@NATIONWIDE.CO.UK%22%2c+env%3a+%22https://dnn.fa.em2.oraclecloud.com%22%7d&amp;opauniqueuser=JULIET.JAMES@NATIONWIDE.CO.UK_x000a_Job Security and Redundancy Policy: https://dnn.fa.em2.oraclecloud.com:443/fscmUI/faces/deeplink?objType=CSO_ARTICLE_CONTENT_KM&amp;objKey=docId%3DHRPOL17%3Blocale%3Den_US&amp;action=EDIT_IN_TAB"/>
        <s v="Your preferred name is &lt;b&gt;Bernadette&lt;/b&gt;._x000a__x000a_&lt;a href=&quot;https://dnn.fa.em2.oraclecloud.com/fscmUI/faces/deeplink?objType=EMP_PERSONAL_DETAILS&amp;action=NONE&quot;&gt;View and update your personal details&lt;/a&gt; including your name, marital status and other demographic information. If you're changing your address or your legal name, remember to also notify HMRC._x000a__x000a_View your profile in &lt;a href=&quot;https://dnn.fa.em2.oraclecloud.com/fscmUI/faces/deeplink?objType=DIRECTORY_SEARCH&amp;action=NONE&quot;&gt;Directory&lt;/a&gt;._x000a__x000a_Need to see one of your co-workers nickname? Try &lt;q&gt;Show me John Smith's nickname&lt;/q&gt;."/>
        <s v="Eligible Nationwide employees who need support to cover the cost of travel for attending work i.e. purchasing tickets from public transport operators or purchasing annual car parking tickets, can apply for a Season Ticket Loan. These loans are interest-free and they're repaid in instalments directly from your salary. Please have a look at section 2.4 of the &lt;a href=&quot;https://dnn.fa.em2.oraclecloud.com:443/fscmUI/faces/deeplink?objType=CSO_ARTICLE_CONTENT_KM&amp;objKey=docId%3DHRPOL1%3Blocale%3Den_US&amp;action=EDIT_IN_TAB&quot;&gt;Financial Support and Benefits Policy&lt;/a&gt; which explains the repayment policy. To apply you need to submit a Season Ticket Loan request via PeopleCloud. The &lt;a href=&quot;https://dnn.fa.em2.oraclecloud.com:443/fscmUI/faces/deeplink?objType=CSO_ARTICLE_CONTENT_KM&amp;objKey=docId%3DHRGUI55%3Blocale%3Den_US&amp;action=EDIT_IN_TAB&quot;&gt;PeopleCloud Overtime &amp; Benefits Guide&lt;/a&gt; shows you how to do that."/>
        <s v="Here's your absence balance as of 03/03/2023._x000a__x000a_&lt;b&gt;103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31/12/2023._x000a__x000a_&lt;b&gt;0 hrs&lt;/b&gt; of MyReward _x000a_&lt;b&gt;103 hrs 30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haven't taken any time off in the last twelve months._x000a__x000a_Schedule time off: https://dnn.fa.em2.oraclecloud.com/hcmUI/faces/deeplink?objType=ADD_ABSENCE&amp;action=NONE_x000a_View absences for a specific duration_x000a_View absence balance (excl. sickness balance)"/>
        <s v="Here's your absence balance as of 31/12/2023._x000a__x000a_&lt;b&gt;103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past absences"/>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luke.cunningham@nationwide.co.uk%22%2c+env%3a+%22https://dnn.fa.em2.oraclecloud.com%22%7d&amp;opauniqueuser=luke.cunningham@nationwide.co.uk_x000a_Job Security and Redundancy Policy: https://dnn.fa.em2.oraclecloud.com:443/fscmUI/faces/deeplink?objType=CSO_ARTICLE_CONTENT_KM&amp;objKey=docId%3DHRPOL17%3Blocale%3Den_US&amp;action=EDIT_IN_TAB"/>
        <s v="Here's your absence balance as of 22/09/2023._x000a__x000a_&lt;b&gt;0 hrs&lt;/b&gt; of MyReward _x000a_&lt;b&gt;77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Use the &lt;a href=&quot;https://dnn.fa.em2.oraclecloud.com:443/fscmUI/faces/deeplink?objType=CSO_ARTICLE_CONTENT_KM&amp;amp;objKey=docId%3DHRIA7%3Blocale%3Den_US&amp;amp;action=EDIT_IN_TAB&quot;&gt;Holiday Entitlement Calculator&lt;/a&gt;Â toÂ find out what your holiday entitlement will be when you leave. When you leave, any holiday entitlement you haven't used will be paid in your final pay, and if you've taken more holiday than you're entitled to it'll be deducted from your final pay."/>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CURTIS.BUTLER@NATIONWIDE.CO.UK%22%2c+env%3a+%22https://dnn.fa.em2.oraclecloud.com%22%7d&amp;opauniqueuser=CURTIS.BUTLER@NATIONWIDE.CO.UK_x000a_Job Security and Redundancy Policy: https://dnn.fa.em2.oraclecloud.com:443/fscmUI/faces/deeplink?objType=CSO_ARTICLE_CONTENT_KM&amp;objKey=docId%3DHRPOL17%3Blocale%3Den_US&amp;action=EDIT_IN_TAB"/>
        <s v="Here's your absence balance as of 03/03/2023._x000a__x000a_&lt;b&gt;30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Ok you can do that here.&lt;br /&gt;_x000a_&lt;a href=&quot;https://dnn.fa.em2.oraclecloud.com/hcmUI/faces/deeplink?objType=CHANGE_ASSIGNMENT&quot;&gt;Change your direct report's assignment&lt;/a&gt;. You should only use this to confirm their probation, extend or confirm their fixed term contract, update their secondment, location, or department details. Take a look at the &lt;a href=&quot;https://dnn.fa.em2.oraclecloud.com/fscmUI/faces/deeplink?objType=CSO_ARTICLE_CONTENT_KM&amp;amp;objKey=docId%3DHRGUI56%3Blocale%3Den_US&amp;amp;action=EDIT_IN_TAB&quot;&gt;PeopleCloud Manager Keying Guide&lt;/a&gt;Â to find out how."/>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MARK.OTTEN@NATIONWIDE.CO.UK%22%2c+env%3a+%22https://dnn.fa.em2.oraclecloud.com%22%7d&amp;opauniqueuser=MARK.OTTEN@NATIONWIDE.CO.UK_x000a_Job Security and Redundancy Policy: https://dnn.fa.em2.oraclecloud.com:443/fscmUI/faces/deeplink?objType=CSO_ARTICLE_CONTENT_KM&amp;objKey=docId%3DHRPOL17%3Blocale%3Den_US&amp;action=EDIT_IN_TAB"/>
        <s v="To work out your hourly and daily rates of pay you need to divide your &lt;a href=&quot;https://dnn.fa.em2.oraclecloud.com/fscmUI/faces/deeplink?objType=PERSON_SPOTLIGHT_CMP&amp;amp;action=NONE&quot;&gt;current annual salary&lt;/a&gt; by 52 to get your weekly rate. Then, divide your weekly rate by the no. of hours you're contracted to work per week (if you're on an annualised, condensed or term-time contract, use the average no. of hours you're contracted to work per week throughout the year). This gives you your hourly rate.&lt;br /&gt;_x000a_To get your daily rate multiply your hourly rate by the (average) no. of hours you're contracted to work in a day."/>
        <s v="Here's your absence balance as of 03/03/2023._x000a__x000a_&lt;b&gt;124 hrs 1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morgan.raby@nationwide.co.uk%22%2c+env%3a+%22https://dnn.fa.em2.oraclecloud.com%22%7d&amp;opauniqueuser=morgan.raby@nationwide.co.uk"/>
        <s v="Hello, Wayne. To search by a question or phrase, you can say 'search'. If you already know the doc ID or the title of the article you are looking for, you can say, 'find HFAQ3' or 'find &quot;article title&quot;', for example. For more instruction, say help."/>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CHRIS.HEWITSON@NATIONWIDE.CO.UK%22%2c+env%3a+%22https://dnn.fa.em2.oraclecloud.com%22%7d&amp;opauniqueuser=CHRIS.HEWITSON@NATIONWIDE.CO.UK"/>
        <s v="Sure. Here are the &lt;a href=&quot;https://nbsuk.sharepoint.com/sites/INTRA-Salary/SitePages/Payroll-and-payment-of-salary.aspx&quot;&gt;upcoming pay days&lt;/a&gt; this year. New &lt;a href=&quot;https://dnn.fa.em2.oraclecloud.com/fscmUI/faces/deeplink?objType=VIEW_RES_PAY_SLIP&amp;amp;action=NONE&quot;&gt;payslips&lt;/a&gt;Â become available 3 working days before. We transfer your pay into your account on pay day. Your bank / building society will then clear theseÂ funds in line with their specific timescales.&lt;br /&gt;_x000a_Did you know you can access your payslips on your mobile device? It's justÂ &lt;a href=&quot;https://dnn.fa.em2.oraclecloud.com/fscmUI/faces/deeplink?objType=CSO_ARTICLE_CONTENT_KM&amp;amp;objKey=docId%3DHRGUI147%3Blocale%3Den_US&amp;amp;action=EDIT_IN_TAB&quot;&gt;3 simple steps&lt;/a&gt;Â to get set up."/>
        <s v="Only HR or your manager can update your employment information. Please speak to your manager in the first instance. If they're unable to update your details themselves they can raise a service request via their Helpdesk tab in PeopleCloud and the team will help them._x000a__x000a_However, you can &lt;a href=&quot;https://dnn.fa.em2.oraclecloud.com/hcmUI/faces/deeplink?objType=CHANGE_MANAGER&quot;&gt;change your employee's manager&lt;/a&gt;."/>
        <s v="Tax (PAYE) codes are driven by HMRC and only they will be able to confirm that you're on the correct code. HMRC's contact options are &lt;a href=&quot;https://www.gov.uk/government/organisations/hm-revenue-customs/contact/income-tax-enquiries-for-individuals-pensioners-and-employees&quot;&gt;here&lt;/a&gt;. Remember to have your National Insurance no. to hand when you contact them."/>
        <s v="The absence balances you see in this chat are your unused allowances, defaulted to today's date. To seeÂ how much unused holiday you have left across the whole year, tell me 'View absence balance', then select 'View balance as of another date' from the menu and input '31/12/23' when prompted. Your absence balances include any approved scheduled holiday up to the as of date."/>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EWA.TOKARSKI@NATIONWIDE.CO.UK%22%2c+env%3a+%22https://dnn.fa.em2.oraclecloud.com%22%7d&amp;opauniqueuser=EWA.TOKARSKI@NATIONWIDE.CO.UK_x000a_Job Security and Redundancy Policy: https://dnn.fa.em2.oraclecloud.com:443/fscmUI/faces/deeplink?objType=CSO_ARTICLE_CONTENT_KM&amp;objKey=docId%3DHRPOL17%3Blocale%3Den_US&amp;action=EDIT_IN_TAB"/>
        <s v="Your job title is &lt;b&gt;Business Supp Consultant (1)&lt;/b&gt;._x000a__x000a_Need to see one of your co-workers job details? Try &lt;q&gt;Show me John Smith's job details&lt;/q&gt;."/>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LAURA.SMITH3@NATIONWIDE.CO.UK%22%2c+env%3a+%22https://dnn.fa.em2.oraclecloud.com%22%7d&amp;opauniqueuser=LAURA.SMITH3@NATIONWIDE.CO.UK_x000a_Job Security and Redundancy Policy: https://dnn.fa.em2.oraclecloud.com:443/fscmUI/faces/deeplink?objType=CSO_ARTICLE_CONTENT_KM&amp;objKey=docId%3DHRPOL17%3Blocale%3Den_US&amp;action=EDIT_IN_TAB"/>
        <s v="Sure. Here's how you can do it._x000a_&lt;a href='https://dnn.fa.em2.oraclecloud.com/hcmUI/faces/deeplink?objType=EMP_CONTACT_INFO&amp;action=NONE'&gt;View and update your home email&lt;/a&gt;"/>
        <s v="If you're a new starter and you have a P45 from your previous employer you need to send a copy of it to us as soon as possible to prevent you paying emergency tax on your first pay. To do this, raise a &lt;a href=&quot;https://dnn.fa.em2.oraclecloud.com/fscmUI/faces/deeplink?objType=SVC_SERVICE_REQUEST_HCM&amp;amp;action=CREATE_IN_TAB&amp;amp;objKey=SelfServiceCategory_c%3DNBS_HRM_PAB%3BSelfServiceSubCategory_c%3DNBS_HRM_PAB_AAQ%3BChannelTypeCd%3DNBS_HRM_ODA&quot;&gt;Service Request&lt;/a&gt; and attach a copy of your P45 to the request. If you don't have a P45 from your previous employer you would have been asked to provide the necessary information as part of your onboarding activities. Please make sure you do this as soon as possible."/>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SAM.FIELDING@NATIONWIDE.CO.UK%22%2c+env%3a+%22https://dnn.fa.em2.oraclecloud.com%22%7d&amp;opauniqueuser=SAM.FIELDING@NATIONWIDE.CO.UK_x000a_Job Security and Redundancy Policy: https://dnn.fa.em2.oraclecloud.com:443/fscmUI/faces/deeplink?objType=CSO_ARTICLE_CONTENT_KM&amp;objKey=docId%3DHRPOL17%3Blocale%3Den_US&amp;action=EDIT_IN_TAB"/>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Alix.Olarerin@nationwide.co.uk%22%2c+env%3a+%22https://dnn.fa.em2.oraclecloud.com%22%7d&amp;opauniqueuser=Alix.Olarerin@nationwide.co.uk"/>
        <s v="OK. It sounds like youâ€™re asking about obtaining people data. If its about recruitment, either your &lt;a href=&quot;https://nbsuk.sharepoint.com/sites/INTRA-Recruitment/SitePages/Resourcing-Team-Contacts.aspx&quot;&gt;Resourcing Business Partner&lt;/a&gt; or your &lt;a href=&quot;https://nbsuk.sharepoint.com/sites/INTRA-Recruitment/SitePages/Resourcing-Team-Contacts.aspx&quot;&gt;Recruitment Delivery Manager&lt;/a&gt; can provide this to you. If its about leaving themes our &lt;a href=&quot;mailto:exitmanagement@nationwide.co.uk?subject=Leaving%20themes&quot;&gt;Exit Management Team&lt;/a&gt; can help, and if its about things like attrition or leavers rates you need to &lt;a href=&quot;https://dnn.fa.em2.oraclecloud.com/fscmUI/faces/deeplink?objType=SVC_SERVICE_REQUEST_HCM&amp;amp;action=CREATE_IN_TAB&amp;amp;objKey=SelfServiceCategory_c%3DNBS_HRM_CAT_HRSYSTEMS%3BSelfServiceSubCategory_c%3DNBS_HRM_HRSYSTEMS_PD%3BChannelTypeCd%3DNBS_HRM_ODA&quot;&gt;raise a service request&lt;/a&gt;, making sure to include as much information as possible. I also recommend reading this &lt;a href=&quot;https://nbsuk.sharepoint.com/sites/INTRA-DataPrivacy&quot;&gt;Data Privacy guidance&lt;/a&gt;."/>
        <s v="Secondments should be for a fixed period of time of between three months and one year. Please take a look at section 2.1 of the &lt;a href=&quot;https://dnn.fa.em2.oraclecloud.com:443/fscmUI/faces/deeplink?objType=CSO_ARTICLE_CONTENT_KM&amp;objKey=docId%3DHRPOL4%3Blocale%3Den_US&amp;action=EDIT_IN_TAB&quot;&gt;Secondment Policy&lt;/a&gt; for more information."/>
        <s v="Sorry, only HR or your manager can update your salary information._x000a__x000a_However, you can &lt;a href=&quot;https://dnn.fa.em2.oraclecloud.com/hcmUI/faces/deeplink?objType=MGR_CHANGE_SALARY&quot;&gt;manage your employee's salary&lt;/a&gt;."/>
        <s v="OK. Go here to &lt;a href=&quot;https://dnn.fa.em2.oraclecloud.com/hcmUI/faces/deeplink?objType=PROMOTE&quot;&gt;promote an employee&lt;/a&gt;._x000a__x000a_You should only use Promote when theyâ€™re being promoted as a result of an authorised career progression programme, and please make sure you attach all required documentation._x000a__x000a_Take a look at the &lt;a href=&quot;https://dnn.fa.em2.oraclecloud.com/fscmUI/faces/deeplink?objType=CSO_ARTICLE_CONTENT_KM&amp;objKey=docId%3DHRGUI56%3Blocale%3Den_US&amp;action=EDIT_IN_TAB&quot;&gt; PeopleCloud Manager Keying Guide&lt;/a&gt;"/>
        <s v="When a direct report is leaving Nationwide there are some &lt;a href=&quot;https://nbsuk.sharepoint.com/sites/INTRA-LeavingNationwide/SitePages/Leavers-checklist.aspx&quot;&gt;important things you &lt;strong&gt;must&lt;/strong&gt; do before they leave&lt;/a&gt; to make sure their leaving pay is correct, their systems / buildings access is removed, and they've returned their Nationwide equipment. You'll find additional guidance in the &lt;a href=&quot;https://dnn.fa.em2.oraclecloud.com/fscmUI/faces/deeplink?objType=CSO_ARTICLE_CONTENT_KM&amp;amp;objKey=docId%3DHRGUI56%3Blocale%3Den_US&amp;amp;action=EDIT_IN_TAB&quot;&gt;PeopleCloud Managers Keying Guide&lt;/a&gt;. These actions&lt;strong&gt; must be completed on time and accurately&lt;/strong&gt; to ensure the security of Nationwide, our customers and our members. If required, your manager can key terminations on your behalf. If the team member is leaving through disciplinary or other Fair Treatment at Work issues, please contact your HR Case Management Consultant before you initiate any leaving transactions in the system."/>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claire.kennedy@nationwide.co.uk%22%2c+env%3a+%22https://dnn.fa.em2.oraclecloud.com%22%7d&amp;opauniqueuser=claire.kennedy@nationwide.co.uk"/>
        <s v="I'm sorry. I can't find any active colleagues called &lt;b&gt;Cifas&lt;/b&gt;. Can you enter the person's name again, in case I got it wrong. Just so you know, my directory only shows active colleagues. If the person you're looking for has left or is temporarily inactive they won't show. The same applies to the intranet directory."/>
        <s v="You have no pending approval requests and 24 FYIs."/>
        <s v="Here are your first 3 FYIs:_x000a__x000a_1. PeopleCloud Learning - You have recently been assigned learning_x000a__x000a_&lt;a href='https://dnn.fa.em2.oraclecloud.com:443/hcmUI/faces/adf.task-flow?tz=UTC&amp;df=medium&amp;dt=both&amp;tf=short&amp;lg=en&amp;cy=US&amp;bpmWorklistTaskId=5af5d1cf-a3c5-4ddd-8478-c04b199b24ab&amp;bpmBrowserWindowStatus=taskFlowReturn&amp;bpmWorklistContext=1d975237-e745-4f38-83ec-d30bbe1e8478%3B%3BG%3B%3BjGPjRoj3fJOspXsvSVALGVBxjj%2FkuIMbO8X917Z8MZ%2Fkg1%2BwIlpKp1UtFEOQCKoEeGS0JNLvkIZQdLl2dG4caIN6xxJhsmdW1%2FOBU3PablwqvnrIvEviux%2BLM55LxIW6smV0HGvT7dQ653s0VmZmLKfXXHXyOgAcnYuDQ6E6pDk%3D&amp;bpmClientType=&amp;sf=alta&amp;_id=HcmEmailNotificationHumantask_TF&amp;_document=WEB-INF%2Foracle%2Fapps%2Fhcm%2Fcommon%2Fcore%2Falerts%2FpublicUi%2Fcomponent%2Fflow%2FHcmEmailNotificationHumantask_TFxml.xml' target='_blank'&gt;View Details&lt;/a&gt;_x000a__x000a__x000a_2. Goals Were Shared by Heather Andrusiak_x000a__x000a_&lt;a href='https://dnn.fa.em2.oraclecloud.com:443/hcmUI/faces/adf.task-flow?tz=UTC&amp;df=medium&amp;dt=both&amp;tf=short&amp;lg=en&amp;cy=US&amp;bpmWorklistTaskId=c3c984d1-a8d8-4156-90e1-2922c65032c6&amp;bpmBrowserWindowStatus=taskFlowReturn&amp;bpmWorklistContext=1d975237-e745-4f38-83ec-d30bbe1e8478%3B%3BG%3B%3BjGPjRoj3fJOspXsvSVALGVBxjj%2FkuIMbO8X917Z8MZ%2Fkg1%2BwIlpKp1UtFEOQCKoEeGS0JNLvkIZQdLl2dG4caIN6xxJhsmdW1%2FOBU3PablwqvnrIvEviux%2BLM55LxIW6smV0HGvT7dQ653s0VmZmLKfXXHXyOgAcnYuDQ6E6pDk%3D&amp;bpmClientType=&amp;sf=alta&amp;_id=UnifiedNotificationFlow&amp;_document=WEB-INF%2Foracle%2Fapps%2Ffinancials%2FcommonModules%2Fshared%2FpublicUi%2FonlineNotification%2Fflow%2FUnifiedNotificationFlow.xml' target='_blank'&gt;View Details&lt;/a&gt;_x000a__x000a__x000a_3. Goals Were Shared by Heather Andrusiak_x000a__x000a_&lt;a href='https://dnn.fa.em2.oraclecloud.com:443/hcmUI/faces/adf.task-flow?tz=UTC&amp;df=medium&amp;dt=both&amp;tf=short&amp;lg=en&amp;cy=US&amp;bpmWorklistTaskId=e9fc646f-ee7c-4966-a05c-ce6c0cde9f20&amp;bpmBrowserWindowStatus=taskFlowReturn&amp;bpmWorklistContext=1d975237-e745-4f38-83ec-d30bbe1e8478%3B%3BG%3B%3BjGPjRoj3fJOspXsvSVALGVBxjj%2FkuIMbO8X917Z8MZ%2Fkg1%2BwIlpKp1UtFEOQCKoEeGS0JNLvkIZQdLl2dG4caIN6xxJhsmdW1%2FOBU3PablwqvnrIvEviux%2BLM55LxIW6smV0HGvT7dQ653s0VmZmLKfXXHXyOgAcnYuDQ6E6pDk%3D&amp;bpmClientType=&amp;sf=alta&amp;_id=UnifiedNotificationFlow&amp;_document=WEB-INF%2Foracle%2Fapps%2Ffinancials%2FcommonModules%2Fshared%2FpublicUi%2FonlineNotification%2Fflow%2FUnifiedNotificationFlow.xml' target='_blank'&gt;View Details&lt;/a&gt;"/>
        <s v="Sorry, I didn't get that. Please type 'Next' to see next set of FYI's_x000a_'Done' to end approvals"/>
        <s v="Here's your absence balance as of 04/03/2023._x000a__x000a_&lt;b&gt;133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Ok, you can start the process here._x000a__x000a_You should only use &lt;a href=&quot;https://dnn.fa.em2.oraclecloud.com/hcmUI/faces/deeplink?objType=TRANSFER&quot;&gt;Transfer&lt;/a&gt; when theyâ€™re moving to a lower career family or to a new non-advertised role, and please make sure you attach all required documentation. _x000a__x000a_Take a look at the &lt;a href=&quot;https://dnn.fa.em2.oraclecloud.com/fscmUI/faces/deeplink?objType=CSO_ARTICLE_CONTENT_KM&amp;objKey=docId%3DHRGUI56%3Blocale%3Den_US&amp;action=EDIT_IN_TAB&quot;&gt;PeopleCloud Manager Keying Guide&lt;/a&gt; to find out how."/>
        <s v="Please take a look at the &lt;a href=&quot;https://dnn.fa.em2.oraclecloud.com:443/fscmUI/faces/deeplink?objType=CSO_ARTICLE_CONTENT_KM&amp;objKey=docId%3DHRPOL3%3Blocale%3Den_US&amp;action=EDIT_IN_TAB&quot;&gt;Allowances Policy&lt;/a&gt; and the &lt;a href=&quot;https://dnn.fa.em2.oraclecloud.com:443/fscmUI/faces/deeplink?objType=CSO_ARTICLE_CONTENT_KM&amp;objKey=docId%3DHRGUI73%3Blocale%3Den_US&amp;action=EDIT_IN_TAB&quot;&gt;London Allowance Employee Guide&lt;/a&gt; where you'll find detailed information about how London Allowance works and what happens when it's phased out."/>
        <s v="You have no pending approval requests and 6 FYIs."/>
        <s v="Here are your first 3 FYIs:_x000a__x000a_1. PeopleCloud Learning - You have recently been assigned learning_x000a__x000a_&lt;a href='https://dnn.fa.em2.oraclecloud.com:443/hcmUI/faces/adf.task-flow?tz=UTC&amp;df=medium&amp;dt=both&amp;tf=short&amp;lg=en&amp;cy=US&amp;bpmWorklistTaskId=9d0d4cb5-df65-4f67-b35b-d76e69520705&amp;bpmBrowserWindowStatus=taskFlowReturn&amp;bpmWorklistContext=8aaf148d-44d4-46a0-8c5c-e6ff1ee554fc%3B%3BG%3B%3BUoYP%2FQn7OLcHkN4Rj1SUND6btUQwVl4t9%2FBtc9BZkfjsXTvlJHzozc8MAPeG1TZ2VnS%2BLVXIXSkRi%2BDZ7ncf3N9FEWDsrDnWHBx6ymNBGP%2F%2Bd0WjMbQsJt%2BA0WmJ9tXh1rTKVfulTfIhl7R6KZxviWDGll6XpeyIm3owm0WRukd8y5IhaWxqCciVAAiZbLYV&amp;bpmClientType=&amp;sf=alta&amp;_id=HcmEmailNotificationHumantask_TF&amp;_document=WEB-INF%2Foracle%2Fapps%2Fhcm%2Fcommon%2Fcore%2Falerts%2FpublicUi%2Fcomponent%2Fflow%2FHcmEmailNotificationHumantask_TFxml.xml' target='_blank'&gt;View Details&lt;/a&gt;_x000a__x000a__x000a_2. Goal Personal Development  Was Updated by Your Manager_x000a__x000a_&lt;a href='https://dnn.fa.em2.oraclecloud.com:443/hcmUI/faces/adf.task-flow?tz=UTC&amp;df=medium&amp;dt=both&amp;tf=short&amp;lg=en&amp;cy=US&amp;bpmWorklistTaskId=226639af-c39a-4811-b975-524146d6685f&amp;bpmBrowserWindowStatus=taskFlowReturn&amp;bpmWorklistContext=8aaf148d-44d4-46a0-8c5c-e6ff1ee554fc%3B%3BG%3B%3BUoYP%2FQn7OLcHkN4Rj1SUND6btUQwVl4t9%2FBtc9BZkfjsXTvlJHzozc8MAPeG1TZ2VnS%2BLVXIXSkRi%2BDZ7ncf3N9FEWDsrDnWHBx6ymNBGP%2F%2Bd0WjMbQsJt%2BA0WmJ9tXh1rTKVfulTfIhl7R6KZxviWDGll6XpeyIm3owm0WRukd8y5IhaWxqCciVAAiZbLYV&amp;bpmClientType=&amp;sf=alta&amp;_id=UnifiedNotificationFlow&amp;_document=WEB-INF%2Foracle%2Fapps%2Ffinancials%2FcommonModules%2Fshared%2FpublicUi%2FonlineNotification%2Fflow%2FUnifiedNotificationFlow.xml' target='_blank'&gt;View Details&lt;/a&gt;_x000a__x000a__x000a_3. Goal Make our Team Members Successful  Was Updated by Your Manager_x000a__x000a_&lt;a href='https://dnn.fa.em2.oraclecloud.com:443/hcmUI/faces/adf.task-flow?tz=UTC&amp;df=medium&amp;dt=both&amp;tf=short&amp;lg=en&amp;cy=US&amp;bpmWorklistTaskId=5addc424-a76e-427b-a03b-ff5fd26c1dd6&amp;bpmBrowserWindowStatus=taskFlowReturn&amp;bpmWorklistContext=8aaf148d-44d4-46a0-8c5c-e6ff1ee554fc%3B%3BG%3B%3BUoYP%2FQn7OLcHkN4Rj1SUND6btUQwVl4t9%2FBtc9BZkfjsXTvlJHzozc8MAPeG1TZ2VnS%2BLVXIXSkRi%2BDZ7ncf3N9FEWDsrDnWHBx6ymNBGP%2F%2Bd0WjMbQsJt%2BA0WmJ9tXh1rTKVfulTfIhl7R6KZxviWDGll6XpeyIm3owm0WRukd8y5IhaWxqCciVAAiZbLYV&amp;bpmClientType=&amp;sf=alta&amp;_id=UnifiedNotificationFlow&amp;_document=WEB-INF%2Foracle%2Fapps%2Ffinancials%2FcommonModules%2Fshared%2FpublicUi%2FonlineNotification%2Fflow%2FUnifiedNotificationFlow.xml' target='_blank'&gt;View Details&lt;/a&gt;"/>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LAUREN.EATON@NATIONWIDE.CO.UK%22%2c+env%3a+%22https://dnn.fa.em2.oraclecloud.com%22%7d&amp;opauniqueuser=LAUREN.EATON@NATIONWIDE.CO.UK"/>
        <s v="We use 2 types of tax basis to calculate employees' monthly tax deductions. Cumulative basis and Week 1 / Month 1 basis (also referred to as X or emergency tax). Cumulative basis takes into account previous pay and tax. This allows you to receive tax rebates during the tax year. Week 1 / Month 1 basis treats each pay day as if it was your first pay day of the tax year. HMRC tell us to apply this to new employees when we haven't received their P45/New Starter Declaration by &lt;a href=&quot;https://nbsuk.sharepoint.com/sites/INTRA-Salary/SitePages/Payroll-and-payment-of-salary.aspx&quot;&gt;payroll cut-off&lt;/a&gt;. You'll be moved to cumulative tax when we receive and process your P45/New Starter Declaration. The onlyÂ exception is where HMRC send us a P6 notification about your tax - we're unable to override P6 notifications."/>
        <s v="The overtime types / allowances that you see in PeopleCloud are linked to your specific contract type. If you can't see a particular type / allowance it's because you're not contractually entitled to claim it."/>
        <s v="Here's your absence balance as of 04/03/2023._x000a__x000a_&lt;b&gt;101 hrs 1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NATASHA.COXILL@NATIONWIDE.CO.UK%22%2c+env%3a+%22https://dnn.fa.em2.oraclecloud.com%22%7d&amp;opauniqueuser=NATASHA.COXILL@NATIONWIDE.CO.UK_x000a_Job Security and Redundancy Policy: https://dnn.fa.em2.oraclecloud.com:443/fscmUI/faces/deeplink?objType=CSO_ARTICLE_CONTENT_KM&amp;objKey=docId%3DHRPOL17%3Blocale%3Den_US&amp;action=EDIT_IN_TAB"/>
        <s v="Shared Parental Leave_x000a__x000a_To find out more please have a look at the Shared Parental Leave Policy. You may also find it helpful to use the Shared Parental Leave and Pay Questionnaire which will estimate your leave and pay values based on the information you enter into it._x000a_Shared Parental Leave Policy: https://dnn.fa.em2.oraclecloud.com:443/fscmUI/faces/deeplink?objType=CSO_ARTICLE_CONTENT_KM&amp;objKey=docId%3DHRPOL12%3Blocale%3Den_US&amp;action=EDIT_IN_TAB_x000a_Shared Parental Leave and Pay Questionnaire: https://nbs-opa.custhelp.com/web-determinations/startsession/NBS_SharedLeave?seedData=%7bname%3a+%22liam.wells@nationwide.co.uk%22%2c+env%3a+%22https://dnn.fa.em2.oraclecloud.com%22%7d&amp;opauniqueuser=liam.wells@nationwide.co.uk"/>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Claire.Langford@nationwide.co.uk%22%2c+env%3a+%22https://dnn.fa.em2.oraclecloud.com%22%7d&amp;opauniqueuser=Claire.Langford@nationwide.co.uk"/>
        <s v="You don't have any time off in the next twelve months._x000a__x000a_Schedule time off: https://dnn.fa.em2.oraclecloud.com/hcmUI/faces/deeplink?objType=ADD_ABSENCE&amp;action=NONE_x000a_View past absences_x000a_View absences for a specific duration_x000a_View absence balance (excl. sickness balance)"/>
        <s v="Here's your absence balance as of 04/03/2023._x000a__x000a_&lt;b&gt;47 hrs 4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Ok. It sounds like you have a query about your holiday details. The &lt;a href=&quot;https://dnn.fa.em2.oraclecloud.com/fscmUI/faces/deeplink?objType=CSO_ARTICLE_CONTENT_KM&amp;amp;objKey=docId%3DHRGUI155%3Blocale%3Den_US&amp;amp;action=EDIT_IN_TAB &quot;&gt;Holiday Guide&lt;/a&gt;Â tells you everything about how to find and understand your Holiday details. When you open your Absence Balance page, it's defaulted to show your remaining holiday (unused holiday).To see your full holiday details you need to click into each section. If you still have a query after reading the guide you can &lt;a href=&quot;https://dnn.fa.em2.oraclecloud.com/fscmUI/faces/deeplink?objType=SVC_SERVICE_REQUEST_HCM&amp;amp;action=CREATE_IN_TAB&amp;amp;objKey=SelfServiceCategory_c%3DNBS_HRM_MMDS%3BSelfServiceSubCategory_c%3DNBS_HRM_MMDS_AAQ%3BChannelTypeCd%3DNBS_HRM_ODA&quot;&gt;raise a service request&lt;/a&gt;. Please include as much information as possible, including screenshots."/>
        <s v="You can see you team members birthdays on Appreciate, if they've chosen to share it on there."/>
        <s v="Your current pay rate is -------GBP  annually."/>
        <s v="You have no pending approval requests and 4 FYIs."/>
        <s v="Here are your first 3 FYIs:_x000a__x000a_1. Reminder - Task New Starter Declaration Allocated for Christian Paul, 500874 is Due in 3 Days_x000a_2. Reminder - Task Bank Details Allocated for Christian Paul, 500874 is Due in 3 Days_x000a_3. Reminder - Task Expression of Wish Allocated for Christian Paul, 500874 is Due in 3 Days"/>
        <s v="You have 1 active assignment._x000a__x000a_&lt;b&gt;Engineer - E1&lt;/b&gt;, E500874._x000a_You report to Peter Ridgway in this assignment."/>
        <s v="Here's your absence balance as of 05/03/2023._x000a__x000a_&lt;b&gt;65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ve taken the following time off in the last twelve months._x000a__x000a_&lt;b&gt;7 hrs&lt;/b&gt; of &lt;b&gt;Holiday&lt;/b&gt; on Jul 14th_x000a_&lt;b&gt;14 hrs&lt;/b&gt; of &lt;b&gt;Holiday&lt;/b&gt; from Jul 3rd to Jul 4th_x000a_&lt;b&gt;14 hrs&lt;/b&gt; of &lt;b&gt;Holiday&lt;/b&gt; from Jun 22nd to Jun 23rd_x000a_&lt;b&gt;35 hrs&lt;/b&gt; of &lt;b&gt;Holiday&lt;/b&gt; from May 15th to May 19th_x000a_&lt;b&gt;1 day&lt;/b&gt; of &lt;b&gt;Sickness&lt;/b&gt; on May 2nd_x000a_&lt;b&gt;21 hrs&lt;/b&gt; of &lt;b&gt;Holiday&lt;/b&gt; from Apr 19th to Apr 21st_x000a_&lt;b&gt;1 day&lt;/b&gt; of &lt;b&gt;Sickness&lt;/b&gt; on Apr 17th_x000a_&lt;b&gt;28 hrs&lt;/b&gt; of &lt;b&gt;Holiday&lt;/b&gt; from Mar 28th to Mar 31st_x000a_&lt;b&gt;7 hrs&lt;/b&gt; of &lt;b&gt;Holiday&lt;/b&gt; on Feb 27th_x000a_&lt;b&gt;42 hrs&lt;/b&gt; of &lt;b&gt;Holiday&lt;/b&gt; from Feb 3rd to Feb 10th_x000a_&lt;b&gt;4 days&lt;/b&gt; of &lt;b&gt;Sickness&lt;/b&gt; from Nov 21st to Nov 24th_x000a__x000a_Schedule time off: https://dnn.fa.em2.oraclecloud.com/hcmUI/faces/deeplink?objType=ADD_ABSENCE&amp;action=NONE_x000a_View absences for a specific duration_x000a_View absence balance (excl. sickness balance)"/>
        <s v="Here's your absence balance as of 05/03/2023._x000a__x000a_&lt;b&gt;65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past absences"/>
        <s v="Here's your absence balance as of 31/12/2023._x000a__x000a_&lt;b&gt;65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past absences"/>
        <s v="Your current pay rate is -------GBP  annually. Your last approved adjustment was an increase of &lt;b&gt;5.9&lt;/b&gt;% (----GBP) effective on May 01, 2023."/>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LOWRIE.PICTON@NATIONWIDE.CO.UK%22%2c+env%3a+%22https://dnn.fa.em2.oraclecloud.com%22%7d&amp;opauniqueuser=LOWRIE.PICTON@NATIONWIDE.CO.UK"/>
        <s v="If a team member wants to take holiday / extra holiday before they leave and you've already approved their resignation request you need to contact us so that we can amend these details for you. Please raise a &lt;a href=&quot;https://dnn.fa.em2.oraclecloud.com/fscmUI/faces/deeplink?objType=SVC_SERVICE_REQUEST_HCM&amp;action=CREATE_IN_TAB&amp;objKey=SelfServiceCategory_c%3DNBS_HRM_MMDS%3BSelfServiceSubCategory_c%3DNBS_HRM_MMDS_AAQ%3BChannelTypeCd%3DNBS_HRM_ODA&quot;&gt;Service Request&lt;/a&gt;, making sure to add their name, holiday start &amp; end dates and their new leaving date (if this has changed). If they haven't submitted their resignation request yet they can book the agreed holiday off in the normal way and then submit their resignation request after you've approved the holiday."/>
        <s v="When one of your direct reports leaves Nationwide you need to send any locally held personal documentation that you hold about them to us in HR. Take a look at this &lt;a href=&quot;https://nbsuk.sharepoint.com/sites/INTRA-EmployeePersonalInfo/SitePages/personal_file_held_by_manager.aspx&quot;&gt;guidance&lt;/a&gt; to see which types of documents you need to send us, and how."/>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Charlotte.Eyre@nationwide.co.uk%22%2c+env%3a+%22https://dnn.fa.em2.oraclecloud.com%22%7d&amp;opauniqueuser=Charlotte.Eyre@nationwide.co.uk"/>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NICOLA.COOK@NATIONWIDE.CO.UK%22%2c+env%3a+%22https://dnn.fa.em2.oraclecloud.com%22%7d&amp;opauniqueuser=NICOLA.COOK@NATIONWIDE.CO.UK_x000a_Job Security and Redundancy Policy: https://dnn.fa.em2.oraclecloud.com:443/fscmUI/faces/deeplink?objType=CSO_ARTICLE_CONTENT_KM&amp;objKey=docId%3DHRPOL17%3Blocale%3Den_US&amp;action=EDIT_IN_TAB"/>
        <s v="Sure. I think this is what you want._x000a_&lt;a href='https://dnn.fa.em2.oraclecloud.com/fscmUI/faces/deeplink?objType=WORKER_EVALUATION&amp;action=NONE' &gt;View your Performance&lt;/a&gt;"/>
        <s v="It sounds like you're asking about Nationwide's pay bands. They're published &lt;a href=&quot;https://nbsuk.sharepoint.com/sites/INTRA-CareerFamilies&quot;&gt;here&lt;/a&gt;Â with all our pay band guidance."/>
        <s v="Your job title is &lt;b&gt;Compliance Advice Manager&lt;/b&gt;._x000a__x000a_Need to see one of your co-workers job details? Try &lt;q&gt;Show me John Smith's job details&lt;/q&gt;."/>
        <s v="Your preferred name is &lt;b&gt;Dan&lt;/b&gt;._x000a__x000a_&lt;a href=&quot;https://dnn.fa.em2.oraclecloud.com/fscmUI/faces/deeplink?objType=EMP_PERSONAL_DETAILS&amp;action=NONE&quot;&gt;View and update your personal details&lt;/a&gt; including your name, marital status and other demographic information. If you're changing your address or your legal name, remember to also notify HMRC._x000a__x000a_View your profile in &lt;a href=&quot;https://dnn.fa.em2.oraclecloud.com/fscmUI/faces/deeplink?objType=DIRECTORY_SEARCH&amp;action=NONE&quot;&gt;Directory&lt;/a&gt;._x000a__x000a_Need to see one of your co-workers nickname? Try &lt;q&gt;Show me John Smith's nickname&lt;/q&gt;."/>
        <s v="There's guidance &lt;a href=&quot;https://nbsuk.sharepoint.com/sites/INTRA-EmployeeBenefits/SitePages/Healthcare.aspx&quot;&gt;here&lt;/a&gt; about making a claim under your Nationwide Healthcare Plan. If you're looking to amend or cancel your cover, and your cover is paid for by Nationwide, take a look at this &lt;a href=&quot;https://dnn.fa.em2.oraclecloud.com/fscmUI/faces/deeplink?objType=CSO_ARTICLE_CONTENT_KM&amp;objKey=docId%3DHRGUI143%3Blocale%3Den_US&amp;action=EDIT_IN_TAB&quot;&gt;guide&lt;/a&gt; to see how to submit your request. If you bought your cover yourself you can go directly into &lt;a href=&quot;https://nbsuk.sharepoint.com/sites/INTRA-EmployeeBenefits&quot;&gt;MyReward&lt;/a&gt; and make the changes there, via the My Benefit Choices tile."/>
        <s v="Here's your absence balance as of 07/03/2023._x000a__x000a_&lt;b&gt;101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07/03/2023._x000a__x000a_&lt;b&gt;80 hrs 30 mins&lt;/b&gt; of Holiday _x000a_&lt;b&gt;0 hrs&lt;/b&gt; of Sabbatical Leave _x000a_&lt;b&gt;0 hrs&lt;/b&gt; of Recognising Loyalty _x000a_&lt;b&gt;0 hrs&lt;/b&gt; of Work Anniversary _x000a_&lt;b&gt;0 hrs&lt;/b&gt; of MyReward _x000a_&lt;b&gt;-4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Sure. I think this is what you want._x000a_&lt;a href='https://dnn.fa.em2.oraclecloud.com/fscmUI/faces/deeplink?objType=MY_GOALS&amp;action=NONE' &gt;View your Goals&lt;/a&gt;"/>
        <s v="Here's your absence balance as of 07/03/2023._x000a__x000a_&lt;b&gt;100 hrs 2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07/03/2023._x000a__x000a_&lt;b&gt;67 hrs&lt;/b&gt; of Holiday _x000a_&lt;b&gt;0 hrs&lt;/b&gt; of Recognising Loyalty _x000a_&lt;b&gt;0 hrs&lt;/b&gt; of Work Anniversary _x000a_&lt;b&gt;0 hrs&lt;/b&gt; of MyReward _x000a_&lt;b&gt;-13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31/12/2023._x000a__x000a_&lt;b&gt;32 hrs&lt;/b&gt; of Holiday _x000a_&lt;b&gt;0 hrs&lt;/b&gt; of Recognising Loyalty _x000a_&lt;b&gt;0 hrs&lt;/b&gt; of Work Anniversary _x000a_&lt;b&gt;0 hrs&lt;/b&gt; of MyReward _x000a_&lt;b&gt;-13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Harriet.Daly@nationwide.co.uk%22%2c+env%3a+%22https://dnn.fa.em2.oraclecloud.com%22%7d&amp;opauniqueuser=Harriet.Daly@nationwide.co.uk"/>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JAMES.HANCZUK@NATIONWIDE.CO.UK%22%2c+env%3a+%22https://dnn.fa.em2.oraclecloud.com%22%7d&amp;opauniqueuser=JAMES.HANCZUK@NATIONWIDE.CO.UK"/>
        <s v="Shared Parental Leave_x000a__x000a_To find out more please have a look at the Shared Parental Leave Policy. You may also find it helpful to use the Shared Parental Leave and Pay Questionnaire which will estimate your leave and pay values based on the information you enter into it._x000a_Shared Parental Leave Policy: https://dnn.fa.em2.oraclecloud.com:443/fscmUI/faces/deeplink?objType=CSO_ARTICLE_CONTENT_KM&amp;objKey=docId%3DHRPOL12%3Blocale%3Den_US&amp;action=EDIT_IN_TAB_x000a_Shared Parental Leave and Pay Questionnaire: https://nbs-opa.custhelp.com/web-determinations/startsession/NBS_SharedLeave?seedData=%7bname%3a+%22JAMES.HANCZUK@NATIONWIDE.CO.UK%22%2c+env%3a+%22https://dnn.fa.em2.oraclecloud.com%22%7d&amp;opauniqueuser=JAMES.HANCZUK@NATIONWIDE.CO.UK"/>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carrie-anne.fiocca@nationwide.co.uk%22%2c+env%3a+%22https://dnn.fa.em2.oraclecloud.com%22%7d&amp;opauniqueuser=carrie-anne.fiocca@nationwide.co.uk"/>
        <s v="It sounds like you're looking for information about Nationwide's approach to performance, goals and ratings. You'll find comprehensive guidance &lt;a href=&quot;https://nbsuk.sharepoint.com/sites/INTRA-EnablingPerformance&quot;&gt;here&lt;/a&gt;,Â including what happens with &lt;a href=&quot;https://nbsuk.sharepoint.com/sites/INTRA-EnablingPerformance/SitePages/Ratings-Indicators-&amp;amp;-Special-Circumstances.aspx&quot;&gt;performance ratings in special circumstances&lt;/a&gt;, &lt;a href=&quot;https://nbsuk.sharepoint.com/sites/INTRA-EnablingPerformance/SitePages/Improving-performance.aspx&quot;&gt;managing under-performance&lt;/a&gt; and &lt;a href=&quot;https://nbsuk.sharepoint.com/sites/INTRA-EnablingPerformance/SitePages/FAQs.aspx&quot;&gt;useful FAQs&lt;/a&gt;. You may also find it helpful to have a look at this &lt;a href=&quot;https://nbsuk.sharepoint.com/sites/INTRA-News/SitePages/Our-approach-to-performance-management.aspx&quot;&gt;overview of the new approach&lt;/a&gt;."/>
        <s v="You can book Jury Service Leave &lt;a href=&quot;https://dnn.fa.em2.oraclecloud.com/fscmUI/faces/deeplink?objType=ADD_ABSENCE&amp;amp;action=NONE&quot;&gt;here&lt;/a&gt;.Â When you request the time off make sure to select Other Paid Absence as the absence type and Jury Service as the reason. Your manager can extend your Jury Service Leave in PeopleCloud on your behalf if the trial goes on longer than expected. The policy is &lt;a href=&quot;https://dnn.fa.em2.oraclecloud.com:443/fscmUI/faces/deeplink?objType=CSO_ARTICLE_CONTENT_KM&amp;amp;objKey=docId%3DHRPOL45%3Blocale%3Den_US&amp;amp;action=EDIT_IN_TAB&quot;&gt;here&lt;/a&gt; if you need to refer to it."/>
        <s v="&lt;a href='https://dnn.fa.em2.oraclecloud.com/hcmUI/content/conn/FusionAppsContentRepository/uuid/dDocID:8520132?download&amp;XFND_SCHEME_ID=1&amp;XFND_CERT_FP=E7A6669B1744C0DE0883C285E2A79DD364729D79&amp;XFND_RANDOM=2846278255742794831&amp;XFND_EXPIRES=1691409481656&amp;XFND_SIGNATURE=L5h7BeJz7ToWtE9FteAt0IZTNxOF~G0mu5Fg5WftQaROzUApJExMJ2fbpkiWgZLm4-73~ludA86m~UQrOwKCLJ5dlQTbp7lfnoE7LY~Sef68LiwqFhbYFIjZ8iaPmwt1vjaOvpdlCAX2Y0HQkbiZZWeEQq1Q3aWee4YaPA3DMKs_&amp;Id=8520132' &gt;View your payslip&lt;/a&gt;"/>
        <s v="If you're trying to access your Learning via a MacBook you need to use the links in this &lt;a href=&quot;https://nbsuk.sharepoint.com/sites/INTRA-EssentialLearning/Shared%20Documents/Forms/AllItems.aspx?id=%2Fsites%2FINTRA%2DEssentialLearning%2FShared%20Documents%2FMac%20User%20Essential%20Learning%20Links%20v1%2E3%2Epdf&amp;amp;parent=%2Fsites%2FINTRA%2DEssentialLearning%2FShared%20Documents&quot;&gt;guide&lt;/a&gt; and make sure that you're using the Safari browser.&lt;br /&gt;_x000a_&lt;strong&gt;Navigation buttons not showing?&lt;/strong&gt;&lt;br /&gt;_x000a_This may be because the zoom setting on your internet browser is too high. Please check by opening your browser and clicking on the three dots at the top right of the screen. It needs to be set to Â 75% or less.&lt;br /&gt;_x000a_&lt;strong&gt;Completed learning showing as incomplete?&lt;/strong&gt;&lt;br /&gt;_x000a_If you've completed a learning module, but it's not showing as complete, check to make sure that you clicked on Save &amp; Close when you completed it.Â &lt;br /&gt;_x000a_&lt;strong&gt;Video not playing or something else?&lt;/strong&gt;&lt;br /&gt;_x000a_Please raise a &lt;a href=&quot;https://dnn.fa.em2.oraclecloud.com/fscmUI/faces/deeplink?objType=SVC_SERVICE_REQUEST_HCM&amp;amp;action=CREATE_IN_TAB&amp;amp;objKey=SelfServiceCategory_c%3DNBS_HRM_MMDS%3BSelfServiceSubCategory_c%3DNBS_HRM_MMDS_AAQ%3BChannelTypeCd%3DNBS_HRM_ODA&quot;&gt;Service Request&lt;/a&gt; and tell us the name of the module you're in and the issues you're experiencing."/>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Amber.Churm@nationwide.co.uk%22%2c+env%3a+%22https://dnn.fa.em2.oraclecloud.com%22%7d&amp;opauniqueuser=Amber.Churm@nationwide.co.uk"/>
        <s v="What is the full name or email of the person whose information you want to see?"/>
        <s v="Check out our &lt;a href=&quot;https://nbsuk.sharepoint.com/:p:/r/sites/INTRA-SocialInvestment/_layouts/15/Doc.aspx?sourcedoc=%7b2EA316E6-7EF7-4337-87C4-C9124D489DEA%7d&amp;amp;file=Quick%20guide%20to%20Payroll%20Giving.ppt&amp;amp;action=edit&amp;amp;mobileredirect=true&amp;amp;DefaultItemOpen=1&quot;&gt;quick guide to Payroll Giving&lt;/a&gt; and these &lt;a href=&quot;https://nbsuk.sharepoint.com/sites/SocialInvestmentHub/_layouts/15/viewer.aspx?sourcedoc=%7b4be1e47c-c2b9-40e2-8c80-fbd0d8eed95b%7d&quot;&gt;handy FAQâ€™s&lt;/a&gt;. If you need further help after looking at the guides, please contact &lt;a href=&quot;mailto:social.investment@nationwide.co.uk&quot;&gt;Social Investment&lt;/a&gt;."/>
        <s v="You don't have any time off scheduled on 13/10/2023. _x000a__x000a_To see your end of year Holiday Balance, select 'View balance as of another date' below and input '31/12/23' when prompted_x000a__x000a_Schedule time off: https://dnn.fa.em2.oraclecloud.com/hcmUI/faces/deeplink?objType=ADD_ABSENCE&amp;action=NONE_x000a_View absence balance (excl. sickness balance)"/>
        <s v="&lt;p&gt;If youâ€™re eligible for the &lt;a href=&quot;https://nbsuk.sharepoint.com/sites/INTRA-News/SitePages/Nationwide%E2%80%99s-proposed-pay-package-for-2023-24.aspx&quot;&gt;2023 Annual Pay Review&lt;/a&gt; your new salary details will show on PeopleCloud from 1 April 2023. From this date you can just ask me â€˜Whatâ€™s my salaryâ€™, and I'll show you your new salary figures together with the monetary value and % value of your pay rise.Â Your annual pay rise is based on your pre-Pay Review salary which you'll still be able to see after 1st April by clicking the 'Show Prior Salary' link on your &lt;a href=&quot;https://dnn.fa.em2.oraclecloud.com/fscmUI/faces/deeplink?objType=PERSON_SPOTLIGHT_CMP&amp;amp;action=NONE&quot;&gt;My Compensation&lt;/a&gt; page.&lt;/p&gt;"/>
        <s v="Please provide a time frame to look for absences. Tell me something like &quot;last 6 months&quot;, &quot;Jan 2022&quot; or &quot;August 10th&quot;._x000d__x000a__x000d__x000a_For a range, try &quot;between Jan 1st and Feb 15th&quot;, &quot;Feb to Apr&quot; or &quot;Feb 3 and Mar 18&quot;."/>
        <s v="Hmm. I didn't quite understand the duration to look for absences. Try something like the &quot;previous 6 months&quot;, &quot;May 2022&quot; or &quot;Mar 5 and Apr 18&quot;."/>
        <s v="You'll find all our HR Covid information &lt;a href=&quot;https://nbsuk.sharepoint.com/sites/INTRA-HRHelp/SitePages/HR-Coronavirus-guidance-updates.aspx&quot;&gt;here&lt;/a&gt;."/>
        <s v="Here's your absence balance as of 07/03/2023._x000a__x000a_&lt;b&gt;132 hrs 30 mins&lt;/b&gt; of Holiday _x000a_&lt;b&gt;7 hrs&lt;/b&gt; of Recognising Loyalty _x000a_&lt;b&gt;7 hrs&lt;/b&gt; of Work Anniversary _x000a_&lt;b&gt;0 hrs&lt;/b&gt; of MyReward _x000a_&lt;b&gt;-7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have the following time off in the next twelve months._x000a__x000a_&lt;b&gt;8 hrs 45 mins&lt;/b&gt; of &lt;b&gt;Holiday&lt;/b&gt; on Aug 15th_x000a__x000a_Schedule time off: https://dnn.fa.em2.oraclecloud.com/hcmUI/faces/deeplink?objType=ADD_ABSENCE&amp;action=NONE_x000a_View absences for a specific duration_x000a_View absence balance (excl. sickness balance)"/>
        <s v="Here's your absence balance as of 07/03/2023._x000a__x000a_&lt;b&gt;132 hrs 30 mins&lt;/b&gt; of Holiday _x000a_&lt;b&gt;7 hrs&lt;/b&gt; of Recognising Loyalty _x000a_&lt;b&gt;7 hrs&lt;/b&gt; of Work Anniversary _x000a_&lt;b&gt;0 hrs&lt;/b&gt; of MyReward _x000a_&lt;b&gt;-7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s v="When you return to work from any type of long term leave your holiday details will be updated in the month following your return to work. If they haven't updated within this period please raise a &lt;a href=&quot;https://dnn.fa.em2.oraclecloud.com/fscmUI/faces/deeplink?objType=SVC_SERVICE_REQUEST_HCM&amp;amp;action=CREATE_IN_TAB&amp;amp;objKey=SelfServiceCategory_c%3DNBS_HRM_MMDS%3BSelfServiceSubCategory_c%3DNBS_HRM_MMDS_AAQ%3BChannelTypeCd%3DNBS_HRM_ODA&quot;&gt;Service Request&lt;/a&gt; and attach a screen shot of your holiday summary to the request.&lt;br /&gt;_x000a_If you've returned from maternity leave or adoption leave please refer to your Return to Work Letter which confirms what your holiday entitlement should be."/>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DAVID.WRIGHT3@NATIONWIDE.CO.UK%22%2c+env%3a+%22https://dnn.fa.em2.oraclecloud.com%22%7d&amp;opauniqueuser=DAVID.WRIGHT3@NATIONWIDE.CO.UK_x000a_Job Security and Redundancy Policy: https://dnn.fa.em2.oraclecloud.com:443/fscmUI/faces/deeplink?objType=CSO_ARTICLE_CONTENT_KM&amp;objKey=docId%3DHRPOL17%3Blocale%3Den_US&amp;action=EDIT_IN_TAB"/>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JUDSON.HENRY@NATIONWIDE.CO.UK%22%2c+env%3a+%22https://dnn.fa.em2.oraclecloud.com%22%7d&amp;opauniqueuser=JUDSON.HENRY@NATIONWIDE.CO.UK_x000a_Job Security and Redundancy Policy: https://dnn.fa.em2.oraclecloud.com:443/fscmUI/faces/deeplink?objType=CSO_ARTICLE_CONTENT_KM&amp;objKey=docId%3DHRPOL17%3Blocale%3Den_US&amp;action=EDIT_IN_TAB"/>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GRAHAM.STRAUGHAIR@NATIONWIDE.CO.UK%22%2c+env%3a+%22https://dnn.fa.em2.oraclecloud.com%22%7d&amp;opauniqueuser=GRAHAM.STRAUGHAIR@NATIONWIDE.CO.UK_x000a_Job Security and Redundancy Policy: https://dnn.fa.em2.oraclecloud.com:443/fscmUI/faces/deeplink?objType=CSO_ARTICLE_CONTENT_KM&amp;objKey=docId%3DHRPOL17%3Blocale%3Den_US&amp;action=EDIT_IN_TAB"/>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PETER.POVEY@NATIONWIDE.CO.UK%22%2c+env%3a+%22https://dnn.fa.em2.oraclecloud.com%22%7d&amp;opauniqueuser=PETER.POVEY@NATIONWIDE.CO.UK_x000a_Job Security and Redundancy Policy: https://dnn.fa.em2.oraclecloud.com:443/fscmUI/faces/deeplink?objType=CSO_ARTICLE_CONTENT_KM&amp;objKey=docId%3DHRPOL17%3Blocale%3Den_US&amp;action=EDIT_IN_TAB"/>
        <s v="Sorry, you can't view another worker's information."/>
        <s v="Here's your absence balance as of 07/03/2023._x000a__x000a_&lt;b&gt;91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ve taken the following time off in the last twelve months._x000a__x000a_&lt;b&gt;3 hrs 30 mins&lt;/b&gt; of &lt;b&gt;Holiday&lt;/b&gt; on Jul 14th_x000a_&lt;b&gt;7 hrs&lt;/b&gt; of &lt;b&gt;Holiday&lt;/b&gt; on Jul 3rd_x000a_&lt;b&gt;3 hrs 30 mins&lt;/b&gt; of &lt;b&gt;Holiday&lt;/b&gt; on Jun 28th_x000a_&lt;b&gt;7 hrs&lt;/b&gt; of &lt;b&gt;Holiday&lt;/b&gt; on Jun 27th_x000a_&lt;b&gt;35 hrs&lt;/b&gt; of &lt;b&gt;Holiday&lt;/b&gt; from Jun 5th to Jun 9th_x000a_&lt;b&gt;7 hrs&lt;/b&gt; of &lt;b&gt;Holiday&lt;/b&gt; on May 5th_x000a_&lt;b&gt;49 hrs&lt;/b&gt; of &lt;b&gt;Holiday&lt;/b&gt; from Mar 9th to Mar 17th_x000a_&lt;b&gt;7 hrs&lt;/b&gt; of &lt;b&gt;Holiday&lt;/b&gt; on Mar 7th_x000a_&lt;b&gt;7 hrs&lt;/b&gt; of &lt;b&gt;Holiday&lt;/b&gt; on Jan 6th_x000a_&lt;b&gt;14 hrs&lt;/b&gt; of &lt;b&gt;Holiday&lt;/b&gt; from Dec 28th to Dec 29th_x000a_&lt;b&gt;3 hrs 30 mins&lt;/b&gt; of &lt;b&gt;Holiday&lt;/b&gt; on Dec 16th_x000a_&lt;b&gt;3 hrs 30 mins&lt;/b&gt; of &lt;b&gt;Holiday&lt;/b&gt; on Nov 22nd_x000a_&lt;b&gt;3 hrs 30 mins&lt;/b&gt; of &lt;b&gt;Holiday&lt;/b&gt; on Nov 4th_x000a_&lt;b&gt;35 hrs&lt;/b&gt; of &lt;b&gt;Holiday&lt;/b&gt; from Oct 17th to Oct 21st_x000a_&lt;b&gt;3 hrs 30 mins&lt;/b&gt; of &lt;b&gt;Holiday&lt;/b&gt; on Oct 14th_x000a_&lt;b&gt;7 hrs&lt;/b&gt; of &lt;b&gt;Holiday&lt;/b&gt; on Oct 12th_x000a_&lt;b&gt;7 hrs&lt;/b&gt; of &lt;b&gt;Holiday&lt;/b&gt; on Sep 2nd_x000a_&lt;b&gt;7 hrs&lt;/b&gt; of &lt;b&gt;Holiday&lt;/b&gt; on Aug 19th_x000a__x000a_Schedule time off: https://dnn.fa.em2.oraclecloud.com/hcmUI/faces/deeplink?objType=ADD_ABSENCE&amp;action=NONE_x000a_View absences for a specific duration_x000a_View absence balance (excl. sickness balance)"/>
        <s v="You have the following time off between 01/01/2023 and 31/12/2023._x000a__x000a_&lt;b&gt;7 hrs&lt;/b&gt; of &lt;b&gt;Holiday&lt;/b&gt; on Jan 6th_x000a_&lt;b&gt;7 hrs&lt;/b&gt; of &lt;b&gt;Holiday&lt;/b&gt; on Mar 7th_x000a_&lt;b&gt;49 hrs&lt;/b&gt; of &lt;b&gt;Holiday&lt;/b&gt; from Mar 9th to Mar 17th_x000a_&lt;b&gt;7 hrs&lt;/b&gt; of &lt;b&gt;Holiday&lt;/b&gt; on May 5th_x000a_&lt;b&gt;35 hrs&lt;/b&gt; of &lt;b&gt;Holiday&lt;/b&gt; from Jun 5th to Jun 9th_x000a_&lt;b&gt;7 hrs&lt;/b&gt; of &lt;b&gt;Holiday&lt;/b&gt; on Jun 27th_x000a_&lt;b&gt;3 hrs 30 mins&lt;/b&gt; of &lt;b&gt;Holiday&lt;/b&gt; on Jun 28th_x000a_&lt;b&gt;7 hrs&lt;/b&gt; of &lt;b&gt;Holiday&lt;/b&gt; on Jul 3rd_x000a_&lt;b&gt;3 hrs 30 mins&lt;/b&gt; of &lt;b&gt;Holiday&lt;/b&gt; on Jul 14th_x000a_&lt;b&gt;35 hrs&lt;/b&gt; of &lt;b&gt;Holiday&lt;/b&gt; from Oct 16th to Oct 20th _x000a__x000a_To see your end of year Holiday Balance, select 'View balance as of another date' below and input '31/12/23' when prompted_x000a__x000a_Schedule time off: https://dnn.fa.em2.oraclecloud.com/hcmUI/faces/deeplink?objType=ADD_ABSENCE&amp;action=NONE_x000a_View absence balance (excl. sickness balance)"/>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Laura.Davies2@nationwide.co.uk%22%2c+env%3a+%22https://dnn.fa.em2.oraclecloud.com%22%7d&amp;opauniqueuser=Laura.Davies2@nationwide.co.uk_x000a_Job Security and Redundancy Policy: https://dnn.fa.em2.oraclecloud.com:443/fscmUI/faces/deeplink?objType=CSO_ARTICLE_CONTENT_KM&amp;objKey=docId%3DHRPOL17%3Blocale%3Den_US&amp;action=EDIT_IN_TAB"/>
        <s v="Here's your absence balance as of 03/03/23._x000a__x000a_&lt;b&gt;98 hrs&lt;/b&gt; of Holiday _x000a_&lt;b&gt;7 hrs&lt;/b&gt; of Recognising Loyalty _x000a_&lt;b&gt;7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31/12/23._x000a__x000a_&lt;b&gt;98 hrs&lt;/b&gt; of Holiday _x000a_&lt;b&gt;7 hrs&lt;/b&gt; of Recognising Loyalty _x000a_&lt;b&gt;7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Sometimes a team member will be able to return to work before the end date that their GP put on their fit note. They may have recovered faster than their doctor thought they would or their doctor may have been unaware of the support you can provide to ease them back into work. If you and that team member agree that's its appropriate for them to return to work before the date their GP advised, then they can do so. You should make sure you record this agreement on their Return to Work Discussion Checklist."/>
        <s v="&lt;a href='https://dnn.fa.em2.oraclecloud.com/hcmUI/content/conn/FusionAppsContentRepository/uuid/dDocID:8518256?download&amp;XFND_SCHEME_ID=1&amp;XFND_CERT_FP=E7A6669B1744C0DE0883C285E2A79DD364729D79&amp;XFND_RANDOM=-2758703219939065707&amp;XFND_EXPIRES=1691483536371&amp;XFND_SIGNATURE=MsYOSn4w6HDngmU~PBjbjBfAVYAZpscm4~kg3tr8LpfiQyBmNq6mgSEQnysATwNxCBtxIrUm7hYMUF48IdYuesCi8PISRQ0VIoBmacX1YlRluAb-mFN1IEDWmr5fLsREvyuMeSv9orM03uBsRVKb4~Ou7BmJLYyL4XG2ibcP5uI_&amp;Id=8518256' &gt;View your payslip&lt;/a&gt;"/>
        <s v="Here's your absence balance as of 03/03/2023._x000a__x000a_&lt;b&gt;80 hrs 30 mins&lt;/b&gt; of Holiday _x000a_&lt;b&gt;0 hrs&lt;/b&gt; of Sabbatical Leave _x000a_&lt;b&gt;0 hrs&lt;/b&gt; of Recognising Loyalty _x000a_&lt;b&gt;0 hrs&lt;/b&gt; of Work Anniversary _x000a_&lt;b&gt;0 hrs&lt;/b&gt; of MyReward _x000a_&lt;b&gt;-4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have no pending approval requests and 23 FYIs."/>
        <s v="Here are your first 3 FYIs:_x000a__x000a_1. PeopleCloud Learning - You have recently been assigned learning_x000a__x000a_&lt;a href='https://dnn.fa.em2.oraclecloud.com:443/hcmUI/faces/adf.task-flow?tz=UTC&amp;df=medium&amp;dt=both&amp;tf=short&amp;lg=en&amp;cy=US&amp;bpmWorklistTaskId=7917de70-293a-4e2b-a5d8-c5bc67d25f7f&amp;bpmBrowserWindowStatus=taskFlowReturn&amp;bpmWorklistContext=8a63f055-fc3c-4c88-b2ae-5384159638f7%3B%3BG%3B%3BBVHSgUUE%2FvFFTfy2KfpiMb7nFQA9l7degeySca0qb0kR%2BgL8iJU2p1b%2FWdFHoDCuDDD61qQeyGEx8%2FNoPA81cRfV0gj1ev3Jff0n9Ww5sgcmi%2BVREupmmNeZQylzQaOMnrasYLzf8iTwanP9Xsznh5tBXJLjcrmimhrgy7pIFMsH%2F%2FveYP6cPrLxghM56Qe2&amp;bpmClientType=&amp;sf=alta&amp;_id=HcmEmailNotificationHumantask_TF&amp;_document=WEB-INF%2Foracle%2Fapps%2Fhcm%2Fcommon%2Fcore%2Falerts%2FpublicUi%2Fcomponent%2Fflow%2FHcmEmailNotificationHumantask_TFxml.xml' target='_blank'&gt;View Details&lt;/a&gt;_x000a__x000a__x000a_2. PeopleCloud Learning - You have recently been assigned learning_x000a__x000a_&lt;a href='https://dnn.fa.em2.oraclecloud.com:443/hcmUI/faces/adf.task-flow?tz=UTC&amp;df=medium&amp;dt=both&amp;tf=short&amp;lg=en&amp;cy=US&amp;bpmWorklistTaskId=dfc44adf-18ef-4423-921d-422b06bef35a&amp;bpmBrowserWindowStatus=taskFlowReturn&amp;bpmWorklistContext=8a63f055-fc3c-4c88-b2ae-5384159638f7%3B%3BG%3B%3BBVHSgUUE%2FvFFTfy2KfpiMb7nFQA9l7degeySca0qb0kR%2BgL8iJU2p1b%2FWdFHoDCuDDD61qQeyGEx8%2FNoPA81cRfV0gj1ev3Jff0n9Ww5sgcmi%2BVREupmmNeZQylzQaOMnrasYLzf8iTwanP9Xsznh5tBXJLjcrmimhrgy7pIFMsH%2F%2FveYP6cPrLxghM56Qe2&amp;bpmClientType=&amp;sf=alta&amp;_id=HcmEmailNotificationHumantask_TF&amp;_document=WEB-INF%2Foracle%2Fapps%2Fhcm%2Fcommon%2Fcore%2Falerts%2FpublicUi%2Fcomponent%2Fflow%2FHcmEmailNotificationHumantask_TFxml.xml' target='_blank'&gt;View Details&lt;/a&gt;_x000a__x000a__x000a_3. PeopleCloud Learning - You have recently been assigned learning_x000a__x000a_&lt;a href='https://dnn.fa.em2.oraclecloud.com:443/hcmUI/faces/adf.task-flow?tz=UTC&amp;df=medium&amp;dt=both&amp;tf=short&amp;lg=en&amp;cy=US&amp;bpmWorklistTaskId=60560953-69cf-42cd-b4fd-faa3c5043d8b&amp;bpmBrowserWindowStatus=taskFlowReturn&amp;bpmWorklistContext=8a63f055-fc3c-4c88-b2ae-5384159638f7%3B%3BG%3B%3BBVHSgUUE%2FvFFTfy2KfpiMb7nFQA9l7degeySca0qb0kR%2BgL8iJU2p1b%2FWdFHoDCuDDD61qQeyGEx8%2FNoPA81cRfV0gj1ev3Jff0n9Ww5sgcmi%2BVREupmmNeZQylzQaOMnrasYLzf8iTwanP9Xsznh5tBXJLjcrmimhrgy7pIFMsH%2F%2FveYP6cPrLxghM56Qe2&amp;bpmClientType=&amp;sf=alta&amp;_id=HcmEmailNotificationHumantask_TF&amp;_document=WEB-INF%2Foracle%2Fapps%2Fhcm%2Fcommon%2Fcore%2Falerts%2FpublicUi%2Fcomponent%2Fflow%2FHcmEmailNotificationHumantask_TFxml.xml' target='_blank'&gt;View Details&lt;/a&gt;"/>
        <s v="You are &lt;b&gt;Thomas Copestake&lt;/b&gt;, Contact Centre Snr Consultant._x000a_You report to Laura Gaff._x000a__x000a_Email: &lt;a href='mailto:Thomas.Copestake@nationwide.co.uk'&gt;Thomas.Copestake@nationwide.co.uk&lt;/a&gt;_x000a__x000a_View your profile in &lt;a href=&quot;https://dnn.fa.em2.oraclecloud.com/fscmUI/faces/deeplink?objType=DIRECTORY_SEARCH&amp;action=NONE&quot;&gt;Directory&lt;/a&gt;._x000a__x000a_Need to see a co-worker's contact info? Try something like 'Show me contact info of John Smith'."/>
        <s v="What would you like to search for?"/>
        <s v="Displaying the top 30 results. Here are results 1-4."/>
        <s v="Expenses Policy_x000a_Business travel and mileage Accommodation Meals_x000a_Open Link: https://dnn.fa.em2.oraclecloud.com/fscmUI/faces/deeplink?objType=CSO_ARTICLE_CONTENT_HCM&amp;objKey=docId%3DHRPOL26%3Blocale%3Den_US&amp;action=EDIT_IN_TAB_x000a__x000a_HR Policy Point Update - 8 March 2022_x000a_How We Work Together (Hybrid Homeworking) Removed reference to the Business Mileage guide as part of the changes to the Expenses policy. The guide has now been decommissioned._x000a_Open Link: https://dnn.fa.em2.oraclecloud.com/fscmUI/faces/deeplink?objType=CSO_ARTICLE_CONTENT_HCM&amp;objKey=docId%3DHRPOU23%3Blocale%3Den_US&amp;action=EDIT_IN_TAB_x000a__x000a_HR Policy Point Update - 17 May 2019_x000a_Expenses Policy On 26 April 2019, the mileage rates in_x000a_Open Link: https://dnn.fa.em2.oraclecloud.com/fscmUI/faces/deeplink?objType=CSO_ARTICLE_CONTENT_HCM&amp;objKey=docId%3DHRPOU6%3Blocale%3Den_US&amp;action=EDIT_IN_TAB_x000a__x000a_HR Policy Point Update - 27 September 2019_x000a_Expenses Policy On 3 September 2019, the mileage rates in section 2.1_x000a_Open Link: https://dnn.fa.em2.oraclecloud.com/fscmUI/faces/deeplink?objType=CSO_ARTICLE_CONTENT_HCM&amp;objKey=docId%3DHRPOU10%3Blocale%3Den_US&amp;action=EDIT_IN_TAB"/>
        <s v="You can say 'see more' to see more results. Say 'help' for other options."/>
        <s v="If the learning you're trying to complete keeps freezing please raise a &lt;a href=&quot;https://dnn.fa.em2.oraclecloud.com/fscmUI/faces/deeplink?objType=SVC_SERVICE_REQUEST_HCM&amp;action=CREATE_IN_TAB&amp;objKey=SelfServiceCategory_c%3DNBS_HRM_MMDS%3BSelfServiceSubCategory_c%3DNBS_HRM_MMDS_AAQ%3BChannelTypeCd%3DNBS_HRM_ODA&quot;&gt;service request&lt;/a&gt; making sure to tell us the name of the module you're in and the issues you're experiencing.&lt;br /&gt;_x000a_&lt;b&gt;Navigation buttons not showing?&lt;/b&gt;&lt;br /&gt;_x000a_This may be because the zoom setting on your internet browser is too high. Please check by opening your browser and clicking on the three dots at the top right of the screen. It needs to be set to 75% or less.&lt;br /&gt;_x000a_&lt;b&gt;Video not playing or something else?&lt;/b&gt;&lt;br /&gt;_x000a_Please raise a &lt;a href=&quot;https://dnn.fa.em2.oraclecloud.com/fscmUI/faces/deeplink?objType=SVC_SERVICE_REQUEST_HCM&amp;action=CREATE_IN_TAB&amp;objKey=SelfServiceCategory_c%3DNBS_HRM_MMDS%3BSelfServiceSubCategory_c%3DNBS_HRM_MMDS_AAQ%3BChannelTypeCd%3DNBS_HRM_ODA&quot;&gt;service request&lt;/a&gt; making sure to tell us the name of the module you're in and the issues you're experiencing."/>
        <s v="Your current pay rate is -------GBP  annually. Your last approved adjustment was an increase of &lt;b&gt;2.4&lt;/b&gt;% (----GBP) effective on June 01, 2023."/>
        <s v="&lt;a href='https://dnn.fa.em2.oraclecloud.com/hcmUI/content/conn/FusionAppsContentRepository/uuid/dDocID:8514675?download&amp;XFND_SCHEME_ID=1&amp;XFND_CERT_FP=E7A6669B1744C0DE0883C285E2A79DD364729D79&amp;XFND_RANDOM=-1861617134496084969&amp;XFND_EXPIRES=1691487226214&amp;XFND_SIGNATURE=i0yyQ1fuC69aehOU4q4Os6~d-ebwSXTLakDLqwEgL~2DT9cA~Ou7uqVyOp4~bd0E3jcGYkVoiBW-3QxN01-vHGPtQkJFv9534b9ITSvSF8uSDKAQ8hY0Ftr3xpUoRbJoH7XKNIpszeNWodE1U72A2hmGFg~KXKrghbYU8APe5E0_&amp;Id=8514675' &gt;View your payslip&lt;/a&gt;"/>
        <s v="Ok. I think youâ€™re asking about Family Support Leave. This &lt;a href=&quot;https://dnn.fa.em2.oraclecloud.com/fscmUI/faces/deeplink?objType=CSO_ARTICLE_CONTENT_KM&amp;amp;objKey=docId%3DHRFAQ3%3Blocale%3Den_US&amp;amp;action=EDIT_IN_TAB&quot;&gt;comprehensive guidance&lt;/a&gt; covers all the common questions we get asked about family support leave. For further support you may find it helpful to look at the Family Support section of the &lt;a href=&quot;https://dnn.fa.em2.oraclecloud.com/fscmUI/faces/deeplink?objType=CSO_ARTICLE_CONTENT_KM&amp;amp;objKey=docId%3DHRPOL45%3Blocale%3Den_US&amp;amp;action=EDIT_IN_TAB&quot;&gt;Time Off Policy&lt;/a&gt; and this information about &lt;a href=&quot;https://nbsuk.sharepoint.com/sites/INTRA-News/SitePages/National-Education-Union-strikes.aspx&quot;&gt;teacher strikes&lt;/a&gt;."/>
        <s v="There don't appear to be any absence plan details showing for you. Please raise a Service Request via your Helpdesk tab and we'll resolve this as soon as possible.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03/03/2023._x000a__x000a_&lt;b&gt;91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donna.middleton@nationwide.co.uk%22%2c+env%3a+%22https://dnn.fa.em2.oraclecloud.com%22%7d&amp;opauniqueuser=donna.middleton@nationwide.co.uk"/>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RACHELE.MORRISON@NATIONWIDE.CO.UK%22%2c+env%3a+%22https://dnn.fa.em2.oraclecloud.com%22%7d&amp;opauniqueuser=RACHELE.MORRISON@NATIONWIDE.CO.UK"/>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DUNCAN.BUTCHER@NATIONWIDE.CO.UK%22%2c+env%3a+%22https://dnn.fa.em2.oraclecloud.com%22%7d&amp;opauniqueuser=DUNCAN.BUTCHER@NATIONWIDE.CO.UK_x000a_Job Security and Redundancy Policy: https://dnn.fa.em2.oraclecloud.com:443/fscmUI/faces/deeplink?objType=CSO_ARTICLE_CONTENT_KM&amp;objKey=docId%3DHRPOL17%3Blocale%3Den_US&amp;action=EDIT_IN_TAB"/>
        <s v="Your current pay rate is -------GBP  annually. Your last approved adjustment was an increase of &lt;b&gt;11.2&lt;/b&gt;% (----GBP) effective on April 01, 2023."/>
        <s v="Here's your absence balance as of 03/03/2023._x000a__x000a_&lt;b&gt;73 hrs 30 mins&lt;/b&gt; of Holiday _x000a_&lt;b&gt;0 hrs&lt;/b&gt; of Recognising Loyalty _x000a_&lt;b&gt;0 hrs&lt;/b&gt; of Work Anniversary _x000a_&lt;b&gt;0 hrs&lt;/b&gt; of MyReward _x000a_&lt;b&gt;-24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don't have any time off taken or scheduled between 01/01/2023 and 31/12/2023. _x000a__x000a_To see your end of year Holiday Balance, select 'View balance as of another date' below and input '31/12/23' when prompted_x000a__x000a_Schedule time off: https://dnn.fa.em2.oraclecloud.com/hcmUI/faces/deeplink?objType=ADD_ABSENCE&amp;action=NONE_x000a_View absence balance (excl. sickness balance)"/>
        <s v="Your current pay rate is -------GBP  annually. Your last approved adjustment was an increase of &lt;b&gt;0.7&lt;/b&gt;% (----GBP) effective on June 01, 2023."/>
        <s v="You have the following time off in the next twelve months._x000a__x000a_&lt;b&gt;5 hrs&lt;/b&gt; of &lt;b&gt;Holiday&lt;/b&gt; on Aug 10th_x000a_&lt;b&gt;5 hrs&lt;/b&gt; of &lt;b&gt;Holiday&lt;/b&gt; on Aug 17th_x000a_&lt;b&gt;5 hrs&lt;/b&gt; of &lt;b&gt;Holiday&lt;/b&gt; on Aug 24th_x000a_&lt;b&gt;15 hrs&lt;/b&gt; of &lt;b&gt;Holiday&lt;/b&gt; from Aug 29th to Sep 1st_x000a_&lt;b&gt;5 hrs&lt;/b&gt; of &lt;b&gt;Holiday&lt;/b&gt; on Oct 26th_x000a__x000a_Schedule time off: https://dnn.fa.em2.oraclecloud.com/hcmUI/faces/deeplink?objType=ADD_ABSENCE&amp;action=NONE_x000a_View past absences_x000a_View absences for a specific duration_x000a_View absence balance (excl. sickness balance)"/>
        <s v="Here's your absence balance as of 03/03/2023._x000a__x000a_&lt;b&gt;54 hrs 45 mins&lt;/b&gt; of Holiday _x000a_&lt;b&gt;0 hrs&lt;/b&gt; of Recognising Loyalty _x000a_&lt;b&gt;0 hrs&lt;/b&gt; of Work Anniversary _x000a_&lt;b&gt;0 hrs&lt;/b&gt; of MyReward _x000a_&lt;b&gt;-9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JACK.METCALFE@NATIONWIDE.CO.UK%22%2c+env%3a+%22https://dnn.fa.em2.oraclecloud.com%22%7d&amp;opauniqueuser=JACK.METCALFE@NATIONWIDE.CO.UK_x000a_Job Security and Redundancy Policy: https://dnn.fa.em2.oraclecloud.com:443/fscmUI/faces/deeplink?objType=CSO_ARTICLE_CONTENT_KM&amp;objKey=docId%3DHRPOL17%3Blocale%3Den_US&amp;action=EDIT_IN_TAB"/>
        <s v="Here are your first 3 requests:_x000a__x000a_1. Holly Cattermole Provided Final Feedback for My Performance Reflections 2022-23 - End of Year_x000a_Completed on March 13th 2023_x000a__x000a_2. Holly Cattermole Provided Final Feedback for My Performance Reflections 2022-23 - End of Year_x000a_Assigned to Lisa Stenson on March 13th 2023_x000a__x000a_3. Self-Evaluation for Holly Cattermole in My Performance Reflections 2022-23 - End of Year Was Completed_x000a_Assigned to Lisa Stenson on March 1st 2023_x000a__x000a_Next 3"/>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christopher.moore@nationwide.co.uk%22%2c+env%3a+%22https://dnn.fa.em2.oraclecloud.com%22%7d&amp;opauniqueuser=christopher.moore@nationwide.co.uk"/>
        <s v="Here's your absence balance as of 03/03/2023._x000a__x000a_&lt;b&gt;78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have the following time off in the next twelve months._x000a__x000a_&lt;b&gt;3 hrs 30 mins&lt;/b&gt; of &lt;b&gt;Holiday&lt;/b&gt; on Aug 8th_x000a_&lt;b&gt;3 hrs 30 mins&lt;/b&gt; of &lt;b&gt;Holiday&lt;/b&gt; on Aug 9th_x000a_&lt;b&gt;3 hrs 30 mins&lt;/b&gt; of &lt;b&gt;Holiday&lt;/b&gt; on Aug 10th_x000a_&lt;b&gt;3 hrs 30 mins&lt;/b&gt; of &lt;b&gt;Holiday&lt;/b&gt; on Aug 11th_x000a_&lt;b&gt;35 hrs&lt;/b&gt; of &lt;b&gt;Holiday&lt;/b&gt; from Aug 14th to Aug 18th_x000a_&lt;b&gt;7 hrs&lt;/b&gt; of &lt;b&gt;Holiday&lt;/b&gt; on Sep 6th_x000a_&lt;b&gt;7 hrs&lt;/b&gt; of &lt;b&gt;Holiday&lt;/b&gt; on Nov 15th_x000a_&lt;b&gt;14 hrs&lt;/b&gt; of &lt;b&gt;Holiday&lt;/b&gt; from Nov 16th to Nov 17th_x000a__x000a_Schedule time off: https://dnn.fa.em2.oraclecloud.com/hcmUI/faces/deeplink?objType=ADD_ABSENCE&amp;action=NONE_x000a_View absences for a specific duration_x000a_View absence balance (excl. sickness balance)"/>
        <s v="Here's your absence balance as of 03/03/2023._x000a__x000a_&lt;b&gt;78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s v="Here's your absence balance as of 21/03/2023._x000a__x000a_&lt;b&gt;33 hrs 1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s v="You have the following time off scheduled between 21/03/2023 and 31/12/2023._x000a__x000a_&lt;b&gt;7 hrs&lt;/b&gt; of &lt;b&gt;Holiday&lt;/b&gt; on Sep 6th_x000a_&lt;b&gt;7 hrs&lt;/b&gt; of &lt;b&gt;Holiday&lt;/b&gt; on Nov 15th_x000a_&lt;b&gt;14 hrs&lt;/b&gt; of &lt;b&gt;Holiday&lt;/b&gt; from Nov 16th to Nov 17th _x000a__x000a_To see your end of year Holiday Balance, select 'View balance as of another date' below and input '31/12/23' when prompted_x000a__x000a_Schedule time off: https://dnn.fa.em2.oraclecloud.com/hcmUI/faces/deeplink?objType=ADD_ABSENCE&amp;action=NONE_x000a_View absence balance (excl. sickness balance)"/>
        <s v="Here's your absence balance as of 13/11/2023._x000a__x000a_&lt;b&gt;5 hrs 1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s v="Sorry, you can't access another worker's salary details."/>
        <s v="You have 1 active assignment._x000a__x000a_&lt;b&gt;MS Member Representative&lt;/b&gt;, E430455._x000a_You report to Ginelle Males in this assignment."/>
        <s v="You have 2 submissions pending approval:"/>
        <s v="Here are your requests:_x000a__x000a_1. Approval of Holiday Absence Request for Peter Pearce from 2023-08-29 to 2023-09-08_x000a_Completed on August 8th 2023_x000a__x000a_2. Approval of Holiday Absence Request for Peter Pearce from 2023-08-29 to 2023-09-08_x000a_Completed by Adrian Thompson on August 8th 2023"/>
        <s v="You've taken the following time off in the last twelve months._x000a__x000a_&lt;b&gt;20 hrs&lt;/b&gt; of &lt;b&gt;Holiday&lt;/b&gt; from Jul 31st to Aug 4th_x000a_&lt;b&gt;5 hrs&lt;/b&gt; of &lt;b&gt;Holiday&lt;/b&gt; on Jun 16th_x000a_&lt;b&gt;2 days&lt;/b&gt; of &lt;b&gt;Sickness&lt;/b&gt; from Jun 8th to Jun 9th_x000a_&lt;b&gt;5 hrs&lt;/b&gt; of &lt;b&gt;Holiday&lt;/b&gt; on Jun 1st_x000a_&lt;b&gt;5 hrs&lt;/b&gt; of &lt;b&gt;Holiday&lt;/b&gt; on May 16th_x000a_&lt;b&gt;30 hrs&lt;/b&gt; of &lt;b&gt;Holiday&lt;/b&gt; from Apr 3rd to Apr 14th_x000a_&lt;b&gt;5 hrs&lt;/b&gt; of &lt;b&gt;Holiday&lt;/b&gt; on Feb 14th_x000a_&lt;b&gt;5 hrs&lt;/b&gt; of &lt;b&gt;Family Support Leave&lt;/b&gt; on Feb 6th_x000a_&lt;b&gt;2 days&lt;/b&gt; of &lt;b&gt;Sickness&lt;/b&gt; from Feb 2nd to Feb 3rd_x000a_&lt;b&gt;5 hrs&lt;/b&gt; of &lt;b&gt;Holiday&lt;/b&gt; on Dec 29th_x000a_&lt;b&gt;5 hrs&lt;/b&gt; of &lt;b&gt;Holiday&lt;/b&gt; on Dec 23rd_x000a_&lt;b&gt;5 hrs&lt;/b&gt; of &lt;b&gt;Family Support Leave&lt;/b&gt; on Dec 9th_x000a_&lt;b&gt;5 hrs&lt;/b&gt; of &lt;b&gt;Family Support Leave&lt;/b&gt; on Nov 24th_x000a_&lt;b&gt;4 hrs 30 mins&lt;/b&gt; of &lt;b&gt;Family Support Leave&lt;/b&gt; on Nov 22nd_x000a_&lt;b&gt;5 hrs&lt;/b&gt; of &lt;b&gt;Holiday&lt;/b&gt; on Oct 25th_x000a_&lt;b&gt;2 days&lt;/b&gt; of &lt;b&gt;Sickness&lt;/b&gt; from Sep 26th to Sep 27th_x000a_&lt;b&gt;10 hrs&lt;/b&gt; of &lt;b&gt;Holiday&lt;/b&gt; from Sep 1st to Sep 2nd_x000a_&lt;b&gt;5 hrs&lt;/b&gt; of &lt;b&gt;Holiday&lt;/b&gt; on Aug 25th_x000a_&lt;b&gt;5 hrs&lt;/b&gt; of &lt;b&gt;Holiday&lt;/b&gt; on Aug 18th_x000a_&lt;b&gt;5 hrs&lt;/b&gt; of &lt;b&gt;Holiday&lt;/b&gt; on Aug 11th_x000a__x000a_Schedule time off: https://dnn.fa.em2.oraclecloud.com/hcmUI/faces/deeplink?objType=ADD_ABSENCE&amp;action=NONE_x000a_View future absences_x000a_View absences for a specific duration_x000a_View absence balance (excl. sickness balance)"/>
        <s v="You have the following time off in the next twelve months._x000a__x000a_&lt;b&gt;5 hrs&lt;/b&gt; of &lt;b&gt;Holiday&lt;/b&gt; on Aug 10th_x000a_&lt;b&gt;5 hrs&lt;/b&gt; of &lt;b&gt;Holiday&lt;/b&gt; on Aug 17th_x000a_&lt;b&gt;5 hrs&lt;/b&gt; of &lt;b&gt;Holiday&lt;/b&gt; on Aug 24th_x000a_&lt;b&gt;15 hrs&lt;/b&gt; of &lt;b&gt;Holiday&lt;/b&gt; from Aug 29th to Sep 1st_x000a_&lt;b&gt;5 hrs&lt;/b&gt; of &lt;b&gt;Holiday&lt;/b&gt; on Oct 26th_x000a__x000a_Schedule time off: https://dnn.fa.em2.oraclecloud.com/hcmUI/faces/deeplink?objType=ADD_ABSENCE&amp;action=NONE_x000a_View absences for a specific duration_x000a_View absence balance (excl. sickness balance)"/>
        <s v="Here's your absence balance as of 03/03/2023._x000a__x000a_&lt;b&gt;54 hrs 45 mins&lt;/b&gt; of Holiday _x000a_&lt;b&gt;0 hrs&lt;/b&gt; of Recognising Loyalty _x000a_&lt;b&gt;0 hrs&lt;/b&gt; of Work Anniversary _x000a_&lt;b&gt;0 hrs&lt;/b&gt; of MyReward _x000a_&lt;b&gt;-9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MICHAEL.CONNOLLY@NATIONWIDE.CO.UK%22%2c+env%3a+%22https://dnn.fa.em2.oraclecloud.com%22%7d&amp;opauniqueuser=MICHAEL.CONNOLLY@NATIONWIDE.CO.UK_x000a_Job Security and Redundancy Policy: https://dnn.fa.em2.oraclecloud.com:443/fscmUI/faces/deeplink?objType=CSO_ARTICLE_CONTENT_KM&amp;objKey=docId%3DHRPOL17%3Blocale%3Den_US&amp;action=EDIT_IN_TAB"/>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NINA.BULTITUDE@NATIONWIDE.CO.UK%22%2c+env%3a+%22https://dnn.fa.em2.oraclecloud.com%22%7d&amp;opauniqueuser=NINA.BULTITUDE@NATIONWIDE.CO.UK_x000a_Job Security and Redundancy Policy: https://dnn.fa.em2.oraclecloud.com:443/fscmUI/faces/deeplink?objType=CSO_ARTICLE_CONTENT_KM&amp;objKey=docId%3DHRPOL17%3Blocale%3Den_US&amp;action=EDIT_IN_TAB"/>
        <s v="Your &lt;a href=&quot;https://dnn.fa.em2.oraclecloud.com/hcmUI/faces/deeplink?objType=EMP_CONTACT_INFO&amp;action=NONE&quot;&gt;contact information&lt;/a&gt; page can help you view and update your home address. You should only have one home address on PeopleCloud, so please make sure you use the pencil icon to edit your address. Don't add a separate entry. PeopleCloud feeds this information into the other employee systems that need your address details, so you only need to enter your address here."/>
        <s v="&lt;a href='https://dnn.fa.em2.oraclecloud.com/hcmUI/content/conn/FusionAppsContentRepository/uuid/dDocID:8518978?download&amp;XFND_SCHEME_ID=1&amp;XFND_CERT_FP=E7A6669B1744C0DE0883C285E2A79DD364729D79&amp;XFND_RANDOM=5671744534279453794&amp;XFND_EXPIRES=1691504461325&amp;XFND_SIGNATURE=B21YJsspzuH9m3SjnjZ5VaJ4pSU0KvU5ajJTTocSo7dG17YJg7cwdPybhJSpQ0P6Sn6gVG5v9kj-przwYlwYF69mFICk7sQTX6a4JiXTMy-aA487rJM9ym~qqJL~j4EH6QR8iJqp04FTUy8ffToaXzcxHSHDfji7Yo-ecKSasXU_&amp;Id=8518978' &gt;View your payslip&lt;/a&gt;"/>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abby.cameron@nationwide.co.uk%22%2c+env%3a+%22https://dnn.fa.em2.oraclecloud.com%22%7d&amp;opauniqueuser=abby.cameron@nationwide.co.uk"/>
        <s v="When you calculate someone's FTE rate you're effectively working out what proportion of a 35 hour (full time) week that person works for. All full timers have an FTE rate of 1.0. Anyone who works fewer than 35 hours a week will have an FTE rate of less than 1.0. For example, if you work 19 hours a week your FTE rate is 19 divided by 35 = 0.54. If you don't work the same number of hours every week you need to use your average weekly hours per month: average weekly hours divided by 35. When you reduce/increase the total no. of hours that you work in a month your FTE rate will also go up/down accordingly. Use your new (average) weekly hours figure to work out your new FTE rate i.e. divide it by 35 to get your new FTE rate."/>
        <s v="Here's your absence balance as of 03/03/2023._x000a__x000a_&lt;b&gt;202 hrs 4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31/12/2023._x000a__x000a_&lt;b&gt;76 hrs 4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CLAIRE.JORDAN@NATIONWIDE.CO.UK%22%2c+env%3a+%22https://dnn.fa.em2.oraclecloud.com%22%7d&amp;opauniqueuser=CLAIRE.JORDAN@NATIONWIDE.CO.UK"/>
        <s v="When you're on maternity leave or adoption leave you continue to accrue holiday in the same way you did when you were at work. This also applies to your public holiday entitlement - it will continue to work like it did before you went on leave. You have the option to use some or all of your accrued holiday at the end of your leave (to extend your leave), or you can choose to use it all after you've returned. And when you've returned to work you'll continue to accrue holiday for the rest of the holiday year."/>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Lisa.Davies@nationwide.co.uk%22%2c+env%3a+%22https://dnn.fa.em2.oraclecloud.com%22%7d&amp;opauniqueuser=Lisa.Davies@nationwide.co.uk_x000a_Job Security and Redundancy Policy: https://dnn.fa.em2.oraclecloud.com:443/fscmUI/faces/deeplink?objType=CSO_ARTICLE_CONTENT_KM&amp;objKey=docId%3DHRPOL17%3Blocale%3Den_US&amp;action=EDIT_IN_TAB"/>
        <s v="Here's your absence balance as of 03/03/2023._x000a__x000a_&lt;b&gt;18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ve taken the following time off in the last twelve months._x000a__x000a_&lt;b&gt;162 hrs&lt;/b&gt; of &lt;b&gt;Holiday&lt;/b&gt; from Jun 12th to Aug 7th_x000a__x000a_Schedule time off: https://dnn.fa.em2.oraclecloud.com/hcmUI/faces/deeplink?objType=ADD_ABSENCE&amp;action=NONE_x000a_View absences for a specific duration_x000a_View absence balance (excl. sickness balance)"/>
        <s v="Here's your absence balance as of 03/03/2023._x000a__x000a_&lt;b&gt;77 hrs 12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31/12/2023._x000a__x000a_&lt;b&gt;55 hrs 12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The Student Loans Company notify us when your salary hits the threshold for you to start repaying your outstanding student loan. Repayments are deducted directly from your pay and how much you repay each month depends on the type of student loan you have i.e. plan 1, plan 2, plan 4 (Scottish) or postgraduate. The thresholds and repayment rates are shown &lt;a href=&quot;https://www.gov.uk/repaying-your-student-loan/when-you-start-repaying&quot;&gt;here&lt;/a&gt;."/>
        <s v="When you submit an overtime claim you'll get a confirmation notification to your bell icon at the top right of your screen. The claim itself won't show in Personal Contributions again until your manager has actioned it. You'll get another notification when they've done this. When you click on your bell icon you need to click on 'Show All' and then on 'Created by Me'."/>
        <s v="When you've received your MATB1/Matching certificate you'll need to show it to your manager so they can verify it, either face to face or over teams. Your manager will need to go into your maternity/adoption absence record and attach a copy of your certificate to the absence by adding it to the 'Comments and Attachments' section. They'll also need to update the comments field to say that they've seen the original document and then re-submit (not save) the absence."/>
        <s v="You'll receive a notification whenever one of your team members submits an overtime claim. Alternatively, you can check your pending overtime approvals &lt;a href=&quot;https://dnn.fa.em2.oraclecloud.com/fscmUI/faces/deeplink?objType=BEN_PENDING_ACTIONS&amp;action=NONE&quot;&gt;here&lt;/a&gt;. It's important you review all claims to make sure that the correct rate/allowance/hrs are being claimed. These are the monthly &lt;a href=&quot;https://nbsuk.sharepoint.com/sites/INTRA-Salary/SitePages/Payroll-and-payment-of-salary.aspx&quot;&gt;cut off dates&lt;/a&gt; for overtime claims. Please prioritise to action claims before the cut-off. Claims approved after the cut-off wont be paid until the subsequent pay day."/>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jabran.shahid@nationwide.co.uk%22%2c+env%3a+%22https://dnn.fa.em2.oraclecloud.com%22%7d&amp;opauniqueuser=jabran.shahid@nationwide.co.uk_x000a_Job Security and Redundancy Policy: https://dnn.fa.em2.oraclecloud.com:443/fscmUI/faces/deeplink?objType=CSO_ARTICLE_CONTENT_KM&amp;objKey=docId%3DHRPOL17%3Blocale%3Den_US&amp;action=EDIT_IN_TAB"/>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jordan.osmond@nationwide.co.uk%22%2c+env%3a+%22https://dnn.fa.em2.oraclecloud.com%22%7d&amp;opauniqueuser=jordan.osmond@nationwide.co.uk"/>
        <s v="You can only see absence balances for your team. Do you want to check balance for someone in your team?_x000a__x000a_Yes_x000a_No"/>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HEIDI.TANSLEY@NATIONWIDE.CO.UK%22%2c+env%3a+%22https://dnn.fa.em2.oraclecloud.com%22%7d&amp;opauniqueuser=HEIDI.TANSLEY@NATIONWIDE.CO.UK_x000a_Job Security and Redundancy Policy: https://dnn.fa.em2.oraclecloud.com:443/fscmUI/faces/deeplink?objType=CSO_ARTICLE_CONTENT_KM&amp;objKey=docId%3DHRPOL17%3Blocale%3Den_US&amp;action=EDIT_IN_TAB"/>
        <s v="The &lt;a href=&quot;https://dnn.fa.em2.oraclecloud.com:443/fscmUI/faces/deeplink?objType=CSO_ARTICLE_CONTENT_KM&amp;amp;objKey=docId%3DHRPOL45%3Blocale%3Den_US&amp;amp;action=EDIT_IN_TAB&quot;&gt;Holiday Policy&lt;/a&gt;Â tells you all about what happens to your holiday allowance and your booked holidays when you're on sick leave."/>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BERNADETTE.WILLIS@NATIONWIDE.CO.UK%22%2c+env%3a+%22https://dnn.fa.em2.oraclecloud.com%22%7d&amp;opauniqueuser=BERNADETTE.WILLIS@NATIONWIDE.CO.UK"/>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JAMES.LEY@NATIONWIDE.CO.UK%22%2c+env%3a+%22https://dnn.fa.em2.oraclecloud.com%22%7d&amp;opauniqueuser=JAMES.LEY@NATIONWIDE.CO.UK_x000a_Job Security and Redundancy Policy: https://dnn.fa.em2.oraclecloud.com:443/fscmUI/faces/deeplink?objType=CSO_ARTICLE_CONTENT_KM&amp;objKey=docId%3DHRPOL17%3Blocale%3Den_US&amp;action=EDIT_IN_TAB"/>
        <s v="You delegate and revoke access &lt;a href=&quot;https://dnn.fa.em2.oraclecloud.com/fscmUI/faces/deeplink?objType=ROLES_AND_DELEGATIONS&amp;amp;action=NONE&quot;&gt;here&lt;/a&gt;. You'll find step by step guidance in the &lt;a href=&quot;https://dnn.fa.em2.oraclecloud.com/fscmUI/faces/deeplink?objType=CSO_ARTICLE_CONTENT_KM&amp;amp;objKey=docId%3DHRGUI54%3Blocale%3Den_US&amp;amp;action=EDIT_IN_TAB&quot;&gt;Role Delegation Guide&lt;/a&gt;. When delegating access you can choose an end date or leave it open ended. If you don't set an end date, remember to manually revoke the access when it's no longer required."/>
        <s v="Your current pay rate is -------GBP  annually. Your last approved adjustment was an increase of &lt;b&gt;10.9&lt;/b&gt;% (----GBP) effective on April 01, 2023."/>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KATIE.PUTT@NATIONWIDE.CO.UK%22%2c+env%3a+%22https://dnn.fa.em2.oraclecloud.com%22%7d&amp;opauniqueuser=KATIE.PUTT@NATIONWIDE.CO.UK_x000a_Job Security and Redundancy Policy: https://dnn.fa.em2.oraclecloud.com:443/fscmUI/faces/deeplink?objType=CSO_ARTICLE_CONTENT_KM&amp;objKey=docId%3DHRPOL17%3Blocale%3Den_US&amp;action=EDIT_IN_TAB"/>
        <s v="You can see how much National Insurance you've paid by using the &lt;a href=&quot;http://nicecalculator.hmrc.gov.uk/Class1NICs1.aspx&quot;&gt;HMRC NI Calculator&lt;/a&gt;. If you think your NI deductions are incorrect please &lt;a href=&quot;https://www.gov.uk/government/organisations/hm-revenue-customs/contact/income-tax-enquiries-for-individuals-pensioners-and-employees&quot;&gt;contact HMRC&lt;/a&gt;. Remember to have your NI number to hand when you contact them. We can only update your NI number in PeopleCloud when HMRC instruct us to. If you'd like a more detailed breakdown of your NI payments please raise a &lt;a href=&quot;https://dnn.fa.em2.oraclecloud.com/fscmUI/faces/deeplink?objType=SVC_SERVICE_REQUEST_HCM&amp;amp;action=CREATE_IN_TAB&amp;amp;objKey=SelfServiceCategory_c%3DNBS_HRM_PAB%3BSelfServiceSubCategory_c%3DNBS_HRM_PAB_AAQ%3BChannelTypeCd%3DNBS_HRM_ODA&quot;&gt;Service Request&lt;/a&gt;."/>
        <s v="When you leave Nationwide your final pay is calculated by taking into account factors like your holiday entitlement, any pay or education related loans you may have and any active MyReward benefits you may have. &lt;a href=&quot;https://nbsuk.sharepoint.com/sites/INTRA-EmployeeBenefits/Shared%20Documents/Forms/AllItems.aspx?id=%2Fsites%2FINTRA%2DEmployeeBenefits%2FShared%20Documents%2FInformation%20for%20Leavers%202023%5FFinal%2Epdf&amp;parent=%2Fsites%2FINTRA%2DEmployeeBenefits%2FShared%20Documents&quot;&gt;Find out more&lt;/a&gt; about how your MyRewards selections can impact on your pay."/>
        <s v="Here's the first request:_x000a_1. Personal Contribution Approval Requested for Oana Borza (410303) on 2023-09-01 by Oana Borza_x000a__x000a_&lt;a href='https://dnn.fa.em2.oraclecloud.com:443/hcmUI/faces/adf.task-flow?tz=UTC&amp;df=medium&amp;dt=both&amp;tf=short&amp;lg=en&amp;cy=US&amp;bpmWorklistTaskId=a66bfcfd-6c73-4d5c-845d-22bac23ff981&amp;bpmBrowserWindowStatus=taskFlowReturn&amp;bpmWorklistContext=14b7bea7-b2c6-4939-b8a6-d7debc616ffb%3B%3BG%3B%3BjslcnwBQf5iJzys%2FewZ6rLOlzuBK8lmcghCB7asVUMLJxZIxyrjrrMQU1J48%2BCTY2duqxxieV94I6YpZ6sGWNKrsMN6xzoEX1NkPi3DI10szUNNeMKjQ3D%2BaS%2FvEn%2FcWRkuOK9VqJOd%2FatjF53L84X2B7t41jSFHqHUrDLg3oMoESixetHSGE6CPqEVw%2BSc%2F&amp;bpmClientType=&amp;sf=alta&amp;_id=UnifiedNotificationFlow&amp;_document=WEB-INF%2Foracle%2Fapps%2Ffinancials%2FcommonModules%2Fshared%2FpublicUi%2FonlineNotification%2Fflow%2FUnifiedNotificationFlow.xml' target='_blank'&gt;View Approval&lt;/a&gt;"/>
        <s v="You can 'Approve', 'Reject', or 'Defer'._x000a_Some other actions:_x000a_'Done' to end approvals"/>
        <s v="Here's your absence balance as of 09/03/2023._x000a__x000a_&lt;b&gt;94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JULIE2.STEVENS@NATIONWIDE.CO.UK%22%2c+env%3a+%22https://dnn.fa.em2.oraclecloud.com%22%7d&amp;opauniqueuser=JULIE2.STEVENS@NATIONWIDE.CO.UK_x000a_Job Security and Redundancy Policy: https://dnn.fa.em2.oraclecloud.com:443/fscmUI/faces/deeplink?objType=CSO_ARTICLE_CONTENT_KM&amp;objKey=docId%3DHRPOL17%3Blocale%3Den_US&amp;action=EDIT_IN_TAB"/>
        <s v="Here's your absence balance as of 09/03/2023._x000a__x000a_&lt;b&gt;119 hrs&lt;/b&gt; of Holiday _x000a_&lt;b&gt;0 hrs&lt;/b&gt; of Recognising Loyalty _x000a_&lt;b&gt;7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31/12/2023._x000a__x000a_&lt;b&gt;77 hrs&lt;/b&gt; of Holiday _x000a_&lt;b&gt;0 hrs&lt;/b&gt; of Recognising Loyalty _x000a_&lt;b&gt;7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21/03/2023._x000a__x000a_&lt;b&gt;84 hrs&lt;/b&gt; of Holiday _x000a_&lt;b&gt;0 hrs&lt;/b&gt; of Recognising Loyalty _x000a_&lt;b&gt;7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r office location is 21 High Street in Birmingham, West Midlands, GB_x000a__x000a_Your &lt;a href=&quot;https://dnn.fa.em2.oraclecloud.com/hcmUI/faces/deeplink?objType=EMP_CONTACT_INFO&amp;action=NONE&quot;&gt;contact information&lt;/a&gt; page can help you view and update your home address. You should only have one home address on PeopleCloud, so please make sure you use the pencil icon to edit your address. Don't add a separate entry. PeopleCloud feeds this information into the other employee systems that need your address details, so you only need to enter your address here."/>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HAYLEY.HOWARD@NATIONWIDE.CO.UK%22%2c+env%3a+%22https://dnn.fa.em2.oraclecloud.com%22%7d&amp;opauniqueuser=HAYLEY.HOWARD@NATIONWIDE.CO.UK_x000a_Job Security and Redundancy Policy: https://dnn.fa.em2.oraclecloud.com:443/fscmUI/faces/deeplink?objType=CSO_ARTICLE_CONTENT_KM&amp;objKey=docId%3DHRPOL17%3Blocale%3Den_US&amp;action=EDIT_IN_TAB"/>
        <s v="Here's your absence balance as of 09/03/2023._x000a__x000a_&lt;b&gt;76 hrs 45 mins&lt;/b&gt; of Holiday _x000a_&lt;b&gt;0 hrs&lt;/b&gt; of Recognising Loyalty _x000a_&lt;b&gt;0 hrs&lt;/b&gt; of Work Anniversary _x000a_&lt;b&gt;0 hrs&lt;/b&gt; of MyReward _x000a_&lt;b&gt;-18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have the following time off in the next twelve months._x000a__x000a_&lt;b&gt;21 hrs&lt;/b&gt; of &lt;b&gt;Holiday&lt;/b&gt; from Aug 21st to Aug 23rd_x000a_&lt;b&gt;21 hrs&lt;/b&gt; of &lt;b&gt;Holiday&lt;/b&gt; from Sep 11th to Sep 13th_x000a_&lt;b&gt;7 hrs&lt;/b&gt; of &lt;b&gt;Holiday&lt;/b&gt; on Oct 23rd_x000a_&lt;b&gt;7 hrs&lt;/b&gt; of &lt;b&gt;Holiday&lt;/b&gt; on Nov 13th_x000a__x000a_Schedule time off: https://dnn.fa.em2.oraclecloud.com/hcmUI/faces/deeplink?objType=ADD_ABSENCE&amp;action=NONE_x000a_View absences for a specific duration_x000a_View absence balance (excl. sickness balance)"/>
        <s v="Here's your absence balance as of 09/03/2023._x000a__x000a_&lt;b&gt;76 hrs 45 mins&lt;/b&gt; of Holiday _x000a_&lt;b&gt;0 hrs&lt;/b&gt; of Recognising Loyalty _x000a_&lt;b&gt;0 hrs&lt;/b&gt; of Work Anniversary _x000a_&lt;b&gt;0 hrs&lt;/b&gt; of MyReward _x000a_&lt;b&gt;-18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s v="It sounds like you're asking to see theÂ &lt;a href=&quot;https://dnn.fa.em2.oraclecloud.com:443/fscmUI/faces/deeplink?objType=CSO_ARTICLE_CONTENT_KM&amp;amp;objKey=docId%3DHRGUI46%3Blocale%3Den_US&amp;amp;action=EDIT_IN_TAB&quot;&gt;PeopleCloud Troubleshooting Tips and Workarounds Guide&lt;/a&gt;. If you need to report a new issue the best way to do this is to raise a &lt;a href=&quot;http://dnn.fa.em2.oraclecloud.com/fscmUI/faces/deeplink?objType=SVC_SERVICE_REQUEST_HCM&amp;amp;action=CREATE_IN_TAB&amp;amp;objKey&quot;&gt;Service Request&lt;/a&gt;."/>
        <s v="You have 21 submissions pending approval:"/>
        <s v="Here are your first 3 requests:_x000a__x000a_1. Personal Contribution Approval Requested for Salina Kumari (081345) on 2023-08-08 by Salina Kumari_x000a_Completed by Salina Kumari on August 9th 2023_x000a__x000a_2. Personal Contribution Approval Requested for Salina Kumari (081345) on 2023-08-04 by Salina Kumari_x000a_Completed by Salina Kumari on August 9th 2023_x000a__x000a_3. Personal Contribution Approval Requested for Salina Kumari (081345) on 2023-08-02 by Salina Kumari_x000a_Completed by Salina Kumari on August 9th 2023_x000a__x000a_Next 3"/>
        <s v="Here's your absence balance as of 09/03/2023._x000a__x000a_&lt;b&gt;126 hrs&lt;/b&gt; of Holiday _x000a_&lt;b&gt;0 hrs&lt;/b&gt; of Recognising Loyalty _x000a_&lt;b&gt;7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have the following time off in the next twelve months._x000a__x000a_&lt;b&gt;21 hrs&lt;/b&gt; of &lt;b&gt;Holiday&lt;/b&gt; from Aug 14th to Aug 16th_x000a_&lt;b&gt;7 hrs&lt;/b&gt; of &lt;b&gt;Holiday&lt;/b&gt; on Aug 17th_x000a_&lt;b&gt;7 hrs&lt;/b&gt; of &lt;b&gt;Holiday&lt;/b&gt; on Aug 18th_x000a_&lt;b&gt;7 hrs&lt;/b&gt; of &lt;b&gt;Holiday&lt;/b&gt; on Oct 27th_x000a__x000a_Schedule time off: https://dnn.fa.em2.oraclecloud.com/hcmUI/faces/deeplink?objType=ADD_ABSENCE&amp;action=NONE_x000a_View absences for a specific duration_x000a_View absence balance (excl. sickness balance)"/>
        <s v="Here's your absence balance as of 31/12/2023._x000a__x000a_&lt;b&gt;20 hrs 45 mins&lt;/b&gt; of Holiday _x000a_&lt;b&gt;0 hrs&lt;/b&gt; of Recognising Loyalty _x000a_&lt;b&gt;0 hrs&lt;/b&gt; of Work Anniversary _x000a_&lt;b&gt;0 hrs&lt;/b&gt; of MyReward _x000a_&lt;b&gt;-18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09/03/2023._x000a__x000a_&lt;b&gt;77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13/03/2023._x000a__x000a_&lt;b&gt;0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If you have a work laptop you have tthe option to keep it and your access during your leave. It should be used as a way of occasionally keeping in touch with what's happening at work. Your wellbeing is important so you can't use it to carry out any actual work while you're on leave. Take a look at the &lt;a href=&quot;https://dnn.fa.em2.oraclecloud.com:443/fscmUI/faces/deeplink?objType=CSO_ARTICLE_CONTENT_KM&amp;objKey=docId%3DHRPOL12%3Blocale%3Den_US&amp;action=EDIT_IN_TAB&quot;&gt;Becoming a Parent Policy&lt;/a&gt; to see how to arrange thi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ANDREW.DEAN@NATIONWIDE.CO.UK%22%2c+env%3a+%22https://dnn.fa.em2.oraclecloud.com%22%7d&amp;opauniqueuser=ANDREW.DEAN@NATIONWIDE.CO.UK"/>
        <s v="You've taken the following time off in the last twelve months._x000a__x000a_&lt;b&gt;2 days&lt;/b&gt; of &lt;b&gt;Sickness&lt;/b&gt; from Jun 9th to Jun 12th_x000a__x000a_Schedule time off: https://dnn.fa.em2.oraclecloud.com/hcmUI/faces/deeplink?objType=ADD_ABSENCE&amp;action=NONE_x000a_View future absences_x000a_View absences for a specific duration_x000a_View absence balance (excl. sickness balance)"/>
        <s v="Here's your absence balance as of 09/03/2023._x000a__x000a_&lt;b&gt;92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DAVID.COATES@NATIONWIDE.CO.UK%22%2c+env%3a+%22https://dnn.fa.em2.oraclecloud.com%22%7d&amp;opauniqueuser=DAVID.COATES@NATIONWIDE.CO.UK_x000a_Job Security and Redundancy Policy: https://dnn.fa.em2.oraclecloud.com:443/fscmUI/faces/deeplink?objType=CSO_ARTICLE_CONTENT_KM&amp;objKey=docId%3DHRPOL17%3Blocale%3Den_US&amp;action=EDIT_IN_TAB"/>
        <s v="Here's your absence balance as of 09/03/2023._x000a__x000a_&lt;b&gt;98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MARIA.MAZZOTTA@NATIONWIDE.CO.UK%22%2c+env%3a+%22https://dnn.fa.em2.oraclecloud.com%22%7d&amp;opauniqueuser=MARIA.MAZZOTTA@NATIONWIDE.CO.UK_x000a_Job Security and Redundancy Policy: https://dnn.fa.em2.oraclecloud.com:443/fscmUI/faces/deeplink?objType=CSO_ARTICLE_CONTENT_KM&amp;objKey=docId%3DHRPOL17%3Blocale%3Den_US&amp;action=EDIT_IN_TAB"/>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LUKE.DAVIES@NATIONWIDE.CO.UK%22%2c+env%3a+%22https://dnn.fa.em2.oraclecloud.com%22%7d&amp;opauniqueuser=LUKE.DAVIES@NATIONWIDE.CO.UK_x000a_Job Security and Redundancy Policy: https://dnn.fa.em2.oraclecloud.com:443/fscmUI/faces/deeplink?objType=CSO_ARTICLE_CONTENT_KM&amp;objKey=docId%3DHRPOL17%3Blocale%3Den_US&amp;action=EDIT_IN_TAB"/>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PHILIP.CHEETHAM@NATIONWIDE.CO.UK%22%2c+env%3a+%22https://dnn.fa.em2.oraclecloud.com%22%7d&amp;opauniqueuser=PHILIP.CHEETHAM@NATIONWIDE.CO.UK"/>
        <s v="Sure. Here's how you can do it._x000a_&lt;a href='https://dnn.fa.em2.oraclecloud.com/hcmUI/faces/deeplink?objType=EMPLOYMENT_INFO&amp;action=NONE'&gt;View start date&lt;/a&gt;"/>
        <s v="Here's your absence balance as of 10/03/2023._x000a__x000a_&lt;b&gt;126 hrs&lt;/b&gt; of Holiday _x000a_&lt;b&gt;0 hrs&lt;/b&gt; of Recognising Loyalty _x000a_&lt;b&gt;7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kirsty.heyes@nationwide.co.uk%22%2c+env%3a+%22https://dnn.fa.em2.oraclecloud.com%22%7d&amp;opauniqueuser=kirsty.heyes@nationwide.co.uk_x000a_Job Security and Redundancy Policy: https://dnn.fa.em2.oraclecloud.com:443/fscmUI/faces/deeplink?objType=CSO_ARTICLE_CONTENT_KM&amp;objKey=docId%3DHRPOL17%3Blocale%3Den_US&amp;action=EDIT_IN_TAB"/>
        <s v="You've taken the following time off in the last twelve months._x000a__x000a_&lt;b&gt;35 hrs&lt;/b&gt; of &lt;b&gt;Holiday&lt;/b&gt; from Jun 5th to Jun 9th_x000a_&lt;b&gt;7 hrs&lt;/b&gt; of &lt;b&gt;Holiday&lt;/b&gt; on Apr 14th_x000a_&lt;b&gt;42 hrs&lt;/b&gt; of &lt;b&gt;Holiday&lt;/b&gt; from Mar 30th to Apr 7th_x000a_&lt;b&gt;14 hrs&lt;/b&gt; of &lt;b&gt;Holiday&lt;/b&gt; from Mar 16th to Mar 17th_x000a_&lt;b&gt;14 hrs&lt;/b&gt; of &lt;b&gt;Holiday&lt;/b&gt; from Dec 28th to Dec 29th_x000a_&lt;b&gt;7 hrs&lt;/b&gt; of &lt;b&gt;Holiday&lt;/b&gt; on Oct 7th_x000a_&lt;b&gt;63 hrs&lt;/b&gt; of &lt;b&gt;Holiday&lt;/b&gt; from Sep 20th to Sep 30th_x000a_&lt;b&gt;14 hrs&lt;/b&gt; of &lt;b&gt;Holiday&lt;/b&gt; from Aug 22nd to Aug 23rd_x000a__x000a_Schedule time off: https://dnn.fa.em2.oraclecloud.com/hcmUI/faces/deeplink?objType=ADD_ABSENCE&amp;action=NONE_x000a_View future absences_x000a_View absences for a specific duration_x000a_View absence balance (excl. sickness balance)"/>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JAMES.TAPP@NATIONWIDE.CO.UK%22%2c+env%3a+%22https://dnn.fa.em2.oraclecloud.com%22%7d&amp;opauniqueuser=JAMES.TAPP@NATIONWIDE.CO.UK_x000a_Job Security and Redundancy Policy: https://dnn.fa.em2.oraclecloud.com:443/fscmUI/faces/deeplink?objType=CSO_ARTICLE_CONTENT_KM&amp;objKey=docId%3DHRPOL17%3Blocale%3Den_US&amp;action=EDIT_IN_TAB"/>
        <s v="To find out who can accompany you to a Fair Treatment at Work hearing or meeting please have a look at section 2.2 of the &lt;a href=&quot;https://dnn.fa.em2.oraclecloud.com/fscmUI/faces/deeplink?objType=CSO_ARTICLE_CONTENT_KM&amp;amp;objKey=docId%3DHRPOL32%3Blocale%3Den_US&amp;amp;action=EDIT_IN_TAB&quot;&gt;Fair Treatment at Work Policy&lt;/a&gt;. If you need further support please raise a &lt;a href=&quot;https://dnn.fa.em2.oraclecloud.com/fscmUI/faces/deeplink?objType=SVC_SERVICE_REQUEST_HCM&amp;amp;action=CREATE_IN_TAB&amp;amp;objKey=SelfServiceCategory_c%3DNBS_HRM_SS_FTAW%3BSelfServiceSubCategory_c%3DNBS_HRM_SS_FTAW_AAQ%3BChannelTypeCd%3DNBS_HRM_ODA&quot;&gt;Service Request&lt;/a&gt; on PeopleCloud Helpdesk using 'Fair Treatment at Work - Ask a Question'."/>
        <s v="You have 63 submissions pending approval:"/>
        <s v="Here are your first 3 requests:_x000a__x000a_1. Personal Contribution Approval Requested for Naseica Alexander (430455) on 2023-08-09 by Naseica Alexander_x000a_Completed by you on August 9th 2023_x000a__x000a_2. Personal Contribution Approval Requested for Naseica Alexander (430455) on 2023-08-09 by Naseica Alexander_x000a_Completed by you on August 9th 2023_x000a__x000a_3. Personal Contribution Approval Requested for Naseica Alexander (430455) on 2023-08-09 by Naseica Alexander_x000a_Completed by you on August 9th 2023_x000a__x000a_Next 3"/>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ALISON.GIBB@NATIONWIDE.CO.UK%22%2c+env%3a+%22https://dnn.fa.em2.oraclecloud.com%22%7d&amp;opauniqueuser=ALISON.GIBB@NATIONWIDE.CO.UK_x000a_Job Security and Redundancy Policy: https://dnn.fa.em2.oraclecloud.com:443/fscmUI/faces/deeplink?objType=CSO_ARTICLE_CONTENT_KM&amp;objKey=docId%3DHRPOL17%3Blocale%3Den_US&amp;action=EDIT_IN_TAB"/>
        <s v="Here's your absence balance as of 10/03/2023._x000a__x000a_&lt;b&gt;112 hrs&lt;/b&gt; of Holiday _x000a_&lt;b&gt;210 hrs&lt;/b&gt; of Sabbatical Leave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10/07/2023._x000a__x000a_&lt;b&gt;119 hrs&lt;/b&gt; of Holiday _x000a_&lt;b&gt;210 hrs&lt;/b&gt; of Sabbatical Leave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10/10/2023._x000a__x000a_&lt;b&gt;0 hrs&lt;/b&gt; of MyReward _x000a_&lt;b&gt;21 hrs&lt;/b&gt; of Holiday _x000a_&lt;b&gt;0 hrs&lt;/b&gt; of Recognising Loyalty _x000a_&lt;b&gt;0 hrs&lt;/b&gt; of Work Anniversary _x000a_&lt;b&gt;0 hrs&lt;/b&gt; of Public Holiday _x000a_&lt;b&gt;210 hrs&lt;/b&gt; of Sabbatical Leave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r office location is 27 Lower Parade in Sutton Coldfield, West Midlands, GB_x000a__x000a_Your &lt;a href=&quot;https://dnn.fa.em2.oraclecloud.com/hcmUI/faces/deeplink?objType=EMP_CONTACT_INFO&amp;action=NONE&quot;&gt;contact information&lt;/a&gt; page can help you view and update your home address. You should only have one home address on PeopleCloud, so please make sure you use the pencil icon to edit your address. Don't add a separate entry. PeopleCloud feeds this information into the other employee systems that need your address details, so you only need to enter your address here._x000a__x000a_Need to see one of your co-workers location? Try &lt;q&gt;Show me John Smith's location&lt;/q&gt;."/>
        <s v="&lt;b&gt;Darren Milne&lt;/b&gt; has no direct reports."/>
        <s v="&lt;b&gt;Rajeev Sharma&lt;/b&gt; is Head of Unsecured Credit Risk._x000a_Rajeev reports to Andy Jackson._x000a__x000a_Email: &lt;a href='mailto:rajeev.sharma@nationwide.co.uk'&gt;rajeev.sharma@nationwide.co.uk&lt;/a&gt;_x000a_Work: 01793 657895_x000a__x000a_View &lt;b&gt;Rajeev's&lt;/b&gt; profile in &lt;a href=&quot;https://dnn.fa.em2.oraclecloud.com/fscmUI/faces/deeplink?objType=DIRECTORY_SEARCH&amp;action=NONE&quot;&gt;Directory&lt;/a&gt; to know more."/>
        <s v="Here's your absence balance as of 10/03/2023._x000a__x000a_&lt;b&gt;117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31/12/2023._x000a__x000a_&lt;b&gt;117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have the following time off in the next twelve months._x000a__x000a_&lt;b&gt;3 hrs 30 mins&lt;/b&gt; of &lt;b&gt;Holiday&lt;/b&gt; on Aug 14th_x000a_&lt;b&gt;3 hrs 30 mins&lt;/b&gt; of &lt;b&gt;Holiday&lt;/b&gt; on Aug 15th_x000a_&lt;b&gt;21 hrs&lt;/b&gt; of &lt;b&gt;Holiday&lt;/b&gt; from Aug 16th to Aug 18th_x000a_&lt;b&gt;28 hrs&lt;/b&gt; of &lt;b&gt;Holiday&lt;/b&gt; from Aug 29th to Sep 1st_x000a__x000a_Schedule time off: https://dnn.fa.em2.oraclecloud.com/hcmUI/faces/deeplink?objType=ADD_ABSENCE&amp;action=NONE_x000a_View past absences_x000a_View absences for a specific duration_x000a_View absence balance (excl. sickness balance)"/>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FAYE.WILLIAMS@NATIONWIDE.CO.UK%22%2c+env%3a+%22https://dnn.fa.em2.oraclecloud.com%22%7d&amp;opauniqueuser=FAYE.WILLIAMS@NATIONWIDE.CO.UK"/>
        <s v="Here are your first 3 FYIs:_x000a__x000a_1. PeopleCloud Learning - You have recently been assigned learning_x000a__x000a_&lt;a href='https://dnn.fa.em2.oraclecloud.com:443/hcmUI/faces/adf.task-flow?tz=UTC&amp;df=medium&amp;dt=both&amp;tf=short&amp;lg=en&amp;cy=US&amp;bpmWorklistTaskId=fa5265ac-6d9a-4376-be37-45c3c746f3d9&amp;bpmBrowserWindowStatus=taskFlowReturn&amp;bpmWorklistContext=cff36bd1-c43e-427f-aa98-938a3b30aae1%3B%3BG%3B%3BEASCli57v8jMvsSTHv6cwC6EQ%2B40m2v5TW%2FhQNO88P9QSqcKQPnRM8D0uyQ3%2F7ZZnNxBxsz1igfO6kcWOpW7FxoSdlaYM6ja27qRY2XBC6H2M84cy7gnnxPS67zbahpLctb3QjnCDxlMgDWLNSz5DWmaLKIMuTvA5h9fUl0%2FA3Y%3D&amp;bpmClientType=&amp;sf=alta&amp;_id=HcmEmailNotificationHumantask_TF&amp;_document=WEB-INF%2Foracle%2Fapps%2Fhcm%2Fcommon%2Fcore%2Falerts%2FpublicUi%2Fcomponent%2Fflow%2FHcmEmailNotificationHumantask_TFxml.xml' target='_blank'&gt;View Details&lt;/a&gt;_x000a__x000a__x000a_2. PeopleCloud Learning - You have recently been assigned learning_x000a__x000a_&lt;a href='https://dnn.fa.em2.oraclecloud.com:443/hcmUI/faces/adf.task-flow?tz=UTC&amp;df=medium&amp;dt=both&amp;tf=short&amp;lg=en&amp;cy=US&amp;bpmWorklistTaskId=e7288e15-bced-4336-96f2-e8d0350eb303&amp;bpmBrowserWindowStatus=taskFlowReturn&amp;bpmWorklistContext=cff36bd1-c43e-427f-aa98-938a3b30aae1%3B%3BG%3B%3BEASCli57v8jMvsSTHv6cwC6EQ%2B40m2v5TW%2FhQNO88P9QSqcKQPnRM8D0uyQ3%2F7ZZnNxBxsz1igfO6kcWOpW7FxoSdlaYM6ja27qRY2XBC6H2M84cy7gnnxPS67zbahpLctb3QjnCDxlMgDWLNSz5DWmaLKIMuTvA5h9fUl0%2FA3Y%3D&amp;bpmClientType=&amp;sf=alta&amp;_id=HcmEmailNotificationHumantask_TF&amp;_document=WEB-INF%2Foracle%2Fapps%2Fhcm%2Fcommon%2Fcore%2Falerts%2FpublicUi%2Fcomponent%2Fflow%2FHcmEmailNotificationHumantask_TFxml.xml' target='_blank'&gt;View Details&lt;/a&gt;_x000a__x000a__x000a_3. PeopleCloud Learning - You have recently been assigned learning_x000a__x000a_&lt;a href='https://dnn.fa.em2.oraclecloud.com:443/hcmUI/faces/adf.task-flow?tz=UTC&amp;df=medium&amp;dt=both&amp;tf=short&amp;lg=en&amp;cy=US&amp;bpmWorklistTaskId=ab610d58-6ebf-44ae-aed6-b4936859aa73&amp;bpmBrowserWindowStatus=taskFlowReturn&amp;bpmWorklistContext=cff36bd1-c43e-427f-aa98-938a3b30aae1%3B%3BG%3B%3BEASCli57v8jMvsSTHv6cwC6EQ%2B40m2v5TW%2FhQNO88P9QSqcKQPnRM8D0uyQ3%2F7ZZnNxBxsz1igfO6kcWOpW7FxoSdlaYM6ja27qRY2XBC6H2M84cy7gnnxPS67zbahpLctb3QjnCDxlMgDWLNSz5DWmaLKIMuTvA5h9fUl0%2FA3Y%3D&amp;bpmClientType=&amp;sf=alta&amp;_id=HcmEmailNotificationHumantask_TF&amp;_document=WEB-INF%2Foracle%2Fapps%2Fhcm%2Fcommon%2Fcore%2Falerts%2FpublicUi%2Fcomponent%2Fflow%2FHcmEmailNotificationHumantask_TFxml.xml' target='_blank'&gt;View Details&lt;/a&gt;"/>
        <s v="I can help you view and update your personal information, contact details, emergency contacts, and photo.&lt;br&gt;&lt;br&gt;I can show employee work address, phone numbers, direct reports, and manager. I can also help you update your photo._x000a__x000a_1. View and update your personal details_x000a_2. View and update your contact information_x000a_3. View and update your emergency contacts_x000a_4. View and upload your photo_x000a_5. View your location._x000a_6. View and update your home and work phone numbers._x000a_7. View your manager."/>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JOANNA.BOON@NATIONWIDE.CO.UK%22%2c+env%3a+%22https://dnn.fa.em2.oraclecloud.com%22%7d&amp;opauniqueuser=JOANNA.BOON@NATIONWIDE.CO.UK_x000a_Job Security and Redundancy Policy: https://dnn.fa.em2.oraclecloud.com:443/fscmUI/faces/deeplink?objType=CSO_ARTICLE_CONTENT_KM&amp;objKey=docId%3DHRPOL17%3Blocale%3Den_US&amp;action=EDIT_IN_TAB"/>
        <s v="You have 6 submissions pending approval:"/>
        <s v="Here are your first 3 requests:_x000a__x000a_1. Jennifer Guevara Cruz Provided Final Feedback for My Performance Reflections 2022-23 - End of Year_x000a_Completed on March 30th 2023_x000a__x000a_2. Jennifer Guevara Cruz Provided Final Feedback for My Performance Reflections 2022-23 - End of Year_x000a_Assigned to Lorraine Bryant on March 30th 2023_x000a__x000a_3. Self-Evaluation for Jennifer Guevara Cruz in My Performance Reflections 2022-23 - End of Year Was Completed_x000a_Assigned to Lorraine Bryant on March 29th 2023_x000a__x000a_Next 3"/>
        <s v="You have 1 active assignment._x000a__x000a_&lt;b&gt;Collectn &amp; Recoveries Ops Mgr&lt;/b&gt;, E021811._x000a_You report to Neal Turner in this assignment._x000a__x000a_Need to see a co-worker's assignment? Try something like 'Show me John Smith's assignment'."/>
        <s v="Ok, it sounds like youâ€™re asking about how to appeal against a decision to reduce your annual bonus. Take a look at this &lt;a href=&quot;https://nbsuk.sharepoint.com/sites/INTRA-HRHelp/SitePages/Case-Management-Team-(People-and-Culture).aspx&quot;&gt;guidance&lt;/a&gt; which explains the steps you can follow to challenge the decision. Youâ€™ll find information about informal resolution and the formal appeals process, including the appeal form."/>
        <s v="To search by a question or phrase, you can say something like 'search', followed by the question in quotations. (i.e. 'search &quot;flood relief&quot;')_x000a__x000a_If you already know the doc ID or part of the title of the article you're looking for, you can say something like 'find' followed by either the title in quotations (i.e. 'find &quot;flood&quot;'), or a doc ID (i.e. 'find HFAQ123')."/>
        <s v="Here's your absence balance as of 11/03/2023._x000a__x000a_&lt;b&gt;0 hrs&lt;/b&gt; of MyReward _x000a_&lt;b&gt;19 hrs 30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27/09/2023._x000a__x000a_&lt;b&gt;0 hrs&lt;/b&gt; of MyReward _x000a_&lt;b&gt;5 hrs 30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There are several factors that may cause your pay to decrease or increase from one month to the next. These depend on your specific circumstances. Please raise a &lt;a href=&quot;https://dnn.fa.em2.oraclecloud.com/fscmUI/faces/deeplink?objType=SVC_SERVICE_REQUEST_HCM&amp;amp;action=CREATE_IN_TAB&amp;amp;objKey=SelfServiceCategory_c%3DNBS_HRM_PAB%3BSelfServiceSubCategory_c%3DNBS_HRM_PAB_AAQ%3BChannelTypeCd%3DNBS_HRM_ODA&quot;&gt;Service Request&lt;/a&gt; and we'll look into this for you."/>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Gillian.Mclees@nationwide.co.uk%22%2c+env%3a+%22https://dnn.fa.em2.oraclecloud.com%22%7d&amp;opauniqueuser=Gillian.Mclees@nationwide.co.uk_x000a_Job Security and Redundancy Policy: https://dnn.fa.em2.oraclecloud.com:443/fscmUI/faces/deeplink?objType=CSO_ARTICLE_CONTENT_KM&amp;objKey=docId%3DHRPOL17%3Blocale%3Den_US&amp;action=EDIT_IN_TAB"/>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KATIE.GATES@NATIONWIDE.CO.UK%22%2c+env%3a+%22https://dnn.fa.em2.oraclecloud.com%22%7d&amp;opauniqueuser=KATIE.GATES@NATIONWIDE.CO.UK_x000a_Job Security and Redundancy Policy: https://dnn.fa.em2.oraclecloud.com:443/fscmUI/faces/deeplink?objType=CSO_ARTICLE_CONTENT_KM&amp;objKey=docId%3DHRPOL17%3Blocale%3Den_US&amp;action=EDIT_IN_TAB"/>
        <s v="You have 1 active assignment._x000a__x000a_&lt;b&gt;Contact Centre Snr Consultant&lt;/b&gt;, E508880._x000a_You report to Lisa Enstone in this assignment."/>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Beverley.Cubbon@nationwide.co.uk%22%2c+env%3a+%22https://dnn.fa.em2.oraclecloud.com%22%7d&amp;opauniqueuser=Beverley.Cubbon@nationwide.co.uk"/>
        <s v="You've taken the following time off in the last twelve months._x000a__x000a_&lt;b&gt;8 hrs 30 mins&lt;/b&gt; of &lt;b&gt;Other Paid Absence&lt;/b&gt; on Aug 10th_x000a_&lt;b&gt;35 hrs&lt;/b&gt; of &lt;b&gt;Holiday&lt;/b&gt; from Jul 31st to Aug 3rd_x000a_&lt;b&gt;35 hrs&lt;/b&gt; of &lt;b&gt;Holiday&lt;/b&gt; from Jul 5th to Jul 8th_x000a_&lt;b&gt;35 hrs&lt;/b&gt; of &lt;b&gt;Holiday&lt;/b&gt; from Jun 27th to Jun 30th_x000a_&lt;b&gt;35 hrs&lt;/b&gt; of &lt;b&gt;Holiday&lt;/b&gt; from May 16th to May 19th_x000a_&lt;b&gt;8 hrs 30 mins&lt;/b&gt; of &lt;b&gt;Holiday&lt;/b&gt; on May 13th_x000a_&lt;b&gt;2 hrs&lt;/b&gt; of &lt;b&gt;Holiday&lt;/b&gt; on May 11th_x000a_&lt;b&gt;9 hrs&lt;/b&gt; of &lt;b&gt;Holiday&lt;/b&gt; on Apr 27th_x000a_&lt;b&gt;35 hrs&lt;/b&gt; of &lt;b&gt;Holiday&lt;/b&gt; from Apr 12th to Apr 15th_x000a_&lt;b&gt;7 hrs&lt;/b&gt; of &lt;b&gt;Recognising Loyalty&lt;/b&gt; on Feb 18th_x000a_&lt;b&gt;9 hrs&lt;/b&gt; of &lt;b&gt;Holiday&lt;/b&gt; on Dec 28th_x000a_&lt;b&gt;9 hrs&lt;/b&gt; of &lt;b&gt;Holiday&lt;/b&gt; on Dec 21st_x000a_&lt;b&gt;1 hr&lt;/b&gt; of &lt;b&gt;Holiday&lt;/b&gt; on Dec 2nd_x000a_&lt;b&gt;4 hrs&lt;/b&gt; of &lt;b&gt;Holiday&lt;/b&gt; on Nov 26th_x000a_&lt;b&gt;35 hrs&lt;/b&gt; of &lt;b&gt;Holiday&lt;/b&gt; from Nov 15th to Nov 18th_x000a_&lt;b&gt;8 hrs 30 mins&lt;/b&gt; of &lt;b&gt;Holiday&lt;/b&gt; on Nov 12th_x000a_&lt;b&gt;2 hrs 30 mins&lt;/b&gt; of &lt;b&gt;Family Support Leave&lt;/b&gt; on Nov 2nd_x000a_&lt;b&gt;17 hrs&lt;/b&gt; of &lt;b&gt;Holiday&lt;/b&gt; from Oct 6th to Oct 7th_x000a_&lt;b&gt;35 hrs&lt;/b&gt; of &lt;b&gt;Holiday&lt;/b&gt; from Sep 20th to Sep 23rd_x000a_&lt;b&gt;8 hrs 30 mins&lt;/b&gt; of &lt;b&gt;Holiday&lt;/b&gt; on Sep 17th_x000a__x000a_Schedule time off: https://dnn.fa.em2.oraclecloud.com/hcmUI/faces/deeplink?objType=ADD_ABSENCE&amp;action=NONE_x000a_View future absences_x000a_View absences for a specific duration_x000a_View absence balance (excl. sickness balance)"/>
        <s v="You have no direct reports."/>
        <s v="Here's your absence balance as of 11/03/2023._x000a__x000a_&lt;b&gt;0 hrs&lt;/b&gt; of MyReward _x000a_&lt;b&gt;175 hrs&lt;/b&gt; of Holiday _x000a_&lt;b&gt;0 hrs&lt;/b&gt; of Recognising Loyalty _x000a_&lt;b&gt;0 hrs&lt;/b&gt; of Work Anniversary _x000a_&lt;b&gt;-7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11/03/2023._x000a__x000a_&lt;b&gt;0 hrs&lt;/b&gt; of MyReward _x000a_&lt;b&gt;62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KEITH.DUNCAN@NATIONWIDE.CO.UK%22%2c+env%3a+%22https://dnn.fa.em2.oraclecloud.com%22%7d&amp;opauniqueuser=KEITH.DUNCAN@NATIONWIDE.CO.UK_x000a_Job Security and Redundancy Policy: https://dnn.fa.em2.oraclecloud.com:443/fscmUI/faces/deeplink?objType=CSO_ARTICLE_CONTENT_KM&amp;objKey=docId%3DHRPOL17%3Blocale%3Den_US&amp;action=EDIT_IN_TAB"/>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KATE.QUIGLEY@NATIONWIDE.CO.UK%22%2c+env%3a+%22https://dnn.fa.em2.oraclecloud.com%22%7d&amp;opauniqueuser=KATE.QUIGLEY@NATIONWIDE.CO.UK"/>
        <s v="&lt;b&gt;Natalie Rogers's&lt;/b&gt; office location is 12 Market Place in Hitchin, Hertfordshire, GB_x000a__x000a_View &lt;b&gt;Natalie's&lt;/b&gt; profile in &lt;a href=&quot;https://dnn.fa.em2.oraclecloud.com/fscmUI/faces/deeplink?objType=DIRECTORY_SEARCH&amp;action=NONE&quot;&gt;Directory&lt;/a&gt; to know more."/>
        <s v="It takes approximately 7 working days for you to receive a welfare loan payment. Your manager needs to approve your request and then we review it against the policy. If it aligns to policy we notify AP Expenses to pay the loan into your account via BACS payment. It takes 3 - 5 working days to make a BACS payment. When your manager approves your request a Service Request is created for you through which you can contact us if you have any questions."/>
        <s v="Here's your absence balance as of 11/03/2023._x000a__x000a_&lt;b&gt;0 hrs&lt;/b&gt; of MyReward _x000a_&lt;b&gt;175 hrs 5 mins&lt;/b&gt; of Holiday _x000a_&lt;b&gt;0 hrs&lt;/b&gt; of Recognising Loyalty _x000a_&lt;b&gt;7 hrs&lt;/b&gt; of Work Anniversary _x000a_&lt;b&gt;0 hrs&lt;/b&gt; of Public Holiday _x000a_&lt;b&gt;0 hrs&lt;/b&gt; of Sabbatical Leave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31/12/2023._x000a__x000a_&lt;b&gt;0 hrs&lt;/b&gt; of MyReward _x000a_&lt;b&gt;35 hrs 6 mins&lt;/b&gt; of Holiday _x000a_&lt;b&gt;7 hrs&lt;/b&gt; of Recognising Loyalty _x000a_&lt;b&gt;0 hrs&lt;/b&gt; of Work Anniversary _x000a_&lt;b&gt;0 hrs&lt;/b&gt; of Public Holiday _x000a_&lt;b&gt;0 hrs&lt;/b&gt; of Sabbatical Leave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Adoption Leave_x000a_To find out more please have a look at the Adoption Leave Policy. _x000a__x000a_You may also find it helpful to use the Adoption Pay &amp; Leave Questionnaire which will estimate your leave and pay values based on the information you enter into it._x000a_Adoption Leave Policy: https://dnn.fa.em2.oraclecloud.com:443/fscmUI/faces/deeplink?objType=CSO_ARTICLE_CONTENT_KM&amp;objKey=docId%3DHRPOL12%3Blocale%3Den_US&amp;action=EDIT_IN_TAB_x000a_Adoption Pay &amp; Leave Questionnaire: https://nbs-opa.custhelp.com/web-determinations/startsession/NBS_Adoption?seedData=%7bname%3a+%22KATE.QUIGLEY@NATIONWIDE.CO.UK%22%2c+env%3a+%22https://dnn.fa.em2.oraclecloud.com%22%7d&amp;opauniqueuser=KATE.QUIGLEY@NATIONWIDE.CO.UK"/>
        <s v="Here's your absence balance as of 11/03/2023._x000a__x000a_&lt;b&gt;0 hrs&lt;/b&gt; of MyReward _x000a_&lt;b&gt;137 hrs 30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lt;a href='https://dnn.fa.em2.oraclecloud.com/hcmUI/content/conn/FusionAppsContentRepository/uuid/dDocID:8515893?download&amp;XFND_SCHEME_ID=1&amp;XFND_CERT_FP=E7A6669B1744C0DE0883C285E2A79DD364729D79&amp;XFND_RANDOM=-4249743752432730252&amp;XFND_EXPIRES=1691755815782&amp;XFND_SIGNATURE=FCtoSzc0AMtplhqfeaiBRmA5CXayUkOw0z3LCFxIsszSX902AEIMqvjkGbu-DMrHqWyxCmQhji2pihc3U7fgnlfsJvQb9sUoxF0IoNJLI8qL5QNaEIZk2Bg8G-OeBJVgxx3NVMB5qanB8ZhykT8NsYHssZCX9f9g1aAXJkHlaLo_&amp;Id=8515893' &gt;View your payslip&lt;/a&gt;"/>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KATE.QUIGLEY@NATIONWIDE.CO.UK%22%2c+env%3a+%22https://dnn.fa.em2.oraclecloud.com%22%7d&amp;opauniqueuser=KATE.QUIGLEY@NATIONWIDE.CO.UK"/>
        <s v="Ok, this is what I think you need. The &lt;a href=&quot;https://dnn.fa.em2.oraclecloud.com:443/fscmUI/faces/deeplink?objType=CSO_ARTICLE_CONTENT_KM&amp;amp;objKey=docId%3DHRGUI6%3Blocale%3Den_US&amp;amp;action=EDIT_IN_TAB&quot;&gt;PeopleCloud Performance Goals Guide&lt;/a&gt; shows you how to add, share and update your performance goals, and add and view your direct reports' goals. When you share a goal, those you're sharing it with need to accept it for it to show in their goals."/>
        <s v="Shared Parental Leave_x000a__x000a_To find out more please have a look at the Shared Parental Leave Policy. You may also find it helpful to use the Shared Parental Leave and Pay Questionnaire which will estimate your leave and pay values based on the information you enter into it._x000a_Shared Parental Leave Policy: https://dnn.fa.em2.oraclecloud.com:443/fscmUI/faces/deeplink?objType=CSO_ARTICLE_CONTENT_KM&amp;objKey=docId%3DHRPOL12%3Blocale%3Den_US&amp;action=EDIT_IN_TAB_x000a_Shared Parental Leave and Pay Questionnaire: https://nbs-opa.custhelp.com/web-determinations/startsession/NBS_SharedLeave?seedData=%7bname%3a+%22KATE.QUIGLEY@NATIONWIDE.CO.UK%22%2c+env%3a+%22https://dnn.fa.em2.oraclecloud.com%22%7d&amp;opauniqueuser=KATE.QUIGLEY@NATIONWIDE.CO.UK"/>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KATE.QUIGLEY@NATIONWIDE.CO.UK%22%2c+env%3a+%22https://dnn.fa.em2.oraclecloud.com%22%7d&amp;opauniqueuser=KATE.QUIGLEY@NATIONWIDE.CO.UK_x000a_Job Security and Redundancy Policy: https://dnn.fa.em2.oraclecloud.com:443/fscmUI/faces/deeplink?objType=CSO_ARTICLE_CONTENT_KM&amp;objKey=docId%3DHRPOL17%3Blocale%3Den_US&amp;action=EDIT_IN_TAB"/>
        <s v="Please send all documentation to us by attaching it to yourÂ &lt;a href=&quot;https://dnn.fa.em2.oraclecloud.com/fscmUI/faces/deeplink?objType=SVC_SERVICE_REQUEST_HCM&amp;amp;action=EDIT_IN_POPUP&quot;&gt;existing service request&lt;/a&gt; or raising aÂ &lt;a href=&quot;http://dnn.fa.em2.oraclecloud.com/fscmUI/faces/deeplink?objType=SVC_SERVICE_REQUEST_HCM&amp;amp;action=CREATE_IN_TAB&amp;amp;objKey&quot;&gt;new service request&lt;/a&gt;. If you don't have access to PeopleCloud or we've asked you to send us an original document, we do have a postal address which can be used for documents relating to the Lifecycle Services, Attendance &amp; Wellbeing and Payroll Services teams only.&lt;br /&gt;_x000a_[team name], People Services, People Function, Nationwide House, Pipers Way, Swindon SN38 1NW"/>
        <s v="Here's your absence balance as of 05/01/2023._x000a__x000a_&lt;b&gt;70 hrs 15 mins&lt;/b&gt; of Holiday _x000a_&lt;b&gt;0 hrs&lt;/b&gt; of Recognising Loyalty _x000a_&lt;b&gt;0 hrs&lt;/b&gt; of Work Anniversary _x000a_&lt;b&gt;0 hrs&lt;/b&gt; of MyReward _x000a_&lt;b&gt;12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I was unable to find any payslip for you._x000a_You can, however, &lt;a href=&quot;https://dnn.fa.em2.oraclecloud.com/fscmUI/faces/deeplink?objType=VIEW_RES_PAY_SLIP&amp;action=NONE&quot;&gt;access your payslip&lt;/a&gt; from the HCM application."/>
        <s v="Here's your absence balance as of 11/03/2023._x000a__x000a_&lt;b&gt;0 hrs&lt;/b&gt; of MyReward _x000a_&lt;b&gt;77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12/03/2023._x000a__x000a_&lt;b&gt;0 hrs&lt;/b&gt; of MyReward _x000a_&lt;b&gt;175 hrs 5 mins&lt;/b&gt; of Holiday _x000a_&lt;b&gt;0 hrs&lt;/b&gt; of Recognising Loyalty _x000a_&lt;b&gt;7 hrs&lt;/b&gt; of Work Anniversary _x000a_&lt;b&gt;0 hrs&lt;/b&gt; of Public Holiday _x000a_&lt;b&gt;0 hrs&lt;/b&gt; of Sabbatical Leave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anna.maldini@nationwide.co.uk%22%2c+env%3a+%22https://dnn.fa.em2.oraclecloud.com%22%7d&amp;opauniqueuser=anna.maldini@nationwide.co.uk"/>
        <s v="Here's your absence balance as of 12/03/2023._x000a__x000a_&lt;b&gt;173 hrs&lt;/b&gt; of Holiday _x000a_&lt;b&gt;0 hrs&lt;/b&gt; of Sabbatical Leave _x000a_&lt;b&gt;0 hrs&lt;/b&gt; of Recognising Loyalty _x000a_&lt;b&gt;7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13/03/2023._x000a__x000a_&lt;b&gt;112 hrs&lt;/b&gt; of Holiday _x000a_&lt;b&gt;0 hrs&lt;/b&gt; of Recognising Loyalty _x000a_&lt;b&gt;0 hrs&lt;/b&gt; of Work Anniversary _x000a_&lt;b&gt;0 hrs&lt;/b&gt; of MyReward _x000a_&lt;b&gt;-1 hr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lt;a href='https://dnn.fa.em2.oraclecloud.com/hcmUI/content/conn/FusionAppsContentRepository/uuid/dDocID:8520159?download&amp;XFND_SCHEME_ID=1&amp;XFND_CERT_FP=E7A6669B1744C0DE0883C285E2A79DD364729D79&amp;XFND_RANDOM=-6770621026643133247&amp;XFND_EXPIRES=1691949762040&amp;XFND_SIGNATURE=mqJWdb6v0s-9BHGakH5eDIznUV4P5KZ2Ppw7svC4c~-3NTpc32elRsUy9xWEBcVlVFALUCwxkIhPKuX0sYemg5oTPP0tCnxhRgmH874mJtPBjgaG8G1ZFtHLeNkcU5UEC7RG9MsVKx0qJrrm0GJt-xEW4eZOcDzH0lPV0lyT178_&amp;Id=8520159' &gt;View your payslip&lt;/a&gt;"/>
        <s v="&lt;a href='https://dnn.fa.em2.oraclecloud.com/hcmUI/content/conn/FusionAppsContentRepository/uuid/dDocID:8509661?download&amp;XFND_SCHEME_ID=1&amp;XFND_CERT_FP=E7A6669B1744C0DE0883C285E2A79DD364729D79&amp;XFND_RANDOM=4264024317702779927&amp;XFND_EXPIRES=1691990300177&amp;XFND_SIGNATURE=gbrTcEpSUPy9qgO7vnGjsoQu3Ll5umJo39uu~aNmHaP2HFIbp~jJzWCUELFU5bzqjcVDKeTkf87Sshx7bKPq4qDKlwYSYEeITZKIpwcKSNlmGNPHEK9FhZnWKuOiRaN5hhtpe35MCvlVerCVDHEfr~KDzBa9q8Z6iLbvwcgmcVA_&amp;Id=8509661' &gt;View your payslip&lt;/a&gt;"/>
        <s v="Here's your absence balance as of 14/03/2023._x000a__x000a_&lt;b&gt;151 hrs 15 mins&lt;/b&gt; of Holiday _x000a_&lt;b&gt;0 hrs&lt;/b&gt; of Recognising Loyalty _x000a_&lt;b&gt;0 hrs&lt;/b&gt; of Work Anniversary _x000a_&lt;b&gt;0 hrs&lt;/b&gt; of MyReward _x000a_&lt;b&gt;-8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14/03/2023._x000a__x000a_&lt;b&gt;70 hrs 30 mins&lt;/b&gt; of Holiday _x000a_&lt;b&gt;0 hrs&lt;/b&gt; of Recognising Loyalty _x000a_&lt;b&gt;0 hrs&lt;/b&gt; of Work Anniversary _x000a_&lt;b&gt;0 hrs&lt;/b&gt; of MyReward _x000a_&lt;b&gt;-8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VERSHA.AGGARWAL@NATIONWIDE.CO.UK%22%2c+env%3a+%22https://dnn.fa.em2.oraclecloud.com%22%7d&amp;opauniqueuser=VERSHA.AGGARWAL@NATIONWIDE.CO.UK_x000a_Job Security and Redundancy Policy: https://dnn.fa.em2.oraclecloud.com:443/fscmUI/faces/deeplink?objType=CSO_ARTICLE_CONTENT_KM&amp;objKey=docId%3DHRPOL17%3Blocale%3Den_US&amp;action=EDIT_IN_TAB"/>
        <s v="&lt;a href='https://dnn.fa.em2.oraclecloud.com/hcmUI/content/conn/FusionAppsContentRepository/uuid/dDocID:8517762?download&amp;XFND_SCHEME_ID=1&amp;XFND_CERT_FP=E7A6669B1744C0DE0883C285E2A79DD364729D79&amp;XFND_RANDOM=8110857416037434310&amp;XFND_EXPIRES=1692004074735&amp;XFND_SIGNATURE=a-t3rEarD2xSUy47H1B~~Gb3mHFM9QCxKmwy2pSfiKZiwba9PcC75KHJiJE9JNuPGnPVmYVIdIzax4DjZj3yIx0qjofncomDoqqun5JDkEbHW-Vb4u-u5y8Qi7KFnypSbCEzNTscy87qWzFMxnKtLI4ZprIhC14UBFLNLdljFRw_&amp;Id=8517762' &gt;View your payslip&lt;/a&gt;"/>
        <s v="When you make a Fixed Term Contract open ended it's important you attach the necessary approval email in the trasaction. You'll find step by step instructions in the &lt;a href=&quot;https://dnn.fa.em2.oraclecloud.com:443/fscmUI/faces/deeplink?objType=CSO_ARTICLE_CONTENT_KM&amp;objKey=docId%3DHRGUI56%3Blocale%3Den_US&amp;action=EDIT_IN_TAB&quot;&gt;PeopleCloud Managers Keying Guide&lt;/a&gt;."/>
        <s v="Here's your absence balance as of 14/03/2023._x000a__x000a_&lt;b&gt;78 hrs 58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CARRIE.THOMPSON@NATIONWIDE.CO.UK%22%2c+env%3a+%22https://dnn.fa.em2.oraclecloud.com%22%7d&amp;opauniqueuser=CARRIE.THOMPSON@NATIONWIDE.CO.UK_x000a_Job Security and Redundancy Policy: https://dnn.fa.em2.oraclecloud.com:443/fscmUI/faces/deeplink?objType=CSO_ARTICLE_CONTENT_KM&amp;objKey=docId%3DHRPOL17%3Blocale%3Den_US&amp;action=EDIT_IN_TAB"/>
        <s v="Here's your absence balance as of 14/03/2023._x000a__x000a_&lt;b&gt;113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have the following time off in the next twelve months._x000a__x000a_&lt;b&gt;63 hrs&lt;/b&gt; of &lt;b&gt;Holiday&lt;/b&gt; from Sep 12th to Sep 22nd_x000a_&lt;b&gt;14 hrs&lt;/b&gt; of &lt;b&gt;Holiday&lt;/b&gt; from Oct 12th to Oct 13th_x000a__x000a_Schedule time off: https://dnn.fa.em2.oraclecloud.com/hcmUI/faces/deeplink?objType=ADD_ABSENCE&amp;action=NONE_x000a_View absences for a specific duration_x000a_View absence balance (excl. sickness balance)"/>
        <s v="Here's your absence balance as of 14/03/2023._x000a__x000a_&lt;b&gt;113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s v="Here's your absence balance as of 31/12/2023._x000a__x000a_&lt;b&gt;36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s v="Sorry, you can't update your work email. Only Logical Access can do this. If you've recently updated your name or preferred name in PeopleCloud, Logical Access will email you in the next few days to ask if you'd like to update your work email to match your new name details._x000a__x000a_Your work email is &lt;a href='mailto:sadie.kerr@nationwide.co.uk'&gt;sadie.kerr@nationwide.co.uk&lt;/a&gt;._x000a__x000a_&lt;a href=&quot;https://dnn.fa.em2.oraclecloud.com/hcmUI/faces/deeplink?objType=EMP_CONTACT_INFO&amp;action=NONE&quot;&gt;View additional contact information&lt;/a&gt; including your phone, email, home address and other communication method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ANNIE.HODGES@NATIONWIDE.CO.UK%22%2c+env%3a+%22https://dnn.fa.em2.oraclecloud.com%22%7d&amp;opauniqueuser=ANNIE.HODGES@NATIONWIDE.CO.UK"/>
        <s v="You are &lt;b&gt;James Donnelly&lt;/b&gt;, Engineer - E2._x000a_You report to Dom Osman._x000a__x000a_Email: &lt;a href='mailto:James.Donnelly@nationwide.co.uk'&gt;James.Donnelly@nationwide.co.uk&lt;/a&gt;_x000a__x000a_View your profile in &lt;a href=&quot;https://dnn.fa.em2.oraclecloud.com/fscmUI/faces/deeplink?objType=DIRECTORY_SEARCH&amp;action=NONE&quot;&gt;Directory&lt;/a&gt;._x000a__x000a_Need to see a co-worker's contact info? Try something like 'Show me contact info of John Smith'."/>
        <s v="Sure. I think this is what you want._x000a_&lt;a href='https://dnn.fa.em2.oraclecloud.com/hcmUI/faces/deeplink?objType=EMP_FAMILY_AND_EMGNC_CONTACTS&amp;action=NONE' &gt;View and update your emergency contacts&lt;/a&gt;_x000a__x000a_Ask me 'Show my contact info' to view your work phone number and work email address."/>
        <s v="&lt;a href='https://dnn.fa.em2.oraclecloud.com/hcmUI/content/conn/FusionAppsContentRepository/uuid/dDocID:8519959?download&amp;XFND_SCHEME_ID=1&amp;XFND_CERT_FP=E7A6669B1744C0DE0883C285E2A79DD364729D79&amp;XFND_RANDOM=3973993000376811686&amp;XFND_EXPIRES=1692011938370&amp;XFND_SIGNATURE=iBx8SUxBtzD6V4GIcjVdkaPPoCmQZV9lfr56YBTrdPcs288mIENe0QtABI38eh99w582jsEiP84eZiCWKA48wqPKEshsCThVlGNUkmaKZz7A~Lj2lYPZAmbZP5S0MKoPevCYYOX9eRYPrUsYzQPNLszqrUOkYgoeR9FcOBaqGE8_&amp;Id=8519959' &gt;View your payslip&lt;/a&gt;"/>
        <s v="Sorry, only HR can add new assignments for your direct reports. However, you can &lt;a href=&quot;https://dnn.fa.em2.oraclecloud.com/fscmUI/faces/deeplink?objType=CHANGE_ASSIGNMENT&amp;amp;action=NONE&quot;&gt;change a direct reports assignment&lt;/a&gt; when you need to confirm their probation, extend or confirm their fixed term contract, update their secondment, location, or department details. Take a look at the &lt;a href=&quot;https://dnn.fa.em2.oraclecloud.com/fscmUI/faces/deeplink?objType=CSO_ARTICLE_CONTENT_KM&amp;amp;objKey=docId%3DHRGUI56%3Blocale%3Den_US&amp;amp;action=EDIT_IN_TAB&quot;&gt;PeopleCloud Manager Keying Guide&lt;/a&gt; to find out how."/>
        <s v="Sorry, you can't update your work email. Only Logical Access can do this. If you've recently updated your name or preferred name in PeopleCloud, Logical Access will email you in the next few days to ask if you'd like to update your work email to match your new name details._x000a__x000a_Your work email is &lt;a href='mailto:Katherine.Bell@nationwide.co.uk'&gt;Katherine.Bell@nationwide.co.uk&lt;/a&gt;._x000a__x000a_&lt;a href=&quot;https://dnn.fa.em2.oraclecloud.com/hcmUI/faces/deeplink?objType=EMP_CONTACT_INFO&amp;action=NONE&quot;&gt;View additional contact information&lt;/a&gt; including your phone, email, home address and other communication method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FIONA.BOND@NATIONWIDE.CO.UK%22%2c+env%3a+%22https://dnn.fa.em2.oraclecloud.com%22%7d&amp;opauniqueuser=FIONA.BOND@NATIONWIDE.CO.UK"/>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MELISSA.SWABEY@NATIONWIDE.CO.UK%22%2c+env%3a+%22https://dnn.fa.em2.oraclecloud.com%22%7d&amp;opauniqueuser=MELISSA.SWABEY@NATIONWIDE.CO.UK"/>
        <s v="You have the following time off in the next twelve months._x000a__x000a_&lt;b&gt;14 hrs&lt;/b&gt; of &lt;b&gt;Holiday&lt;/b&gt; from Sep 21st to Sep 22nd_x000a__x000a_Schedule time off: https://dnn.fa.em2.oraclecloud.com/hcmUI/faces/deeplink?objType=ADD_ABSENCE&amp;action=NONE_x000a_View past absences_x000a_View absences for a specific duration_x000a_View absence balance (excl. sickness balance)"/>
        <s v="Here's your absence balance as of 14/03/2023._x000a__x000a_&lt;b&gt;161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14/03/2023._x000a__x000a_&lt;b&gt;125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SUE.RODGERS@NATIONWIDE.CO.UK%22%2c+env%3a+%22https://dnn.fa.em2.oraclecloud.com%22%7d&amp;opauniqueuser=SUE.RODGERS@NATIONWIDE.CO.UK_x000a_Job Security and Redundancy Policy: https://dnn.fa.em2.oraclecloud.com:443/fscmUI/faces/deeplink?objType=CSO_ARTICLE_CONTENT_KM&amp;objKey=docId%3DHRPOL17%3Blocale%3Den_US&amp;action=EDIT_IN_TAB"/>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RACHEL.NALDER@NATIONWIDE.CO.UK%22%2c+env%3a+%22https://dnn.fa.em2.oraclecloud.com%22%7d&amp;opauniqueuser=RACHEL.NALDER@NATIONWIDE.CO.UK_x000a_Job Security and Redundancy Policy: https://dnn.fa.em2.oraclecloud.com:443/fscmUI/faces/deeplink?objType=CSO_ARTICLE_CONTENT_KM&amp;objKey=docId%3DHRPOL17%3Blocale%3Den_US&amp;action=EDIT_IN_TAB"/>
        <s v="In most situations your manager would have given delegated access to another manager in your area so that the other manager can action things like these on their behalf. However, sometimes that's not possible because your manager has had to take unplanned leave. If you know that they haven't delegated their access to anyone else you need to ask your manager's manager to contact us so we can help them get the access they need to review and approve your request or claim. The best way to do this is by raising aÂ &lt;a href=&quot;https://dnn.fa.em2.oraclecloud.com/fscmUI/faces/deeplink?objType=SVC_SERVICE_REQUEST_HCM&amp;amp;action=CREATE_IN_TAB&amp;amp;objKey=SelfServiceCategory_c%3DNBS_HRM_MMDS%3BSelfServiceSubCategory_c%3DNBS_HRM_MMDS_AAQ%3BChannelTypeCd%3DNBS_HRM_ODA&quot;&gt;Service Request&lt;/a&gt; making sure to tell us exactly what access they need."/>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BENJAMIN.MCCONNELL@NATIONWIDE.CO.UK%22%2c+env%3a+%22https://dnn.fa.em2.oraclecloud.com%22%7d&amp;opauniqueuser=BENJAMIN.MCCONNELL@NATIONWIDE.CO.UK_x000a_Job Security and Redundancy Policy: https://dnn.fa.em2.oraclecloud.com:443/fscmUI/faces/deeplink?objType=CSO_ARTICLE_CONTENT_KM&amp;objKey=docId%3DHRPOL17%3Blocale%3Den_US&amp;action=EDIT_IN_TAB"/>
        <s v="&lt;a href='https://dnn.fa.em2.oraclecloud.com/hcmUI/content/conn/FusionAppsContentRepository/uuid/dDocID:8517762?download&amp;XFND_SCHEME_ID=1&amp;XFND_CERT_FP=E7A6669B1744C0DE0883C285E2A79DD364729D79&amp;XFND_RANDOM=8895815108526264287&amp;XFND_EXPIRES=1692023989925&amp;XFND_SIGNATURE=IafuAmMPhnEcyKJibBjf6Z-2i3XqYbWsZ~wvbomT6hKOhMyVocgixc3MiRAHAVi77OvEQ7TcCoKc7VnPDrmqwZPvwE1PFe5MURfQZdSldQLyaOg0Z5Y8HGGyjcUFNbHn3rlVVXJQuQeWBaqtMOHCTD~iama1xjs5GjeVl9CfDR8_&amp;Id=8517762' &gt;View your payslip&lt;/a&gt;"/>
        <s v="Here's your absence balance as of 14/03/2023._x000a__x000a_&lt;b&gt;115 hrs 30 mins&lt;/b&gt; of Holiday _x000a_&lt;b&gt;0 hrs&lt;/b&gt; of Recognising Loyalty _x000a_&lt;b&gt;0 hrs&lt;/b&gt; of Work Anniversary _x000a_&lt;b&gt;0 hrs&lt;/b&gt; of MyReward _x000a_&lt;b&gt;-8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31/12/2023._x000a__x000a_&lt;b&gt;0 hrs&lt;/b&gt; of MyReward _x000a_&lt;b&gt;54 hrs 30 mins&lt;/b&gt; of Holiday _x000a_&lt;b&gt;0 hrs&lt;/b&gt; of Recognising Loyalty _x000a_&lt;b&gt;0 hrs&lt;/b&gt; of Work Anniversary _x000a_&lt;b&gt;-8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have the following time off in the next twelve months._x000a__x000a_&lt;b&gt;52 hrs&lt;/b&gt; of &lt;b&gt;Holiday&lt;/b&gt; from Aug 21st to Aug 30th_x000a__x000a_Schedule time off: https://dnn.fa.em2.oraclecloud.com/hcmUI/faces/deeplink?objType=ADD_ABSENCE&amp;action=NONE_x000a_View absences for a specific duration_x000a_View absence balance (excl. sickness balance)"/>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kimberley.seymour@nationwide.co.uk%22%2c+env%3a+%22https://dnn.fa.em2.oraclecloud.com%22%7d&amp;opauniqueuser=kimberley.seymour@nationwide.co.uk"/>
        <s v="Here's your absence balance as of 14/03/2023._x000a__x000a_&lt;b&gt;127 hrs 19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ve taken the following time off in the last twelve months._x000a__x000a_&lt;b&gt;2 days&lt;/b&gt; of &lt;b&gt;Sickness&lt;/b&gt; from Aug 3rd to Aug 4th_x000a_&lt;b&gt;5 days&lt;/b&gt; of &lt;b&gt;Sickness&lt;/b&gt; from Jul 24th to Jul 28th_x000a_&lt;b&gt;7 hrs&lt;/b&gt; of &lt;b&gt;Holiday&lt;/b&gt; on Jul 18th_x000a_&lt;b&gt;3 days&lt;/b&gt; of &lt;b&gt;Sickness&lt;/b&gt; from Jul 3rd to Jul 5th_x000a_&lt;b&gt;3 hrs 50 mins&lt;/b&gt; of &lt;b&gt;Holiday&lt;/b&gt; on Jun 19th_x000a_&lt;b&gt;3 hrs 50 mins&lt;/b&gt; of &lt;b&gt;Holiday&lt;/b&gt; on Jun 14th_x000a_&lt;b&gt;7 hrs&lt;/b&gt; of &lt;b&gt;Holiday&lt;/b&gt; on Jun 6th_x000a_&lt;b&gt;28 hrs&lt;/b&gt; of &lt;b&gt;Holiday&lt;/b&gt; from May 9th to May 12th_x000a_&lt;b&gt;7 hrs&lt;/b&gt; of &lt;b&gt;Family Support Leave&lt;/b&gt; on Mar 20th_x000a_&lt;b&gt;7 hrs&lt;/b&gt; of &lt;b&gt;Holiday&lt;/b&gt; on Mar 7th_x000a_&lt;b&gt;14 hrs&lt;/b&gt; of &lt;b&gt;Holiday&lt;/b&gt; from Feb 3rd to Feb 6th_x000a_&lt;b&gt;1 day&lt;/b&gt; of &lt;b&gt;Sickness&lt;/b&gt; on Jan 30th_x000a_&lt;b&gt;8 days&lt;/b&gt; of &lt;b&gt;Sickness&lt;/b&gt; from Nov 29th to Dec 8th_x000a_&lt;b&gt;1 day&lt;/b&gt; of &lt;b&gt;Sickness&lt;/b&gt; on Nov 24th_x000a__x000a_Schedule time off: https://dnn.fa.em2.oraclecloud.com/hcmUI/faces/deeplink?objType=ADD_ABSENCE&amp;action=NONE_x000a_View absences for a specific duration_x000a_View absence balance (excl. sickness balance)"/>
        <s v="Here's your absence balance as of 14/03/2023._x000a__x000a_&lt;b&gt;127 hrs 19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past absence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GEORGINA.FENN@NATIONWIDE.CO.UK%22%2c+env%3a+%22https://dnn.fa.em2.oraclecloud.com%22%7d&amp;opauniqueuser=GEORGINA.FENN@NATIONWIDE.CO.UK"/>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LISA.HENDERSON@NATIONWIDE.CO.UK%22%2c+env%3a+%22https://dnn.fa.em2.oraclecloud.com%22%7d&amp;opauniqueuser=LISA.HENDERSON@NATIONWIDE.CO.UK"/>
        <s v="Here's your absence balance as of 14/03/2023._x000a__x000a_&lt;b&gt;175 hrs&lt;/b&gt; of Holiday _x000a_&lt;b&gt;0 hrs&lt;/b&gt; of Recognising Loyalty _x000a_&lt;b&gt;0 hrs&lt;/b&gt; of Work Anniversary _x000a_&lt;b&gt;7 hrs 10 min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have the following time off in the next twelve months._x000a__x000a_&lt;b&gt;129 hrs 50 mins&lt;/b&gt; of &lt;b&gt;Holiday&lt;/b&gt; from Oct 3rd to Oct 27th_x000a__x000a_Schedule time off: https://dnn.fa.em2.oraclecloud.com/hcmUI/faces/deeplink?objType=ADD_ABSENCE&amp;action=NONE_x000a_View absences for a specific duration_x000a_View absence balance (excl. sickness balance)"/>
        <s v="&lt;a href='https://dnn.fa.em2.oraclecloud.com/hcmUI/content/conn/FusionAppsContentRepository/uuid/dDocID:8510443?download&amp;XFND_SCHEME_ID=1&amp;XFND_CERT_FP=E7A6669B1744C0DE0883C285E2A79DD364729D79&amp;XFND_RANDOM=-5217893850720436022&amp;XFND_EXPIRES=1692030533167&amp;XFND_SIGNATURE=BOmsXvTuJRY5KSJG8K1vpDqEcRpBm-N5EGyYHh4sHiyz4CrzMDFXmwoTB6MstLjqGUTiPYPRgEVN6Ij6S9BXwwW4RbS1E3F3Q0N8EsVqM90gIl29QP4hAg~yIIVGGJw0ZQZ37qiA4xp-yJBZ-WUD-Mtk9J0RmJrxUZUcn5dyvVE_&amp;Id=8510443' &gt;View your payslip&lt;/a&gt;"/>
        <s v="Your current pay rate is -------GBP  annually. Your last approved adjustment was an increase of &lt;b&gt;33.2&lt;/b&gt;% (----GBP) effective on July 17, 2023."/>
        <s v="You've taken the following time off in the last twelve months._x000a__x000a_&lt;b&gt;19 days&lt;/b&gt; of &lt;b&gt;Sickness&lt;/b&gt; from Jul 19th to Aug 14th_x000a_&lt;b&gt;14 hrs&lt;/b&gt; of &lt;b&gt;Holiday&lt;/b&gt; from Jul 17th to Jul 18th_x000a_&lt;b&gt;70 hrs&lt;/b&gt; of &lt;b&gt;Holiday&lt;/b&gt; from Jun 26th to Jul 7th_x000a_&lt;b&gt;35 hrs&lt;/b&gt; of &lt;b&gt;Holiday&lt;/b&gt; from Jun 5th to Jun 9th_x000a_&lt;b&gt;4 days&lt;/b&gt; of &lt;b&gt;Sickness&lt;/b&gt; from May 16th to May 19th_x000a_&lt;b&gt;14 hrs&lt;/b&gt; of &lt;b&gt;Holiday&lt;/b&gt; from May 12th to May 15th_x000a_&lt;b&gt;35 hrs&lt;/b&gt; of &lt;b&gt;Holiday&lt;/b&gt; from Mar 13th to Mar 17th_x000a_&lt;b&gt;3 hrs 10 mins&lt;/b&gt; of &lt;b&gt;Holiday&lt;/b&gt; on Jan 13th_x000a_&lt;b&gt;14 hrs&lt;/b&gt; of &lt;b&gt;Holiday&lt;/b&gt; from Dec 28th to Dec 29th_x000a_&lt;b&gt;5 days&lt;/b&gt; of &lt;b&gt;Sickness&lt;/b&gt; from Dec 19th to Dec 23rd_x000a_&lt;b&gt;7 hrs&lt;/b&gt; of &lt;b&gt;Holiday&lt;/b&gt; on Nov 21st_x000a_&lt;b&gt;42 calendar days&lt;/b&gt; of &lt;b&gt;Paternity Leave - Childbirth&lt;/b&gt; from Sep 26th to Nov 6th_x000a_&lt;b&gt;21 hrs&lt;/b&gt; of &lt;b&gt;Holiday&lt;/b&gt; from Sep 21st to Sep 23rd_x000a_&lt;b&gt;7 hrs&lt;/b&gt; of &lt;b&gt;Family Support Leave&lt;/b&gt; on Sep 20th_x000a_&lt;b&gt;35 hrs&lt;/b&gt; of &lt;b&gt;Holiday&lt;/b&gt; from Sep 12th to Sep 16th_x000a_&lt;b&gt;42 hrs&lt;/b&gt; of &lt;b&gt;Holiday&lt;/b&gt; from Sep 2nd to Sep 9th_x000a__x000a_Schedule time off: https://dnn.fa.em2.oraclecloud.com/hcmUI/faces/deeplink?objType=ADD_ABSENCE&amp;action=NONE_x000a_View future absences_x000a_View absences for a specific duration_x000a_View absence balance (excl. sickness balance)"/>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MATTHEW.CRISP@NATIONWIDE.CO.UK%22%2c+env%3a+%22https://dnn.fa.em2.oraclecloud.com%22%7d&amp;opauniqueuser=MATTHEW.CRISP@NATIONWIDE.CO.UK"/>
        <s v="Here's your absence balance as of 15/03/2023._x000a__x000a_&lt;b&gt;119 hrs 45 mins&lt;/b&gt; of Holiday _x000a_&lt;b&gt;0 hrs&lt;/b&gt; of Recognising Loyalty _x000a_&lt;b&gt;0 hrs&lt;/b&gt; of Work Anniversary _x000a_&lt;b&gt;0 hrs&lt;/b&gt; of MyReward _x000a_&lt;b&gt;-10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31/12/2023._x000a__x000a_&lt;b&gt;35 hrs 45 mins&lt;/b&gt; of Holiday _x000a_&lt;b&gt;0 hrs&lt;/b&gt; of Recognising Loyalty _x000a_&lt;b&gt;0 hrs&lt;/b&gt; of Work Anniversary _x000a_&lt;b&gt;0 hrs&lt;/b&gt; of MyReward _x000a_&lt;b&gt;-10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EMMA.YOUNG@NATIONWIDE.CO.UK%22%2c+env%3a+%22https://dnn.fa.em2.oraclecloud.com%22%7d&amp;opauniqueuser=EMMA.YOUNG@NATIONWIDE.CO.UK"/>
        <s v="Here's the first request:_x000a_1. Personal Contribution Approval Requested for Sarah Rogers (087306) on 2023-03-30 by Sarah Rogers_x000a__x000a_&lt;a href='https://dnn.fa.em2.oraclecloud.com:443/hcmUI/faces/adf.task-flow?tz=UTC&amp;df=medium&amp;dt=both&amp;tf=short&amp;lg=en&amp;cy=US&amp;bpmWorklistTaskId=463a82f2-151a-4878-b2c0-7e56d19bdccf&amp;bpmBrowserWindowStatus=taskFlowReturn&amp;bpmWorklistContext=99a85741-8203-4dc7-9ecf-1eacc774b153%3B%3BG%3B%3B4SCewxDsKNW%2BzN%2BstWOySR%2B5LOjtdDR%2FGrC2iNtveNL0SCRBMOHynGXUO6x8cx7APKAbfacqYyfMHrsW6%2FpAye7jsGb%2Fhqbqy%2BwSRgv193Tm5PcQTq9oWoF7RrvE%2F3BM32gDmUjBGWQ6CuecghKffyL%2B01fWfVJN6q%2FV5gjTqyY%3D&amp;bpmClientType=&amp;sf=alta&amp;_id=UnifiedNotificationFlow&amp;_document=WEB-INF%2Foracle%2Fapps%2Ffinancials%2FcommonModules%2Fshared%2FpublicUi%2FonlineNotification%2Fflow%2FUnifiedNotificationFlow.xml' target='_blank'&gt;View Approval&lt;/a&gt;"/>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SALLY.THOMPSON@NATIONWIDE.CO.UK%22%2c+env%3a+%22https://dnn.fa.em2.oraclecloud.com%22%7d&amp;opauniqueuser=SALLY.THOMPSON@NATIONWIDE.CO.UK"/>
        <s v="Here's your absence balance as of 15/03/2023._x000a__x000a_&lt;b&gt;48 hrs&lt;/b&gt; of Holiday _x000a_&lt;b&gt;0 hrs&lt;/b&gt; of Recognising Loyalty _x000a_&lt;b&gt;0 hrs&lt;/b&gt; of Work Anniversary _x000a_&lt;b&gt;0 hrs&lt;/b&gt; of MyReward _x000a_&lt;b&gt;6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31/12/2023._x000a__x000a_&lt;b&gt;48 hrs&lt;/b&gt; of Holiday _x000a_&lt;b&gt;0 hrs&lt;/b&gt; of Recognising Loyalty _x000a_&lt;b&gt;0 hrs&lt;/b&gt; of Work Anniversary _x000a_&lt;b&gt;0 hrs&lt;/b&gt; of MyReward _x000a_&lt;b&gt;6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REBECCA.NASH2@NATIONWIDE.CO.UK%22%2c+env%3a+%22https://dnn.fa.em2.oraclecloud.com%22%7d&amp;opauniqueuser=REBECCA.NASH2@NATIONWIDE.CO.UK"/>
        <s v="Here's your absence balance as of 15/03/2023._x000a__x000a_&lt;b&gt;74 hrs 15 mins&lt;/b&gt; of Holiday _x000a_&lt;b&gt;0 hrs&lt;/b&gt; of Recognising Loyalty _x000a_&lt;b&gt;0 hrs&lt;/b&gt; of Work Anniversary _x000a_&lt;b&gt;0 hrs&lt;/b&gt; of MyReward _x000a_&lt;b&gt;-11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Ok you can do that here.&lt;br /&gt;_x000a_&lt;a href=&quot;https://dnn.fa.em2.oraclecloud.com/hcmUI/faces/deeplink?objType=CHANGE_MANAGER&quot;&gt;Reassign a direct report to another manager&lt;/a&gt;. You should only use this when theyâ€™re moving into another reporting line, but all their job details are staying the same. Take a look at the &lt;a href=&quot;https://dnn.fa.em2.oraclecloud.com/fscmUI/faces/deeplink?objType=CSO_ARTICLE_CONTENT_KM&amp;amp;objKey=docId%3DHRGUI56%3Blocale%3Den_US&amp;amp;action=EDIT_IN_TAB&quot;&gt;PeopleCloud Manager Keying Guide&lt;/a&gt;Â to find out how."/>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CHLOE.BAILEY@NATIONWIDE.CO.UK%22%2c+env%3a+%22https://dnn.fa.em2.oraclecloud.com%22%7d&amp;opauniqueuser=CHLOE.BAILEY@NATIONWIDE.CO.UK"/>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PETER.MILSOM@NATIONWIDE.CO.UK%22%2c+env%3a+%22https://dnn.fa.em2.oraclecloud.com%22%7d&amp;opauniqueuser=PETER.MILSOM@NATIONWIDE.CO.UK"/>
        <s v="Here's your absence balance as of 15/03/2023._x000a__x000a_&lt;b&gt;74 hrs 15 mins&lt;/b&gt; of Holiday _x000a_&lt;b&gt;0 hrs&lt;/b&gt; of Recognising Loyalty _x000a_&lt;b&gt;0 hrs&lt;/b&gt; of Work Anniversary _x000a_&lt;b&gt;0 hrs&lt;/b&gt; of MyReward _x000a_&lt;b&gt;-11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RUTH.HUNT@NATIONWIDE.CO.UK%22%2c+env%3a+%22https://dnn.fa.em2.oraclecloud.com%22%7d&amp;opauniqueuser=RUTH.HUNT@NATIONWIDE.CO.UK"/>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Annie.Hannon@nationwide.co.uk%22%2c+env%3a+%22https://dnn.fa.em2.oraclecloud.com%22%7d&amp;opauniqueuser=Annie.Hannon@nationwide.co.uk"/>
        <s v="Here's your absence balance as of 05/09/2023._x000a__x000a_&lt;b&gt;98 hrs&lt;/b&gt; of Holiday _x000a_&lt;b&gt;210 hrs&lt;/b&gt; of Sabbatical Leave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15/03/2023._x000a__x000a_&lt;b&gt;60 hrs&lt;/b&gt; of Holiday _x000a_&lt;b&gt;0 hrs&lt;/b&gt; of Recognising Loyalty _x000a_&lt;b&gt;0 hrs&lt;/b&gt; of Work Anniversary _x000a_&lt;b&gt;0 hrs&lt;/b&gt; of MyReward _x000a_&lt;b&gt;-1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r current pay rate is -------GBP  annually. Your last approved adjustment was an increase of &lt;b&gt;4.4&lt;/b&gt;% (----GBP) effective on June 01, 2023."/>
        <s v="Your current pay rate is -------GBP  annually. Your last approved adjustment was an increase of &lt;b&gt;3.9&lt;/b&gt;% (----GBP) effective on June 01, 2023."/>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clare.collister@nationwide.co.uk%22%2c+env%3a+%22https://dnn.fa.em2.oraclecloud.com%22%7d&amp;opauniqueuser=clare.collister@nationwide.co.uk_x000a_Job Security and Redundancy Policy: https://dnn.fa.em2.oraclecloud.com:443/fscmUI/faces/deeplink?objType=CSO_ARTICLE_CONTENT_KM&amp;objKey=docId%3DHRPOL17%3Blocale%3Den_US&amp;action=EDIT_IN_TAB"/>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clare.collister@nationwide.co.uk%22%2c+env%3a+%22https://dnn.fa.em2.oraclecloud.com%22%7d&amp;opauniqueuser=clare.collister@nationwide.co.uk"/>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SAM.BISSETT@NATIONWIDE.CO.UK%22%2c+env%3a+%22https://dnn.fa.em2.oraclecloud.com%22%7d&amp;opauniqueuser=SAM.BISSETT@NATIONWIDE.CO.UK_x000a_Job Security and Redundancy Policy: https://dnn.fa.em2.oraclecloud.com:443/fscmUI/faces/deeplink?objType=CSO_ARTICLE_CONTENT_KM&amp;objKey=docId%3DHRPOL17%3Blocale%3Den_US&amp;action=EDIT_IN_TAB"/>
        <s v="&lt;a href='https://dnn.fa.em2.oraclecloud.com/hcmUI/content/conn/FusionAppsContentRepository/uuid/dDocID:8518256?download&amp;XFND_SCHEME_ID=1&amp;XFND_CERT_FP=E7A6669B1744C0DE0883C285E2A79DD364729D79&amp;XFND_RANDOM=7908840767961119845&amp;XFND_EXPIRES=1692102785597&amp;XFND_SIGNATURE=hTv9yKezvx28vi~EPAfu~A-q1fAfRnZJgRCTk4UOW~21cw5yUneoxvNaucDFB0Uo8j9jL6QpbFvyZB4fVFa9IOOigUp-V0u9RnSdUGzKlBo2TWor5aQt0G9RwLxQKQrgHVGKHN7TKzgy4cUQbJYrXBxNN-Wun6dwyXW17ltluJk_&amp;Id=8518256' &gt;View your payslip&lt;/a&gt;"/>
        <s v="Here's your absence balance as of 15/03/2023._x000a__x000a_&lt;b&gt;52 hrs 1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15/03/2023._x000a__x000a_&lt;b&gt;113 hrs&lt;/b&gt; of Holiday _x000a_&lt;b&gt;120 hrs&lt;/b&gt; of Sabbatical Leave _x000a_&lt;b&gt;0 hrs&lt;/b&gt; of Recognising Loyalty _x000a_&lt;b&gt;4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15/03/2023._x000a__x000a_&lt;b&gt;115 hrs 4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r current pay rate is -------GBP  annually. Your last approved adjustment was an increase of &lt;b&gt;21&lt;/b&gt;% (----GBP) effective on August 01, 2023."/>
        <s v="Your eligibility for a tax rebate depends on your taxable earnings, your tax code, your tax basis and the amount of tax you've paid so far this financial year. You can work out much tax you've paid so far by using the &lt;a href=&quot;http://payecalculator.hmrc.gov.uk/PAYE0.aspx &quot;&gt;HMRC Tax Calculator&lt;/a&gt;.Â If you'd like a more detailed breakdown please submit a &lt;a href=&quot;https://dnn.fa.em2.oraclecloud.com/fscmUI/faces/deeplink?objType=SVC_SERVICE_REQUEST_HCM&amp;amp;action=CREATE_IN_TAB&amp;amp;objKey=SelfServiceCategory_c%3DNBS_HRM_PAB%3BSelfServiceSubCategory_c%3DNBS_HRM_PAB_AAQ%3BChannelTypeCd%3DNBS_HRM_ODA&quot;&gt;Service Request&lt;/a&gt;."/>
        <s v="Here's your absence balance as of 15/03/2023._x000a__x000a_&lt;b&gt;127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15/03/2023._x000a__x000a_&lt;b&gt;112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jemma.watson@nationwide.co.uk%22%2c+env%3a+%22https://dnn.fa.em2.oraclecloud.com%22%7d&amp;opauniqueuser=jemma.watson@nationwide.co.uk"/>
        <s v="You have no pending approval requests and 22 FYIs."/>
        <s v="Here are your first 3 FYIs:_x000a__x000a_1. PeopleCloud Learning - You have recently been assigned learning_x000a__x000a_&lt;a href='https://dnn.fa.em2.oraclecloud.com:443/hcmUI/faces/adf.task-flow?tz=UTC&amp;df=medium&amp;dt=both&amp;tf=short&amp;lg=en&amp;cy=US&amp;bpmWorklistTaskId=473fded5-1cfb-4d1c-b88b-8b72dd0cf2ba&amp;bpmBrowserWindowStatus=taskFlowReturn&amp;bpmWorklistContext=2a036fea-7ab3-4c90-845d-590f188e8bc9%3B%3BG%3B%3BJ%2F41k92CV0m63X709YNKutJz8ZXa3cwW%2BR6iALPbf9Tx%2BJpvcNl5e%2BQDVuin6gullI%2BthXMQd%2FncqDuhMzB%2F958%2BFE8S1bQSH7SBTbO9iWqJj6ANviX%2BDJeeC%2FNfy9VaJ7X3QTJo1WUHwSbjxmpQc8jXkhA128lvrihQd3N8tvYOBA37VynBHLP3fcJxLc69&amp;bpmClientType=&amp;sf=alta&amp;_id=HcmEmailNotificationHumantask_TF&amp;_document=WEB-INF%2Foracle%2Fapps%2Fhcm%2Fcommon%2Fcore%2Falerts%2FpublicUi%2Fcomponent%2Fflow%2FHcmEmailNotificationHumantask_TFxml.xml' target='_blank'&gt;View Details&lt;/a&gt;_x000a__x000a__x000a_2. Reminder - Task Expression of Wish Allocated for Brandon Hathaway, 498207 is Due in 3 Days_x000a_3. Reminder - Task New Starter Declaration Allocated for Brandon Hathaway, 498207 is Due in 3 Days"/>
        <s v="Here's your absence balance as of 15/03/2023._x000a__x000a_&lt;b&gt;86 hrs 1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31/12/2023._x000a__x000a_&lt;b&gt;51 hrs 1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15/03/2023._x000a__x000a_&lt;b&gt;94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were paid ------ GBP on 20/07/23._x000a_Here's your payslip information."/>
        <s v="&lt;a href='https://dnn.fa.em2.oraclecloud.com/hcmUI/content/conn/FusionAppsContentRepository/uuid/dDocID:8520360?download&amp;XFND_SCHEME_ID=1&amp;XFND_CERT_FP=E7A6669B1744C0DE0883C285E2A79DD364729D79&amp;XFND_RANDOM=824117116366595113&amp;XFND_EXPIRES=1692113763668&amp;XFND_SIGNATURE=P95eW4U4YF~fPV9PYiyAAJ4THdArwqoEURyEjvP0aNJ9i8cvW4x48LpLRfILNcFUqpDLYGdeF0IrO-0VpuYxspLDATKp7Ylgyphrj2gqtxF5N9hvH~kcAL5P9N3lCqG5t2APGVGxBNVY4OJbEyYMZkZdyNw9k8OP8um-rnTv3C0_&amp;Id=8520360' &gt;View your payslip&lt;/a&gt;"/>
        <s v="&lt;a href='https://dnn.fa.em2.oraclecloud.com/hcmUI/content/conn/FusionAppsContentRepository/uuid/dDocID:8508947?download&amp;XFND_SCHEME_ID=1&amp;XFND_CERT_FP=E7A6669B1744C0DE0883C285E2A79DD364729D79&amp;XFND_RANDOM=-3758230726286282616&amp;XFND_EXPIRES=1692114499844&amp;XFND_SIGNATURE=POwt6Kjs8O2d1rLRwNqkp2eJWGnXIVUaZLhbgQK42HVm61YExGi3Sau4OM1ZniwbziR8kP-oMvDlNHRArJ20dk083FOiK~ObSw2Cq4iIAzKkakCLCxBkfYyNHi-d95tE8cv5IBkPSNqJJ4LMP4DEDAX1DqZjPj1cFlNN5A4Kyto_&amp;Id=8508947' &gt;View your payslip&lt;/a&gt;"/>
        <s v="&lt;a href='https://dnn.fa.em2.oraclecloud.com/hcmUI/content/conn/FusionAppsContentRepository/uuid/dDocID:8514584?download&amp;XFND_SCHEME_ID=1&amp;XFND_CERT_FP=E7A6669B1744C0DE0883C285E2A79DD364729D79&amp;XFND_RANDOM=2269780844766096500&amp;XFND_EXPIRES=1692115764106&amp;XFND_SIGNATURE=gCVzzPQZrf18lBZMOQHwfrF1eOEvPNGK30xef67IDmZzEQ3qlAkimU4l44d0VxEvKvbSyqS3RYExVUbl4EKK~gfflA-wuncXz9yyZxltHHa-fc24wP48bX3IrWZbtgQ9daQN3yv6EtriNgcvpLnt9WY0bkVzh5Xx9ufOR2LghM4_&amp;Id=8514584' &gt;View your payslip&lt;/a&gt;"/>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LEVI.BOULTON@NATIONWIDE.CO.UK%22%2c+env%3a+%22https://dnn.fa.em2.oraclecloud.com%22%7d&amp;opauniqueuser=LEVI.BOULTON@NATIONWIDE.CO.UK_x000a_Job Security and Redundancy Policy: https://dnn.fa.em2.oraclecloud.com:443/fscmUI/faces/deeplink?objType=CSO_ARTICLE_CONTENT_KM&amp;objKey=docId%3DHRPOL17%3Blocale%3Den_US&amp;action=EDIT_IN_TAB"/>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Faye.Carey@nationwide.co.uk%22%2c+env%3a+%22https://dnn.fa.em2.oraclecloud.com%22%7d&amp;opauniqueuser=Faye.Carey@nationwide.co.uk"/>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SARAH.TIFFIN@NATIONWIDE.CO.UK%22%2c+env%3a+%22https://dnn.fa.em2.oraclecloud.com%22%7d&amp;opauniqueuser=SARAH.TIFFIN@NATIONWIDE.CO.UK"/>
        <s v="Here's your absence balance as of 16/03/2023._x000a__x000a_&lt;b&gt;101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have 27 submissions pending approval:"/>
        <s v="Here are your first 3 requests:_x000a__x000a_1. Personal Contribution Approval Requested for Kerry Condie (424727) on 2023-08-15 by Kerry Condie_x000a_Completed by you on August 15th 2023_x000a__x000a_2. Personal Contribution Approval Requested for Kerry Condie (424727) on 2023-08-15 by Kerry Condie_x000a_Completed on August 15th 2023_x000a__x000a_3. Personal Contribution Approval Requested for Kerry Condie (424727) on 2023-08-15 by Kerry Condie_x000a_Completed on August 15th 2023_x000a__x000a_Next 3"/>
        <s v="Here's your absence balance as of 16/03/2023._x000a__x000a_&lt;b&gt;67 hrs 2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This action requires you to have direct reports."/>
        <s v="Please have a look at the &lt;a href=&quot;https://nbsuk.sharepoint.com/sites/GRO_Data_Systems_Reporting-GRCSupportPortal/Lists/Policy_Register/Attachments/14/Conflicts_of_Interest.pdf&quot;&gt;Conflict of Interest Policy&lt;/a&gt;. If you need further support please raise a &lt;a href=&quot;https://dnn.fa.em2.oraclecloud.com/fscmUI/faces/deeplink?objType=SVC_SERVICE_REQUEST_HCM&amp;action=CREATE_IN_TAB&amp;objKey=SelfServiceCategory_c%3DNBS_HRM_SS_FTAW%3BSelfServiceSubCategory_c%3DNBS_HRM_SS_FTAW_AAQ%3BChannelTypeCd%3DNBS_HRM_ODA&quot;&gt;Service Request&lt;/a&gt; on PeopleCloud Helpdesk using 'Fair Treatment at Work - Ask a Question'."/>
        <s v="Sorry, only HR or your manager can update your salary information."/>
        <s v="Here's your absence balance as of 16/03/2023._x000a__x000a_&lt;b&gt;115 hrs&lt;/b&gt; of Holiday _x000a_&lt;b&gt;0 hrs&lt;/b&gt; of Sabbatical Leave _x000a_&lt;b&gt;25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Yasmin.Davies@nationwide.co.uk%22%2c+env%3a+%22https://dnn.fa.em2.oraclecloud.com%22%7d&amp;opauniqueuser=Yasmin.Davies@nationwide.co.uk"/>
        <s v="You were paid ------ GBP on 21/03/2023._x000a_Here's your payslip information."/>
        <s v="&lt;a href='https://dnn.fa.em2.oraclecloud.com/hcmUI/content/conn/FusionAppsContentRepository/uuid/dDocID:8745609?download&amp;XFND_SCHEME_ID=1&amp;XFND_CERT_FP=E7A6669B1744C0DE0883C285E2A79DD364729D79&amp;XFND_RANDOM=-7797014292072974186&amp;XFND_EXPIRES=1692181302929&amp;XFND_SIGNATURE=PVPlnqQaZGz2~--077p-EpXfFDHDDllObVUj4f4QXHaUcwS0hfLD5x4y7QjpM7GMmz3-Ph5Bbdu9-tuolADi7DfQb~1sOwkQKswoIfXx8uVl~3D50DaBdc5rfxJncTwCMtvSpIp5YpZUpiaxExFgcSTh66DJfJuneJBOzDniEIA_&amp;Id=8745609' &gt;View your payslip&lt;/a&gt;"/>
        <s v="&lt;a href='https://dnn.fa.em2.oraclecloud.com/hcmUI/content/conn/FusionAppsContentRepository/uuid/dDocID:8733833?download&amp;XFND_SCHEME_ID=1&amp;XFND_CERT_FP=E7A6669B1744C0DE0883C285E2A79DD364729D79&amp;XFND_RANDOM=5828198852551660171&amp;XFND_EXPIRES=1692181429882&amp;XFND_SIGNATURE=OsJHBh0e~QgauYC00bEjIQ6j0wgjgLkPFKc3-MSD9QeJuX0n1hE7YHxeZxVyYdigJMGxHv9AywJzaCjfxM~CboNaI6d-xMsY5aeyjOeo-qq0HFIq9R8j8SZJDnQZ8o3Wb9A1NuCMIwB6WYvMdYh02NqfPLGxU33is9E-Bdeypl8_&amp;Id=8733833' &gt;View your payslip&lt;/a&gt;"/>
        <s v="Hi XXXXX,_x000a_ABSE 95.1 Phased Return to Line Manager Email Hi XXXX, Just to confirm XXXXX has been keyed onto a phased return effective XXXXXX._x000a_Open Link: https://dnn.fa.em2.oraclecloud.com:443/utility/resources/fusion/content/draft/DB59C7B7042F469FBEBD8E02C8282842/8058A3D1AD9942EF94D2C07423B41625/ABSE%2095.1%20Phased%20return%20email%20to%20LM-%2031%20July%202023.doc_x000a__x000a_Pluralsight New Licence Email- 02 August 2023.docx_x000a_Pluralsight New Licence Email Hi I have now set you up with a Pluralsight License._x000a_Open Link: https://dnn.fa.em2.oraclecloud.com:443/utility/resources/fusion/content/draft/20AAB4BB64B34EDBBA454ACF746C0870/D12347A408A0464A94BD597847A5852C/Pluralsight%20New%20Licence%20Email-%2002%20August%202023.docx_x000a__x000a_PAY 114.1 Overpayment Agreement Email - 01 August 2023.docx_x000a_PAY 114.1 Overpayment Agreement Email Hi It has come to our attention that you have been overpaid by the Society due to â€¦â€¦_x000a_Open Link: https://dnn.fa.em2.oraclecloud.com:443/utility/resources/fusion/content/draft/B1B1C127375C44EABB72737ACA4C9169/7C7A864BC25F47F5AAEF630F2E63DA73/PAY%20114.1%20Overpayment%20Agreement%20Email%20-%2001%20August%202023.docx_x000a__x000a_Move 54.1 Confirmation email to LM Working Pattern Email - 31 July 2023.docx_x000a_Move 54.1 Confirmation to LM Working Pattern Email Hi Thank you for the request to change nameâ€™s working hours._x000a_Open Link: https://dnn.fa.em2.oraclecloud.com:443/utility/resources/fusion/content/draft/1F79782110D941D283187D4BF0A52E4F/DB72890854084DCE8623E1177C3899CB/Move%2054.1%20Confirmation%20email%20to%20LM%20Working%20Pattern%20Email%20-%2031%20July%202023.docx"/>
        <s v="Hello, Jacqui. To search by a question or phrase, you can say 'search'. If you already know the doc ID or the title of the article you are looking for, you can say, 'find HFAQ3' or 'find &quot;article title&quot;', for example. For more instruction, say help."/>
        <s v="GB P45 Plain Paper_x000a_go to www.gov.uk/government/publications/income-tax-claiming-tax-back-when-you-have-stopped-working-p50 Help If you need more help, go to www.gov.uk/topic/personal-tax_x000a_Open Link: https://dnn.fa.em2.oraclecloud.com:443/utility/resources/fusion/content/draft/34EB7A6E4413439D85F1724503D44473/A1417E3AA24D4FB5B954553FB0F96E9F/OOTB%20amended_R147_%20P45%20Automated%20Letter%20-%2016%20May%202023.docx_x000a__x000a_Right to Erase Request - 12 Month Response Text Email 4 August 2023.docx_x000a_Each application will be erased after 12 months in line with our data retention. Weâ€™re here to help_x000a_Open Link: https://dnn.fa.em2.oraclecloud.com:443/utility/resources/fusion/content/draft/DF56B113B5F34B3D8A9E55E15439FECA/B28DBB441FF44D9483259728B97A74B0/Right%20to%20Erase%20Request%20-%2012%20Month%20Response%20Text%20Email%204%20August%202023.docx_x000a__x000a_NW_NT1793 SoW Projected End Date Approaching (6_ 4_ 2 weeks prior) Automated Not_x000a_Weâ€™re here to help If you have any further queries, please contact Resource.Requests@nationwide.co.uk Kind regards,_x000a_Open Link: https://dnn.fa.em2.oraclecloud.com:443/utility/resources/fusion/content/draft/0298EAB263404A30A5F94FA9C3868463/BE089263F82C430F88B0B00CCA95E38A/NW_NT1793%20SoW%20Projected%20End%20Date%20Approaching%20%286_%204_%202%20weeks%20prior%29%20Automated%20Notification%20-%2009%20August%202023.docx_x000a__x000a_NW_NT1897 SoW Projected End Date Approaching (1 week prior) Automated Notificati_x000a_Weâ€™re here to help If you have any further queries, please contact Resource.Requests@nationwide.co.uk Kind regards,_x000a_Open Link: https://dnn.fa.em2.oraclecloud.com:443/utility/resources/fusion/content/draft/831FC2909DF2478DA26E838BAAF5E606/646E9AB961DB4BF6A0B4F8F818964A4D/NW_NT1897%20SoW%20Projected%20End%20Date%20Approaching%20%281%20week%20prior%29%20Automated%20Notification%20-%2009%20August%202023.docx"/>
        <s v="Shared Parental Leave â€“ Employee Checklist - When Things to work through Checklist_x000a_Take a look at the Shared Parental Leave section to explore if Shared Parental Leave (SPL) is something you might want to do and how it would impact time off and pay for you and your partner. You donâ€™t need to make a decision straightaway or confirm your plans._x000a_Open Link: https://dnn.fa.em2.oraclecloud.com:443/utility/resources/fusion/content/draft/F6C45F7EC1C2466187B3442D12CDFDD0/6422A9A7FB4C4C07894818C58F4B7A6C/SPL%20Employee%20Checklist%20-%2001%20April%202023.pdf_x000a__x000a_SPEC 35.1 Going on Adoption Long Term Fostering Leave Email - 11 July 2023.doc_x000a_If youâ€™re planning to return to work before the end of your 52 week adoption leave entitlement you may want to consider sharing the rest of your leave [and pay] entitlements with your partner. Youâ€™ll find more information about this, including eligibility criteria, in the Shared Parental Leave section of the Becoming a Parent Policy ._x000a_Open Link: https://dnn.fa.em2.oraclecloud.com:443/utility/resources/fusion/content/draft/C5934BD168A046279E4E9C278C0FC92D/D3A5B5A196DC4AFC8531942830AEC6B5/SPEC%2035.1%20Going%20on%20Adoption%20Long%20Term%20Fostering%20Leave%20Email%20-%2011%20July%202023.doc_x000a__x000a_Going on Maternity Leave Letter_x000a_If youâ€™re planning to return to work before the end of your 52 week maternity leave entitlement you may want to consider sharing the rest of your leave [and pay] entitlements with your partner. Youâ€™ll find more information about this, including eligibility criteria, in the Shared Parental Leave section of the Becoming a Parent Policy._x000a_Open Link: https://dnn.fa.em2.oraclecloud.com:443/utility/resources/fusion/content/draft/0372297B005342C9944FE6B3A4DCD11E/4BA2A984CA904997B68650773843C87C/SPEC%207.1%20Going%20on%20Maternity%20Leave%20Email%20-%2001%20August%202023.doc_x000a__x000a_SPEC 23.1 Your Benefits While on Maternity Leave Letter - 6 April 2023.doc_x000a_&lt;&lt;Monthly Payment&gt;&gt; If you have any questions regarding this process or want to know if you can cancel your benefits before going on leave, please contact AskHR via raising a service request, to see if this is possible. ----------------------------------------------------------------------------------------------------------------------------_x000a_Open Link: https://dnn.fa.em2.oraclecloud.com:443/utility/resources/fusion/content/draft/89B4CEAE38AE425E99049EE84E7FBBF3/9635EB6EC6344BB39AACCD313AA5D529/SPEC%2023.1%20Your%20Benefits%20While%20on%20Maternity%20Leave%20Letter%20-%206%20April%202023.doc"/>
        <s v="Here's your absence balance as of 16/03/2023._x000a__x000a_&lt;b&gt;31 hrs 45 mins&lt;/b&gt; of Holiday _x000a_&lt;b&gt;0 hrs&lt;/b&gt; of Recognising Loyalty _x000a_&lt;b&gt;0 hrs&lt;/b&gt; of Work Anniversary _x000a_&lt;b&gt;0 hrs&lt;/b&gt; of MyReward _x000a_&lt;b&gt;-11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have no pending approval requests and 17 FYIs."/>
        <s v="Here are your first 3 FYIs:_x000a__x000a_1. PeopleCloud Learning - You have recently been assigned learning_x000a__x000a_&lt;a href='https://dnn.fa.em2.oraclecloud.com:443/hcmUI/faces/adf.task-flow?tz=UTC&amp;df=medium&amp;dt=both&amp;tf=short&amp;lg=en&amp;cy=US&amp;bpmWorklistTaskId=95217a9f-3387-4987-8e01-b407af1bb6a1&amp;bpmBrowserWindowStatus=taskFlowReturn&amp;bpmWorklistContext=1ca44274-1c5c-45ac-a687-e4ad36bdf014%3B%3BG%3B%3B3d6lAyLwQBQpJ029KRRo3HXVB5CcHoRzMBvStjahRK%2B%2Bijmn9dChboh4vUon7RyzjLUO9gq6EdDTk6DUZhqeJeGj2lEaXwbhJxzTBfTRVUGjZyrC4jt3qVOqPLJixxaOAj%2FENu1Qx%2FEAd4Bc2wSZ6H0U2f2vCM5mxplWA3hjgJJixSBL999Xe400g8fvr1G0&amp;bpmClientType=&amp;sf=alta&amp;_id=HcmEmailNotificationHumantask_TF&amp;_document=WEB-INF%2Foracle%2Fapps%2Fhcm%2Fcommon%2Fcore%2Falerts%2FpublicUi%2Fcomponent%2Fflow%2FHcmEmailNotificationHumantask_TFxml.xml' target='_blank'&gt;View Details&lt;/a&gt;_x000a__x000a__x000a_2. PeopleCloud Learning - You have recently been assigned learning_x000a__x000a_&lt;a href='https://dnn.fa.em2.oraclecloud.com:443/hcmUI/faces/adf.task-flow?tz=UTC&amp;df=medium&amp;dt=both&amp;tf=short&amp;lg=en&amp;cy=US&amp;bpmWorklistTaskId=46c5dc6b-3e40-4c2f-a2e2-8f3650ab856c&amp;bpmBrowserWindowStatus=taskFlowReturn&amp;bpmWorklistContext=1ca44274-1c5c-45ac-a687-e4ad36bdf014%3B%3BG%3B%3B3d6lAyLwQBQpJ029KRRo3HXVB5CcHoRzMBvStjahRK%2B%2Bijmn9dChboh4vUon7RyzjLUO9gq6EdDTk6DUZhqeJeGj2lEaXwbhJxzTBfTRVUGjZyrC4jt3qVOqPLJixxaOAj%2FENu1Qx%2FEAd4Bc2wSZ6H0U2f2vCM5mxplWA3hjgJJixSBL999Xe400g8fvr1G0&amp;bpmClientType=&amp;sf=alta&amp;_id=HcmEmailNotificationHumantask_TF&amp;_document=WEB-INF%2Foracle%2Fapps%2Fhcm%2Fcommon%2Fcore%2Falerts%2FpublicUi%2Fcomponent%2Fflow%2FHcmEmailNotificationHumantask_TFxml.xml' target='_blank'&gt;View Details&lt;/a&gt;_x000a__x000a__x000a_3. PeopleCloud Learning - You have recently been assigned learning_x000a__x000a_&lt;a href='https://dnn.fa.em2.oraclecloud.com:443/hcmUI/faces/adf.task-flow?tz=UTC&amp;df=medium&amp;dt=both&amp;tf=short&amp;lg=en&amp;cy=US&amp;bpmWorklistTaskId=b627df35-138d-4719-8af6-a510d4098013&amp;bpmBrowserWindowStatus=taskFlowReturn&amp;bpmWorklistContext=1ca44274-1c5c-45ac-a687-e4ad36bdf014%3B%3BG%3B%3B3d6lAyLwQBQpJ029KRRo3HXVB5CcHoRzMBvStjahRK%2B%2Bijmn9dChboh4vUon7RyzjLUO9gq6EdDTk6DUZhqeJeGj2lEaXwbhJxzTBfTRVUGjZyrC4jt3qVOqPLJixxaOAj%2FENu1Qx%2FEAd4Bc2wSZ6H0U2f2vCM5mxplWA3hjgJJixSBL999Xe400g8fvr1G0&amp;bpmClientType=&amp;sf=alta&amp;_id=HcmEmailNotificationHumantask_TF&amp;_document=WEB-INF%2Foracle%2Fapps%2Fhcm%2Fcommon%2Fcore%2Falerts%2FpublicUi%2Fcomponent%2Fflow%2FHcmEmailNotificationHumantask_TFxml.xml' target='_blank'&gt;View Details&lt;/a&gt;"/>
        <s v="You have no pending approval requests and 19 FYIs."/>
        <s v="Here are your first 3 FYIs:_x000a__x000a_1. PeopleCloud Learning - You have recently been assigned learning_x000a__x000a_&lt;a href='https://dnn.fa.em2.oraclecloud.com:443/hcmUI/faces/adf.task-flow?tz=UTC&amp;df=medium&amp;dt=both&amp;tf=short&amp;lg=en&amp;cy=US&amp;bpmWorklistTaskId=87a356c7-a39f-4fab-93eb-264f0b55b091&amp;bpmBrowserWindowStatus=taskFlowReturn&amp;bpmWorklistContext=04ae1b4a-4125-423c-a806-92b7ca507c42%3B%3BG%3B%3B8wtSGBHJi81q58%2F2u7oPGMfPXX%2B2rJh9ckbriB%2Bz5Tt3nIxNQY%2BKfNZlPcvs%2FerHy2%2FRHlhgSa7%2FKNuJd%2B8sYs%2Frcf4LpZTTNe2rOFYt7%2FOYjJwGSPwp%2BCQMr8eivw9fjeroYnmmwBmeAGhzIajlxYb%2FvOYUDQkNFpXzBOLKODGuS%2B6qaDbYaCw5enpylwNk&amp;bpmClientType=&amp;sf=alta&amp;_id=HcmEmailNotificationHumantask_TF&amp;_document=WEB-INF%2Foracle%2Fapps%2Fhcm%2Fcommon%2Fcore%2Falerts%2FpublicUi%2Fcomponent%2Fflow%2FHcmEmailNotificationHumantask_TFxml.xml' target='_blank'&gt;View Details&lt;/a&gt;_x000a__x000a__x000a_2. PeopleCloud Learning - You have recently been assigned learning_x000a__x000a_&lt;a href='https://dnn.fa.em2.oraclecloud.com:443/hcmUI/faces/adf.task-flow?tz=UTC&amp;df=medium&amp;dt=both&amp;tf=short&amp;lg=en&amp;cy=US&amp;bpmWorklistTaskId=9871cfa9-fa40-4a41-abf5-6373413cbb8b&amp;bpmBrowserWindowStatus=taskFlowReturn&amp;bpmWorklistContext=04ae1b4a-4125-423c-a806-92b7ca507c42%3B%3BG%3B%3B8wtSGBHJi81q58%2F2u7oPGMfPXX%2B2rJh9ckbriB%2Bz5Tt3nIxNQY%2BKfNZlPcvs%2FerHy2%2FRHlhgSa7%2FKNuJd%2B8sYs%2Frcf4LpZTTNe2rOFYt7%2FOYjJwGSPwp%2BCQMr8eivw9fjeroYnmmwBmeAGhzIajlxYb%2FvOYUDQkNFpXzBOLKODGuS%2B6qaDbYaCw5enpylwNk&amp;bpmClientType=&amp;sf=alta&amp;_id=HcmEmailNotificationHumantask_TF&amp;_document=WEB-INF%2Foracle%2Fapps%2Fhcm%2Fcommon%2Fcore%2Falerts%2FpublicUi%2Fcomponent%2Fflow%2FHcmEmailNotificationHumantask_TFxml.xml' target='_blank'&gt;View Details&lt;/a&gt;_x000a__x000a__x000a_3. PeopleCloud Learning - You have recently been assigned learning_x000a__x000a_&lt;a href='https://dnn.fa.em2.oraclecloud.com:443/hcmUI/faces/adf.task-flow?tz=UTC&amp;df=medium&amp;dt=both&amp;tf=short&amp;lg=en&amp;cy=US&amp;bpmWorklistTaskId=67958d97-741d-47ee-8c51-4b5a24a2b18b&amp;bpmBrowserWindowStatus=taskFlowReturn&amp;bpmWorklistContext=04ae1b4a-4125-423c-a806-92b7ca507c42%3B%3BG%3B%3B8wtSGBHJi81q58%2F2u7oPGMfPXX%2B2rJh9ckbriB%2Bz5Tt3nIxNQY%2BKfNZlPcvs%2FerHy2%2FRHlhgSa7%2FKNuJd%2B8sYs%2Frcf4LpZTTNe2rOFYt7%2FOYjJwGSPwp%2BCQMr8eivw9fjeroYnmmwBmeAGhzIajlxYb%2FvOYUDQkNFpXzBOLKODGuS%2B6qaDbYaCw5enpylwNk&amp;bpmClientType=&amp;sf=alta&amp;_id=HcmEmailNotificationHumantask_TF&amp;_document=WEB-INF%2Foracle%2Fapps%2Fhcm%2Fcommon%2Fcore%2Falerts%2FpublicUi%2Fcomponent%2Fflow%2FHcmEmailNotificationHumantask_TFxml.xml' target='_blank'&gt;View Details&lt;/a&gt;"/>
        <s v="You have 16 submissions pending approval:"/>
        <s v="Here are your first 3 requests:_x000a__x000a_1. Approval of Holiday Absence Request for Jacqui Gough from 2023-08-17 to 2023-08-17_x000a_Completed on August 14th 2023_x000a__x000a_2. Approval of Holiday Absence Request for Jacqui Gough from 2023-08-17 to 2023-08-17_x000a_Completed on August 14th 2023_x000a__x000a_3. Jacqui Gough Provided Final Feedback for My Performance Reflections 2022-23 - End of Year_x000a_Completed on March 29th 2023_x000a__x000a_Next 3"/>
        <s v="Here's your absence balance as of 16/03/2023._x000a__x000a_&lt;b&gt;174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03/01/2023._x000a__x000a_&lt;b&gt;223 hrs 19 mins&lt;/b&gt; of Holiday _x000a_&lt;b&gt;0 hrs&lt;/b&gt; of Recognising Loyalty _x000a_&lt;b&gt;0 hrs&lt;/b&gt; of Work Anniversary _x000a_&lt;b&gt;35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01/01/2023._x000a__x000a_&lt;b&gt;223 hrs 19 mins&lt;/b&gt; of Holiday _x000a_&lt;b&gt;0 hrs&lt;/b&gt; of Recognising Loyalty _x000a_&lt;b&gt;0 hrs&lt;/b&gt; of Work Anniversary _x000a_&lt;b&gt;35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16/03/2023._x000a__x000a_&lt;b&gt;100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16/03/2023._x000a__x000a_&lt;b&gt;56 hrs 1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01/09/2023._x000a__x000a_&lt;b&gt;0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have no pending approval requests and 25 FYIs."/>
        <s v="Here are your first 3 FYIs:_x000a__x000a_1. PeopleCloud Learning - You have recently been assigned learning_x000a__x000a_&lt;a href='https://dnn.fa.em2.oraclecloud.com:443/hcmUI/faces/adf.task-flow?tz=UTC&amp;df=medium&amp;dt=both&amp;tf=short&amp;lg=en&amp;cy=US&amp;bpmWorklistTaskId=2e37c9be-dc8d-42f6-98f0-78df64960564&amp;bpmBrowserWindowStatus=taskFlowReturn&amp;bpmWorklistContext=f22a12d9-e943-4f88-a2a1-792975ffe481%3B%3BG%3B%3B%2BFJItIvw4YQ%2FY5Gqwi%2F0MKhLP8U7BHQcVe03JdFWJq7ARlQii5%2FMcSSeCQDx4leSicAyAkgDW4ogqT1KBRsuamG1eQRc7TrwJTyR1OlPojQOp7jfyUpnro4S7P%2FXB9Eq7YdoVBL1XP5vl74cpfqq8JQTX%2B8OLOIyS1tGJf22FphJ0T8eAkWMJDUwbBDAe1bb&amp;bpmClientType=&amp;sf=alta&amp;_id=HcmEmailNotificationHumantask_TF&amp;_document=WEB-INF%2Foracle%2Fapps%2Fhcm%2Fcommon%2Fcore%2Falerts%2FpublicUi%2Fcomponent%2Fflow%2FHcmEmailNotificationHumantask_TFxml.xml' target='_blank'&gt;View Details&lt;/a&gt;_x000a__x000a__x000a_2. PeopleCloud Learning - You have recently been assigned learning_x000a__x000a_&lt;a href='https://dnn.fa.em2.oraclecloud.com:443/hcmUI/faces/adf.task-flow?tz=UTC&amp;df=medium&amp;dt=both&amp;tf=short&amp;lg=en&amp;cy=US&amp;bpmWorklistTaskId=abb45203-24a5-49ae-b926-d09aedada7d7&amp;bpmBrowserWindowStatus=taskFlowReturn&amp;bpmWorklistContext=f22a12d9-e943-4f88-a2a1-792975ffe481%3B%3BG%3B%3B%2BFJItIvw4YQ%2FY5Gqwi%2F0MKhLP8U7BHQcVe03JdFWJq7ARlQii5%2FMcSSeCQDx4leSicAyAkgDW4ogqT1KBRsuamG1eQRc7TrwJTyR1OlPojQOp7jfyUpnro4S7P%2FXB9Eq7YdoVBL1XP5vl74cpfqq8JQTX%2B8OLOIyS1tGJf22FphJ0T8eAkWMJDUwbBDAe1bb&amp;bpmClientType=&amp;sf=alta&amp;_id=HcmEmailNotificationHumantask_TF&amp;_document=WEB-INF%2Foracle%2Fapps%2Fhcm%2Fcommon%2Fcore%2Falerts%2FpublicUi%2Fcomponent%2Fflow%2FHcmEmailNotificationHumantask_TFxml.xml' target='_blank'&gt;View Details&lt;/a&gt;_x000a__x000a__x000a_3. Goal 2) Development goal  Was Added by Your Manager_x000a__x000a_&lt;a href='https://dnn.fa.em2.oraclecloud.com:443/hcmUI/faces/adf.task-flow?tz=UTC&amp;df=medium&amp;dt=both&amp;tf=short&amp;lg=en&amp;cy=US&amp;bpmWorklistTaskId=2cf99b63-c798-4ad8-9c67-0c012d919f03&amp;bpmBrowserWindowStatus=taskFlowReturn&amp;bpmWorklistContext=f22a12d9-e943-4f88-a2a1-792975ffe481%3B%3BG%3B%3B%2BFJItIvw4YQ%2FY5Gqwi%2F0MKhLP8U7BHQcVe03JdFWJq7ARlQii5%2FMcSSeCQDx4leSicAyAkgDW4ogqT1KBRsuamG1eQRc7TrwJTyR1OlPojQOp7jfyUpnro4S7P%2FXB9Eq7YdoVBL1XP5vl74cpfqq8JQTX%2B8OLOIyS1tGJf22FphJ0T8eAkWMJDUwbBDAe1bb&amp;bpmClientType=&amp;sf=alta&amp;_id=UnifiedNotificationFlow&amp;_document=WEB-INF%2Foracle%2Fapps%2Ffinancials%2FcommonModules%2Fshared%2FpublicUi%2FonlineNotification%2Fflow%2FUnifiedNotificationFlow.xml' target='_blank'&gt;View Details&lt;/a&gt;"/>
        <s v="Here's your absence balance as of 16/03/2023._x000a__x000a_&lt;b&gt;35 hrs 45 mins&lt;/b&gt; of Holiday _x000a_&lt;b&gt;0 hrs&lt;/b&gt; of Recognising Loyalty _x000a_&lt;b&gt;0 hrs&lt;/b&gt; of Work Anniversary _x000a_&lt;b&gt;0 hrs&lt;/b&gt; of MyReward _x000a_&lt;b&gt;-21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 are your first 3 FYIs:_x000a__x000a_1. PeopleCloud Learning - You have recently been assigned learning_x000a__x000a_&lt;a href='https://dnn.fa.em2.oraclecloud.com:443/hcmUI/faces/adf.task-flow?tz=UTC&amp;df=medium&amp;dt=both&amp;tf=short&amp;lg=en&amp;cy=US&amp;bpmWorklistTaskId=2e37c9be-dc8d-42f6-98f0-78df64960564&amp;bpmBrowserWindowStatus=taskFlowReturn&amp;bpmWorklistContext=f6a03744-e0a6-4101-a729-4b75c89b229c%3B%3BG%3B%3BQuYq9b7RNVmJXTT7N0RcOsVDEnN3V1CazFIYHwAMs9StIw4vA0DckGv1Y0j6YiYFq9tQd88%2BZs9xpbAEwOl%2FLNNtzOEa8WltWfJ%2BMvlgIWInr%2B29j8xAQDRvmYMqZjUzqK%2BrKlmrK%2FkZA6TUarskPWAbvDMgTIO4z6vljbZt6PM6pcgu7i0FxEexC9gr9pUf&amp;bpmClientType=&amp;sf=alta&amp;_id=HcmEmailNotificationHumantask_TF&amp;_document=WEB-INF%2Foracle%2Fapps%2Fhcm%2Fcommon%2Fcore%2Falerts%2FpublicUi%2Fcomponent%2Fflow%2FHcmEmailNotificationHumantask_TFxml.xml' target='_blank'&gt;View Details&lt;/a&gt;_x000a__x000a__x000a_2. PeopleCloud Learning - You have recently been assigned learning_x000a__x000a_&lt;a href='https://dnn.fa.em2.oraclecloud.com:443/hcmUI/faces/adf.task-flow?tz=UTC&amp;df=medium&amp;dt=both&amp;tf=short&amp;lg=en&amp;cy=US&amp;bpmWorklistTaskId=abb45203-24a5-49ae-b926-d09aedada7d7&amp;bpmBrowserWindowStatus=taskFlowReturn&amp;bpmWorklistContext=f6a03744-e0a6-4101-a729-4b75c89b229c%3B%3BG%3B%3BQuYq9b7RNVmJXTT7N0RcOsVDEnN3V1CazFIYHwAMs9StIw4vA0DckGv1Y0j6YiYFq9tQd88%2BZs9xpbAEwOl%2FLNNtzOEa8WltWfJ%2BMvlgIWInr%2B29j8xAQDRvmYMqZjUzqK%2BrKlmrK%2FkZA6TUarskPWAbvDMgTIO4z6vljbZt6PM6pcgu7i0FxEexC9gr9pUf&amp;bpmClientType=&amp;sf=alta&amp;_id=HcmEmailNotificationHumantask_TF&amp;_document=WEB-INF%2Foracle%2Fapps%2Fhcm%2Fcommon%2Fcore%2Falerts%2FpublicUi%2Fcomponent%2Fflow%2FHcmEmailNotificationHumantask_TFxml.xml' target='_blank'&gt;View Details&lt;/a&gt;_x000a__x000a__x000a_3. Goal 2) Development goal  Was Added by Your Manager_x000a__x000a_&lt;a href='https://dnn.fa.em2.oraclecloud.com:443/hcmUI/faces/adf.task-flow?tz=UTC&amp;df=medium&amp;dt=both&amp;tf=short&amp;lg=en&amp;cy=US&amp;bpmWorklistTaskId=2cf99b63-c798-4ad8-9c67-0c012d919f03&amp;bpmBrowserWindowStatus=taskFlowReturn&amp;bpmWorklistContext=f6a03744-e0a6-4101-a729-4b75c89b229c%3B%3BG%3B%3BQuYq9b7RNVmJXTT7N0RcOsVDEnN3V1CazFIYHwAMs9StIw4vA0DckGv1Y0j6YiYFq9tQd88%2BZs9xpbAEwOl%2FLNNtzOEa8WltWfJ%2BMvlgIWInr%2B29j8xAQDRvmYMqZjUzqK%2BrKlmrK%2FkZA6TUarskPWAbvDMgTIO4z6vljbZt6PM6pcgu7i0FxEexC9gr9pUf&amp;bpmClientType=&amp;sf=alta&amp;_id=UnifiedNotificationFlow&amp;_document=WEB-INF%2Foracle%2Fapps%2Ffinancials%2FcommonModules%2Fshared%2FpublicUi%2FonlineNotification%2Fflow%2FUnifiedNotificationFlow.xml' target='_blank'&gt;View Details&lt;/a&gt;"/>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MdGulam.Kibria@nationwide.co.uk%22%2c+env%3a+%22https://dnn.fa.em2.oraclecloud.com%22%7d&amp;opauniqueuser=MdGulam.Kibria@nationwide.co.uk"/>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Craig.Wood@nationwide.co.uk%22%2c+env%3a+%22https://dnn.fa.em2.oraclecloud.com%22%7d&amp;opauniqueuser=Craig.Wood@nationwide.co.uk"/>
        <s v="&lt;a href='https://dnn.fa.em2.oraclecloud.com/hcmUI/content/conn/FusionAppsContentRepository/uuid/dDocID:8742533?download&amp;XFND_SCHEME_ID=1&amp;XFND_CERT_FP=E7A6669B1744C0DE0883C285E2A79DD364729D79&amp;XFND_RANDOM=4703664609732720297&amp;XFND_EXPIRES=1692185729001&amp;XFND_SIGNATURE=DBlSFUEj~2qisgrTNvrgL8fkr-bTIFqRapRA127Tc676ZKHrjWwGJdRF9LnAPbga6p0P2QmwV-1SrHnmtTVPRHn61ARtPp7Tw5k~3fKIBDwzt9raKE3m-VIwWfdoHl-3SwH7urcyS37GL3vyDG-9IWEgtnQejZR5OOqDen4oe6E_&amp;Id=8742533' &gt;View your payslip&lt;/a&gt;"/>
        <s v="You have 38 submissions pending approval:"/>
        <s v="Here are your first 3 requests:_x000a__x000a_1. Personal Contribution Approval Requested for Dhivya Pethurajan (508263) on 2023-08-14 by Dhivya Pethurajan_x000a_Assigned on August 14th 2023_x000a__x000a_2. Personal Contribution Approval Requested for Dhivya Pethurajan (508263) on 2023-08-14 by Dhivya Pethurajan_x000a_Assigned on August 14th 2023_x000a__x000a_3. Personal Contribution Approval Requested for Dhivya Pethurajan (508263) on 2023-08-04 by Dhivya Pethurajan_x000a_Assigned on August 4th 2023_x000a__x000a_Next 3"/>
        <s v="Next 3:_x000a__x000a_4. Personal Contribution Approval Requested for Dhivya Pethurajan (508263) on 2023-08-04 by Dhivya Pethurajan_x000a_Assigned on August 4th 2023_x000a__x000a_5. Personal Contribution Approval Requested for Dhivya Pethurajan (508263) on 2023-08-04 by Dhivya Pethurajan_x000a_Assigned on August 4th 2023_x000a__x000a_6. Personal Contribution Approval Requested for Dhivya Pethurajan (508263) on 2023-08-04 by Dhivya Pethurajan_x000a_Assigned on August 4th 2023_x000a__x000a_Next 3"/>
        <s v="Next 3:_x000a__x000a_7. Personal Contribution Approval Requested for Dhivya Pethurajan (508263) on 2023-08-02 by Dhivya Pethurajan_x000a_Completed on August 4th 2023_x000a__x000a_8. Personal Contribution Approval Requested for Dhivya Pethurajan (508263) on 2023-08-02 by Dhivya Pethurajan_x000a_Completed on August 2nd 2023_x000a__x000a_9. Personal Contribution Approval Requested for Dhivya Pethurajan (508263) on 2023-08-02 by Dhivya Pethurajan_x000a_Completed on August 2nd 2023_x000a__x000a_Next 3"/>
        <s v="Next 3:_x000a__x000a_10. Personal Contribution Approval Requested for Dhivya Pethurajan (508263) on 2023-08-02 by Dhivya Pethurajan_x000a_Completed on August 2nd 2023_x000a__x000a_11. Personal Contribution Approval Requested for Dhivya Pethurajan (508263) on 2023-08-02 by Dhivya Pethurajan_x000a_Completed on August 2nd 2023_x000a__x000a_12. Personal Contribution Approval Requested for Dhivya Pethurajan (508263) on 2023-08-02 by Dhivya Pethurajan_x000a_Completed on August 2nd 2023_x000a__x000a_Next 3"/>
        <s v="Next 3:_x000a__x000a_13. Personal Contribution Approval Requested for Dhivya Pethurajan (508263) on 2023-07-25 by Dhivya Pethurajan_x000a_Completed on July 31st 2023_x000a__x000a_14. Personal Contribution Approval Requested for Dhivya Pethurajan (508263) on 2023-07-25 by Dhivya Pethurajan_x000a_Completed on July 31st 2023_x000a__x000a_15. Personal Contribution Approval Requested for Dhivya Pethurajan (508263) on 2023-07-25 by Dhivya Pethurajan_x000a_Completed on July 31st 2023_x000a__x000a_Next 3"/>
        <s v="Next 3:_x000a__x000a_16. Personal Contribution Approval Requested for Dhivya Pethurajan (508263) on 2023-07-29 by Dhivya Pethurajan_x000a_Assigned on July 29th 2023_x000a__x000a_17. Personal Contribution Approval Requested for Dhivya Pethurajan (508263) on 2023-07-29 by Dhivya Pethurajan_x000a_Assigned on July 29th 2023_x000a__x000a_18. Personal Contribution Approval Requested for Dhivya Pethurajan (508263) on 2023-07-25 by Dhivya Pethurajan_x000a_Assigned on July 28th 2023_x000a__x000a_Next 3"/>
        <s v="Next 3:_x000a__x000a_19. Personal Contribution Approval Requested for Dhivya Pethurajan (508263) on 2023-07-25 by Dhivya Pethurajan_x000a_Assigned on July 28th 2023_x000a__x000a_20. Personal Contribution Approval Requested for Dhivya Pethurajan (508263) on 2023-07-25 by Dhivya Pethurajan_x000a_Assigned on July 28th 2023_x000a__x000a_21. Personal Contribution Approval Requested for Dhivya Pethurajan (508263) on 2023-07-25 by Dhivya Pethurajan_x000a_Assigned on July 28th 2023_x000a__x000a_Next 3"/>
        <s v="Next 3:_x000a__x000a_22. Personal Contribution Approval Requested for Dhivya Pethurajan (508263) on 2023-07-28 by Dhivya Pethurajan_x000a_Assigned on July 28th 2023_x000a__x000a_23. Personal Contribution Approval Requested for Dhivya Pethurajan (508263) on 2023-07-28 by Dhivya Pethurajan_x000a_Assigned on July 28th 2023_x000a__x000a_24. Personal Contribution Approval Requested for Dhivya Pethurajan (508263) on 2023-07-28 by Dhivya Pethurajan_x000a_Assigned on July 28th 2023_x000a__x000a_Next 3"/>
        <s v="Next 3:_x000a__x000a_25. Personal Contribution Approval Requested for Dhivya Pethurajan (508263) on 2023-07-28 by Dhivya Pethurajan_x000a_Assigned on July 28th 2023_x000a__x000a_26. Personal Contribution Approval Requested for Dhivya Pethurajan (508263) on 2023-07-26 by Dhivya Pethurajan_x000a_Assigned on July 26th 2023_x000a__x000a_27. Personal Contribution Approval Requested for Dhivya Pethurajan (508263) on 2023-07-26 by Dhivya Pethurajan_x000a_Assigned on July 26th 2023_x000a__x000a_Next 3"/>
        <s v="Next 3:_x000a__x000a_28. Personal Contribution Approval Requested for Dhivya Pethurajan (508263) on 2023-07-25 by Dhivya Pethurajan_x000a_Completed on July 26th 2023_x000a__x000a_29. Personal Contribution Approval Requested for Dhivya Pethurajan (508263) on 2023-07-25 by Dhivya Pethurajan_x000a_Completed on July 26th 2023_x000a__x000a_30. Personal Contribution Approval Requested for Dhivya Pethurajan (508263) on 2023-07-25 by Dhivya Pethurajan_x000a_Completed on July 26th 2023_x000a__x000a_Next 3"/>
        <s v="Next 3:_x000a__x000a_31. Personal Contribution Approval Requested for Dhivya Pethurajan (508263) on 2023-07-25 by Dhivya Pethurajan_x000a_Completed on July 25th 2023_x000a__x000a_32. Personal Contribution Approval Requested for Dhivya Pethurajan (508263) on 2023-07-25 by Dhivya Pethurajan_x000a_Completed on July 25th 2023_x000a__x000a_33. Personal Contribution Approval Requested for Dhivya Pethurajan (508263) on 2023-07-25 by Dhivya Pethurajan_x000a_Completed on July 25th 2023_x000a__x000a_Next 3"/>
        <s v="Next 3:_x000a__x000a_34. Personal Contribution Approval Requested for Dhivya Pethurajan (508263) on 2023-07-25 by Dhivya Pethurajan_x000a_Completed on July 25th 2023_x000a__x000a_35. Personal Contribution Approval Requested for Dhivya Pethurajan (508263) on 2023-07-25 by Dhivya Pethurajan_x000a_Completed on July 25th 2023_x000a__x000a_36. Personal Contribution Approval Requested for Dhivya Pethurajan (508263) on 2023-07-25 by Dhivya Pethurajan_x000a_Completed on July 25th 2023_x000a__x000a_Next 2"/>
        <s v="Last 2:_x000a__x000a_37. Personal Contribution Approval Requested for Dhivya Pethurajan (508263) on 2023-07-25 by Dhivya Pethurajan_x000a_Completed on July 25th 2023_x000a__x000a_38. Personal Contribution Approval Requested for Dhivya Pethurajan (508263) on 2023-07-25 by Dhivya Pethurajan_x000a_Completed on July 25th 2023"/>
        <s v="You have no pending approval requests and 7 FYIs."/>
        <s v="Here are your first 3 FYIs:_x000a__x000a_1. PeopleCloud Learning - You have recently been assigned learning_x000a__x000a_&lt;a href='https://dnn.fa.em2.oraclecloud.com:443/hcmUI/faces/adf.task-flow?tz=UTC&amp;df=medium&amp;dt=both&amp;tf=short&amp;lg=en&amp;cy=US&amp;bpmWorklistTaskId=87ca5a42-b586-49d9-bb4b-edd8404ea369&amp;bpmBrowserWindowStatus=taskFlowReturn&amp;bpmWorklistContext=c181e9c4-b5b0-45ba-b9d2-cc13b0f6d15c%3B%3BG%3B%3B24O%2F4OF7i%2Fo%2BjnvR5U2%2BVRUXIwQoEuC4pIkOBZnVNJfNmYX%2BMdeHSJ5kflF%2B1T%2FSF%2BqKrRtF2%2FnAc6OuRpHLbCb0WCRE2vNKYVSpslxAY80%2FWWlg6pWwa7OUJJsXOh%2FHsJbztPcvzK47e2sKcJzHNA47QYAPkNR%2BV0IUPcZfHTcIzei09Lt5MLwexVhMf8n8&amp;bpmClientType=&amp;sf=alta&amp;_id=HcmEmailNotificationHumantask_TF&amp;_document=WEB-INF%2Foracle%2Fapps%2Fhcm%2Fcommon%2Fcore%2Falerts%2FpublicUi%2Fcomponent%2Fflow%2FHcmEmailNotificationHumantask_TFxml.xml' target='_blank'&gt;View Details&lt;/a&gt;_x000a__x000a__x000a_2. Goal 5) Pre-Assigned Goals 2023/24  Was Added by Your Manager_x000a__x000a_&lt;a href='https://dnn.fa.em2.oraclecloud.com:443/hcmUI/faces/adf.task-flow?tz=UTC&amp;df=medium&amp;dt=both&amp;tf=short&amp;lg=en&amp;cy=US&amp;bpmWorklistTaskId=a2082094-e554-411c-b89a-498983d36225&amp;bpmBrowserWindowStatus=taskFlowReturn&amp;bpmWorklistContext=c181e9c4-b5b0-45ba-b9d2-cc13b0f6d15c%3B%3BG%3B%3B24O%2F4OF7i%2Fo%2BjnvR5U2%2BVRUXIwQoEuC4pIkOBZnVNJfNmYX%2BMdeHSJ5kflF%2B1T%2FSF%2BqKrRtF2%2FnAc6OuRpHLbCb0WCRE2vNKYVSpslxAY80%2FWWlg6pWwa7OUJJsXOh%2FHsJbztPcvzK47e2sKcJzHNA47QYAPkNR%2BV0IUPcZfHTcIzei09Lt5MLwexVhMf8n8&amp;bpmClientType=&amp;sf=alta&amp;_id=UnifiedNotificationFlow&amp;_document=WEB-INF%2Foracle%2Fapps%2Ffinancials%2FcommonModules%2Fshared%2FpublicUi%2FonlineNotification%2Fflow%2FUnifiedNotificationFlow.xml' target='_blank'&gt;View Details&lt;/a&gt;_x000a__x000a__x000a_3. PeopleCloud Learning - You have recently been assigned learning_x000a__x000a_&lt;a href='https://dnn.fa.em2.oraclecloud.com:443/hcmUI/faces/adf.task-flow?tz=UTC&amp;df=medium&amp;dt=both&amp;tf=short&amp;lg=en&amp;cy=US&amp;bpmWorklistTaskId=7fefa6a9-c1da-4480-ad26-ce107b508f4c&amp;bpmBrowserWindowStatus=taskFlowReturn&amp;bpmWorklistContext=c181e9c4-b5b0-45ba-b9d2-cc13b0f6d15c%3B%3BG%3B%3B24O%2F4OF7i%2Fo%2BjnvR5U2%2BVRUXIwQoEuC4pIkOBZnVNJfNmYX%2BMdeHSJ5kflF%2B1T%2FSF%2BqKrRtF2%2FnAc6OuRpHLbCb0WCRE2vNKYVSpslxAY80%2FWWlg6pWwa7OUJJsXOh%2FHsJbztPcvzK47e2sKcJzHNA47QYAPkNR%2BV0IUPcZfHTcIzei09Lt5MLwexVhMf8n8&amp;bpmClientType=&amp;sf=alta&amp;_id=HcmEmailNotificationHumantask_TF&amp;_document=WEB-INF%2Foracle%2Fapps%2Fhcm%2Fcommon%2Fcore%2Falerts%2FpublicUi%2Fcomponent%2Fflow%2FHcmEmailNotificationHumantask_TFxml.xml' target='_blank'&gt;View Details&lt;/a&gt;"/>
        <s v="You were paid ------ GBP on 2023-08-21T00:00:00+00:00._x000a_Here's your payslip information."/>
        <s v="&lt;a href='https://dnn.fa.em2.oraclecloud.com/hcmUI/content/conn/FusionAppsContentRepository/uuid/dDocID:8742791?download&amp;XFND_SCHEME_ID=1&amp;XFND_CERT_FP=E7A6669B1744C0DE0883C285E2A79DD364729D79&amp;XFND_RANDOM=4043183854257126992&amp;XFND_EXPIRES=1692186331614&amp;XFND_SIGNATURE=dwMP~F4WUn4cT9lpS2Ge7cigectM3xNeabkA5CWzOM8rDGv73iEonkHcrf7oXyP6kDdQYmDAkRO9cvUZPbDXH35AuUb8X4f7cUYtza3SCCrHuTXdK9yT8jXJpK1PFhhDT0vf07LV-tOMzLwzJx-A8MhHSR-KimFCKazK77L5Rgg_&amp;Id=8742791' &gt;View your payslip&lt;/a&gt;"/>
        <s v="Please tell me either a valid doc ID or an article title offset in quotations. For example, you can say &quot;HFAQ123&quot; or &quot;How to Fix Anything.&quot;"/>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KAREN.WITHERINGTON@NATIONWIDE.CO.UK%22%2c+env%3a+%22https://dnn.fa.em2.oraclecloud.com%22%7d&amp;opauniqueuser=KAREN.WITHERINGTON@NATIONWIDE.CO.UK_x000a_Job Security and Redundancy Policy: https://dnn.fa.em2.oraclecloud.com:443/fscmUI/faces/deeplink?objType=CSO_ARTICLE_CONTENT_KM&amp;objKey=docId%3DHRPOL17%3Blocale%3Den_US&amp;action=EDIT_IN_TAB"/>
        <s v="You didn't take any scheduled time off on 21/03/2023. _x000a__x000a_To see your end of year Holiday Balance, select 'View balance as of another date' below and input '31/12/23' when prompted_x000a__x000a_Schedule time off: https://dnn.fa.em2.oraclecloud.com/hcmUI/faces/deeplink?objType=ADD_ABSENCE&amp;action=NONE_x000a_View absence balance (excl. sickness balance)"/>
        <s v="These are the current NI codes that apply to Nationwide employees:&lt;br /&gt;_x000a_- Code A All employees apart from those in groups C, H, M in this list&lt;br /&gt;_x000a_- Code C Employees over the State Pension age&lt;br /&gt;_x000a_- Code H Apprentices under 25&lt;br /&gt;_x000a_- Code M Employees under 21&lt;br /&gt;_x000a_If you think your National Insurance code or number is incorrect please contact HMRC on 0300 200 3300. Remember, have your National Insurance number to hand when you call HMRC, along with Nationwide's PAYE Reference number of 470/N9705. HMRC will then provide us with the written documentation that we need to update your National Insurance details in PeopleCloud."/>
        <s v="There are no scheduled absences for your reports between 16/03/232023 and 17/03/232023."/>
        <s v="Displaying the top 5 results. Here are results 1-4."/>
        <s v="HRFOR228: Search Results Data Template Form - SD&amp;I_x000a_Last Published: 2023-05-15_x000a_Open Link: https://dnn.fa.em2.oraclecloud.com/fscmUI/faces/deeplink?objType=CSO_ARTICLE_CONTENT_HCM&amp;objKey=docId%3DHRFOR228%3Blocale%3Den_US&amp;action=EDIT_IN_TAB_x000a__x000a_HRHTG453: How2Guide - Key Word Search - Service Design &amp; Improvement_x000a_Last Published: 2023-05-02_x000a_Open Link: https://dnn.fa.em2.oraclecloud.com/fscmUI/faces/deeplink?objType=CSO_ARTICLE_CONTENT_HCM&amp;objKey=docId%3DHRHTG453%3Blocale%3Den_US&amp;action=EDIT_IN_TAB_x000a__x000a_HRHTG437: How2Guide - Searching Employee Overtime - Payroll Services_x000a_Last Published: 2022-08-10_x000a_Open Link: https://dnn.fa.em2.oraclecloud.com/fscmUI/faces/deeplink?objType=CSO_ARTICLE_CONTENT_HCM&amp;objKey=docId%3DHRHTG437%3Blocale%3Den_US&amp;action=EDIT_IN_TAB_x000a__x000a_HRGUI90: Security Searching Guidelines_x000a_Last Published: 2021-08-18_x000a_Open Link: https://dnn.fa.em2.oraclecloud.com/fscmUI/faces/deeplink?objType=CSO_ARTICLE_CONTENT_HCM&amp;objKey=docId%3DHRGUI90%3Blocale%3Den_US&amp;action=EDIT_IN_TAB"/>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MEGAN.STIRLAND@nationwide.co.uk%22%2c+env%3a+%22https://dnn.fa.em2.oraclecloud.com%22%7d&amp;opauniqueuser=MEGAN.STIRLAND@nationwide.co.uk_x000a_Job Security and Redundancy Policy: https://dnn.fa.em2.oraclecloud.com:443/fscmUI/faces/deeplink?objType=CSO_ARTICLE_CONTENT_KM&amp;objKey=docId%3DHRPOL17%3Blocale%3Den_US&amp;action=EDIT_IN_TAB"/>
        <s v="&lt;a href='https://dnn.fa.em2.oraclecloud.com/hcmUI/content/conn/FusionAppsContentRepository/uuid/dDocID:8733001?download&amp;XFND_SCHEME_ID=1&amp;XFND_CERT_FP=E7A6669B1744C0DE0883C285E2A79DD364729D79&amp;XFND_RANDOM=6855294605729105753&amp;XFND_EXPIRES=1692190037375&amp;XFND_SIGNATURE=HtSwTpfZ-aV7AcsXU2GiJcOgInv0fhMW93HGshQYUAbUO8Bb5x4k9UUHeC1lyKXnvhIil7lCZI15~w~taGYB3fS7FYe7LCYabo5dkqHv3aaSUIxTe9mp1kTz4on6TRgZUfU5p2ogGyRQAEkKul1kfdsr7T9WqMYMalfRPgN7EKI_&amp;Id=8733001' &gt;View your payslip&lt;/a&gt;"/>
        <s v="You have the following time off in the next twelve months._x000a__x000a_&lt;b&gt;3 hrs 30 mins&lt;/b&gt; of &lt;b&gt;Holiday&lt;/b&gt; on Sep 4th_x000a_&lt;b&gt;7 hrs&lt;/b&gt; of &lt;b&gt;Holiday&lt;/b&gt; on Sep 11th_x000a_&lt;b&gt;21 hrs&lt;/b&gt; of &lt;b&gt;Holiday&lt;/b&gt; from Oct 9th to Oct 11th_x000a_&lt;b&gt;7 hrs&lt;/b&gt; of &lt;b&gt;Holiday&lt;/b&gt; on Nov 27th_x000a_&lt;b&gt;14 hrs&lt;/b&gt; of &lt;b&gt;Holiday&lt;/b&gt; from Mar 15th to Mar 18th_x000a_&lt;b&gt;35 hrs&lt;/b&gt; of &lt;b&gt;Holiday&lt;/b&gt; from Jul 2nd to Jul 9th_x000a_&lt;b&gt;63 hrs&lt;/b&gt; of &lt;b&gt;Holiday&lt;/b&gt; from Jul 31st to Aug 14th_x000a__x000a_Schedule time off: https://dnn.fa.em2.oraclecloud.com/hcmUI/faces/deeplink?objType=ADD_ABSENCE&amp;action=NONE_x000a_View past absences_x000a_View absences for a specific duration_x000a_View absence balance (excl. sickness balance)"/>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julie.gargett@nationwide.co.uk%22%2c+env%3a+%22https://dnn.fa.em2.oraclecloud.com%22%7d&amp;opauniqueuser=julie.gargett@nationwide.co.uk_x000a_Job Security and Redundancy Policy: https://dnn.fa.em2.oraclecloud.com:443/fscmUI/faces/deeplink?objType=CSO_ARTICLE_CONTENT_KM&amp;objKey=docId%3DHRPOL17%3Blocale%3Den_US&amp;action=EDIT_IN_TAB"/>
        <s v="Note Taker_s Guidance.docx_x000a_Note Taker's Guide Note takers guidance This document is to help you understand your role and responsibility as a notetaker during a Fair Treatment at Work hearing or meeting._x000a_Open Link: https://dnn.fa.em2.oraclecloud.com:443/utility/resources/fusion/content/draft/514DEF189FCC47C3B1287057AF9F5E8E/136A33573D3A40A5840C7832B4D19C2B/Note%20Taker_s%20Guidance.docx_x000a__x000a_Death in Service Guidance Checklist_x000a_Death in Service Guidance Checklist_x000a_Open Link: https://dnn.fa.em2.oraclecloud.com/fscmUI/faces/deeplink?objType=CSO_ARTICLE_CONTENT_HCM&amp;objKey=docId%3DHRCHE2%3Blocale%3Den_US&amp;action=EDIT_IN_TAB_x000a__x000a_Gender Change Request Guidance Guide_x000a_Gender Change Request Guidance Guide_x000a_Open Link: https://dnn.fa.em2.oraclecloud.com/fscmUI/faces/deeplink?objType=CSO_ARTICLE_CONTENT_HCM&amp;objKey=docId%3DHRGUI154%3Blocale%3Den_US&amp;action=EDIT_IN_TAB_x000a__x000a_FAQ Subject Access Request Guidance_x000a_FAQ Subject Access Request Guidance_x000a_Open Link: https://dnn.fa.em2.oraclecloud.com/fscmUI/faces/deeplink?objType=CSO_ARTICLE_CONTENT_HCM&amp;objKey=docId%3DHRGUI34%3Blocale%3Den_US&amp;action=EDIT_IN_TAB"/>
        <s v="Displaying the top 20 results. Here are results 1-4."/>
        <s v="HRMAI205: Maternity/Adoption - Email to Line Manager to confirm Verint Holiday_x000a_Last Published: 2023-08-01_x000a_Open Link: https://dnn.fa.em2.oraclecloud.com/fscmUI/faces/deeplink?objType=CSO_ARTICLE_CONTENT_HCM&amp;objKey=docId%3DHRMAI205%3Blocale%3Den_US&amp;action=EDIT_IN_TAB_x000a__x000a_HRMAI194: SPEC 7.1 Going on Maternity Leave Email_x000a_Last Published: 2023-08-01_x000a_Open Link: https://dnn.fa.em2.oraclecloud.com/fscmUI/faces/deeplink?objType=CSO_ARTICLE_CONTENT_HCM&amp;objKey=docId%3DHRMAI194%3Blocale%3Den_US&amp;action=EDIT_IN_TAB_x000a__x000a_HRALE41: NW_LTA1977_Spec 7.1 Going on Maternity Leave Automated Letter_x000a_Last Published: 2023-06-22_x000a_Open Link: https://dnn.fa.em2.oraclecloud.com/fscmUI/faces/deeplink?objType=CSO_ARTICLE_CONTENT_HCM&amp;objKey=docId%3DHRALE41%3Blocale%3Den_US&amp;action=EDIT_IN_TAB_x000a__x000a_HRMLE283: SPEC 8.1 Going on Maternity Leave Earlier than Planned Letter_x000a_Last Published: 2023-06-09_x000a_Open Link: https://dnn.fa.em2.oraclecloud.com/fscmUI/faces/deeplink?objType=CSO_ARTICLE_CONTENT_HCM&amp;objKey=docId%3DHRMLE283%3Blocale%3Den_US&amp;action=EDIT_IN_TAB"/>
        <s v="Step 1: Log into IIQ from the Intranet Home page:_x000a_Step 4: Select your name so the green tick appears, and then click â€˜Nextâ€™ at the bottom of the screen. Step 5: In the â€˜Searchâ€™ field, search for â€˜Occupational Healthâ€™ to find the AD group. Step 6: Select the AD group so that the green tick appears and click â€˜Nextâ€™ at the bottom of the screen._x000a_Open Link: https://dnn.fa.em2.oraclecloud.com:443/utility/resources/fusion/content/draft/CFA85F680CE042A38AB24C05776152A3/B9EAC684701944ED97C67226C2700177/IIQ%20Access%20-%20Screen%20Shots%20Guide%205%20January%202023.pdf_x000a__x000a_Wellbeing â€“ Sources of Support_x000a_who are absent or who have health concerns, so they can remain in or return safely to work. For more information, search the intranet for Occupational Health or follow this link: Occupational Health_x000a_Open Link: https://dnn.fa.em2.oraclecloud.com:443/utility/resources/fusion/content/draft/6783E1CF417D42049751D4149C480C8D/366B071DA257426ABE2ED478499D4C6B/Wellbeing%20%20Sources%20of%20Support%20Guide%20-%2018%20May%202023.pdf_x000a__x000a_Sickness Absence Manager Toolkit - Manager Mini Guide_x000a_Before any decisions are made seek HR and Occupational Health advice . If your employee returns early, remember to update the return date on PeopleCloud so that their absence record remains up to date and to ensure they are paid correctly._x000a_Open Link: https://dnn.fa.em2.oraclecloud.com:443/utility/resources/fusion/content/draft/27F4BED9BDB74D698BD86C6FD16A2A43/59053D233D7C4A27A6591371DCAB30D4/Sickness%20Absence%20Manager%20Toolkit%20-%20Manager%20Mini%20Guide%20-%2016%20May%202023.pdf_x000a__x000a_Managing Sickness Absence â€“ Manager Guide_x000a_Although they may not be fit enough to carry out their substantive role, it may be possible for them to return temporarily to another role within their Community or in another part of the business. Be aware of what opportunities are available for your employee, discuss opportunities with other managers and the employee. Before any decisions are made seek HR and Occupational Health advice._x000a_Open Link: https://dnn.fa.em2.oraclecloud.com:443/utility/resources/fusion/content/draft/8977027F17574D5888B164A3E53F3857/4D97C9221A32419DB2630B6DC2FFA92C/Managing%20Sickness%20Absence%20-%20Manager%20Guide%20-%2016%20May%202023.pdf"/>
        <s v="Occupational Health FAQs_x000a_See Summary_x000a__x000a_Occupational Health FAQs - 03 April 2023.docx_x000a_Occupational Health FAQs Occupational Health FAQ Sheet How do I contact Optima Health in partnership with Bupa?_x000a_Open Link: https://dnn.fa.em2.oraclecloud.com:443/utility/resources/fusion/content/draft/12E83F0F912E45BF98F8871F8AF0B423/58390ADD974D4084B79E7EC4253D6F2B/Occupational%20Health%20FAQs%20-%2003%20April%202023.docx_x000a__x000a_Occupational Health Service - Managerâ€™s Guide - Nationwide Building Society_x000a_Nationwide OH User Guide - Manager Guide Occupational Health Service - Managerâ€™s Guide Nationwide Building Society_x000a_Open Link: https://dnn.fa.em2.oraclecloud.com:443/utility/resources/fusion/content/draft/6A46E81EEFC34383B5558256DF5C8061/F889B191AE1E48E3981B8D5A1916A4D0/Nationwide%20OH%20User%20Guide%20-%20Manager%20Guide%20%20-%2018%20May%202023.pdf_x000a__x000a_G23 Occupational Health Registration Process Map_x000a_G23 Occupational Health Registration Process Map_x000a_Open Link: https://dnn.fa.em2.oraclecloud.com/fscmUI/faces/deeplink?objType=CSO_ARTICLE_CONTENT_HCM&amp;objKey=docId%3DHRMAP367%3Blocale%3Den_US&amp;action=EDIT_IN_TAB"/>
        <s v="Going on Maternity Leave Letter_x000a_SPEC 85.1 Maternity Leave MyReward Letter What about other MyReward options?_x000a_Open Link: https://dnn.fa.em2.oraclecloud.com:443/utility/resources/fusion/content/draft/70C39D64803741A7931C53E5DF3C6B6B/6DE2FAC9A35B4B089AB9B64FCBDD40AF/SPEC%2085.1%20Maternity%20Leave%20MyReward%20Letter%20-%2028%20December%202022.doc_x000a__x000a_Going on Maternity Leave Letter_x000a_SPEC 7.1 Going on Maternity Leave Email Private and Confidential Hi A.FIRST_NAME_x000a_Open Link: https://dnn.fa.em2.oraclecloud.com:443/utility/resources/fusion/content/draft/0372297B005342C9944FE6B3A4DCD11E/4BA2A984CA904997B68650773843C87C/SPEC%207.1%20Going%20on%20Maternity%20Leave%20Email%20-%2001%20August%202023.doc_x000a__x000a_Going on Maternity Leave Letter_x000a_IOM 08.1 Going on Maternity Leave Letter Private and Confidential Name_x000a_Open Link: https://dnn.fa.em2.oraclecloud.com:443/utility/resources/fusion/content/draft/F999342C78434B24ADC3EEA409973DE2/BA7E1CE5156C4A8B89AB10165A234B0B/IOM%2008.1.doc_x000a__x000a_Letter Q - PSB Maternity Leave_x000a_Letter Q - PSB Maternity Leave_x000a_Open Link: https://dnn.fa.em2.oraclecloud.com/fscmUI/faces/deeplink?objType=CSO_ARTICLE_CONTENT_HCM&amp;objKey=docId%3DHRMLE94%3Blocale%3Den_US&amp;action=EDIT_IN_TAB"/>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custhelp.com/web-determinations/startsession/NBS_Maternity?seedData=%7bname%3a+%22JACQUELINE.GOUGH@NATIONWIDE.CO.UK%22%2c+env%3a+%22https://dnn.fa.em2.oraclecloud.com%22%7d&amp;opauniqueuser=JACQUELINE.GOUGH@NATIONWIDE.CO.UK"/>
        <s v="HR Policy Point_x000a_Welcome to the HR Policy Point This site provides you with the access to all of the HR people policies, along with any supporting guidance and forms. Policies_x000a_Open Link: https://dnn.fa.em2.oraclecloud.com/fscmUI/faces/deeplink?objType=CSO_ARTICLE_CONTENT_HCM&amp;objKey=docId%3DHRPOL78%3Blocale%3Den_US&amp;action=EDIT_IN_TAB_x000a__x000a_HR Policy Point - Policy Index_x000a_Clicking on a policy link will take you to the relevant policies, guidance and forms. Back to the HR Policy Point Home Page Policy_x000a_Open Link: https://dnn.fa.em2.oraclecloud.com/fscmUI/faces/deeplink?objType=CSO_ARTICLE_CONTENT_HCM&amp;objKey=docId%3DHRPOL79%3Blocale%3Den_US&amp;action=EDIT_IN_TAB_x000a__x000a_HR Policy Point - 7 October 2020_x000a_HR Policy Update - 7 October 2020_x000a_Open Link: https://dnn.fa.em2.oraclecloud.com/fscmUI/faces/deeplink?objType=CSO_ARTICLE_CONTENT_HCM&amp;objKey=docId%3DHRPOU17%3Blocale%3Den_US&amp;action=EDIT_IN_TAB_x000a__x000a_HR Policy Point Update - 18 January 2019_x000a_HR Policy Update - 18 January 2019 There were no policy updates with the Joint Statement for 18 January 2019_x000a_Open Link: https://dnn.fa.em2.oraclecloud.com/fscmUI/faces/deeplink?objType=CSO_ARTICLE_CONTENT_HCM&amp;objKey=docId%3DHRPOU3%3Blocale%3Den_US&amp;action=EDIT_IN_TAB"/>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paulina.szkurlat@nationwide.co.uk%22%2c+env%3a+%22https://dnn.fa.em2.oraclecloud.com%22%7d&amp;opauniqueuser=paulina.szkurlat@nationwide.co.uk"/>
        <s v="Here's your absence balance as of 16/03/2023._x000a__x000a_&lt;b&gt;44 hrs&lt;/b&gt; of Holiday _x000a_&lt;b&gt;0 hrs&lt;/b&gt; of Recognising Loyalty _x000a_&lt;b&gt;0 hrs&lt;/b&gt; of Work Anniversary _x000a_&lt;b&gt;0 hrs&lt;/b&gt; of MyReward _x000a_&lt;b&gt;-13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ve taken the following time off in the last twelve months._x000a__x000a_&lt;b&gt;7 hrs&lt;/b&gt; of &lt;b&gt;Holiday&lt;/b&gt; on Aug 7th_x000a_&lt;b&gt;7 hrs&lt;/b&gt; of &lt;b&gt;Holiday&lt;/b&gt; on Jul 31st_x000a_&lt;b&gt;1 hr 15 mins&lt;/b&gt; of &lt;b&gt;Holiday&lt;/b&gt; on Jul 19th_x000a_&lt;b&gt;21 hrs&lt;/b&gt; of &lt;b&gt;Holiday&lt;/b&gt; from Jul 3rd to Jul 5th_x000a_&lt;b&gt;21 hrs&lt;/b&gt; of &lt;b&gt;Holiday&lt;/b&gt; from Jun 26th to Jun 28th_x000a_&lt;b&gt;3 hrs&lt;/b&gt; of &lt;b&gt;Holiday&lt;/b&gt; on May 10th_x000a_&lt;b&gt;7 hrs&lt;/b&gt; of &lt;b&gt;Holiday&lt;/b&gt; on Dec 21st_x000a_&lt;b&gt;66 days&lt;/b&gt; of &lt;b&gt;Sickness&lt;/b&gt; from Dec 12th to Apr 19th_x000a_&lt;b&gt;7 hrs&lt;/b&gt; of &lt;b&gt;Holiday&lt;/b&gt; on Dec 7th_x000a_&lt;b&gt;7 hrs&lt;/b&gt; of &lt;b&gt;Holiday&lt;/b&gt; on Dec 5th_x000a_&lt;b&gt;3 hrs&lt;/b&gt; of &lt;b&gt;Holiday&lt;/b&gt; on Nov 28th_x000a_&lt;b&gt;7 hrs&lt;/b&gt; of &lt;b&gt;Holiday&lt;/b&gt; on Nov 1st_x000a_&lt;b&gt;7 hrs&lt;/b&gt; of &lt;b&gt;Holiday&lt;/b&gt; on Oct 31st_x000a_&lt;b&gt;2 hrs&lt;/b&gt; of &lt;b&gt;Holiday&lt;/b&gt; on Oct 10th_x000a_&lt;b&gt;2 hrs 30 mins&lt;/b&gt; of &lt;b&gt;Holiday&lt;/b&gt; on Sep 12th_x000a__x000a_Schedule time off: https://dnn.fa.em2.oraclecloud.com/hcmUI/faces/deeplink?objType=ADD_ABSENCE&amp;action=NONE_x000a_View absences for a specific duration_x000a_View absence balance (excl. sickness balance)"/>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SALLY.THOMPSON@NATIONWIDE.CO.UK%22%2c+env%3a+%22https://dnn.fa.em2.oraclecloud.com%22%7d&amp;opauniqueuser=SALLY.THOMPSON@NATIONWIDE.CO.UK_x000a_Job Security and Redundancy Policy: https://dnn.fa.em2.oraclecloud.com:443/fscmUI/faces/deeplink?objType=CSO_ARTICLE_CONTENT_KM&amp;objKey=docId%3DHRPOL17%3Blocale%3Den_US&amp;action=EDIT_IN_TAB"/>
        <s v="You have the following time off in the next twelve months._x000a__x000a_&lt;b&gt;14 hrs&lt;/b&gt; of &lt;b&gt;Holiday&lt;/b&gt; from Aug 29th to Aug 30th_x000a_&lt;b&gt;26 hrs&lt;/b&gt; of &lt;b&gt;Holiday&lt;/b&gt; from Sep 12th to Sep 15th_x000a_&lt;b&gt;7 hrs&lt;/b&gt; of &lt;b&gt;Holiday&lt;/b&gt; on Oct 3rd_x000a_&lt;b&gt;5 hrs&lt;/b&gt; of &lt;b&gt;Holiday&lt;/b&gt; on Nov 3rd_x000a_&lt;b&gt;7 hrs&lt;/b&gt; of &lt;b&gt;Holiday&lt;/b&gt; on Dec 5th_x000a__x000a_Schedule time off: https://dnn.fa.em2.oraclecloud.com/hcmUI/faces/deeplink?objType=ADD_ABSENCE&amp;action=NONE_x000a_View absences for a specific duration_x000a_View absence balance (excl. sickness balance)"/>
        <s v="&lt;a href='https://dnn.fa.em2.oraclecloud.com/hcmUI/content/conn/FusionAppsContentRepository/uuid/dDocID:8732692?download&amp;XFND_SCHEME_ID=1&amp;XFND_CERT_FP=E7A6669B1744C0DE0883C285E2A79DD364729D79&amp;XFND_RANDOM=3030021319111274845&amp;XFND_EXPIRES=1692199338789&amp;XFND_SIGNATURE=V2E2pm9dt9J8cjt5EtCBRj4VD2g92sHZivULy~2GxjtKoDYk2EIwFMgBIvflkYrNSfrrqVaROhVKxOhg72JouxlrS5x2mjjZAOGD1y266Diz5U2QOMCe5xOrMuYSDiLmmG~39G004yJe-c6c2rw3-hSdiIUQkPVgPV-YQkOnB5A_&amp;Id=8732692' &gt;View your payslip&lt;/a&gt;"/>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custhelp.com/web-determinations/startsession/SeverancePayEstimator?seedData=%7bname%3a+%22claire.furnell@nationwide.co.uk%22%2c+env%3a+%22https://dnn.fa.em2.oraclecloud.com%22%7d&amp;opauniqueuser=claire.furnell@nationwide.co.uk_x000a_Job Security and Redundancy Policy: https://dnn.fa.em2.oraclecloud.com:443/fscmUI/faces/deeplink?objType=CSO_ARTICLE_CONTENT_KM&amp;objKey=docId%3DHRPOL17%3Blocale%3Den_US&amp;action=EDIT_IN_TAB"/>
        <s v="Here's your absence balance as of 16/03/2023._x000a__x000a_&lt;b&gt;0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custhelp.com/web-determinations/startsession/NBS_FlexWorking?seedData=%7bname%3a+%22STEVEN.LEWIS@NATIONWIDE.CO.UK%22%2c+env%3a+%22https://dnn.fa.em2.oraclecloud.com%22%7d&amp;opauniqueuser=STEVEN.LEWIS@NATIONWIDE.CO.UK"/>
        <s v="&lt;a href='https://dnn.fa.em2.oraclecloud.com/hcmUI/content/conn/FusionAppsContentRepository/uuid/dDocID:8746575?download&amp;XFND_SCHEME_ID=1&amp;XFND_CERT_FP=E7A6669B1744C0DE0883C285E2A79DD364729D79&amp;XFND_RANDOM=-5163820695326458779&amp;XFND_EXPIRES=1692200125640&amp;XFND_SIGNATURE=o9pJkZ1vs1Hcnl0C59UyVIO2l964-TlZtQooZuUSVrS5YMCa3Q4xkrQn043PMpgE4vZ5gjlQ9kFaXipB~WkzBHrNEB615rjGrI5klf9y3BEc8v3~NfhwJvk64RnnP6ZRCPYxQokbinGVQTBNfkUGte3TMEgLo390~OM-E6G9WOE_&amp;Id=8746575' &gt;View your payslip&lt;/a&gt;"/>
        <s v="I couldn't find anything for bye in the Knowledge base. You can say 'search' or 'find' to look for another article."/>
        <s v="There are several possible reasons why your tax (PAYE) deductions have changed. It may be that your tax code or Personal Tax Allowance has changed, or your salary may have changed and taken elements of your pay into a different tax threshold. If you've just joined, it may be that you haven't yet provided your P45/New Starter Declaration to us, or you didn't provide it in time for it to be applied to your recent pay.&lt;br /&gt;_x000a_If you'd like to work out much tax you've paid this year please use the &lt;a href=&quot;http://payecalculator.hmrc.gov.uk/PAYE0.aspx&quot;&gt;HMRC Tax Calculator&lt;/a&gt;. If you'd like a more detailed breakdown please raise a &lt;a href=&quot;https://dnn.fa.em2.oraclecloud.com/fscmUI/faces/deeplink?objType=SVC_SERVICE_REQUEST_HCM&amp;amp;action=CREATE_IN_TAB&amp;amp;objKey=SelfServiceCategory_c%3DNBS_HRM_PAB%3BSelfServiceSubCategory_c%3DNBS_HRM_PAB_AAQ%3BChannelTypeCd%3DNBS_HRM_ODA&quot;&gt;Service Request&lt;/a&gt;."/>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tst1.custhelp.com/web-determinations/startsession/NBS_Maternity?seedData=%7bname%3a+%22CARL.READ@NATIONWIDE.CO.UK%22%2c+env%3a+%22https://dnn.fa.em2.oraclecloud.com%22%7d&amp;opauniqueuser=CARL.READ@NATIONWIDE.CO.UK"/>
        <s v="Here are your first 3 FYIs:_x000a__x000a_1. PeopleCloud Learning - You have recently been assigned learning_x000a__x000a_&lt;a href='https://dnn.fa.em2.oraclecloud.com:443/hcmUI/faces/adf.task-flow?tz=UTC&amp;df=medium&amp;dt=both&amp;tf=short&amp;lg=en&amp;cy=US&amp;bpmWorklistTaskId=87a356c7-a39f-4fab-93eb-264f0b55b091&amp;bpmBrowserWindowStatus=taskFlowReturn&amp;bpmWorklistContext=9eb1c314-b832-4acd-8fd6-42d3af614f3d%3B%3BG%3B%3B4PnJpSKDjctxGFuN2yFq8htUhdYV6W4E84nb3ZUxA9kwziYo7VsbSCrSW5TUJd671YwMnG%2FUV4FQUZJlPQrrpccztxDAe6cN7Lzd13qV%2BNznWajWqI2RLA17WqfLjhLvvAQSeLYXGTczBetLQhGYUEn1fMAmL2aPhmyVKqSL19cDD98nT6ftOOcL1zpMvuIP&amp;bpmClientType=&amp;sf=alta&amp;_id=HcmEmailNotificationHumantask_TF&amp;_document=WEB-INF%2Foracle%2Fapps%2Fhcm%2Fcommon%2Fcore%2Falerts%2FpublicUi%2Fcomponent%2Fflow%2FHcmEmailNotificationHumantask_TFxml.xml' target='_blank'&gt;View Details&lt;/a&gt;_x000a__x000a__x000a_2. PeopleCloud Learning - You have recently been assigned learning_x000a__x000a_&lt;a href='https://dnn.fa.em2.oraclecloud.com:443/hcmUI/faces/adf.task-flow?tz=UTC&amp;df=medium&amp;dt=both&amp;tf=short&amp;lg=en&amp;cy=US&amp;bpmWorklistTaskId=9871cfa9-fa40-4a41-abf5-6373413cbb8b&amp;bpmBrowserWindowStatus=taskFlowReturn&amp;bpmWorklistContext=9eb1c314-b832-4acd-8fd6-42d3af614f3d%3B%3BG%3B%3B4PnJpSKDjctxGFuN2yFq8htUhdYV6W4E84nb3ZUxA9kwziYo7VsbSCrSW5TUJd671YwMnG%2FUV4FQUZJlPQrrpccztxDAe6cN7Lzd13qV%2BNznWajWqI2RLA17WqfLjhLvvAQSeLYXGTczBetLQhGYUEn1fMAmL2aPhmyVKqSL19cDD98nT6ftOOcL1zpMvuIP&amp;bpmClientType=&amp;sf=alta&amp;_id=HcmEmailNotificationHumantask_TF&amp;_document=WEB-INF%2Foracle%2Fapps%2Fhcm%2Fcommon%2Fcore%2Falerts%2FpublicUi%2Fcomponent%2Fflow%2FHcmEmailNotificationHumantask_TFxml.xml' target='_blank'&gt;View Details&lt;/a&gt;_x000a__x000a__x000a_3. PeopleCloud Learning - You have recently been assigned learning_x000a__x000a_&lt;a href='https://dnn.fa.em2.oraclecloud.com:443/hcmUI/faces/adf.task-flow?tz=UTC&amp;df=medium&amp;dt=both&amp;tf=short&amp;lg=en&amp;cy=US&amp;bpmWorklistTaskId=67958d97-741d-47ee-8c51-4b5a24a2b18b&amp;bpmBrowserWindowStatus=taskFlowReturn&amp;bpmWorklistContext=9eb1c314-b832-4acd-8fd6-42d3af614f3d%3B%3BG%3B%3B4PnJpSKDjctxGFuN2yFq8htUhdYV6W4E84nb3ZUxA9kwziYo7VsbSCrSW5TUJd671YwMnG%2FUV4FQUZJlPQrrpccztxDAe6cN7Lzd13qV%2BNznWajWqI2RLA17WqfLjhLvvAQSeLYXGTczBetLQhGYUEn1fMAmL2aPhmyVKqSL19cDD98nT6ftOOcL1zpMvuIP&amp;bpmClientType=&amp;sf=alta&amp;_id=HcmEmailNotificationHumantask_TF&amp;_document=WEB-INF%2Foracle%2Fapps%2Fhcm%2Fcommon%2Fcore%2Falerts%2FpublicUi%2Fcomponent%2Fflow%2FHcmEmailNotificationHumantask_TFxml.xml' target='_blank'&gt;View Details&lt;/a&gt;"/>
        <s v="Ok. It sounds like you want to understand how to resolve some workplace conflict. The first escalation point for raising concerns should be your manager or via the approach in the &lt;a href=&quot;https://dnn.fa.em2.oraclecloud.com/fscmUI/faces/deeplink?objType=CSO_ARTICLE_CONTENT_KM&amp;amp;objKey=docId%3DHRPOL88%3Blocale%3Den_US&amp;amp;action=EDIT_IN_TAB&quot;&gt;Resolution Framework&lt;/a&gt;. We've created a handy guide that shows you &lt;a href=&quot;https://dnn.fa.em2.oraclecloud.com/fscmUI/faces/deeplink?objType=CSO_ARTICLE_CONTENT_KM&amp;amp;objKey=docId%3DHRGUI255%3Blocale%3Den_US&amp;amp;action=EDIT_IN_TAB&quot;&gt;how to raise and resolve all disagreements and concerns in the workplace&lt;/a&gt; and the support available throughout."/>
        <s v="Sure. With sickness absences, it's not possible to record part days sick leave on PeopleCloud. So you only need to &lt;a href=&quot;https://dnn.fa.em2.oraclecloud.com/fscmUI/faces/deeplink?objType=CSO_ARTICLE_CONTENT_KM&amp;amp;objKey=docId%3DHRGUI39%3Blocale%3Den_US&amp;amp;action=EDIT_IN_TAB&quot;&gt;record sick leave&lt;/a&gt; on here when someone works less than 50% of their contracted daily hours due to being ill.&lt;br /&gt;_x000a_With holiday you can book part days. To do this you need to overtype the Duration as this automatically defaults to whole days. Make sure to use this format, HH:MM (e.g. 03:30 for 3 hrs 30 mins, 03:00 for 3 hours). Then click Submit."/>
        <s v="Sure. Here's what I think you needÂ &lt;br /&gt;_x000a_- view &lt;a href=&quot;https://nbsuk.sharepoint.com/sites/INTRA-AnnualPerformancePayPlan?OR=Teams-HL&amp;amp;CT=1684932011862&amp;amp;clickparams=eyJBcHBOYW1lIjoiVGVhbXMtRGVza3RvcCIsIkFwcFZlcnNpb24iOiIyNy8yMzA0MDIwMjcwNSIsIkhhc0ZlZGVyYXRlZFVzZXIiOmZhbHNlfQ%3D%3D&quot;&gt;Annual Performance Pay Plan&lt;/a&gt; guidance&lt;br /&gt;_x000a_- view &lt;a href=&quot;https://nbsuk.sharepoint.com/sites/INTRA-HRHelp/SitePages/Case-Management-Team-(People-and-Culture).aspx&quot;&gt;SIS Award Outcome Appeal&lt;/a&gt; guidance&lt;br /&gt;_x000a_The APP Plan is discretionary. If all the criteria is achieved, eligible employees can expect to receive their 23/24 payment in their June 2024 pay. The gross value of the award will show in yourÂ &lt;a href=&quot;https://dnn.fa.em2.oraclecloud.com/fscmUI/faces/deeplink?objType=PERSON_SPOTLIGHT_CMP&amp;amp;action=NONE&quot;&gt;Compensation&lt;/a&gt;Â section at the start of June 2024. Clicking on Prior Compensation will enable you to see your historic salary details."/>
        <s v="Sure. It sounds like you're asking about holiday in relation to adoption or maternity leave. Just so you know, you don't need to use all your annual holiday before you start your leave. Any annual holiday that you haven't used by the time you leave will be deferred until your leave ends. We call this 'accrued' holiday. When you're on leave you'll continue to accrue holiday (this also applies to your public holiday entitlement). Then at the end of your leave you have the option to use some or all of your accrued holiday (to extend your leave) or you can choose to use it all after you've returned."/>
        <s v="Thereâ€™s no need to change a role profile unless the core accountabilities of the role have changed significantly. Terminology changes can be reflected in the individual's goals instead. For simple job title changes complete a &lt;a href=&quot;https://dnn.fa.em2.oraclecloud.com/fscmUI/faces/deeplink?objType=CSO_ARTICLE_CONTENT_KM&amp;amp;objKey=docId%3DHRFOR132%3blocale%3Den_US&amp;amp;action=EDIT_IN_TAB&quot;&gt;Job Title Change Request Form&lt;/a&gt; (including the approval). Then send the form to us by &lt;a href=&quot;https://dnn.fa.em2.oraclecloud.com/fscmUI/faces/deeplink?objType=SVC_SERVICE_REQUEST_HCM&amp;amp;action=CREATE_IN_TAB&amp;amp;objKey=ChannelTypeCd%3DNBS_HRM_ODA&quot;&gt;raising a service request&lt;/a&gt;Â and attaching the form to the request. If itâ€™s a job evaluation resulting from organisational structure changes you need to discuss this with your People Function contact. If you don't have a contact complete a &lt;a href=&quot;https://forms.office.com/Pages/ResponsePage.aspx?id=9ZPtGHDklkmw75VUr5hdUDVAS_15z99Gg2Xq2kXwjARUQUI2Vlg2NjFDMU80QU85Sk9ZSTlLNzg2Vy4u&quot;&gt;People Change Initiation Form&lt;/a&gt; and weâ€™ll assign one to you. For any other type of job evaluations complete the &lt;a href=&quot;https://dnn.fa.em2.oraclecloud.com/fscmUI/faces/deeplink?objType=CSO_ARTICLE_CONTENT_KM&amp;amp;objKey=docId%3DHRFOR165%3blocale%3Den_US&amp;amp;action=EDIT_IN_TAB&quot;&gt;Job Evaluation Request Form&lt;/a&gt; and send to the email address provided."/>
        <s v="Please send all documentation to us by attaching it to yourÂ &lt;a href=&quot;https://dnn.fa.em2.oraclecloud.com/fscmUI/faces/deeplink?objType=SVC_SERVICE_REQUEST_HCM&amp;amp;action=EDIT_IN_POPUP&quot;&gt;existing service request&lt;/a&gt; or raising a &lt;a href=&quot;https://dnn.fa.em2.oraclecloud.com/fscmUI/faces/deeplink?objType=SVC_SERVICE_REQUEST_HCM&amp;amp;action=CREATE_IN_TAB&amp;amp;objKey=ChannelTypeCd%3DNBS_HRM_ODA&quot;&gt;new service request&lt;/a&gt;.Â If you don't have access to PeopleCloud or we've asked you to send us an original document we do have a postal address which can be used for documents relating to the Lifecycle Services, Attendance &amp; Wellbeing and Payroll Services teams only -_x000a_&lt;p style=&quot;color:#2c3e50&quot;&gt;[team name], People Services, People Function, Nationwide House, Pipers Way, Swindon SN38 1NW&lt;/p&gt;"/>
        <s v="Sure. I can help with that. Here's where you &lt;a href=&quot;https://dnn.fa.em2.oraclecloud.com/fscmUI/faces/deeplink?objType=SVC_SERVICE_REQUEST_HCM&amp;amp;action=CREATE_IN_TAB&amp;amp;objKey=ChannelTypeCd%3DNBS_HRM_ODA&quot;&gt;raise new requests&lt;/a&gt;.Â If it's urgent or sensitive please tell us in the Subject line. Here are yourÂ &lt;a href=&quot;https://dnn.fa.em2.oraclecloud.com/fscmUI/faces/deeplink?objType=SVC_SERVICE_REQUEST_HCM&amp;amp;action=EDIT_IN_POPUP&quot;&gt;existing requests&lt;/a&gt;. To get an update on a request, open it, add a note and click Submit. The SLA for resolving requests varies depending on the topic and the urgency. The team will respond as soon as possible."/>
        <s v="Sure. Here's where you can &lt;a href=&quot;https://dnn.fa.em2.oraclecloud.com/fscmUI/faces/deeplink?objType=WORKER_TEAM_SCHEDULE_RUI&amp;amp;action=NONE&quot;&gt;view your own work schedule&lt;/a&gt;. Blue indicates your work schedule and yellow indicates your holidays. If you're changing your hours, either your manager or HR will update your schedule. If you spot that your schedule isn't right, please speak to your manager in the first instance."/>
        <s v="There are several possible reasons why your tax deductions have changed. It may be that your tax code or Personal Tax Allowance has changed, or your salary may have changed and taken elements of your pay into a different tax threshold. If you're a new starter it may be that HMRC have put you on an emergency tax code (referred to as code X) because your P45 / New Starter Declaration wasn't submitted before ourÂ &lt;a href=&quot;https://nbsuk.sharepoint.com/sites/INTRA-Salary/SitePages/Payroll-and-payment-of-salary.aspx&quot;&gt;payroll cut-off&lt;/a&gt;. Those submitted after cut off will be processed the following month."/>
        <s v="Tax codes are driven by HMRC and only they can confirm you're on the correct code. Remember to have your NI no. to hand if youÂ &lt;a href=&quot;https://www.gov.uk/government/organisations/hm-revenue-customs/contact/income-tax-enquiries-for-individuals-pensioners-and-employees&quot;&gt;contact them&lt;/a&gt;. If HMRC tell you they'll update your tax code, they'll also notify us and we'll process the change in line with our &lt;a href=&quot;https://nbsuk.sharepoint.com/sites/INTRA-Salary/SitePages/Payroll-and-payment-of-salary.aspx&quot;&gt;payroll cut-offs.&lt;/a&gt; If you're a new starter and you're on an emergency tax code (referred to as code X) this is because HMRC apply this to new starters whose P45 / New Starter Declaration wasn't submitted to us before ourÂ &lt;a href=&quot;https://nbsuk.sharepoint.com/sites/INTRA-Salary/SitePages/Payroll-and-payment-of-salary.aspx&quot;&gt;payroll cut-off&lt;/a&gt;. Those submitted after cut off will be processed the following month."/>
        <s v="Adoption non placement_x000a_SPEC 40.1 Adoption Non Placement Letter Private and Confidential (Name)_x000a_Open Link: https://dnn.fa.em2.oraclecloud.com:443/utility/resources/fusion/content/draft/DD73455A259A41D39A1A4F383A3613E3/A835C64B0F1C4538B8DEA9EBBCD129AD/SPEC%2040.1%20-%2006%20June%202023.doc_x000a__x000a_Adoption Leave Screen Content Intelligent Advisor_x000a_Adoption Leave Screen Content Intelligent Advisor_x000a_Open Link: https://dnn.fa.em2.oraclecloud.com/fscmUI/faces/deeplink?objType=CSO_ARTICLE_CONTENT_HCM&amp;objKey=docId%3DHRIA1%3Blocale%3Den_US&amp;action=EDIT_IN_TAB_x000a__x000a_PeopleCloud â€“ Maternity &amp; Adoption Leave Keying Guide 1 5 November 2022_x000a_PeopleCloud Maternity &amp; Adoption Leaving Keying Guide PeopleCloud â€“ Maternity &amp; Adoption Leave Keying Guide 1 5 November 2022_x000a_Open Link: https://dnn.fa.em2.oraclecloud.com:443/utility/resources/fusion/content/draft/48BBEEE8C3E647BB94BD58E71B463954/4261BEB42CD6462D9B0EC3519FAA3955/PeopleCloud%20Maternity%20Adoption%20Leave%20Keying%20Guide%20-%2015%20November%202022.pdf_x000a__x000a_SPEC 40.1 Adoption Non Placement Letter_x000a_SPEC 40.1 Adoption Non Placement Letter_x000a_Open Link: https://dnn.fa.em2.oraclecloud.com/fscmUI/faces/deeplink?objType=CSO_ARTICLE_CONTENT_HCM&amp;objKey=docId%3DHRMLE276%3Blocale%3Den_US&amp;action=EDIT_IN_TAB"/>
        <s v="Let me know if there's something else I can help you with. Otherwise, have a great day!"/>
        <s v="Ok. It's sounds like you're asking about a tech product you've recently bought via MyReward. As soon as your order's been approved we'll authorise the courier, Stormfront, to delivery it. They aim to deliver as close to the date of your first salary deduction as possible and they'll contact you to confirm the details. If you've ordered tech products during annual enrolment, please remember there's no guarantee they'll be delivered by Christmas and you can't cancel them if they don't arrive before Christmas. Visit MyReward for further information. Click on 'Our Range of Benefits' &gt; 'Technology' &gt; 'Further Information'."/>
        <s v="I couldn't connect to the application. Please try again in a few moments."/>
        <s v="We've changed the way you contact AskHR, to align with our Society Strategy and drive service excellence. If your query needs input from one of my human team mates pleaseÂ &lt;a href=&quot;https://dnn.fa.em2.oraclecloud.com/fscmUI/faces/deeplink?objType=SVC_SERVICE_REQUEST_HCM&amp;amp;action=CREATE_IN_TAB&amp;amp;objKey=ChannelTypeCd%3DNBS_HRM_ODA&quot;&gt;raise a service request.&lt;/a&gt;Â Or if youÂ already have a service request inÂ progress you canÂ &lt;a href=&quot;https://dnn.fa.em2.oraclecloud.com/fscmUI/faces/deeplink?objType=SVC_SERVICE_REQUEST_HCM&amp;amp;action=EDIT_IN_POPUP&quot;&gt;add a note&lt;/a&gt;. If it's urgent / sensitive tell us in the subject line. Colleagues with no PeopleCloud access can email FTAWaskaquestion@nationwide.co.uk with Fair Treatment at Work, sickness absence or wellbeing queries. And for any other HR topic, itâ€™s AskHR@nationwide.co.uk"/>
        <s v="Sure. You're asking about P45s. I can help. New starters, please send us a copy of your P45 from your previous job as soon as possible to avoid HMRC applying emergency tax to your pay. Here are our &lt;a href=&quot;https://nbsuk.sharepoint.com/sites/INTRA-Salary/SitePages/Payroll-and-payment-of-salary.aspx&quot;&gt;payroll cut-off dates&lt;/a&gt;. Raise a &lt;a href=&quot;https://dnn.fa.em2.oraclecloud.com/fscmUI/faces/deeplink?objType=SVC_SERVICE_REQUEST_HCM&amp;amp;action=CREATE_IN_TAB&amp;amp;objKey=SelfServiceCategory_c%3DNBS_HRM_PAB%3BSelfServiceSubCategory_c%3DNBS_HRM_PAB_AAQ%3BChannelTypeCd%3DNBS_HRM_ODA&quot;&gt;Service Request&lt;/a&gt; and attach a copy of your P45 to the request. If you don't have a P45 please complete the necessary information as part of your onboarding activities. If you're leaving we'll send your P45 to yourÂ &lt;a href=&quot;https://dnn.fa.em2.oraclecloud.com/fscmUI/faces/deeplink?objType=EMP_CONTACT_INFO&amp;amp;action=NONE&quot;&gt;home address&lt;/a&gt;Â after we've processed and paid your final salary payment."/>
        <s v="It sounds like you're asking about the Nationwide Corporate Healthcare Plan. If it's about how to apply for, opt out of, amend or cancel your 'corporate' cover take a look at the &lt;a href=&quot;https://dnn.fa.em2.oraclecloud.com:443/fscmUI/faces/deeplink?objType=CSO_ARTICLE_CONTENT_KM&amp;amp;objKey=docId%3DHRGUI143%3Blocale%3Den_US&amp;amp;action=EDIT_IN_TAB&quot;&gt;Healthcare Guide&lt;/a&gt;. If it's about buying, amending or cancelling non-corporate cover take a look at the &lt;a href=&quot;https://nbsuk.sharepoint.com/sites/INTRA-EmployeeBenefits/SitePages/Voluntary%20benefits.aspx&quot;&gt;Employee Benefits site&lt;/a&gt;. For any queries on eligibility and the scheme itself, including how to claim, you'll find all the information you need in the &lt;a href=&quot;https://dnn.fa.em2.oraclecloud.com:443/fscmUI/faces/deeplink?objType=CSO_ARTICLE_CONTENT_KM&amp;amp;objKey=docId%3DHRPOL28%3Blocale%3Den_US&amp;amp;action=EDIT_IN_TAB&quot;&gt;Healthcare and Protection Benefits Policy&lt;/a&gt;Â and theÂ &lt;a href=&quot;https://nbsuk.sharepoint.com/sites/INTRA-EmployeeBenefits/SitePages/Healthcare.aspx&quot;&gt;Healthcare site&lt;/a&gt;."/>
        <s v="Ok you can do that here.&lt;br /&gt;_x000a_&lt;a href=&quot;https://dnn.fa.em2.oraclecloud.com/fscmUI/faces/deeplink?objType=MY_TEAM&amp;amp;action=NONE&quot;&gt;Manage your direct report's work location / cost code/ dept&lt;/a&gt;. Take a look at the &lt;a href=&quot;https://dnn.fa.em2.oraclecloud.com/fscmUI/faces/deeplink?objType=CSO_ARTICLE_CONTENT_KM&amp;amp;objKey=docId%3DHRGUI56%3Blocale%3Den_US&amp;amp;action=EDIT_IN_TAB&quot;&gt;PeopleCloud Manager Keying Guide&lt;/a&gt; to find out how."/>
        <s v="Here are your first 3 FYIs:_x000a__x000a_1. PeopleCloud Learning - You have recently been assigned learning_x000a__x000a_&lt;a href='https://dnn.fa.em2.oraclecloud.com:443/hcmUI/faces/adf.task-flow?tz=UTC&amp;df=medium&amp;dt=both&amp;tf=short&amp;lg=en&amp;cy=US&amp;bpmWorklistTaskId=87a356c7-a39f-4fab-93eb-264f0b55b091&amp;bpmBrowserWindowStatus=taskFlowReturn&amp;bpmWorklistContext=974bd76e-f7ad-4147-8f92-9bc71fdfc149%3B%3BG%3B%3BEp2c6iQaUZf4kSYJQJ8Yh9NckYNwzcVLxc9KidB2t0toDeDhrJ1Igyk0O9xkfBLEMhfUZwVWLIj7pg7UtauiTf0qlMFqTsYrDoNyPMnM%2BR9XPSD1G6iamJuuv%2Bsv4LwMwszci7mX7iTmTskMJMephyaEup%2BV0z7tmQKlaDgAkrij5vtThUgqX0qTTGuZlWUk&amp;bpmClientType=&amp;sf=alta&amp;_id=HcmEmailNotificationHumantask_TF&amp;_document=WEB-INF%2Foracle%2Fapps%2Fhcm%2Fcommon%2Fcore%2Falerts%2FpublicUi%2Fcomponent%2Fflow%2FHcmEmailNotificationHumantask_TFxml.xml' target='_blank'&gt;View Details&lt;/a&gt;_x000a__x000a__x000a_2. PeopleCloud Learning - You have recently been assigned learning_x000a__x000a_&lt;a href='https://dnn.fa.em2.oraclecloud.com:443/hcmUI/faces/adf.task-flow?tz=UTC&amp;df=medium&amp;dt=both&amp;tf=short&amp;lg=en&amp;cy=US&amp;bpmWorklistTaskId=9871cfa9-fa40-4a41-abf5-6373413cbb8b&amp;bpmBrowserWindowStatus=taskFlowReturn&amp;bpmWorklistContext=974bd76e-f7ad-4147-8f92-9bc71fdfc149%3B%3BG%3B%3BEp2c6iQaUZf4kSYJQJ8Yh9NckYNwzcVLxc9KidB2t0toDeDhrJ1Igyk0O9xkfBLEMhfUZwVWLIj7pg7UtauiTf0qlMFqTsYrDoNyPMnM%2BR9XPSD1G6iamJuuv%2Bsv4LwMwszci7mX7iTmTskMJMephyaEup%2BV0z7tmQKlaDgAkrij5vtThUgqX0qTTGuZlWUk&amp;bpmClientType=&amp;sf=alta&amp;_id=HcmEmailNotificationHumantask_TF&amp;_document=WEB-INF%2Foracle%2Fapps%2Fhcm%2Fcommon%2Fcore%2Falerts%2FpublicUi%2Fcomponent%2Fflow%2FHcmEmailNotificationHumantask_TFxml.xml' target='_blank'&gt;View Details&lt;/a&gt;_x000a__x000a__x000a_3. PeopleCloud Learning - You have recently been assigned learning_x000a__x000a_&lt;a href='https://dnn.fa.em2.oraclecloud.com:443/hcmUI/faces/adf.task-flow?tz=UTC&amp;df=medium&amp;dt=both&amp;tf=short&amp;lg=en&amp;cy=US&amp;bpmWorklistTaskId=67958d97-741d-47ee-8c51-4b5a24a2b18b&amp;bpmBrowserWindowStatus=taskFlowReturn&amp;bpmWorklistContext=974bd76e-f7ad-4147-8f92-9bc71fdfc149%3B%3BG%3B%3BEp2c6iQaUZf4kSYJQJ8Yh9NckYNwzcVLxc9KidB2t0toDeDhrJ1Igyk0O9xkfBLEMhfUZwVWLIj7pg7UtauiTf0qlMFqTsYrDoNyPMnM%2BR9XPSD1G6iamJuuv%2Bsv4LwMwszci7mX7iTmTskMJMephyaEup%2BV0z7tmQKlaDgAkrij5vtThUgqX0qTTGuZlWUk&amp;bpmClientType=&amp;sf=alta&amp;_id=HcmEmailNotificationHumantask_TF&amp;_document=WEB-INF%2Foracle%2Fapps%2Fhcm%2Fcommon%2Fcore%2Falerts%2FpublicUi%2Fcomponent%2Fflow%2FHcmEmailNotificationHumantask_TFxml.xml' target='_blank'&gt;View Details&lt;/a&gt;"/>
        <s v="If you need to change a team member's leaving date for any reason please &lt;a href=&quot;https://dnn.fa.em2.oraclecloud.com/fscmUI/faces/deeplink?objType=SVC_SERVICE_REQUEST_HCM&amp;amp;action=CREATE_IN_TAB&amp;amp;objKey=SelfServiceCategory_c%3DNBS_HRM_LEAVERS%3BSelfServiceSubCategory_c%3DNBS_HRM_LEAVERS_AAQ%3BChannelTypeCd%3DNBS_HRM_ODA&quot;&gt;raise a service request&lt;/a&gt;, making sure to tell us their name and their correct leaving date. If a team member wants to take holiday / extra holiday before they leave and you've already approved their resignation please &lt;a href=&quot;https://dnn.fa.em2.oraclecloud.com/fscmUI/faces/deeplink?objType=SVC_SERVICE_REQUEST_HCM&amp;amp;action=CREATE_IN_TAB&amp;amp;objKey=SelfServiceCategory_c%3DNBS_HRM_MMDS%3BSelfServiceSubCategory_c%3DNBS_HRM_MMDS_AAQ%3BChannelTypeCd%3DNBS_HRM_ODA&quot;&gt;raise a service request&lt;/a&gt;, making sure to tell us their name, holiday start and end dates and their new leaving date (if this has changed). If they haven't yet submitted their resignation request they can submit it after you've approved their new holiday request."/>
        <s v="Sure. Your final pay is calculated by taking into account factors like your leaving date (how many days you were employed for in the month you left), your holiday entitlement and any employee loans and MyReward benefits you may have. There's MyReward guidanceÂ &lt;a href=&quot;https://nbsuk.sharepoint.com/sites/INTRA-EmployeeBenefits/SitePages/Q-and-As.aspx&quot;&gt;here&lt;/a&gt;, andÂ you can useÂ the &lt;a href=&quot;https://dnn.fa.em2.oraclecloud.com:443/fscmUI/faces/deeplink?objType=CSO_ARTICLE_CONTENT_KM&amp;amp;objKey=docId%3DHRIA7%3Blocale%3Den_US&amp;amp;action=EDIT_IN_TAB&quot;&gt;Holiday Entitlement Calculator&lt;/a&gt;Â toÂ find out what your annual holiday entitlement will be when you leave. You'll be paid for any annual holiday you haven't used and if you've taken more holiday than you're entitled to it'll be deducted from your final pay."/>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JACQUELINE.GOUGH@NATIONWIDE.CO.UK%22%2c+env%3a+%22https://dnn.fa.em2.oraclecloud.com%22%7d&amp;opauniqueuser=JACQUELINE.GOUGH@NATIONWIDE.CO.UK_x000a_Job Security and Redundancy Policy: https://dnn.fa.em2.oraclecloud.com:443/fscmUI/faces/deeplink?objType=CSO_ARTICLE_CONTENT_KM&amp;objKey=docId%3DHRPOL17%3Blocale%3Den_US&amp;action=EDIT_IN_TAB"/>
        <s v="It sounds like you're asking to see theÂ &lt;a href=&quot;https://dnn.fa.em2.oraclecloud.com:443/fscmUI/faces/deeplink?objType=CSO_ARTICLE_CONTENT_KM&amp;amp;objKey=docId%3DHRGUI46%3Blocale%3Den_US&amp;amp;action=EDIT_IN_TAB&quot;&gt;PeopleCloud Troubleshooting Tips and Workarounds Guide&lt;/a&gt;. If you need to report a new issue, pleaseÂ &lt;a href=&quot;https://dnn.fa.em2.oraclecloud.com/fscmUI/faces/deeplink?objType=SVC_SERVICE_REQUEST_HCM&amp;amp;action=CREATE_IN_TAB&amp;amp;objKey=ChannelTypeCd%3DNBS_HRM_ODA&quot;&gt;raise a service request&lt;/a&gt;."/>
        <s v="Iâ€™m sorry I havenâ€™t been able to help on this occasion. Most people find the guidance they need here:Â &lt;br /&gt;_x000a_&lt;a href=&quot;https://dnn.fa.em2.oraclecloud.com/fscmUI/faces/deeplink?objType=CSO_ARTICLE_CONTENT_KM&amp;amp;objKey=docId%3DHRGUI46%3Blocale%3Den_US&amp;amp;action=EDIT_IN_TAB&quot;&gt;Troubleshooting Tips and Workarounds&lt;/a&gt;&lt;br /&gt;_x000a_&lt;a href=&quot;https://dnn.fa.em2.oraclecloud.com/fscmUI/faces/deeplink?objType=CSO_ARTICLE_CONTENT_KM&amp;amp;objKey=docId%3DHRGUI10%3Blocale%3Den_US&amp;amp;action=EDIT_IN_TAB&quot;&gt;PeopleCloud User Guides&lt;/a&gt;Â &lt;br /&gt;_x000a_&lt;a href=&quot;https://dnn.fa.em2.oraclecloud.com/fscmUI/faces/deeplink?objType=CSO_ARTICLE_CONTENT_KM&amp;amp;objKey=docId%3DHRPOL79%3Blocale%3Den_US&amp;amp;action=EDIT_IN_TAB&quot;&gt;HR Policy Point&lt;/a&gt;&lt;br /&gt;_x000a_&lt;a href=&quot;https://dnn.fa.em2.oraclecloud.com/fscmUI/faces/deeplink?objType=CSO_ARTICLE_CONTENT_KM&amp;amp;objKey=docId%3DHRFOR29%3Blocale%3Den_US&amp;amp;action=EDIT_IN_TAB&quot;&gt;HR Forms&lt;/a&gt;&lt;br /&gt;_x000a_If you need further support you canÂ &lt;a href=&quot;https://dnn.fa.em2.oraclecloud.com/fscmUI/faces/deeplink?objType=SVC_SERVICE_REQUEST_HCM&amp;amp;action=CREATE_IN_TAB&amp;amp;objKey=ChannelTypeCd%3DNBS_HRM_ODA&quot;&gt;raise a service request&lt;/a&gt;, or if you alreadyÂ have a service request in progress youÂ can &lt;a href=&quot;https://dnn.fa.em2.oraclecloud.com/fscmUI/faces/deeplink?objType=SVC_SERVICE_REQUEST_HCM&amp;amp;action=EDIT_IN_POPUP&quot;&gt;add a note&lt;/a&gt;."/>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paulina.szkurlat@nationwide.co.uk%22%2c+env%3a+%22https://dnn.fa.em2.oraclecloud.com%22%7d&amp;opauniqueuser=paulina.szkurlat@nationwide.co.uk"/>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paulina.szkurlat@nationwide.co.uk%22%2c+env%3a+%22https://dnn.fa.em2.oraclecloud.com%22%7d&amp;opauniqueuser=paulina.szkurlat@nationwide.co.uk_x000a_Job Security and Redundancy Policy: https://dnn.fa.em2.oraclecloud.com:443/fscmUI/faces/deeplink?objType=CSO_ARTICLE_CONTENT_KM&amp;objKey=docId%3DHRPOL17%3Blocale%3Den_US&amp;action=EDIT_IN_TAB"/>
        <s v="Your current pay rate is -------GBP  annually. Your last approved adjustment was an increase of &lt;b&gt;0.4&lt;/b&gt;% (----GBP) effective on April 02, 2023."/>
        <s v="&lt;a href='https://dnn.fa.em2.oraclecloud.com/hcmUI/content/conn/FusionAppsContentRepository/uuid/dDocID:8732318?download&amp;XFND_SCHEME_ID=1&amp;XFND_CERT_FP=E7A6669B1744C0DE0883C285E2A79DD364729D79&amp;XFND_RANDOM=-1044685495409375203&amp;XFND_EXPIRES=1692254645922&amp;XFND_SIGNATURE=BAkzMCE0p2DD1vqCcVCZvS6GOrM~8tUpTr0j3XCRTX2LRqWDeZjnaiyFH3yZzttAMwNonmCDFX1dLjn8ZtWT3DKsW2nW6Xmbm8ufF9I3-1rivquIhqKECUxAVtkJEYYXYelBK3FdPjRw2S-RaytsuAowc8-fV6y9eoCJRlNXOJg_&amp;Id=8732318' &gt;View your payslip&lt;/a&gt;"/>
        <s v="OK. Go here to &lt;a href=&quot;https://dnn.fa.em2.oraclecloud.com/hcmUI/faces/deeplink?objType=MGR_CHANGE_SALARY&quot;&gt;start a salary change&lt;/a&gt; for one of your employees._x000a__x000a_Only use this option if you're recording an In Year Salary Award. To see step by step guidance on how to initiate an In Year Salary Award, or change a direct report's salary as part of a promotion or transfer, just tell me something like 'Where are the user guides?'."/>
        <s v="&lt;a href='https://dnn.fa.em2.oraclecloud.com/hcmUI/content/conn/FusionAppsContentRepository/uuid/dDocID:8744754?download&amp;XFND_SCHEME_ID=1&amp;XFND_CERT_FP=E7A6669B1744C0DE0883C285E2A79DD364729D79&amp;XFND_RANDOM=-8121043753117156020&amp;XFND_EXPIRES=1692259945376&amp;XFND_SIGNATURE=c-ieGgri4nqRsrL3toxykhJWmVAuSr~CzDPXhLZhgP6oCSl8eG8eqWWpZw5XJ6SfMxoTG61B0Vv9s-2xnuWj0WRQIoW-NHe6KT8HwvjPBuhWUu68HodDShk58JTVmIDS9dNRhPdFk5~fSXz0bq6AH9TuVsqkhqB3FX2B4yqFLjA_&amp;Id=8744754' &gt;View your payslip&lt;/a&gt;"/>
        <s v="Here's your absence balance as of 17/03/2023._x000a__x000a_&lt;b&gt;48 hrs 45 mins&lt;/b&gt; of Holiday _x000a_&lt;b&gt;0 hrs&lt;/b&gt; of Recognising Loyalty _x000a_&lt;b&gt;0 hrs&lt;/b&gt; of Work Anniversary _x000a_&lt;b&gt;0 hrs&lt;/b&gt; of MyReward _x000a_&lt;b&gt;-19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Ok. It sounds like you're asking about something on your payslip. I can help with that. If it's about understanding your payslip, take a look at the &lt;a href=&quot;https://dnn.fa.em2.oraclecloud.com/fscmUI/faces/deeplink?objType=CSO_ARTICLE_CONTENT_KM&amp;amp;objKey=docId%3DHRGUI60%3Blocale%3Den_US&amp;amp;action=EDIT_IN_TAB&quot;&gt;Payslip Guide&lt;/a&gt;. You may also find it useful to look at the &lt;a href=&quot;https://dnn.fa.em2.oraclecloud.com:443/fscmUI/faces/deeplink?objType=CSO_ARTICLE_CONTENT_KM&amp;amp;objKey=docId%3DHRGUI134%3Blocale%3Den_US&amp;amp;action=EDIT_IN_TAB&quot;&gt;Holiday Pay Supplement Guide&lt;/a&gt;. If you're looking to opt out of NWDD GPP SMART Employees Contributions (these are payments into the Group Personal Pension) take a look at the guidance on the &lt;a href=&quot;https://nbsuk.sharepoint.com/sites/INTRA-Pensions&quot;&gt;Pensions site&lt;/a&gt;.Â If you still have a question, please raise a &lt;a href=&quot;https://dnn.fa.em2.oraclecloud.com/fscmUI/faces/deeplink?objType=SVC_SERVICE_REQUEST_HCM&amp;amp;action=CREATE_IN_TAB&amp;amp;objKey=SelfServiceCategory_c%3DNBS_HRM_PAB%3BSelfServiceSubCategory_c%3DNBS_HRM_PAB_AAQ%3BChannelTypeCd%3DNBS_HRM_ODA&quot;&gt;Service Request&lt;/a&gt;."/>
        <s v="Here's your absence balance as of 17/03/2023._x000a__x000a_&lt;b&gt;65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clare.collister@nationwide.co.uk%22%2c+env%3a+%22https://dnn.fa.em2.oraclecloud.com%22%7d&amp;opauniqueuser=clare.collister@nationwide.co.uk"/>
        <s v="Ok. It sounds like your asking for help with Learning. If you're trying to access your Learning via a Mac make sure to use the links in this &lt;a href=&quot;https://nbsuk.sharepoint.com/sites/INTRA-EssentialLearning/Shared%20Documents/Forms/AllItems.aspx?id=%2Fsites%2FINTRA%2DEssentialLearning%2FShared%20Documents%2FMac%20User%20Essential%20Learning%20Links%20v1%2E3%2Epdf&amp;amp;parent=%2Fsites%2FINTRA%2DEssentialLearning%2FShared%20Documents&quot;&gt;guide&lt;/a&gt;Â via the Safari browser. If the learning keeps freezing, a video within the learning won't play or you've completed some learning and it's not showing as complete (even when you've clicked on Save &amp; Close), please &lt;a href=&quot;https://dnn.fa.em2.oraclecloud.com/fscmUI/faces/deeplink?objType=SVC_SERVICE_REQUEST_HCM&amp;amp;action=CREATE_IN_TAB&amp;amp;objKey=SelfServiceCategory_c%3DNBS_HRM_MMDS%3BSelfServiceSubCategory_c%3DNBS_HRM_MMDS_AAQ%3BChannelTypeCd%3DNBS_HRM_ODA&quot;&gt;raise a service request&lt;/a&gt;Â making sure to tell us the name of the module you're in and the issues you're experiencing.Â If you can attach screen shots of the issue that will be very helpful. If you can't see the navigation buttons please check the zoom setting on your browser is 75% or less."/>
        <s v="&lt;a href='https://dnn.fa.em2.oraclecloud.com/hcmUI/content/conn/FusionAppsContentRepository/uuid/dDocID:8739453?download&amp;XFND_SCHEME_ID=1&amp;XFND_CERT_FP=E7A6669B1744C0DE0883C285E2A79DD364729D79&amp;XFND_RANDOM=-6346939137123226836&amp;XFND_EXPIRES=1692263471507&amp;XFND_SIGNATURE=UlX4jluLy7JTTwnnUyfuRdrj43vj56iUh7PMibbzgYPRVmw0wF8Zk5zfTYFiZU6mB~aqFT3S4zQO6QicGUUX373JN05M4JcE85R0yMFR6oTUnuISZBsbyrMSH3RYO8dJu2PeJUysrF9WvuMim2-5qyNxYH6~cS7H35CghE~pEWk_&amp;Id=8739453' &gt;View your payslip&lt;/a&gt;"/>
        <s v="You can't access another worker's absence information."/>
        <s v="Here's your absence balance as of 17/03/2023._x000a__x000a_&lt;b&gt;81 hrs 15 mins&lt;/b&gt; of Holiday _x000a_&lt;b&gt;0 hrs&lt;/b&gt; of Recognising Loyalty _x000a_&lt;b&gt;0 hrs&lt;/b&gt; of Work Anniversary _x000a_&lt;b&gt;0 hrs&lt;/b&gt; of MyReward _x000a_&lt;b&gt;5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r current pay rate is -------GBP  annually. Your last approved adjustment was an increase of &lt;b&gt;11.4&lt;/b&gt;% (----GBP) effective on July 03, 2023."/>
        <s v="You'll find your tax code on your &lt;a href=&quot;https://dnn.fa.em2.oraclecloud.com/fscmUI/faces/deeplink?objType=VIEW_RES_PAY_SLIP&amp;amp;action=NONE&quot;&gt;payslip&lt;/a&gt;."/>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Rachel.Sykes@nationwide.co.uk%22%2c+env%3a+%22https://dnn.fa.em2.oraclecloud.com%22%7d&amp;opauniqueuser=Rachel.Sykes@nationwide.co.uk"/>
        <s v="&lt;a href='https://dnn.fa.em2.oraclecloud.com/hcmUI/content/conn/FusionAppsContentRepository/uuid/dDocID:8747923?download&amp;XFND_SCHEME_ID=1&amp;XFND_CERT_FP=E7A6669B1744C0DE0883C285E2A79DD364729D79&amp;XFND_RANDOM=-7239921336051361569&amp;XFND_EXPIRES=1692266768727&amp;XFND_SIGNATURE=qRIVw5zl8ZgVrTvQ6tzQsCnVMmMwI~FEbDtskCWm17mcUFwOFNl1vEC~AIHclUR4HfuWpZZ3sxxmuC~FLZBdqkfUj-2OPlLvB7DQLm0a-lfDDXQGZWFqgK~sY85TxlFxpgqqEEGSofXTsqF8NOYVFZfaCYA~ScVNOKBhZ7qQy3Q_&amp;Id=8747923' &gt;View your payslip&lt;/a&gt;"/>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KATHLEEN.HATCHELL@NATIONWIDE.CO.UK%22%2c+env%3a+%22https://dnn.fa.em2.oraclecloud.com%22%7d&amp;opauniqueuser=KATHLEEN.HATCHELL@NATIONWIDE.CO.UK"/>
        <s v="Here's your absence balance as of 17/03/2023._x000a__x000a_&lt;b&gt;67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tst1.custhelp.com/web-determinations/startsession/NBS_Maternity?seedData=%7bname%3a+%22rabia.hans@nationwide.co.uk%22%2c+env%3a+%22https://dnn.fa.em2.oraclecloud.com%22%7d&amp;opauniqueuser=rabia.hans@nationwide.co.uk"/>
        <s v="&lt;a href='https://dnn.fa.em2.oraclecloud.com/hcmUI/content/conn/FusionAppsContentRepository/uuid/dDocID:8735784?download&amp;XFND_SCHEME_ID=1&amp;XFND_CERT_FP=E7A6669B1744C0DE0883C285E2A79DD364729D79&amp;XFND_RANDOM=8074588350817597194&amp;XFND_EXPIRES=1692272491727&amp;XFND_SIGNATURE=cHRTZ8MUUXaQGvgDHOpkwQC2gAH3~l9jFJ38lUf1sAyDWQlCfwtXjhM-kGJdlyBS2AKINN5dtFxayXGtgXLUYT0KHiv6okrCU1M3En10fKuzb-gIK8HqxgWTkFAezt5UIxeVDZDCHTcP92F6acpKI4PzkY-4UKRzXtMD84QxRms_&amp;Id=8735784' &gt;View your payslip&lt;/a&gt;"/>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Jodie.Doyle@nationwide.co.uk%22%2c+env%3a+%22https://dnn.fa.em2.oraclecloud.com%22%7d&amp;opauniqueuser=Jodie.Doyle@nationwide.co.uk"/>
        <s v="Sure. It sounds like you're looking for guidance on performance, goals and ratings. There's detailed informationÂ &lt;a href=&quot;https://nbsuk.sharepoint.com/sites/INTRA-EnablingPerformance&quot;&gt;here&lt;/a&gt;,Â including what happens with &lt;a href=&quot;https://nbsuk.sharepoint.com/sites/INTRA-EnablingPerformance/SitePages/Ratings-Indicators-&amp;amp;-Special-Circumstances.aspx&quot;&gt;performance ratings in special circumstances&lt;/a&gt;, &lt;a href=&quot;https://nbsuk.sharepoint.com/sites/INTRA-EnablingPerformance/SitePages/Improving-performance.aspx&quot;&gt;managing under-performance&lt;/a&gt; and &lt;a href=&quot;https://nbsuk.sharepoint.com/sites/INTRA-EnablingPerformance/SitePages/FAQs.aspx&quot;&gt;useful FAQs&lt;/a&gt;. If it's how to guides you need, you'll find the Performance Reflections Guide &lt;a href=&quot;https://dnn.fa.em2.oraclecloud.com:443/fscmUI/faces/deeplink?objType=CSO_ARTICLE_CONTENT_KM&amp;amp;objKey=docId%3DHRGUI188%3Blocale%3Den_US&amp;amp;action=EDIT_IN_TAB&quot;&gt;here&lt;/a&gt;Â and the Performance Goals Guide &lt;a href=&quot;https://dnn.fa.em2.oraclecloud.com:443/fscmUI/faces/deeplink?objType=CSO_ARTICLE_CONTENT_KM&amp;amp;objKey=docId%3DHRGUI6%3Blocale%3Den_US&amp;amp;action=EDIT_IN_TAB&quot;&gt;here&lt;/a&gt;."/>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JAMES.LEY@NATIONWIDE.CO.UK%22%2c+env%3a+%22https://dnn.fa.em2.oraclecloud.com%22%7d&amp;opauniqueuser=JAMES.LEY@NATIONWIDE.CO.UK_x000a_Job Security and Redundancy Policy: https://dnn.fa.em2.oraclecloud.com:443/fscmUI/faces/deeplink?objType=CSO_ARTICLE_CONTENT_KM&amp;objKey=docId%3DHRPOL17%3Blocale%3Den_US&amp;action=EDIT_IN_TAB"/>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Jennifer.Seconde@nationwide.co.uk%22%2c+env%3a+%22https://dnn.fa.em2.oraclecloud.com%22%7d&amp;opauniqueuser=Jennifer.Seconde@nationwide.co.uk"/>
        <s v="Here are your first 3 FYIs:_x000a__x000a_1. PeopleCloud Learning - You have recently been assigned learning_x000a__x000a_&lt;a href='https://dnn.fa.em2.oraclecloud.com:443/hcmUI/faces/adf.task-flow?tz=UTC&amp;df=medium&amp;dt=both&amp;tf=short&amp;lg=en&amp;cy=US&amp;bpmWorklistTaskId=a930249e-9d4e-4d30-8c52-f478275ed18f&amp;bpmBrowserWindowStatus=taskFlowReturn&amp;bpmWorklistContext=95afb211-3d96-4a4e-9b9d-1c467f853364%3B%3BG%3B%3BT9t27Gg95EKB0R3n55DHdhz5zz%2FvmUrWAUx7ntmho862Oxlp1THnLbcjTzNjPsQdS9%2F9F6Km5u%2B%2FRDGRTXO7eWI8ik8mRPUKinOBvakrmrPO4Su%2F8iy4L%2FMomE9AAQvnCn9aEsTT23U8wp13PrWBNtMCJ%2BAKXvKeuHhjgQ1izPxRa3S7sGJbUDTaMq7MWlZW&amp;bpmClientType=&amp;sf=alta&amp;_id=HcmEmailNotificationHumantask_TF&amp;_document=WEB-INF%2Foracle%2Fapps%2Fhcm%2Fcommon%2Fcore%2Falerts%2FpublicUi%2Fcomponent%2Fflow%2FHcmEmailNotificationHumantask_TFxml.xml' target='_blank'&gt;View Details&lt;/a&gt;_x000a__x000a__x000a_2. PeopleCloud Learning - You have recently been assigned learning_x000a__x000a_&lt;a href='https://dnn.fa.em2.oraclecloud.com:443/hcmUI/faces/adf.task-flow?tz=UTC&amp;df=medium&amp;dt=both&amp;tf=short&amp;lg=en&amp;cy=US&amp;bpmWorklistTaskId=49c5d807-191d-4bb2-bfea-a921f6683b24&amp;bpmBrowserWindowStatus=taskFlowReturn&amp;bpmWorklistContext=95afb211-3d96-4a4e-9b9d-1c467f853364%3B%3BG%3B%3BT9t27Gg95EKB0R3n55DHdhz5zz%2FvmUrWAUx7ntmho862Oxlp1THnLbcjTzNjPsQdS9%2F9F6Km5u%2B%2FRDGRTXO7eWI8ik8mRPUKinOBvakrmrPO4Su%2F8iy4L%2FMomE9AAQvnCn9aEsTT23U8wp13PrWBNtMCJ%2BAKXvKeuHhjgQ1izPxRa3S7sGJbUDTaMq7MWlZW&amp;bpmClientType=&amp;sf=alta&amp;_id=HcmEmailNotificationHumantask_TF&amp;_document=WEB-INF%2Foracle%2Fapps%2Fhcm%2Fcommon%2Fcore%2Falerts%2FpublicUi%2Fcomponent%2Fflow%2FHcmEmailNotificationHumantask_TFxml.xml' target='_blank'&gt;View Details&lt;/a&gt;_x000a__x000a__x000a_3. PeopleCloud Learning - You have recently been assigned learning_x000a__x000a_&lt;a href='https://dnn.fa.em2.oraclecloud.com:443/hcmUI/faces/adf.task-flow?tz=UTC&amp;df=medium&amp;dt=both&amp;tf=short&amp;lg=en&amp;cy=US&amp;bpmWorklistTaskId=1770d761-48fa-4899-9e98-0efcfce00f86&amp;bpmBrowserWindowStatus=taskFlowReturn&amp;bpmWorklistContext=95afb211-3d96-4a4e-9b9d-1c467f853364%3B%3BG%3B%3BT9t27Gg95EKB0R3n55DHdhz5zz%2FvmUrWAUx7ntmho862Oxlp1THnLbcjTzNjPsQdS9%2F9F6Km5u%2B%2FRDGRTXO7eWI8ik8mRPUKinOBvakrmrPO4Su%2F8iy4L%2FMomE9AAQvnCn9aEsTT23U8wp13PrWBNtMCJ%2BAKXvKeuHhjgQ1izPxRa3S7sGJbUDTaMq7MWlZW&amp;bpmClientType=&amp;sf=alta&amp;_id=HcmEmailNotificationHumantask_TF&amp;_document=WEB-INF%2Foracle%2Fapps%2Fhcm%2Fcommon%2Fcore%2Falerts%2FpublicUi%2Fcomponent%2Fflow%2FHcmEmailNotificationHumantask_TFxml.xml' target='_blank'&gt;View Details&lt;/a&gt;"/>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nathan.whiting@nationwide.co.uk%22%2c+env%3a+%22https://dnn.fa.em2.oraclecloud.com%22%7d&amp;opauniqueuser=nathan.whiting@nationwide.co.uk_x000a_Job Security and Redundancy Policy: https://dnn.fa.em2.oraclecloud.com:443/fscmUI/faces/deeplink?objType=CSO_ARTICLE_CONTENT_KM&amp;objKey=docId%3DHRPOL17%3Blocale%3Den_US&amp;action=EDIT_IN_TAB"/>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JANE.STRATFORD@NATIONWIDE.CO.UK%22%2c+env%3a+%22https://dnn.fa.em2.oraclecloud.com%22%7d&amp;opauniqueuser=JANE.STRATFORD@NATIONWIDE.CO.UK_x000a_Job Security and Redundancy Policy: https://dnn.fa.em2.oraclecloud.com:443/fscmUI/faces/deeplink?objType=CSO_ARTICLE_CONTENT_KM&amp;objKey=docId%3DHRPOL17%3Blocale%3Den_US&amp;action=EDIT_IN_TAB"/>
        <s v="&lt;p&gt;If you were eligible for the &lt;a href=&quot;https://nbsuk.sharepoint.com/sites/INTRA-News/SitePages/Nationwide%E2%80%99s-proposed-pay-package-for-2023-24.aspx&quot;&gt;2023 Annual Pay Review&lt;/a&gt; your new salary details became available on PeopleCloud on 1 April 2023. Your annual pay rise is based on your pre-pay review salary which you'll find by clicking the 'Show Prior Salary' link on your &lt;a href=&quot;https://dnn.fa.em2.oraclecloud.com/fscmUI/faces/deeplink?objType=PERSON_SPOTLIGHT_CMP&amp;amp;action=NONE&quot;&gt;My Compensation&lt;/a&gt; page.&lt;/p&gt;"/>
        <s v="Sure. You can change their working hours here. If they're increasing / decreasing the number of hours they work per week, make sure you've submitted a Flexible Working Confirmation Form to HR before you make any changes here._x000a_&lt;a href='https://dnn.fa.em2.oraclecloud.com/hcmUI/faces/deeplink?objType=MY_TEAM' &gt;Change your direct report's work schedule&lt;/a&gt;_x000a__x000a_There's additional guidance &lt;a href=&quot;https://dnn.fa.em2.oraclecloud.com/fscmUI/faces/deeplink?objType=CSO_ARTICLE_CONTENT_KM&amp;objKey=docId%3DHRGUI56%3Blocale%3Den_US&amp;action=EDIT_IN_TAB&quot;&gt;here&lt;/a&gt;. The policy and guidance are &lt;a href=&quot;https://dnn.fa.em2.oraclecloud.com:443/fscmUI/faces/deeplink?objType=CSO_ARTICLE_CONTENT_KM&amp;objKey=docId%3DHRPOL13%3Blocale%3Den_US&amp;action=EDIT_IN_TAB&quot;&gt;here&lt;/a&gt;."/>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Lisa.Davies@nationwide.co.uk%22%2c+env%3a+%22https://dnn.fa.em2.oraclecloud.com%22%7d&amp;opauniqueuser=Lisa.Davies@nationwide.co.uk"/>
        <s v="Sure. I think this is what you want._x000a_&lt;a href='https://dnn.fa.em2.oraclecloud.com/hcmUI/faces/deeplink?objType=EMP_FAMILY_AND_EMGNC_CONTACTS&amp;action=NONE' &gt;View and update your emergency contacts&lt;/a&gt;"/>
        <s v="&lt;a href='https://dnn.fa.em2.oraclecloud.com/hcmUI/content/conn/FusionAppsContentRepository/uuid/dDocID:8736097?download&amp;XFND_SCHEME_ID=1&amp;XFND_CERT_FP=E7A6669B1744C0DE0883C285E2A79DD364729D79&amp;XFND_RANDOM=-4344612067461607616&amp;XFND_EXPIRES=1692282617042&amp;XFND_SIGNATURE=Sw9njVllCYNaCbp05UKi4tyxLcaFksdDVVkObzqCQ3qpMAleYv-V3C4-l1t68vZ9756IiAu7Ln9PeL9dzDfkFgGdoWqmHEIEASEiWHQiTv1EqfWE1v7NfjgG-iEz3DzzeAf6Hk0LbeT3AtwRUi68knJ4BCgFwsbRRV3RKwGvhGU_&amp;Id=8736097' &gt;View your payslip&lt;/a&gt;"/>
        <s v="Here's your absence balance as of 17/03/2023._x000a__x000a_&lt;b&gt;166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31/12/2023._x000a__x000a_&lt;b&gt;166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Sure.Â &lt;a href=&quot;https://nbsuk.sharepoint.com/sites/INTRA-Salary/SitePages/Payroll-and-payment-of-salary.aspx&quot;&gt;Here&lt;/a&gt; are the payroll, overtime and HR cut-offs for this year. Overtime claims approved after the cut off will be paid the following month. You don't need to resubmit these claims. New starter P45s / declarations submitted after the cut off will be processed the following month."/>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tst1.custhelp.com/web-determinations/startsession/NBS_Maternity?seedData=%7bname%3a+%22REBECCA.WILLIAMS@NATIONWIDE.CO.UK%22%2c+env%3a+%22https://dnn.fa.em2.oraclecloud.com%22%7d&amp;opauniqueuser=REBECCA.WILLIAMS@NATIONWIDE.CO.UK"/>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tst1.custhelp.com/web-determinations/startsession/NBS_Maternity?seedData=%7bname%3a+%22Peiling.Sung@nationwide.co.uk%22%2c+env%3a+%22https://dnn.fa.em2.oraclecloud.com%22%7d&amp;opauniqueuser=Peiling.Sung@nationwide.co.uk"/>
        <s v="Here's your absence balance as of 13/03/2023._x000a__x000a_&lt;b&gt;126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ve taken the following time off in the last twelve months._x000a__x000a_&lt;b&gt;35 hrs&lt;/b&gt; of &lt;b&gt;Other Paid Absence&lt;/b&gt; from Aug 7th to Aug 11th_x000a_&lt;b&gt;14 hrs&lt;/b&gt; of &lt;b&gt;Holiday&lt;/b&gt; from Jul 14th to Jul 17th_x000a_&lt;b&gt;14 hrs&lt;/b&gt; of &lt;b&gt;Holiday&lt;/b&gt; from Jul 7th to Jul 10th_x000a_&lt;b&gt;7 hrs&lt;/b&gt; of &lt;b&gt;Holiday&lt;/b&gt; on Jun 30th_x000a_&lt;b&gt;7 hrs&lt;/b&gt; of &lt;b&gt;Holiday&lt;/b&gt; on May 30th_x000a_&lt;b&gt;70 hrs&lt;/b&gt; of &lt;b&gt;Holiday&lt;/b&gt; from Apr 11th to Apr 24th_x000a_&lt;b&gt;7 hrs&lt;/b&gt; of &lt;b&gt;Holiday&lt;/b&gt; on Mar 31st_x000a_&lt;b&gt;7 hrs&lt;/b&gt; of &lt;b&gt;Holiday&lt;/b&gt; on Jan 3rd_x000a_&lt;b&gt;7 hrs&lt;/b&gt; of &lt;b&gt;Holiday&lt;/b&gt; on Dec 28th_x000a_&lt;b&gt;7 hrs&lt;/b&gt; of &lt;b&gt;Holiday&lt;/b&gt; on Dec 5th_x000a_&lt;b&gt;35 hrs&lt;/b&gt; of &lt;b&gt;Holiday&lt;/b&gt; from Oct 31st to Nov 4th_x000a_&lt;b&gt;35 hrs&lt;/b&gt; of &lt;b&gt;Holiday&lt;/b&gt; from Sep 12th to Sep 16th_x000a_&lt;b&gt;7 hrs&lt;/b&gt; of &lt;b&gt;Holiday&lt;/b&gt; on Sep 2nd_x000a_&lt;b&gt;7 hrs&lt;/b&gt; of &lt;b&gt;Holiday&lt;/b&gt; on Aug 30th_x000a__x000a_Schedule time off: https://dnn.fa.em2.oraclecloud.com/hcmUI/faces/deeplink?objType=ADD_ABSENCE&amp;action=NONE_x000a_View future absences_x000a_View absences for a specific duration_x000a_View absence balance (excl. sickness balance)"/>
        <s v="&lt;a href='https://dnn.fa.em2.oraclecloud.com/hcmUI/content/conn/FusionAppsContentRepository/uuid/dDocID:8731310?download&amp;XFND_SCHEME_ID=1&amp;XFND_CERT_FP=E7A6669B1744C0DE0883C285E2A79DD364729D79&amp;XFND_RANDOM=-659656481260760247&amp;XFND_EXPIRES=1692343262037&amp;XFND_SIGNATURE=P5MtZF4btRK-HcX5UnfX7SjjGnmf6GLbfO2XR~9Kvwo51S44fx4kCuM~9iNnnHTCW1yWh61ptxtXiwTnpDV8GCvrNH024onDdOUT1QYXvOV9XX0CaMDQ5xDauVEzIHg038FuU0CANL1YHj5Ed1OlGtHDhCKyZ-~oWIfeRFPc0o0_&amp;Id=8731310' &gt;View your payslip&lt;/a&gt;"/>
        <s v="Here's your absence balance as of 13/03/2023._x000a__x000a_&lt;b&gt;124 hrs 1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Shared Parental Leave_x000a__x000a_To find out more please have a look at the Shared Parental Leave Policy. You may also find it helpful to use the Shared Parental Leave and Pay Questionnaire which will estimate your leave and pay values based on the information you enter into it._x000a_Shared Parental Leave Policy: https://dnn.fa.em2.oraclecloud.com:443/fscmUI/faces/deeplink?objType=CSO_ARTICLE_CONTENT_KM&amp;objKey=docId%3DHRPOL12%3Blocale%3Den_US&amp;action=EDIT_IN_TAB_x000a_Shared Parental Leave and Pay Questionnaire: https://nbs-opa--tst1.custhelp.com/web-determinations/startsession/NBS_SharedLeave?seedData=%7bname%3a+%22KATE.CURTIS@NATIONWIDE.CO.UK%22%2c+env%3a+%22https://dnn.fa.em2.oraclecloud.com%22%7d&amp;opauniqueuser=KATE.CURTIS@NATIONWIDE.CO.UK"/>
        <s v="Sure. Here's how you can do it._x000a_&lt;a href='https://dnn.fa.em2.oraclecloud.com/hcmUI/faces/deeplink?objType=EMPLOYMENT_INFO&amp;action=NONE'&gt;View reports start dates&lt;/a&gt;"/>
        <s v="Here's your absence balance as of 13/03/2023._x000a__x000a_&lt;b&gt;113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31/12/2023._x000a__x000a_&lt;b&gt;15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GEORGINA.FENN@NATIONWIDE.CO.UK%22%2c+env%3a+%22https://dnn.fa.em2.oraclecloud.com%22%7d&amp;opauniqueuser=GEORGINA.FENN@NATIONWIDE.CO.UK"/>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tst1.custhelp.com/web-determinations/startsession/NBS_Maternity?seedData=%7bname%3a+%22SIMON.WILLMOT@NATIONWIDE.CO.UK%22%2c+env%3a+%22https://dnn.fa.em2.oraclecloud.com%22%7d&amp;opauniqueuser=SIMON.WILLMOT@NATIONWIDE.CO.UK"/>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tst1.custhelp.com/web-determinations/startsession/NBS_Maternity?seedData=%7bname%3a+%22TRACEY.BUTLER2@NATIONWIDE.CO.UK%22%2c+env%3a+%22https://dnn.fa.em2.oraclecloud.com%22%7d&amp;opauniqueuser=TRACEY.BUTLER2@NATIONWIDE.CO.UK"/>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JULY.FOSTER@NATIONWIDE.CO.UK%22%2c+env%3a+%22https://dnn.fa.em2.oraclecloud.com%22%7d&amp;opauniqueuser=JULY.FOSTER@NATIONWIDE.CO.UK_x000a_Job Security and Redundancy Policy: https://dnn.fa.em2.oraclecloud.com:443/fscmUI/faces/deeplink?objType=CSO_ARTICLE_CONTENT_KM&amp;objKey=docId%3DHRPOL17%3Blocale%3Den_US&amp;action=EDIT_IN_TAB"/>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Diane.Jones@nationwide.co.uk%22%2c+env%3a+%22https://dnn.fa.em2.oraclecloud.com%22%7d&amp;opauniqueuser=Diane.Jones@nationwide.co.uk_x000a_Job Security and Redundancy Policy: https://dnn.fa.em2.oraclecloud.com:443/fscmUI/faces/deeplink?objType=CSO_ARTICLE_CONTENT_KM&amp;objKey=docId%3DHRPOL17%3Blocale%3Den_US&amp;action=EDIT_IN_TAB"/>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tst1.custhelp.com/web-determinations/startsession/NBS_Maternity?seedData=%7bname%3a+%22martina.halagova@nationwide.co.uk%22%2c+env%3a+%22https://dnn.fa.em2.oraclecloud.com%22%7d&amp;opauniqueuser=martina.halagova@nationwide.co.uk"/>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JENNY.CLARK@NATIONWIDE.CO.UK%22%2c+env%3a+%22https://dnn.fa.em2.oraclecloud.com%22%7d&amp;opauniqueuser=JENNY.CLARK@NATIONWIDE.CO.UK"/>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Jaime.Ross@nationwide.co.uk%22%2c+env%3a+%22https://dnn.fa.em2.oraclecloud.com%22%7d&amp;opauniqueuser=Jaime.Ross@nationwide.co.uk"/>
        <s v="You've taken the following time off in the last twelve months._x000a__x000a_&lt;b&gt;91 hrs&lt;/b&gt; of &lt;b&gt;Holiday&lt;/b&gt; from Jul 12th to Jul 28th_x000a_&lt;b&gt;28 hrs&lt;/b&gt; of &lt;b&gt;Holiday&lt;/b&gt; from May 2nd to May 5th_x000a_&lt;b&gt;14 hrs&lt;/b&gt; of &lt;b&gt;Holiday&lt;/b&gt; from Mar 30th to Mar 31st_x000a_&lt;b&gt;21 hrs&lt;/b&gt; of &lt;b&gt;Holiday&lt;/b&gt; from Jan 20th to Jan 24th_x000a_&lt;b&gt;7 hrs&lt;/b&gt; of &lt;b&gt;Holiday&lt;/b&gt; on Dec 23rd_x000a_&lt;b&gt;5 hrs&lt;/b&gt; of &lt;b&gt;Holiday&lt;/b&gt; on Dec 22nd_x000a_&lt;b&gt;42 hrs&lt;/b&gt; of &lt;b&gt;Holiday&lt;/b&gt; from Sep 19th to Sep 27th_x000a_&lt;b&gt;7 hrs&lt;/b&gt; of &lt;b&gt;Holiday&lt;/b&gt; on Sep 16th_x000a_&lt;b&gt;3 hrs 30 mins&lt;/b&gt; of &lt;b&gt;Holiday&lt;/b&gt; on Sep 9th_x000a_&lt;b&gt;7 hrs&lt;/b&gt; of &lt;b&gt;Holiday&lt;/b&gt; on Aug 25th_x000a__x000a_Schedule time off: https://dnn.fa.em2.oraclecloud.com/hcmUI/faces/deeplink?objType=ADD_ABSENCE&amp;action=NONE_x000a_View future absences_x000a_View absences for a specific duration_x000a_View absence balance (excl. sickness balance)"/>
        <s v="&lt;a href='https://dnn.fa.em2.oraclecloud.com/hcmUI/content/conn/FusionAppsContentRepository/uuid/dDocID:8742451?download&amp;XFND_SCHEME_ID=1&amp;XFND_CERT_FP=E7A6669B1744C0DE0883C285E2A79DD364729D79&amp;XFND_RANDOM=-469641056686167124&amp;XFND_EXPIRES=1692366394883&amp;XFND_SIGNATURE=OC~JfddQFQJ2029GzT7y9J5zJzJRqKv8poyNCl2gJELjE~tYQ1hrQ4V-YbsymnuWUUK3RyNJsPxsiAkFMRG0Ej80QWBetU4gutirA3n9NVHTZeIiylcwX6L1pNnCFO0pDX8L-CDb3kHJEOy7q1MM8krN-0h6TQsy5Rh-rq8IAt0_&amp;Id=8742451' &gt;View your payslip&lt;/a&gt;"/>
        <s v="Adoption Leave_x000a_To find out more please have a look at the Adoption Leave Policy. _x000a__x000a_You may also find it helpful to use the Adoption Pay &amp; Leave Questionnaire which will estimate your leave and pay values based on the information you enter into it._x000a_Adoption Leave Policy: https://dnn.fa.em2.oraclecloud.com:443/fscmUI/faces/deeplink?objType=CSO_ARTICLE_CONTENT_KM&amp;objKey=docId%3DHRPOL12%3Blocale%3Den_US&amp;action=EDIT_IN_TAB_x000a_Adoption Pay &amp; Leave Questionnaire: https://nbs-opa--tst1.custhelp.com/web-determinations/startsession/NBS_Adoption?seedData=%7bname%3a+%22Peiling.Sung@nationwide.co.uk%22%2c+env%3a+%22https://dnn.fa.em2.oraclecloud.com%22%7d&amp;opauniqueuser=Peiling.Sung@nationwide.co.uk"/>
        <s v="You have 14 submissions pending approval:"/>
        <s v="Here are your first 3 requests:_x000a__x000a_1. Personal Contribution Approval Requested for Shirley Foxall (032850) on 2023-08-18 by Shirley Foxall_x000a_Assigned on August 18th 2023_x000a__x000a_2. Personal Contribution Approval Requested for Shirley Foxall (032850) on 2023-08-18 by Shirley Foxall_x000a_Assigned on August 18th 2023_x000a__x000a_3. Personal Contribution Approval Requested for Shirley Foxall (032850) on 2023-07-24 by Shirley Foxall_x000a_Completed on July 31st 2023_x000a__x000a_Next 3"/>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tst1.custhelp.com/web-determinations/startsession/NBS_Maternity?seedData=%7bname%3a+%22liam.wells@nationwide.co.uk%22%2c+env%3a+%22https://dnn.fa.em2.oraclecloud.com%22%7d&amp;opauniqueuser=liam.wells@nationwide.co.uk"/>
        <s v="Shared Parental Leave_x000a__x000a_To find out more please have a look at the Shared Parental Leave Policy. You may also find it helpful to use the Shared Parental Leave and Pay Questionnaire which will estimate your leave and pay values based on the information you enter into it._x000a_Shared Parental Leave Policy: https://dnn.fa.em2.oraclecloud.com:443/fscmUI/faces/deeplink?objType=CSO_ARTICLE_CONTENT_KM&amp;objKey=docId%3DHRPOL12%3Blocale%3Den_US&amp;action=EDIT_IN_TAB_x000a_Shared Parental Leave and Pay Questionnaire: https://nbs-opa--tst1.custhelp.com/web-determinations/startsession/NBS_SharedLeave?seedData=%7bname%3a+%22liam.wells@nationwide.co.uk%22%2c+env%3a+%22https://dnn.fa.em2.oraclecloud.com%22%7d&amp;opauniqueuser=liam.wells@nationwide.co.uk"/>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DAVID.CANTWELL@NATIONWIDE.CO.UK%22%2c+env%3a+%22https://dnn.fa.em2.oraclecloud.com%22%7d&amp;opauniqueuser=DAVID.CANTWELL@NATIONWIDE.CO.UK_x000a_Job Security and Redundancy Policy: https://dnn.fa.em2.oraclecloud.com:443/fscmUI/faces/deeplink?objType=CSO_ARTICLE_CONTENT_KM&amp;objKey=docId%3DHRPOL17%3Blocale%3Den_US&amp;action=EDIT_IN_TAB"/>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JACQUELINE.GOUGH@NATIONWIDE.CO.UK%22%2c+env%3a+%22https://dnn.fa.em2.oraclecloud.com%22%7d&amp;opauniqueuser=JACQUELINE.GOUGH@NATIONWIDE.CO.UK"/>
        <s v="You've taken the following time off in the last twelve months._x000a__x000a_&lt;b&gt;3 hrs 30 mins&lt;/b&gt; of &lt;b&gt;Holiday&lt;/b&gt; on Aug 7th_x000a_&lt;b&gt;3 hrs 30 mins&lt;/b&gt; of &lt;b&gt;Holiday&lt;/b&gt; on Jul 31st_x000a_&lt;b&gt;28 hrs&lt;/b&gt; of &lt;b&gt;Holiday&lt;/b&gt; from Jul 17th to Jul 20th_x000a_&lt;b&gt;28 hrs&lt;/b&gt; of &lt;b&gt;Holiday&lt;/b&gt; from May 8th to May 12th_x000a_&lt;b&gt;14 hrs&lt;/b&gt; of &lt;b&gt;Holiday&lt;/b&gt; from Apr 3rd to Apr 4th_x000a_&lt;b&gt;3 hrs 50 mins&lt;/b&gt; of &lt;b&gt;Family Support Leave&lt;/b&gt; on Mar 30th_x000a_&lt;b&gt;3 hrs&lt;/b&gt; of &lt;b&gt;Holiday&lt;/b&gt; on Mar 3rd_x000a_&lt;b&gt;7 hrs&lt;/b&gt; of &lt;b&gt;Holiday&lt;/b&gt; on Feb 14th_x000a_&lt;b&gt;3 hrs 50 mins&lt;/b&gt; of &lt;b&gt;Family Support Leave&lt;/b&gt; on Jan 31st_x000a_&lt;b&gt;7 hrs&lt;/b&gt; of &lt;b&gt;Holiday&lt;/b&gt; on Dec 28th_x000a_&lt;b&gt;7 hrs&lt;/b&gt; of &lt;b&gt;Holiday&lt;/b&gt; on Dec 20th_x000a_&lt;b&gt;35 hrs&lt;/b&gt; of &lt;b&gt;Holiday&lt;/b&gt; from Oct 24th to Oct 28th_x000a_&lt;b&gt;35 hrs&lt;/b&gt; of &lt;b&gt;Holiday&lt;/b&gt; from Oct 3rd to Oct 7th_x000a_&lt;b&gt;28 calendar days&lt;/b&gt; of &lt;b&gt;Paternity Leave - Childbirth&lt;/b&gt; from Sep 5th to Oct 2nd_x000a_&lt;b&gt;14 hrs&lt;/b&gt; of &lt;b&gt;Holiday&lt;/b&gt; from Sep 1st to Sep 2nd_x000a_&lt;b&gt;14 hrs&lt;/b&gt; of &lt;b&gt;Holiday&lt;/b&gt; from Aug 22nd to Aug 23rd_x000a__x000a_Schedule time off: https://dnn.fa.em2.oraclecloud.com/hcmUI/faces/deeplink?objType=ADD_ABSENCE&amp;action=NONE_x000a_View future absences_x000a_View absences for a specific duration_x000a_View absence balance (excl. sickness balance)"/>
        <s v="You have 1 active assignment._x000a__x000a_&lt;b&gt;FC Team Manager (Lead)&lt;/b&gt;, E078689._x000a_You report to Alex Kershaw in this assignment._x000a__x000a_Need to see a co-worker's assignment? Try something like 'Show me John Smith's assignment'."/>
        <s v="You have no pending approval requests and 10 FYIs."/>
        <s v="Here are your first 3 FYIs:_x000a__x000a_1. PeopleCloud Learning - You have recently been assigned learning_x000a__x000a_&lt;a href='https://dnn.fa.em2.oraclecloud.com:443/hcmUI/faces/adf.task-flow?tz=UTC&amp;df=medium&amp;dt=both&amp;tf=short&amp;lg=en&amp;cy=US&amp;bpmWorklistTaskId=ba46bed1-c0cc-40f6-80c8-bb1cb001ca96&amp;bpmBrowserWindowStatus=taskFlowReturn&amp;bpmWorklistContext=77108ee6-d971-41c5-b871-7513314f5c00%3B%3BG%3B%3Bo6UiaxfT51UxIJ%2FWG3QvyNSfoNKP6JwWpVFSl6sZlTY0KSeQK6AU9ov5JE2je67pUCk6cyJuHG2cRGiJkAcoGRkjWs0RzQaDpuzzPbuIAeEGu5EA6YLQ7IReQtKIY9Zl77koXoLsElAXuyyYN%2FU3GdrnO9O8nfR%2F4ItGX5TBilAPM9Eimxvln4eyDKATHrel&amp;bpmClientType=&amp;sf=alta&amp;_id=HcmEmailNotificationHumantask_TF&amp;_document=WEB-INF%2Foracle%2Fapps%2Fhcm%2Fcommon%2Fcore%2Falerts%2FpublicUi%2Fcomponent%2Fflow%2FHcmEmailNotificationHumantask_TFxml.xml' target='_blank'&gt;View Details&lt;/a&gt;_x000a__x000a__x000a_2. PeopleCloud Learning - You have recently been assigned learning_x000a__x000a_&lt;a href='https://dnn.fa.em2.oraclecloud.com:443/hcmUI/faces/adf.task-flow?tz=UTC&amp;df=medium&amp;dt=both&amp;tf=short&amp;lg=en&amp;cy=US&amp;bpmWorklistTaskId=5c985eaf-6931-4da9-9869-e1b11028422f&amp;bpmBrowserWindowStatus=taskFlowReturn&amp;bpmWorklistContext=77108ee6-d971-41c5-b871-7513314f5c00%3B%3BG%3B%3Bo6UiaxfT51UxIJ%2FWG3QvyNSfoNKP6JwWpVFSl6sZlTY0KSeQK6AU9ov5JE2je67pUCk6cyJuHG2cRGiJkAcoGRkjWs0RzQaDpuzzPbuIAeEGu5EA6YLQ7IReQtKIY9Zl77koXoLsElAXuyyYN%2FU3GdrnO9O8nfR%2F4ItGX5TBilAPM9Eimxvln4eyDKATHrel&amp;bpmClientType=&amp;sf=alta&amp;_id=HcmEmailNotificationHumantask_TF&amp;_document=WEB-INF%2Foracle%2Fapps%2Fhcm%2Fcommon%2Fcore%2Falerts%2FpublicUi%2Fcomponent%2Fflow%2FHcmEmailNotificationHumantask_TFxml.xml' target='_blank'&gt;View Details&lt;/a&gt;_x000a__x000a__x000a_3. PeopleCloud Learning - You have recently been assigned learning_x000a__x000a_&lt;a href='https://dnn.fa.em2.oraclecloud.com:443/hcmUI/faces/adf.task-flow?tz=UTC&amp;df=medium&amp;dt=both&amp;tf=short&amp;lg=en&amp;cy=US&amp;bpmWorklistTaskId=18e9c68a-e89f-499c-ae5b-1bbfaa67f995&amp;bpmBrowserWindowStatus=taskFlowReturn&amp;bpmWorklistContext=77108ee6-d971-41c5-b871-7513314f5c00%3B%3BG%3B%3Bo6UiaxfT51UxIJ%2FWG3QvyNSfoNKP6JwWpVFSl6sZlTY0KSeQK6AU9ov5JE2je67pUCk6cyJuHG2cRGiJkAcoGRkjWs0RzQaDpuzzPbuIAeEGu5EA6YLQ7IReQtKIY9Zl77koXoLsElAXuyyYN%2FU3GdrnO9O8nfR%2F4ItGX5TBilAPM9Eimxvln4eyDKATHrel&amp;bpmClientType=&amp;sf=alta&amp;_id=HcmEmailNotificationHumantask_TF&amp;_document=WEB-INF%2Foracle%2Fapps%2Fhcm%2Fcommon%2Fcore%2Falerts%2FpublicUi%2Fcomponent%2Fflow%2FHcmEmailNotificationHumantask_TFxml.xml' target='_blank'&gt;View Details&lt;/a&gt;"/>
        <s v="Here's your absence balance as of 19/03/2023._x000a__x000a_&lt;b&gt;0 hrs&lt;/b&gt; of MyReward _x000a_&lt;b&gt;72 hrs 30 mins&lt;/b&gt; of Holiday _x000a_&lt;b&gt;0 hrs&lt;/b&gt; of Recognising Loyalty _x000a_&lt;b&gt;0 hrs&lt;/b&gt; of Work Anniversary _x000a_&lt;b&gt;22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haven't scheduled time off this year. _x000a__x000a_To see your end of year Holiday Balance, select 'View balance as of another date' below and input '31/12/23' when prompted_x000a__x000a_Schedule time off: https://dnn.fa.em2.oraclecloud.com/hcmUI/faces/deeplink?objType=ADD_ABSENCE&amp;action=NONE_x000a_View absence balance (excl. sickness balance)"/>
        <s v="Here's your absence balance as of 19/03/2023._x000a__x000a_&lt;b&gt;0 hrs&lt;/b&gt; of MyReward _x000a_&lt;b&gt;72 hrs 30 mins&lt;/b&gt; of Holiday _x000a_&lt;b&gt;0 hrs&lt;/b&gt; of Recognising Loyalty _x000a_&lt;b&gt;0 hrs&lt;/b&gt; of Work Anniversary _x000a_&lt;b&gt;22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s v="&lt;a href='https://dnn.fa.em2.oraclecloud.com/hcmUI/content/conn/FusionAppsContentRepository/uuid/dDocID:8742591?download&amp;XFND_SCHEME_ID=1&amp;XFND_CERT_FP=E7A6669B1744C0DE0883C285E2A79DD364729D79&amp;XFND_RANDOM=-488665319140775911&amp;XFND_EXPIRES=1692602198994&amp;XFND_SIGNATURE=F4Gaat1PG27ueKGsul37fYXjYmNJ5vYx2r8uf4OKxuYVx3JnUgAgQJxgBxBma3kpoPXR8pkdmEAFIR4Srr4xmKARzxuEH8Vj5FMvVqmeESJP8tRfKjQ27SVpsk2Ijp1i5XocKxloaX8Mcw6FRohDBsM3r808EeXUsUB5JqpyI~Q_&amp;Id=8742591' &gt;View your payslip&lt;/a&gt;"/>
        <s v="&lt;a href='https://dnn.fa.em2.oraclecloud.com/hcmUI/content/conn/FusionAppsContentRepository/uuid/dDocID:8742591?download&amp;XFND_SCHEME_ID=1&amp;XFND_CERT_FP=E7A6669B1744C0DE0883C285E2A79DD364729D79&amp;XFND_RANDOM=5426318640976414086&amp;XFND_EXPIRES=1692602225028&amp;XFND_SIGNATURE=nVu7cF7UNdE4iCb5-9HKasmxAXbE0VtL1X~~orx2PLUvDLNtws1IFJ3mkgGLjSVY9Zll3Q4PZSAkj7JaIZHtf4cMwl19q6UseliCVHCzqEa71gGi9Yjx8oFkjqP6p85azdXppiqmOVOtxnap1ArPAbL8GLvY3NV4uPpn7dNN9Vw_&amp;Id=8742591' &gt;View your payslip&lt;/a&gt;"/>
        <s v="&lt;a href='https://dnn.fa.em2.oraclecloud.com/hcmUI/content/conn/FusionAppsContentRepository/uuid/dDocID:8740697?download&amp;XFND_SCHEME_ID=1&amp;XFND_CERT_FP=E7A6669B1744C0DE0883C285E2A79DD364729D79&amp;XFND_RANDOM=-3695375510931974528&amp;XFND_EXPIRES=1692603139947&amp;XFND_SIGNATURE=bJnMm92Pkmd8iaZhBwwxj7NXinE64RccfjhNTdqjaVmQ4nxbSypGBfg8mSH2NR5L5OfIrZk9pFk-De0n9IMOwJ502NC50SFP-SYAzY7-BJI5ILx4K~RXPH0OIoSTptGDzYy6vpasNknt5uBNEIgesqVLi8--jL03ftXfzveSXZI_&amp;Id=8740697' &gt;View your payslip&lt;/a&gt;"/>
        <s v="To work out your hourly and daily rates of pay you need to divide your &lt;a href=&quot;https://dnn.fa.em2.oraclecloud.com/fscmUI/faces/deeplink?objType=PERSON_SPOTLIGHT_CMP&amp;amp;action=NONE&quot;&gt;current annual salary&lt;/a&gt; by 52 to get your weekly rate. Then, divide your weekly rate by the no. of hours you're contracted to work per week (if you're on an annualised, condensed or term-time contract, use the average no. of hours you're contracted to work per week throughout the year). This gives you your hourly rate.Â To get your daily rate multiply your hourly rate by the (average) no. of hours you're contracted to work in a day."/>
        <s v="Here's your absence balance as of 21/03/2023._x000a__x000a_&lt;b&gt;0 hrs&lt;/b&gt; of MyReward _x000a_&lt;b&gt;84 hrs&lt;/b&gt; of Holiday _x000a_&lt;b&gt;0 hrs&lt;/b&gt; of Recognising Loyalty _x000a_&lt;b&gt;7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Sorry, you can't update your work email. Only Logical Access can do this. If you've recently updated your name or preferred name in PeopleCloud, Logical Access will email you in the next few days to ask if you'd like to update your work email to match your new name details._x000a__x000a_Your work email is &lt;a href='mailto:claire.sherry@nationwide.co.uk'&gt;claire.sherry@nationwide.co.uk&lt;/a&gt;._x000a__x000a_&lt;a href=&quot;https://dnn.fa.em2.oraclecloud.com/hcmUI/faces/deeplink?objType=EMP_CONTACT_INFO&amp;action=NONE&quot;&gt;View additional contact information&lt;/a&gt; including your phone, email, home address and other communication methods."/>
        <s v="Here's your absence balance as of 21/03/2023._x000a__x000a_&lt;b&gt;57 hrs 15 mins&lt;/b&gt; of Holiday _x000a_&lt;b&gt;210 hrs&lt;/b&gt; of Sabbatical Leave _x000a_&lt;b&gt;0 hrs&lt;/b&gt; of Recognising Loyalty _x000a_&lt;b&gt;7 hrs&lt;/b&gt; of Work Anniversary _x000a_&lt;b&gt;0 hrs&lt;/b&gt; of MyReward _x000a_&lt;b&gt;-6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r work number is +44 3305519012._x000a__x000a_&lt;a href=&quot;https://dnn.fa.em2.oraclecloud.com/hcmUI/faces/deeplink?objType=EMP_CONTACT_INFO&amp;action=NONE&quot;&gt;View and update your home and work phone numbers&lt;/a&gt;._x000a__x000a_View your profile in &lt;a href=&quot;https://dnn.fa.em2.oraclecloud.com/fscmUI/faces/deeplink?objType=DIRECTORY_SEARCH&amp;action=NONE&quot;&gt;Directory&lt;/a&gt;."/>
        <s v="&lt;a href='https://dnn.fa.em2.oraclecloud.com/hcmUI/content/conn/FusionAppsContentRepository/uuid/dDocID:8743299?download&amp;XFND_SCHEME_ID=1&amp;XFND_CERT_FP=E7A6669B1744C0DE0883C285E2A79DD364729D79&amp;XFND_RANDOM=626043225245332924&amp;XFND_EXPIRES=1692610826906&amp;XFND_SIGNATURE=rh5LEnRlit3FWBxPGIlvPXbD~2rjEsdKZrUNFxiid~Mtf7Tpj8UE-TNXSbKqFyGRJj~AiHg8I0ZqkxMMgWYQKlEvdiKEk6cr-4kQpuF~iWlfLb17NY-5R2-BKMGg5i-C~tGLdEg-p62H-wGQK4C74Qk8UR1BwvsZiabpRBJmVFA_&amp;Id=8743299' &gt;View your payslip&lt;/a&gt;"/>
        <s v="&lt;a href='https://dnn.fa.em2.oraclecloud.com/hcmUI/content/conn/FusionAppsContentRepository/uuid/dDocID:8731412?download&amp;XFND_SCHEME_ID=1&amp;XFND_CERT_FP=E7A6669B1744C0DE0883C285E2A79DD364729D79&amp;XFND_RANDOM=-4031793917510535548&amp;XFND_EXPIRES=1692611777021&amp;XFND_SIGNATURE=erVpCY-90WOj9S-HUQGVhuKySJLfqWzF-b6W~PtFrQ1Ofsf78sbb5swQRQGYnBcukI3SZfb1XjlMI59fNzjpS-0ZRfiYoXx4LP~nG8IATb1dQD3GGZjhxJnDig3QP6fvvSFHK8NkrZyn~Cn2-KQHExFa3UbPBwWPZuUtQCSmM9g_&amp;Id=8731412' &gt;View your payslip&lt;/a&gt;"/>
        <s v="Your work email is &lt;a href='mailto:Akembila.Mbela@nationwide.co.uk'&gt;Akembila.Mbela@nationwide.co.uk&lt;/a&gt;._x000a__x000a_&lt;a href=&quot;https://dnn.fa.em2.oraclecloud.com/hcmUI/faces/deeplink?objType=EMP_CONTACT_INFO&amp;action=NONE&quot;&gt;View additional contact information&lt;/a&gt; including your phone, email, home address and other communication methods._x000a__x000a_Need to see a co-workers work email address? Try something like 'Show me John Smith's email'."/>
        <s v="&lt;a href='https://dnn.fa.em2.oraclecloud.com/hcmUI/content/conn/FusionAppsContentRepository/uuid/dDocID:8735709?download&amp;XFND_SCHEME_ID=1&amp;XFND_CERT_FP=E7A6669B1744C0DE0883C285E2A79DD364729D79&amp;XFND_RANDOM=5713481167854258921&amp;XFND_EXPIRES=1692612413944&amp;XFND_SIGNATURE=TNNkG1yU7oh9z4rr4bRS-YsDb5XqBGJR-x1v~QhxNiUccJW-o4bH01ViNB~~SxsFOMAo2FXfPJNXxjxUij3p6T9j~9uGpt0eFt3o~-Eho5N~f~iouEXPhUh3e7zW5U25w3KOE3aI7pTdE1GWh09noki0udOI24cre8Tju-fM~N4_&amp;Id=8735709' &gt;View your payslip&lt;/a&gt;"/>
        <s v="&lt;a href='https://dnn.fa.em2.oraclecloud.com/hcmUI/content/conn/FusionAppsContentRepository/uuid/dDocID:8731412?download&amp;XFND_SCHEME_ID=1&amp;XFND_CERT_FP=E7A6669B1744C0DE0883C285E2A79DD364729D79&amp;XFND_RANDOM=7510536466360819900&amp;XFND_EXPIRES=1692612760187&amp;XFND_SIGNATURE=BjgDklVZzdiqGKZGJ0yBDXZnhNVAHq5F-6ZIv5sR8q5GeSMIJeToVsQO87TeIV1ZVhyrUKxMEZmgVx46aQefdqBhpvelgC7lmN6RcXHMaqDyKeHtzNKGCw056UnSGc~7RyfQJADuNrWOklw~rLjwF2xSE~~yVzoie~GXeu5XALI_&amp;Id=8731412' &gt;View your payslip&lt;/a&gt;"/>
        <s v="Here's your absence balance as of 31/12/2024._x000a__x000a_&lt;b&gt;0 hrs&lt;/b&gt; of MyReward _x000a_&lt;b&gt;74 hrs 15 mins&lt;/b&gt; of Holiday _x000a_&lt;b&gt;0 hrs&lt;/b&gt; of Recognising Loyalty _x000a_&lt;b&gt;0 hrs&lt;/b&gt; of Work Anniversary _x000a_&lt;b&gt;-12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tst1.custhelp.com/web-determinations/startsession/NBS_Maternity?seedData=%7bname%3a+%22Abigail.Marley@nationwide.co.uk%22%2c+env%3a+%22https://dnn.fa.em2.oraclecloud.com%22%7d&amp;opauniqueuser=Abigail.Marley@nationwide.co.uk"/>
        <s v="Here's your absence balance as of 21/03/2023._x000a__x000a_&lt;b&gt;206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21/03/2023._x000a__x000a_&lt;b&gt;127 hrs 30 mins&lt;/b&gt; of Holiday _x000a_&lt;b&gt;0 hrs&lt;/b&gt; of Sabbatical Leave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31/12/2023._x000a__x000a_&lt;b&gt;89 hrs&lt;/b&gt; of Holiday _x000a_&lt;b&gt;0 hrs&lt;/b&gt; of Sabbatical Leave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llo, April. To search by a question or phrase, you can say 'search'. If you already know the doc ID or the title of the article you are looking for, you can say, 'find HFAQ3' or 'find &quot;article title&quot;', for example. For more instruction, say help."/>
        <s v="Here's your absence balance as of 21/03/2023._x000a__x000a_&lt;b&gt;89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PeopleCloud â€“ Manager Keying Guide - 17 August 2023_x000a_Withdrawn absences canâ€™t be edited, but you can edit and delete absences with other statuses using the Pencil icon. You can record a new absence for them directly from this screen by clicking the +Add button or you can follow the guidance below._x000a_Open Link: https://dnn.fa.em2.oraclecloud.com:443/utility/resources/fusion/content/draft/86C0060A6214483880E583501DF7F33A/C9B8A8D1DBDE41429CDB2E14C0278C1D/PeopleCloud%20Manager%20Keying%20Guide%20%20-%2017%20August%202023.pdf_x000a__x000a_PeopleCloud Recertification Manager Guide - 14 August 2023_x000a_When you select the Submit button, a warning message will appear as shown below. This is your last chance to make any changes before you submit your response._x000a_Open Link: https://dnn.fa.em2.oraclecloud.com:443/utility/resources/fusion/content/draft/9C6534A45B784DBBAA196DC83723ED27/07177F9A6C62415DBAACE7CFAC10E5C1/PeopleCloud%20Recertification%20Manager%20Guide%20-%2014%20August%202023.pdf_x000a__x000a_PeopleCloud â€“ Sickness Absence Recording Manager Guide 28 July 2023_x000a_Go to My Team, Show More, Existing Absences, pick employee, select appropriate absence with Pen Icon and press Delete button at the top. The sickness absence will then show as Withdrawn._x000a_Open Link: https://dnn.fa.em2.oraclecloud.com:443/utility/resources/fusion/content/draft/F5A69A9BA56240288DD9C5CCCC5EB4F3/1812B5F0BA75403E82679B273D412C83/PeopleCloud%20-%20Sickness%20Absence%20Recording%20Manager%20Guide%20-%2028%20July%202023.pdf_x000a__x000a_PeopleCloud Guide - Development Goals - Creating development goals_x000a_You can expand this section by clicking this arrow and adding a career statement. You can click on the â€˜Addâ€™ button to add a development goal. Creating development goals_x000a_Open Link: https://dnn.fa.em2.oraclecloud.com:443/utility/resources/fusion/content/draft/0877CDA1EED74BDA8977A8D48861D5C1/0FBC944FCB674053ACBBA2ABCC645E42/PeopleCloud%20Development%20Goals%20Guide.pdf"/>
        <s v="Here's your absence balance as of 21/03/2023._x000a__x000a_&lt;b&gt;0 hrs&lt;/b&gt; of MyReward _x000a_&lt;b&gt;0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31/12/2023._x000a__x000a_&lt;b&gt;0 hrs&lt;/b&gt; of MyReward _x000a_&lt;b&gt;0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21/03/2023._x000a__x000a_&lt;b&gt;20 hrs&lt;/b&gt; of MyReward _x000a_&lt;b&gt;106 hrs 58 mins&lt;/b&gt; of Holiday _x000a_&lt;b&gt;0 hrs&lt;/b&gt; of Recognising Loyalty _x000a_&lt;b&gt;0 hrs&lt;/b&gt; of Work Anniversary _x000a_&lt;b&gt;-8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04/01/2023._x000a__x000a_&lt;b&gt;20 hrs&lt;/b&gt; of MyReward _x000a_&lt;b&gt;106 hrs 58 mins&lt;/b&gt; of Holiday _x000a_&lt;b&gt;0 hrs&lt;/b&gt; of Recognising Loyalty _x000a_&lt;b&gt;0 hrs&lt;/b&gt; of Work Anniversary _x000a_&lt;b&gt;-8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01/01/2023._x000a__x000a_&lt;b&gt;20 hrs&lt;/b&gt; of MyReward _x000a_&lt;b&gt;106 hrs 58 mins&lt;/b&gt; of Holiday _x000a_&lt;b&gt;0 hrs&lt;/b&gt; of Recognising Loyalty _x000a_&lt;b&gt;0 hrs&lt;/b&gt; of Work Anniversary _x000a_&lt;b&gt;-8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lt;p style=&quot;color:#000000;&quot;&gt;Sure. All the holiday requests you've submitted are listed on your &lt;a href=&quot;https://dnn.fa.em2.oraclecloud.com/fscmUI/faces/deeplink?objType=EXISTING_ABSENCES&amp;amp;action=NONE&quot;&gt;Existing Absences page&lt;/a&gt;. Approved requests show a status of Scheduled or Completed, depending on whether they're in the future or in the past. Cancelled requests show as Withdrawn.Â Â &lt;/p&gt;"/>
        <s v="Your work email is &lt;a href='mailto:Jonkheer.deJonge@nationwide.co.uk'&gt;Jonkheer.deJonge@nationwide.co.uk&lt;/a&gt;._x000a__x000a_&lt;a href=&quot;https://dnn.fa.em2.oraclecloud.com/hcmUI/faces/deeplink?objType=EMP_CONTACT_INFO&amp;action=NONE&quot;&gt;View additional contact information&lt;/a&gt; including your phone, email, home address and other communication methods._x000a__x000a_Need to see a co-workers work email address? Try something like 'Show me John Smith's email'."/>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MARK.WILSON@NATIONWIDE.CO.UK%22%2c+env%3a+%22https://dnn.fa.em2.oraclecloud.com%22%7d&amp;opauniqueuser=MARK.WILSON@NATIONWIDE.CO.UK"/>
        <s v="You have no pending approval requests and 16 FYIs."/>
        <s v="Here are your first 3 FYIs:_x000a__x000a_1. PeopleCloud Learning - You have recently been assigned learning_x000a__x000a_&lt;a href='https://dnn.fa.em2.oraclecloud.com:443/hcmUI/faces/adf.task-flow?tz=UTC&amp;df=medium&amp;dt=both&amp;tf=short&amp;lg=en&amp;cy=US&amp;bpmWorklistTaskId=5dc80999-cde8-4b78-96b3-3db18e3df339&amp;bpmBrowserWindowStatus=taskFlowReturn&amp;bpmWorklistContext=2f0ed9a9-a412-4582-be93-9ca20c9a552a%3B%3BG%3B%3BoBCI2wBgnVLrOeBRwv1vmozcx6%2BLwKelQniAGOx7%2FD9%2BZSEvj32m%2BxoxyJWLYDHrc%2Bhl1%2BfwnIczM0%2BTuIO%2F%2FvE2c2ngSUPFfrmTqdvVhXeGeeYo5M0V5w%2BaB10Xj%2FkTxOAgahsHhPR2518GhEZEIU443tSbbRqCeBUWF3HmGzXnGJXEcyLysGwQTyuHzi9J&amp;bpmClientType=&amp;sf=alta&amp;_id=HcmEmailNotificationHumantask_TF&amp;_document=WEB-INF%2Foracle%2Fapps%2Fhcm%2Fcommon%2Fcore%2Falerts%2FpublicUi%2Fcomponent%2Fflow%2FHcmEmailNotificationHumantask_TFxml.xml' target='_blank'&gt;View Details&lt;/a&gt;_x000a__x000a__x000a_2. PeopleCloud Learning - You have recently been assigned learning_x000a__x000a_&lt;a href='https://dnn.fa.em2.oraclecloud.com:443/hcmUI/faces/adf.task-flow?tz=UTC&amp;df=medium&amp;dt=both&amp;tf=short&amp;lg=en&amp;cy=US&amp;bpmWorklistTaskId=09292b54-1066-4600-ba31-e92537bb257e&amp;bpmBrowserWindowStatus=taskFlowReturn&amp;bpmWorklistContext=2f0ed9a9-a412-4582-be93-9ca20c9a552a%3B%3BG%3B%3BoBCI2wBgnVLrOeBRwv1vmozcx6%2BLwKelQniAGOx7%2FD9%2BZSEvj32m%2BxoxyJWLYDHrc%2Bhl1%2BfwnIczM0%2BTuIO%2F%2FvE2c2ngSUPFfrmTqdvVhXeGeeYo5M0V5w%2BaB10Xj%2FkTxOAgahsHhPR2518GhEZEIU443tSbbRqCeBUWF3HmGzXnGJXEcyLysGwQTyuHzi9J&amp;bpmClientType=&amp;sf=alta&amp;_id=HcmEmailNotificationHumantask_TF&amp;_document=WEB-INF%2Foracle%2Fapps%2Fhcm%2Fcommon%2Fcore%2Falerts%2FpublicUi%2Fcomponent%2Fflow%2FHcmEmailNotificationHumantask_TFxml.xml' target='_blank'&gt;View Details&lt;/a&gt;_x000a__x000a__x000a_3. PeopleCloud Learning - You have recently been assigned learning_x000a__x000a_&lt;a href='https://dnn.fa.em2.oraclecloud.com:443/hcmUI/faces/adf.task-flow?tz=UTC&amp;df=medium&amp;dt=both&amp;tf=short&amp;lg=en&amp;cy=US&amp;bpmWorklistTaskId=532f503e-7590-419b-876a-94b541a3ed70&amp;bpmBrowserWindowStatus=taskFlowReturn&amp;bpmWorklistContext=2f0ed9a9-a412-4582-be93-9ca20c9a552a%3B%3BG%3B%3BoBCI2wBgnVLrOeBRwv1vmozcx6%2BLwKelQniAGOx7%2FD9%2BZSEvj32m%2BxoxyJWLYDHrc%2Bhl1%2BfwnIczM0%2BTuIO%2F%2FvE2c2ngSUPFfrmTqdvVhXeGeeYo5M0V5w%2BaB10Xj%2FkTxOAgahsHhPR2518GhEZEIU443tSbbRqCeBUWF3HmGzXnGJXEcyLysGwQTyuHzi9J&amp;bpmClientType=&amp;sf=alta&amp;_id=HcmEmailNotificationHumantask_TF&amp;_document=WEB-INF%2Foracle%2Fapps%2Fhcm%2Fcommon%2Fcore%2Falerts%2FpublicUi%2Fcomponent%2Fflow%2FHcmEmailNotificationHumantask_TFxml.xml' target='_blank'&gt;View Details&lt;/a&gt;"/>
        <s v="Here's your absence balance as of 21/03/2023._x000a__x000a_&lt;b&gt;0 hrs&lt;/b&gt; of MyReward _x000a_&lt;b&gt;144 hrs&lt;/b&gt; of Holiday _x000a_&lt;b&gt;0 hrs&lt;/b&gt; of Recognising Loyalty _x000a_&lt;b&gt;0 hrs&lt;/b&gt; of Work Anniversary _x000a_&lt;b&gt;-8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21/03/2023._x000a__x000a_&lt;b&gt;16 hrs&lt;/b&gt; of MyReward _x000a_&lt;b&gt;78 hrs 45 mins&lt;/b&gt; of Holiday _x000a_&lt;b&gt;0 hrs&lt;/b&gt; of Recognising Loyalty _x000a_&lt;b&gt;0 hrs&lt;/b&gt; of Work Anniversary _x000a_&lt;b&gt;-17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LIZ.JONES@NATIONWIDE.CO.UK%22%2c+env%3a+%22https://dnn.fa.em2.oraclecloud.com%22%7d&amp;opauniqueuser=LIZ.JONES@NATIONWIDE.CO.UK"/>
        <s v="You've taken the following time off in the last twelve months._x000a__x000a_&lt;b&gt;35 hrs&lt;/b&gt; of &lt;b&gt;Holiday&lt;/b&gt; from Jul 3rd to Jul 7th_x000a_&lt;b&gt;35 hrs&lt;/b&gt; of &lt;b&gt;Holiday&lt;/b&gt; from Apr 24th to Apr 28th_x000a_&lt;b&gt;7 hrs&lt;/b&gt; of &lt;b&gt;Holiday&lt;/b&gt; on Dec 30th_x000a_&lt;b&gt;7 hrs&lt;/b&gt; of &lt;b&gt;Holiday&lt;/b&gt; on Dec 28th_x000a_&lt;b&gt;35 hrs&lt;/b&gt; of &lt;b&gt;Holiday&lt;/b&gt; from Dec 19th to Dec 23rd_x000a_&lt;b&gt;7 hrs&lt;/b&gt; of &lt;b&gt;Holiday&lt;/b&gt; on Dec 16th_x000a_&lt;b&gt;35 hrs&lt;/b&gt; of &lt;b&gt;Holiday&lt;/b&gt; from Oct 17th to Oct 21st_x000a_&lt;b&gt;42 hrs&lt;/b&gt; of &lt;b&gt;Holiday&lt;/b&gt; from Oct 7th to Oct 14th_x000a__x000a_Schedule time off: https://dnn.fa.em2.oraclecloud.com/hcmUI/faces/deeplink?objType=ADD_ABSENCE&amp;action=NONE_x000a_View future absences_x000a_View absences for a specific duration_x000a_View absence balance (excl. sickness balance)"/>
        <s v="Your department is &lt;b&gt;V983 - Tech for Colleague Recoverable&lt;/b&gt;._x000a__x000a_Need to see a co-worker's department? Try something like 'Show me John Smith's department'"/>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JO.BELORGEY@NATIONWIDE.CO.UK%22%2c+env%3a+%22https://dnn.fa.em2.oraclecloud.com%22%7d&amp;opauniqueuser=JO.BELORGEY@NATIONWIDE.CO.UK_x000a_Job Security and Redundancy Policy: https://dnn.fa.em2.oraclecloud.com:443/fscmUI/faces/deeplink?objType=CSO_ARTICLE_CONTENT_KM&amp;objKey=docId%3DHRPOL17%3Blocale%3Den_US&amp;action=EDIT_IN_TAB"/>
        <s v="Here's your absence balance as of 21/03/2023._x000a__x000a_&lt;b&gt;0 hrs&lt;/b&gt; of MyReward _x000a_&lt;b&gt;56 hrs 10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r department is &lt;b&gt;V322 - End User Services&lt;/b&gt;._x000a__x000a_Need to see a co-worker's department? Try something like 'Show me John Smith's department'"/>
        <s v="Here's your absence balance as of 22/03/2023._x000a__x000a_&lt;b&gt;0 hrs&lt;/b&gt; of MyReward _x000a_&lt;b&gt;84 hrs&lt;/b&gt; of Holiday _x000a_&lt;b&gt;0 hrs&lt;/b&gt; of Recognising Loyalty _x000a_&lt;b&gt;7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lt;a href='https://dnn.fa.em2.oraclecloud.com/hcmUI/content/conn/FusionAppsContentRepository/uuid/dDocID:8736870?download&amp;XFND_SCHEME_ID=1&amp;XFND_CERT_FP=E7A6669B1744C0DE0883C285E2A79DD364729D79&amp;XFND_RANDOM=1032984117131458891&amp;XFND_EXPIRES=1692693168757&amp;XFND_SIGNATURE=roc4rD8q0dqecnbxSIgpbBJafb~PqCoJSjY9S9ONY80JBmjrzqmJXR7UJiEFNCOHVSLnel8HSvVWPgaS3AsPfxQ~RdmduFL1gMCS~oroHB7WE~vjNe9gWjwDhQtIjIJMoFFjdtpwZuyPpMgsWXsZhKFyEoQzqVPklAvRzReMiME_&amp;Id=8736870' &gt;View your payslip&lt;/a&gt;"/>
        <s v="Your job title is &lt;b&gt;Policy &amp; Regulation Consultant&lt;/b&gt;._x000a__x000a_Need to see one of your co-workers job details? Try &lt;q&gt;Show me John Smith's job details&lt;/q&gt;."/>
        <s v="To request a copy of an AJI / job profile please raise a &lt;a href=&quot;https://dnn.fa.em2.oraclecloud.com/fscmUI/faces/deeplink?objType=SVC_SERVICE_REQUEST_HCM&amp;amp;action=CREATE_IN_TAB&amp;amp;objKey=SelfServiceCategory_c%3DNBS_HRM_OTHER%3BSelfServiceSubCategory_c%3DNBS_HRM_OTHER_AAQ%3BChannelTypeCd%3DNBS_HRM_ODA&quot;&gt;Service Request&lt;/a&gt;."/>
        <s v="You have 23 submissions pending approval:"/>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Alli.Peebles@nationwide.co.uk%22%2c+env%3a+%22https://dnn.fa.em2.oraclecloud.com%22%7d&amp;opauniqueuser=Alli.Peebles@nationwide.co.uk"/>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Katy.Bignell@nationwide.co.uk%22%2c+env%3a+%22https://dnn.fa.em2.oraclecloud.com%22%7d&amp;opauniqueuser=Katy.Bignell@nationwide.co.uk"/>
        <s v="Here's your absence balance as of 22/03/2023._x000a__x000a_&lt;b&gt;0 hrs&lt;/b&gt; of MyReward _x000a_&lt;b&gt;107 hrs 15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22/03/2023._x000a__x000a_&lt;b&gt;210 hrs&lt;/b&gt; of Sabbatical Leave _x000a_&lt;b&gt;0 hrs&lt;/b&gt; of MyReward _x000a_&lt;b&gt;59 hrs 30 mins&lt;/b&gt; of Holiday _x000a_&lt;b&gt;0 hrs&lt;/b&gt; of Recognising Loyalty _x000a_&lt;b&gt;7 hrs&lt;/b&gt; of Work Anniversary _x000a_&lt;b&gt;-15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22/03/2023._x000a__x000a_&lt;b&gt;0 hrs&lt;/b&gt; of MyReward _x000a_&lt;b&gt;59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22/03/2023._x000a__x000a_&lt;b&gt;0 hrs&lt;/b&gt; of MyReward _x000a_&lt;b&gt;210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Shared Parental Leave_x000a__x000a_To find out more please have a look at the Shared Parental Leave Policy. You may also find it helpful to use the Shared Parental Leave and Pay Questionnaire which will estimate your leave and pay values based on the information you enter into it._x000a_Shared Parental Leave Policy: https://dnn.fa.em2.oraclecloud.com:443/fscmUI/faces/deeplink?objType=CSO_ARTICLE_CONTENT_KM&amp;objKey=docId%3DHRPOL12%3Blocale%3Den_US&amp;action=EDIT_IN_TAB_x000a_Shared Parental Leave and Pay Questionnaire: https://nbs-opa--tst1.custhelp.com/web-determinations/startsession/NBS_SharedLeave?seedData=%7bname%3a+%22JACQUELINE.STEVENSON@NATIONWIDE.CO.UK%22%2c+env%3a+%22https://dnn.fa.em2.oraclecloud.com%22%7d&amp;opauniqueuser=JACQUELINE.STEVENSON@NATIONWIDE.CO.UK"/>
        <s v="&lt;a href='https://dnn.fa.em2.oraclecloud.com/hcmUI/content/conn/FusionAppsContentRepository/uuid/dDocID:8740764?download&amp;XFND_SCHEME_ID=1&amp;XFND_CERT_FP=E7A6669B1744C0DE0883C285E2A79DD364729D79&amp;XFND_RANDOM=4842214774377402341&amp;XFND_EXPIRES=1692700971735&amp;XFND_SIGNATURE=QeHlX2~zBYnP3a~Z7Y8Tyu1kDOT8tKLkUI5rhbGX1GKiOoU4cJVMcUuJpPT9wh2s9F94zenB53ADKp9Cr6~WoFpKS6hmShfFXXDgXG4YFnc9HL1ZQJ838uV2kFfSr33rKxVgVRXVgi5wb-fHmSJaI4VrTnGV9Cx~raK--T2zN0g_&amp;Id=8740764' &gt;View your payslip&lt;/a&gt;"/>
        <s v="Here's your absence balance as of 22/03/2023._x000a__x000a_&lt;b&gt;0 hrs&lt;/b&gt; of Recognising Loyalty _x000a_&lt;b&gt;0 hrs&lt;/b&gt; of Work Anniversary _x000a_&lt;b&gt;0 hrs&lt;/b&gt; of Public Holiday _x000a_&lt;b&gt;65 hrs 15 mins&lt;/b&gt; of Holiday _x000a_&lt;b&gt;0 hrs&lt;/b&gt; of MyReward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There's no salary on record for you. Please raise a Service Request via your Helpdesk tab and we'll look into this for you."/>
        <s v="Here's your absence balance as of 31/12/2023._x000a__x000a_&lt;b&gt;0 hrs&lt;/b&gt; of Recognising Loyalty _x000a_&lt;b&gt;0 hrs&lt;/b&gt; of Work Anniversary _x000a_&lt;b&gt;0 hrs&lt;/b&gt; of Public Holiday _x000a_&lt;b&gt;15 hrs 15 mins&lt;/b&gt; of Holiday _x000a_&lt;b&gt;0 hrs&lt;/b&gt; of MyReward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01/01/2024._x000a__x000a_&lt;b&gt;0 hrs&lt;/b&gt; of Recognising Loyalty _x000a_&lt;b&gt;0 hrs&lt;/b&gt; of Work Anniversary _x000a_&lt;b&gt;28 hrs 30 mins&lt;/b&gt; of Public Holiday _x000a_&lt;b&gt;188 hrs 45 mins&lt;/b&gt; of Holiday _x000a_&lt;b&gt;0 hrs&lt;/b&gt; of MyReward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22/03/2023._x000a__x000a_&lt;b&gt;0 hrs&lt;/b&gt; of Public Holiday _x000a_&lt;b&gt;0 hrs&lt;/b&gt; of Work Anniversary _x000a_&lt;b&gt;0 hrs&lt;/b&gt; of MyReward _x000a_&lt;b&gt;120 hrs 15 mins&lt;/b&gt; of Holiday _x000a_&lt;b&gt;0 hrs&lt;/b&gt; of Recognising Loyalt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ve taken the following time off in the last twelve months._x000a__x000a_&lt;b&gt;56 hrs&lt;/b&gt; of &lt;b&gt;Holiday&lt;/b&gt; from Aug 9th to Aug 18th_x000a_&lt;b&gt;35 hrs&lt;/b&gt; of &lt;b&gt;Holiday&lt;/b&gt; from Dec 19th to Dec 23rd_x000a_&lt;b&gt;7 hrs&lt;/b&gt; of &lt;b&gt;Holiday&lt;/b&gt; on Dec 2nd_x000a_&lt;b&gt;42 hrs&lt;/b&gt; of &lt;b&gt;Holiday&lt;/b&gt; from Nov 24th to Dec 1st_x000a__x000a_Schedule time off: https://dnn.fa.em2.oraclecloud.com/hcmUI/faces/deeplink?objType=ADD_ABSENCE&amp;action=NONE_x000a_View absences for a specific duration_x000a_View absence balance (excl. sickness balance)"/>
        <s v="Here's your absence balance as of 22/03/2023._x000a__x000a_&lt;b&gt;0 hrs&lt;/b&gt; of MyReward _x000a_&lt;b&gt;45 hrs 30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25/03/2023._x000a__x000a_&lt;b&gt;0 hrs&lt;/b&gt; of MyReward _x000a_&lt;b&gt;0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Sorry, you can't update your work email. Only Logical Access can do this. If you've recently updated your name or preferred name in PeopleCloud, Logical Access will email you in the next few days to ask if you'd like to update your work email to match your new name details._x000a__x000a_Your work email is &lt;a href='mailto:Jonkheer.deJonge@nationwide.co.uk'&gt;Jonkheer.deJonge@nationwide.co.uk&lt;/a&gt;._x000a__x000a_&lt;a href=&quot;https://dnn.fa.em2.oraclecloud.com/hcmUI/faces/deeplink?objType=EMP_CONTACT_INFO&amp;action=NONE&quot;&gt;View additional contact information&lt;/a&gt; including your phone, email, home address and other communication method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carrie-anne.fiocca@nationwide.co.uk%22%2c+env%3a+%22https://dnn.fa.em2.oraclecloud.com%22%7d&amp;opauniqueuser=carrie-anne.fiocca@nationwide.co.uk"/>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MATTHEW.ROBERTS@nationwide.co.uk%22%2c+env%3a+%22https://dnn.fa.em2.oraclecloud.com%22%7d&amp;opauniqueuser=MATTHEW.ROBERTS@nationwide.co.uk_x000a_Job Security and Redundancy Policy: https://dnn.fa.em2.oraclecloud.com:443/fscmUI/faces/deeplink?objType=CSO_ARTICLE_CONTENT_KM&amp;objKey=docId%3DHRPOL17%3Blocale%3Den_US&amp;action=EDIT_IN_TAB"/>
        <s v="You have 22 submissions pending approval:"/>
        <s v="Here are your first 3 requests:_x000a__x000a_1. Personal Contribution Approval Requested for Julie Grounds (038962) on 2023-08-22 by Julie Grounds_x000a_Assigned on August 22nd 2023_x000a__x000a_2. Personal Contribution Approval Requested for Julie Grounds (038962) on 2023-08-22 by Julie Grounds_x000a_Assigned on August 22nd 2023_x000a__x000a_3. Personal Contribution Approval Requested for Julie Grounds (038962) on 2023-08-15 by Julie Grounds_x000a_Completed on August 22nd 2023_x000a__x000a_Next 3"/>
        <s v="Sure. Here's how you can do it._x000a_&lt;a href='https://dnn.fa.em2.oraclecloud.com/hcmUI/faces/deeplink?objType=MANAGE_GOALS&amp;action=NONE' &gt;View and add goals for your team.&lt;/a&gt;"/>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MICHAEL.BELL@NATIONWIDE.CO.UK%22%2c+env%3a+%22https://dnn.fa.em2.oraclecloud.com%22%7d&amp;opauniqueuser=MICHAEL.BELL@NATIONWIDE.CO.UK_x000a_Job Security and Redundancy Policy: https://dnn.fa.em2.oraclecloud.com:443/fscmUI/faces/deeplink?objType=CSO_ARTICLE_CONTENT_KM&amp;objKey=docId%3DHRPOL17%3Blocale%3Den_US&amp;action=EDIT_IN_TAB"/>
        <s v="Here are your first 3 requests:_x000a__x000a_1. Approval of Holiday Absence Request for Ashita Dewan from 2023-08-11 to 2023-08-11_x000a_Completed on August 2nd 2023_x000a__x000a_2. Approval of Holiday Absence Request for Ashita Dewan from 2023-08-10 to 2023-08-10_x000a_Completed on August 2nd 2023_x000a__x000a_3. Approval of Holiday Absence Request for Ashita Dewan from 2023-08-09 to 2023-08-09_x000a_Completed on August 2nd 2023_x000a__x000a_Next 3"/>
        <s v="Here's your absence balance as of 2023-08-22T00:00:00+00:00._x000a__x000a_&lt;b&gt;0 hrs&lt;/b&gt; of MyReward _x000a_&lt;b&gt;33 hrs 15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2023-12-31T00:00:00+00:00._x000a__x000a_&lt;b&gt;0 hrs&lt;/b&gt; of MyReward _x000a_&lt;b&gt;5 hrs 15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have the following time off in the next twelve months._x000a__x000a_&lt;b&gt;7 hrs&lt;/b&gt; of &lt;b&gt;Holiday&lt;/b&gt; on Sep 6th_x000a_&lt;b&gt;7 hrs&lt;/b&gt; of &lt;b&gt;Holiday&lt;/b&gt; on Nov 15th_x000a_&lt;b&gt;14 hrs&lt;/b&gt; of &lt;b&gt;Holiday&lt;/b&gt; from Nov 16th to Nov 17th_x000a__x000a_Schedule time off: https://dnn.fa.em2.oraclecloud.com/hcmUI/faces/deeplink?objType=ADD_ABSENCE&amp;action=NONE_x000a_View absences for a specific duration_x000a_View absence balance (excl. sickness balance)"/>
        <s v="&lt;a href='https://dnn.fa.em2.oraclecloud.com/hcmUI/content/conn/FusionAppsContentRepository/uuid/dDocID:8734343?download&amp;XFND_SCHEME_ID=1&amp;XFND_CERT_FP=E7A6669B1744C0DE0883C285E2A79DD364729D79&amp;XFND_RANDOM=-1578632049578767799&amp;XFND_EXPIRES=1692714629185&amp;XFND_SIGNATURE=axR666W8Ga25p2-fzlKT~iqRtCSBEjNK9Y~m7iEzBsaPKehM4xJCnSlc4beME8hfVZgVbDLV-qywIASVWulQhG1cWTx88amQdqXjhaBSx7XBq3reuXYDWxXiIBEMM~uEi39sQohuqnhipMCxjMEscOQAr~rasqwI7oHkkhs0F5Y_&amp;Id=8734343' &gt;View your payslip&lt;/a&gt;"/>
        <s v="&lt;a href='https://dnn.fa.em2.oraclecloud.com/hcmUI/content/conn/FusionAppsContentRepository/uuid/dDocID:8734343?download&amp;XFND_SCHEME_ID=1&amp;XFND_CERT_FP=E7A6669B1744C0DE0883C285E2A79DD364729D79&amp;XFND_RANDOM=7996471486718918502&amp;XFND_EXPIRES=1692714721260&amp;XFND_SIGNATURE=qFD8EsoJ0LLvYRz6RxsHOgyTSA5lXYj79pqXaXKS01BNqK38MtKVBYzXAQzDb4hsV0wellPohzDQAiO~DWNmwuYYQHGzMSK3iPjmMMCHQtxURgamenlRzDNqmEx7Y5WHuRYKPeBWI2mjtvWg84oVf7MDJZWjTprgWtPKQ41PWlE_&amp;Id=8734343' &gt;View your payslip&lt;/a&gt;"/>
        <s v="Which team member's absence balance do you want to see?"/>
        <s v="Here's the absence balance for &lt;b&gt;Lisa Smith&lt;/b&gt; as of 22/03/2023._x000a__x000a_&lt;b&gt;65 hrs 45 mins&lt;/b&gt; of Holiday _x000a_&lt;b&gt;21 hrs&lt;/b&gt; of Family Support Leave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View balance as of another date_x000a_View future absences_x000a_View past absences"/>
        <s v="Here's your absence balance as of 22/03/2023._x000a__x000a_&lt;b&gt;98 hrs&lt;/b&gt; of Holiday _x000a_&lt;b&gt;210 hrs&lt;/b&gt; of Sabbatical Leave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KEITH.COATSWORTH@NATIONWIDE.CO.UK%22%2c+env%3a+%22https://dnn.fa.em2.oraclecloud.com%22%7d&amp;opauniqueuser=KEITH.COATSWORTH@NATIONWIDE.CO.UK_x000a_Job Security and Redundancy Policy: https://dnn.fa.em2.oraclecloud.com:443/fscmUI/faces/deeplink?objType=CSO_ARTICLE_CONTENT_KM&amp;objKey=docId%3DHRPOL17%3Blocale%3Den_US&amp;action=EDIT_IN_TAB"/>
        <s v="Your work email is &lt;a href='mailto:connie.mullis@nationwide.co.uk'&gt;connie.mullis@nationwide.co.uk&lt;/a&gt;._x000a__x000a_&lt;a href=&quot;https://dnn.fa.em2.oraclecloud.com/hcmUI/faces/deeplink?objType=EMP_CONTACT_INFO&amp;action=NONE&quot;&gt;View additional contact information&lt;/a&gt; including your phone, email, home address and other communication methods._x000a__x000a_Need to see a co-workers work email address? Try something like 'Show me John Smith's email'."/>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tst1.custhelp.com/web-determinations/startsession/NBS_Maternity?seedData=%7bname%3a+%22Lisa.Davies@nationwide.co.uk%22%2c+env%3a+%22https://dnn.fa.em2.oraclecloud.com%22%7d&amp;opauniqueuser=Lisa.Davies@nationwide.co.uk"/>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katie.verth@nationwide.co.uk%22%2c+env%3a+%22https://dnn.fa.em2.oraclecloud.com%22%7d&amp;opauniqueuser=katie.verth@nationwide.co.uk_x000a_Job Security and Redundancy Policy: https://dnn.fa.em2.oraclecloud.com:443/fscmUI/faces/deeplink?objType=CSO_ARTICLE_CONTENT_KM&amp;objKey=docId%3DHRPOL17%3Blocale%3Den_US&amp;action=EDIT_IN_TAB"/>
        <s v="Your current pay rate is -------GBP  annually. Your last approved adjustment was an increase of &lt;b&gt;13.4&lt;/b&gt;% (----GBP) effective on May 01, 2023."/>
        <s v="Your work email is &lt;a href='mailto:simon.moore@nationwide.co.uk'&gt;simon.moore@nationwide.co.uk&lt;/a&gt;._x000a__x000a_&lt;a href=&quot;https://dnn.fa.em2.oraclecloud.com/hcmUI/faces/deeplink?objType=EMP_CONTACT_INFO&amp;action=NONE&quot;&gt;View additional contact information&lt;/a&gt; including your phone, email, home address and other communication methods._x000a__x000a_Need to see a co-workers work email address? Try something like 'Show me John Smith's email'."/>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tst1.custhelp.com/web-determinations/startsession/NBS_Maternity?seedData=%7bname%3a+%22Maddison.Perry@nationwide.co.uk%22%2c+env%3a+%22https://dnn.fa.em2.oraclecloud.com%22%7d&amp;opauniqueuser=Maddison.Perry@nationwide.co.uk"/>
        <s v="Here's your absence balance as of 23/03/2023._x000a__x000a_&lt;b&gt;0 hrs&lt;/b&gt; of MyReward _x000a_&lt;b&gt;94 hrs 30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Shared Parental Leave_x000a__x000a_To find out more please have a look at the Shared Parental Leave Policy. You may also find it helpful to use the Shared Parental Leave and Pay Questionnaire which will estimate your leave and pay values based on the information you enter into it._x000a_Shared Parental Leave Policy: https://dnn.fa.em2.oraclecloud.com:443/fscmUI/faces/deeplink?objType=CSO_ARTICLE_CONTENT_KM&amp;objKey=docId%3DHRPOL12%3Blocale%3Den_US&amp;action=EDIT_IN_TAB_x000a_Shared Parental Leave and Pay Questionnaire: https://nbs-opa--tst1.custhelp.com/web-determinations/startsession/NBS_SharedLeave?seedData=%7bname%3a+%22JOANNA.HALL@NATIONWIDE.CO.UK%22%2c+env%3a+%22https://dnn.fa.em2.oraclecloud.com%22%7d&amp;opauniqueuser=JOANNA.HALL@NATIONWIDE.CO.UK"/>
        <s v="Sorry, you can't update your work email. Only Logical Access can do this. If you've recently updated your name or preferred name in PeopleCloud, Logical Access will email you in the next few days to ask if you'd like to update your work email to match your new name details._x000a__x000a_Your work email is &lt;a href='mailto:christopher.orchard@nationwide.co.uk'&gt;christopher.orchard@nationwide.co.uk&lt;/a&gt;._x000a__x000a_&lt;a href=&quot;https://dnn.fa.em2.oraclecloud.com/hcmUI/faces/deeplink?objType=EMP_CONTACT_INFO&amp;action=NONE&quot;&gt;View additional contact information&lt;/a&gt; including your phone, email, home address and other communication methods."/>
        <s v="Here's your absence balance as of 23/03/2023._x000a__x000a_&lt;b&gt;0 hrs&lt;/b&gt; of MyReward _x000a_&lt;b&gt;56 hrs&lt;/b&gt; of Holiday _x000a_&lt;b&gt;0 hrs&lt;/b&gt; of Recognising Loyalty _x000a_&lt;b&gt;0 hrs&lt;/b&gt; of Work Anniversary _x000a_&lt;b&gt;-11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tst1.custhelp.com/web-determinations/startsession/NBS_Maternity?seedData=%7bname%3a+%22SAM.BISSETT@NATIONWIDE.CO.UK%22%2c+env%3a+%22https://dnn.fa.em2.oraclecloud.com%22%7d&amp;opauniqueuser=SAM.BISSETT@NATIONWIDE.CO.UK"/>
        <s v="Here's the absence balance for &lt;b&gt;Keith Coatsworth&lt;/b&gt; as of 23/03/2023._x000a__x000a_&lt;b&gt;139 hrs 40 mins&lt;/b&gt; of Holiday _x000a_&lt;b&gt;35 hrs&lt;/b&gt; of Family Support Leave _x000a_&lt;b&gt;7 hrs&lt;/b&gt; of Recognising Loyalty _x000a_&lt;b&gt;7 hrs&lt;/b&gt; of Work Anniversary _x000a_&lt;b&gt;0 hrs&lt;/b&gt; of MyReward _x000a_&lt;b&gt;0 hrs&lt;/b&gt; of Public Holiday  _x000a__x000a_To see your end of year Holiday Balance, select 'View balance as of another date' below and input '31/12/23' when prompted_x000a__x000a_View balance as of another date_x000a_View future absences_x000a_View past absences"/>
        <s v="&lt;b&gt;Keith Coatsworth&lt;/b&gt; took the following time off in the last twelve months._x000a__x000a_&lt;b&gt;7 hrs&lt;/b&gt; of &lt;b&gt;Holiday&lt;/b&gt; on Aug 18th_x000a_&lt;b&gt;7 hrs&lt;/b&gt; of &lt;b&gt;Holiday&lt;/b&gt; on Jul 28th_x000a_&lt;b&gt;3 hrs 30 mins&lt;/b&gt; of &lt;b&gt;Holiday&lt;/b&gt; on Jul 14th_x000a_&lt;b&gt;3 hrs 30 mins&lt;/b&gt; of &lt;b&gt;Holiday&lt;/b&gt; on Jun 23rd_x000a_&lt;b&gt;1 day&lt;/b&gt; of &lt;b&gt;Sickness&lt;/b&gt; on May 26th_x000a_&lt;b&gt;42 hrs&lt;/b&gt; of &lt;b&gt;Holiday&lt;/b&gt; from May 17th to May 24th_x000a_&lt;b&gt;7 hrs&lt;/b&gt; of &lt;b&gt;Holiday&lt;/b&gt; on Mar 27th_x000a_&lt;b&gt;3 hrs 30 mins&lt;/b&gt; of &lt;b&gt;Holiday&lt;/b&gt; on Mar 17th_x000a_&lt;b&gt;3 hrs 30 mins&lt;/b&gt; of &lt;b&gt;Holiday&lt;/b&gt; on Feb 24th_x000a_&lt;b&gt;3 hrs 30 mins&lt;/b&gt; of &lt;b&gt;Holiday&lt;/b&gt; on Feb 10th_x000a_&lt;b&gt;21 hrs&lt;/b&gt; of &lt;b&gt;Holiday&lt;/b&gt; from Dec 28th to Dec 30th_x000a_&lt;b&gt;3 hrs 30 mins&lt;/b&gt; of &lt;b&gt;Holiday&lt;/b&gt; on Dec 23rd_x000a_&lt;b&gt;7 hrs&lt;/b&gt; of &lt;b&gt;Holiday&lt;/b&gt; on Dec 7th_x000a_&lt;b&gt;35 hrs&lt;/b&gt; of &lt;b&gt;Holiday&lt;/b&gt; from Nov 21st to Nov 25th_x000a_&lt;b&gt;3 hrs 30 mins&lt;/b&gt; of &lt;b&gt;Holiday&lt;/b&gt; on Oct 21st_x000a_&lt;b&gt;35 hrs&lt;/b&gt; of &lt;b&gt;Holiday&lt;/b&gt; from Sep 26th to Sep 30th_x000a_&lt;b&gt;7 hrs&lt;/b&gt; of &lt;b&gt;Holiday&lt;/b&gt; on Aug 26th_x000a__x000a_View absences for a specific duration_x000a_View absence balance (excl. sickness balance)"/>
        <s v="Here's the absence balance for &lt;b&gt;Keith Coatsworth&lt;/b&gt; as of 23/03/2023._x000a__x000a_&lt;b&gt;139 hrs 40 mins&lt;/b&gt; of Holiday _x000a_&lt;b&gt;35 hrs&lt;/b&gt; of Family Support Leave _x000a_&lt;b&gt;7 hrs&lt;/b&gt; of Recognising Loyalty _x000a_&lt;b&gt;7 hrs&lt;/b&gt; of Work Anniversary _x000a_&lt;b&gt;0 hrs&lt;/b&gt; of MyReward _x000a_&lt;b&gt;0 hrs&lt;/b&gt; of Public Holiday  _x000a__x000a_To see your end of year Holiday Balance, select 'View balance as of another date' below and input '31/12/23' when prompted_x000a__x000a_View balance as of another date_x000a_View past absences"/>
        <s v="Here's the absence balance for &lt;b&gt;Keith Coatsworth&lt;/b&gt; as of 31/12/2023._x000a__x000a_&lt;b&gt;132 hrs 40 mins&lt;/b&gt; of Holiday _x000a_&lt;b&gt;35 hrs&lt;/b&gt; of Family Support Leave _x000a_&lt;b&gt;7 hrs&lt;/b&gt; of Recognising Loyalty _x000a_&lt;b&gt;7 hrs&lt;/b&gt; of Work Anniversary _x000a_&lt;b&gt;0 hrs&lt;/b&gt; of MyReward _x000a_&lt;b&gt;0 hrs&lt;/b&gt; of Public Holiday  _x000a__x000a_To see your end of year Holiday Balance, select 'View balance as of another date' below and input '31/12/23' when prompted_x000a__x000a_View balance as of another date_x000a_View past absences"/>
        <s v="Here's your absence balance as of 23/03/2023._x000a__x000a_&lt;b&gt;0 hrs&lt;/b&gt; of MyReward _x000a_&lt;b&gt;63 hrs 45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31/12/2023._x000a__x000a_&lt;b&gt;0 hrs&lt;/b&gt; of MyReward _x000a_&lt;b&gt;63 hrs 45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SAM.BISSETT@NATIONWIDE.CO.UK%22%2c+env%3a+%22https://dnn.fa.em2.oraclecloud.com%22%7d&amp;opauniqueuser=SAM.BISSETT@NATIONWIDE.CO.UK"/>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JULY.FOSTER@NATIONWIDE.CO.UK%22%2c+env%3a+%22https://dnn.fa.em2.oraclecloud.com%22%7d&amp;opauniqueuser=JULY.FOSTER@NATIONWIDE.CO.UK"/>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CHELSEA.WOOLFORD@NATIONWIDE.CO.UK%22%2c+env%3a+%22https://dnn.fa.em2.oraclecloud.com%22%7d&amp;opauniqueuser=CHELSEA.WOOLFORD@NATIONWIDE.CO.UK"/>
        <s v="Here's your absence balance as of 23/03/2023._x000a__x000a_&lt;b&gt;0 hrs&lt;/b&gt; of MyReward _x000a_&lt;b&gt;50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23/03/2023._x000a__x000a_&lt;b&gt;126 hrs&lt;/b&gt; of Sabbatical Leave _x000a_&lt;b&gt;0 hrs&lt;/b&gt; of MyReward _x000a_&lt;b&gt;106 hrs 20 mins&lt;/b&gt; of Holiday _x000a_&lt;b&gt;0 hrs&lt;/b&gt; of Recognising Loyalty _x000a_&lt;b&gt;4 hrs 15 mins&lt;/b&gt; of Work Anniversary _x000a_&lt;b&gt;-18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VANESSA.COWLES@NATIONWIDE.CO.UK%22%2c+env%3a+%22https://dnn.fa.em2.oraclecloud.com%22%7d&amp;opauniqueuser=VANESSA.COWLES@NATIONWIDE.CO.UK"/>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ems.brennan@nationwide.co.uk%22%2c+env%3a+%22https://dnn.fa.em2.oraclecloud.com%22%7d&amp;opauniqueuser=ems.brennan@nationwide.co.uk_x000a_Job Security and Redundancy Policy: https://dnn.fa.em2.oraclecloud.com:443/fscmUI/faces/deeplink?objType=CSO_ARTICLE_CONTENT_KM&amp;objKey=docId%3DHRPOL17%3Blocale%3Den_US&amp;action=EDIT_IN_TAB"/>
        <s v="Here's your absence balance as of 23/03/2023._x000a__x000a_&lt;b&gt;72 hrs 45 mins&lt;/b&gt; of Holiday _x000a_&lt;b&gt;0 hrs&lt;/b&gt; of Recognising Loyalty _x000a_&lt;b&gt;0 hrs&lt;/b&gt; of Work Anniversary _x000a_&lt;b&gt;0 hrs&lt;/b&gt; of MyReward _x000a_&lt;b&gt;-5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have the following time off in the next twelve months._x000a__x000a_&lt;b&gt;14 hrs&lt;/b&gt; of &lt;b&gt;Holiday&lt;/b&gt; from Oct 9th to Oct 10th_x000a_&lt;b&gt;14 hrs&lt;/b&gt; of &lt;b&gt;Holiday&lt;/b&gt; from Nov 13th to Nov 14th_x000a__x000a_Schedule time off: https://dnn.fa.em2.oraclecloud.com/hcmUI/faces/deeplink?objType=ADD_ABSENCE&amp;action=NONE_x000a_View absences for a specific duration_x000a_View absence balance (excl. sickness balance)"/>
        <s v="Here's your absence balance as of 31/12/2023._x000a__x000a_&lt;b&gt;0 hrs&lt;/b&gt; of MyReward _x000a_&lt;b&gt;94 hrs 30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lt;a href='https://dnn.fa.em2.oraclecloud.com/hcmUI/content/conn/FusionAppsContentRepository/uuid/dDocID:8730404?download&amp;XFND_SCHEME_ID=1&amp;XFND_CERT_FP=E7A6669B1744C0DE0883C285E2A79DD364729D79&amp;XFND_RANDOM=-310371933375945675&amp;XFND_EXPIRES=1692796089262&amp;XFND_SIGNATURE=jQVx4bZu3C1EKnLdxtw7S0E0N-nfHQpiwRmnBLvGf~x3~31oZ~t9vDTQqaFWa~DVtLEqvWYarT4QMc9ebIqTkDryr8vn1giiuXevQ-puOW5S4PcziRwrTy3ilWMPuw08peKzByN3asGgT3mmDrXkQ-lg~TVjYJpII2XlZjKrP2w_&amp;Id=8730404' &gt;View your payslip&lt;/a&gt;"/>
        <s v="Here's your absence balance as of 23/03/2023._x000a__x000a_&lt;b&gt;0 hrs&lt;/b&gt; of MyReward _x000a_&lt;b&gt;87 hrs 15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23/03/2023._x000a__x000a_&lt;b&gt;16 hrs&lt;/b&gt; of MyReward _x000a_&lt;b&gt;210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ve taken the following time off in the last twelve months._x000a__x000a_&lt;b&gt;30 mins&lt;/b&gt; of &lt;b&gt;Other Paid Absence&lt;/b&gt; on Jun 28th_x000a_&lt;b&gt;2 hrs&lt;/b&gt; of &lt;b&gt;Other Paid Absence&lt;/b&gt; on Jun 8th_x000a_&lt;b&gt;1 day&lt;/b&gt; of &lt;b&gt;Sickness&lt;/b&gt; on Feb 9th_x000a_&lt;b&gt;1 day&lt;/b&gt; of &lt;b&gt;Sickness&lt;/b&gt; on Oct 17th_x000a_&lt;b&gt;1 day&lt;/b&gt; of &lt;b&gt;Sickness&lt;/b&gt; on Oct 11th_x000a__x000a_Schedule time off: https://dnn.fa.em2.oraclecloud.com/hcmUI/faces/deeplink?objType=ADD_ABSENCE&amp;action=NONE_x000a_View absences for a specific duration_x000a_View absence balance (excl. sickness balance)"/>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LUCY.CADDEN@NATIONWIDE.CO.UK%22%2c+env%3a+%22https://dnn.fa.em2.oraclecloud.com%22%7d&amp;opauniqueuser=LUCY.CADDEN@NATIONWIDE.CO.UK"/>
        <s v="Sorry, you can't view another worker's personal information such as home phone, home email, home address and emergency contacts."/>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JAMES.SURGEY@NATIONWIDE.CO.UK%22%2c+env%3a+%22https://dnn.fa.em2.oraclecloud.com%22%7d&amp;opauniqueuser=JAMES.SURGEY@NATIONWIDE.CO.UK_x000a_Job Security and Redundancy Policy: https://dnn.fa.em2.oraclecloud.com:443/fscmUI/faces/deeplink?objType=CSO_ARTICLE_CONTENT_KM&amp;objKey=docId%3DHRPOL17%3Blocale%3Den_US&amp;action=EDIT_IN_TAB"/>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GEMMA.RANDALL@NATIONWIDE.CO.UK%22%2c+env%3a+%22https://dnn.fa.em2.oraclecloud.com%22%7d&amp;opauniqueuser=GEMMA.RANDALL@NATIONWIDE.CO.UK"/>
        <s v="Here's your absence balance as of 23/03/2023._x000a__x000a_&lt;b&gt;0 hrs&lt;/b&gt; of Recognising Loyalty _x000a_&lt;b&gt;0 hrs&lt;/b&gt; of Work Anniversary _x000a_&lt;b&gt;0 hrs&lt;/b&gt; of Public Holiday _x000a_&lt;b&gt;65 hrs 15 mins&lt;/b&gt; of Holiday _x000a_&lt;b&gt;0 hrs&lt;/b&gt; of MyReward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23/03/2023._x000a__x000a_&lt;b&gt;0 hrs&lt;/b&gt; of MyReward _x000a_&lt;b&gt;98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jade.hinder@nationwide.co.uk%22%2c+env%3a+%22https://dnn.fa.em2.oraclecloud.com%22%7d&amp;opauniqueuser=jade.hinder@nationwide.co.uk"/>
        <s v="Here's your absence balance as of 23/03/2023._x000a__x000a_&lt;b&gt;0 hrs&lt;/b&gt; of MyReward _x000a_&lt;b&gt;56 hrs 21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31/12/2023._x000a__x000a_&lt;b&gt;0 hrs&lt;/b&gt; of MyReward _x000a_&lt;b&gt;14 hrs 20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Ioana-Andreea.Ghita@nationwide.co.uk%22%2c+env%3a+%22https://dnn.fa.em2.oraclecloud.com%22%7d&amp;opauniqueuser=Ioana-Andreea.Ghita@nationwide.co.uk"/>
        <s v="Here's your absence balance as of 23/03/2023._x000a__x000a_&lt;b&gt;0 hrs&lt;/b&gt; of MyReward _x000a_&lt;b&gt;21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nicola.rogers2@nationwide.co.uk%22%2c+env%3a+%22https://dnn.fa.em2.oraclecloud.com%22%7d&amp;opauniqueuser=nicola.rogers2@nationwide.co.uk"/>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laura.aherne@nationwide.co.uk%22%2c+env%3a+%22https://dnn.fa.em2.oraclecloud.com%22%7d&amp;opauniqueuser=laura.aherne@nationwide.co.uk"/>
        <s v="Here's your absence balance as of 24/03/2023._x000a__x000a_&lt;b&gt;53 hrs 17 mins&lt;/b&gt; of Holiday _x000a_&lt;b&gt;0 hrs&lt;/b&gt; of Recognising Loyalty _x000a_&lt;b&gt;0 hrs&lt;/b&gt; of Work Anniversary _x000a_&lt;b&gt;0 hrs&lt;/b&gt; of MyReward _x000a_&lt;b&gt;-3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STACEY.REAY@NATIONWIDE.CO.UK%22%2c+env%3a+%22https://dnn.fa.em2.oraclecloud.com%22%7d&amp;opauniqueuser=STACEY.REAY@NATIONWIDE.CO.UK_x000a_Job Security and Redundancy Policy: https://dnn.fa.em2.oraclecloud.com:443/fscmUI/faces/deeplink?objType=CSO_ARTICLE_CONTENT_KM&amp;objKey=docId%3DHRPOL17%3Blocale%3Den_US&amp;action=EDIT_IN_TAB"/>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JORDAN.EDWARDS@NATIONWIDE.CO.UK%22%2c+env%3a+%22https://dnn.fa.em2.oraclecloud.com%22%7d&amp;opauniqueuser=JORDAN.EDWARDS@NATIONWIDE.CO.UK_x000a_Job Security and Redundancy Policy: https://dnn.fa.em2.oraclecloud.com:443/fscmUI/faces/deeplink?objType=CSO_ARTICLE_CONTENT_KM&amp;objKey=docId%3DHRPOL17%3Blocale%3Den_US&amp;action=EDIT_IN_TAB"/>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LAURA.HOLMES@NATIONWIDE.CO.UK%22%2c+env%3a+%22https://dnn.fa.em2.oraclecloud.com%22%7d&amp;opauniqueuser=LAURA.HOLMES@NATIONWIDE.CO.UK_x000a_Job Security and Redundancy Policy: https://dnn.fa.em2.oraclecloud.com:443/fscmUI/faces/deeplink?objType=CSO_ARTICLE_CONTENT_KM&amp;objKey=docId%3DHRPOL17%3Blocale%3Den_US&amp;action=EDIT_IN_TAB"/>
        <s v="&lt;a href='https://dnn.fa.em2.oraclecloud.com/hcmUI/content/conn/FusionAppsContentRepository/uuid/dDocID:8747322?download&amp;XFND_SCHEME_ID=1&amp;XFND_CERT_FP=E7A6669B1744C0DE0883C285E2A79DD364729D79&amp;XFND_RANDOM=2443802384790639318&amp;XFND_EXPIRES=1692867029768&amp;XFND_SIGNATURE=AC3eSQuoX~rAy9pVMBACmrWhkobAJzhzAyQSTKCC-BJx0fU820IX-uWkhfmi7HWo4DybbxzjplkAGnQbrhi0dUa78bzH3zAPfyYb7l8SaQhb2FIcPh5xPlpht6uZJe0CS0Xo9rIym0Qr9-rhHlVnGSQVCkg9O5pkKp2O6QY-93k_&amp;Id=8747322' &gt;View your payslip&lt;/a&gt;"/>
        <s v="Here's your absence balance as of 24/03/2023._x000a__x000a_&lt;b&gt;0 hrs&lt;/b&gt; of MyReward _x000a_&lt;b&gt;116 hrs 15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r work email is &lt;a href='mailto:Gabriel.Ali-Agi@nationwide.co.uk'&gt;Gabriel.Ali-Agi@nationwide.co.uk&lt;/a&gt;._x000a__x000a_&lt;a href=&quot;https://dnn.fa.em2.oraclecloud.com/hcmUI/faces/deeplink?objType=EMP_CONTACT_INFO&amp;action=NONE&quot;&gt;View additional contact information&lt;/a&gt; including your phone, email, home address and other communication methods._x000a__x000a_Need to see a co-workers work email address? Try something like 'Show me John Smith's email'."/>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SANDRA.KRUSZEWSKA@NATIONWIDE.CO.UK%22%2c+env%3a+%22https://dnn.fa.em2.oraclecloud.com%22%7d&amp;opauniqueuser=SANDRA.KRUSZEWSKA@NATIONWIDE.CO.UK"/>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GINA.GARLICK@NATIONWIDE.CO.UK%22%2c+env%3a+%22https://dnn.fa.em2.oraclecloud.com%22%7d&amp;opauniqueuser=GINA.GARLICK@NATIONWIDE.CO.UK"/>
        <s v="Here's your absence balance as of 05/09/2023._x000a__x000a_&lt;b&gt;0 hrs&lt;/b&gt; of MyReward _x000a_&lt;b&gt;58 hrs&lt;/b&gt; of Holiday _x000a_&lt;b&gt;0 hrs&lt;/b&gt; of Recognising Loyalty _x000a_&lt;b&gt;0 hrs&lt;/b&gt; of Work Anniversary _x000a_&lt;b&gt;-2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I'm sorry. I can't find any active colleagues called &lt;b&gt;Dob&lt;/b&gt;. Can you enter the person's name again, in case I got it wrong. Just so you know, my directory only shows active colleagues. If the person you're looking for has left or is temporarily inactive they won't show. If you need to find their employee number or other directory details please raise a Service Request via your Helpdesk tab."/>
        <s v="I am still not able to find the person. Try entering their full name. Just so you know, my directory only shows active colleagues. If the person you're looking for has left or is temporarily inactive they won't show. If you need to find their employee number or other directory details please raise a Service Request via your Helpdesk tab."/>
        <s v="Here's your absence balance as of 24/03/2023._x000a__x000a_&lt;b&gt;51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When you move to a line manager role the changes are updated in PeopleCloud overnight on the day you started your new role. Therefore, you'll get access to your direct reports' details on My Team from the day after you started your line manager role. If you still don't have access on your 2nd day as a line manager please visit Announcements on your homepage to see if there are any known issues that may be causing this. If you're unsure about how to proceed after checking the Announcements please raise a &lt;a href=&quot;https://dnn.fa.em2.oraclecloud.com/fscmUI/faces/deeplink?objType=SVC_SERVICE_REQUEST_HCM&amp;amp;action=CREATE_IN_TAB&amp;amp;objKey=SelfServiceCategory_c%3DNBS_HRM_MMDS%3BSelfServiceSubCategory_c%3DNBS_HRM_MMDS_AAQ%3BChannelTypeCd%3DNBS_HRM_ODA&quot;&gt;Service Request&lt;/a&gt;."/>
        <s v="Shared Parental Leave_x000a__x000a_To find out more please have a look at the Shared Parental Leave Policy. You may also find it helpful to use the Shared Parental Leave and Pay Questionnaire which will estimate your leave and pay values based on the information you enter into it._x000a_Shared Parental Leave Policy: https://dnn.fa.em2.oraclecloud.com:443/fscmUI/faces/deeplink?objType=CSO_ARTICLE_CONTENT_KM&amp;objKey=docId%3DHRPOL12%3Blocale%3Den_US&amp;action=EDIT_IN_TAB_x000a_Shared Parental Leave and Pay Questionnaire: https://nbs-opa--tst1.custhelp.com/web-determinations/startsession/NBS_SharedLeave?seedData=%7bname%3a+%22sarah.johnston@nationwide.co.uk%22%2c+env%3a+%22https://dnn.fa.em2.oraclecloud.com%22%7d&amp;opauniqueuser=sarah.johnston@nationwide.co.uk"/>
        <s v="&lt;a href='https://dnn.fa.em2.oraclecloud.com/hcmUI/content/conn/FusionAppsContentRepository/uuid/dDocID:8735218?download&amp;XFND_SCHEME_ID=1&amp;XFND_CERT_FP=E7A6669B1744C0DE0883C285E2A79DD364729D79&amp;XFND_RANDOM=-7426228597170631253&amp;XFND_EXPIRES=1692883802419&amp;XFND_SIGNATURE=rrAS96ZQT5cdURkHSK9rCn4BxS4cO0bU3~YxEYIMcrLRI3zcLE39KO8PDtKLfAeKwUdnIgH-Mf4AIGAznZHTegtlfSvyLezWLEt-xHTAhlj55YzS-788psvANafeAl9luiMjKwkrRzA~V0QGCZq7zRutsbu4H6bBxQDPyF99DXw_&amp;Id=8735218' &gt;View your payslip&lt;/a&gt;"/>
        <s v="Here's your absence balance as of 24/03/2023._x000a__x000a_&lt;b&gt;0 hrs&lt;/b&gt; of MyReward _x000a_&lt;b&gt;56 hrs&lt;/b&gt; of Holiday _x000a_&lt;b&gt;0 hrs&lt;/b&gt; of Recognising Loyalty _x000a_&lt;b&gt;0 hrs&lt;/b&gt; of Work Anniversary _x000a_&lt;b&gt;-11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24/03/2023._x000a__x000a_&lt;b&gt;0 hrs&lt;/b&gt; of MyReward _x000a_&lt;b&gt;144 hrs&lt;/b&gt; of Holiday _x000a_&lt;b&gt;0 hrs&lt;/b&gt; of Recognising Loyalty _x000a_&lt;b&gt;0 hrs&lt;/b&gt; of Work Anniversary _x000a_&lt;b&gt;-8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24/03/2023._x000a__x000a_&lt;b&gt;0 hrs&lt;/b&gt; of MyReward _x000a_&lt;b&gt;133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24/03/2023._x000a__x000a_&lt;b&gt;0 hrs&lt;/b&gt; of Public Holiday _x000a_&lt;b&gt;0 hrs&lt;/b&gt; of Recognising Loyalty _x000a_&lt;b&gt;0 hrs&lt;/b&gt; of MyReward _x000a_&lt;b&gt;0 hrs&lt;/b&gt; of Work Anniversary _x000a_&lt;b&gt;140 hrs&lt;/b&gt; of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SARAH.HARRIS3@NATIONWIDE.CO.UK%22%2c+env%3a+%22https://dnn.fa.em2.oraclecloud.com%22%7d&amp;opauniqueuser=SARAH.HARRIS3@NATIONWIDE.CO.UK_x000a_Job Security and Redundancy Policy: https://dnn.fa.em2.oraclecloud.com:443/fscmUI/faces/deeplink?objType=CSO_ARTICLE_CONTENT_KM&amp;objKey=docId%3DHRPOL17%3Blocale%3Den_US&amp;action=EDIT_IN_TAB"/>
        <s v="&lt;a href='https://dnn.fa.em2.oraclecloud.com/hcmUI/content/conn/FusionAppsContentRepository/uuid/dDocID:8731509?download&amp;XFND_SCHEME_ID=1&amp;XFND_CERT_FP=E7A6669B1744C0DE0883C285E2A79DD364729D79&amp;XFND_RANDOM=6809221402037116880&amp;XFND_EXPIRES=1692887624451&amp;XFND_SIGNATURE=NE28r0FG3wbHsDnT2~o5BAu5~yWhjMSqMsxHHYbtLC8UvubasnUAN0NwQfCrfxCSKXJFbx2R8Po29ysJ5HBSeMAjPeM0tntqC88iYbIMI27OvPDdN2Z~xkCAeLiQwmO9w2EilpHUvPPS8SOhglFENG05xvt3rwdgzWm7daueeV4_&amp;Id=8731509' &gt;View your payslip&lt;/a&gt;"/>
        <s v="A broad pay band is a group of salaries that cover all the roles in an individual career family. Broad pay bands don't have minimum, maximum or market anchor salary points. Instead, the salary for each role is determined by the nature of the role and by broad band market pay data (how much other organisations typically pay for similar roles). Read more &lt;a href=&quot;https://nbsuk.sharepoint.com/sites/INTRA-CareerFamilies&quot;&gt;here&lt;/a&gt;."/>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CLAIRE.VINCEC@NATIONWIDE.CO.UK%22%2c+env%3a+%22https://dnn.fa.em2.oraclecloud.com%22%7d&amp;opauniqueuser=CLAIRE.VINCEC@NATIONWIDE.CO.UK"/>
        <s v="&lt;a href='https://dnn.fa.em2.oraclecloud.com/hcmUI/content/conn/FusionAppsContentRepository/uuid/dDocID:8732765?download&amp;XFND_SCHEME_ID=1&amp;XFND_CERT_FP=E7A6669B1744C0DE0883C285E2A79DD364729D79&amp;XFND_RANDOM=4476268166115284537&amp;XFND_EXPIRES=1692902664339&amp;XFND_SIGNATURE=caSvbae3UrY2KYH60I7ZRrlpbZUb6MoIuAZplpFURRCMaYLQGXlyLz1aDDnzp9F1BW6gw4mnIUU-EA5aPr9JWuJEAgrmpZucpkJQ5WxYh6D7n53-XwWAU4YW6Zizrsx4aW6Tb1AFmfDRxGw03vAFuhaHLiOKSB2IShtIxjaWC0s_&amp;Id=8732765' &gt;View your payslip&lt;/a&gt;"/>
        <s v="Your current pay rate is -------GBP  annually. Your last approved adjustment was an increase of &lt;b&gt;5&lt;/b&gt;% (----GBP) effective on May 01, 2023."/>
        <s v="Here's your absence balance as of 25/03/2023._x000a__x000a_&lt;b&gt;87 hrs 47 mins&lt;/b&gt; of Holiday _x000a_&lt;b&gt;0 hrs&lt;/b&gt; of Recognising Loyalty _x000a_&lt;b&gt;0 hrs&lt;/b&gt; of Work Anniversary _x000a_&lt;b&gt;0 hrs&lt;/b&gt; of MyReward _x000a_&lt;b&gt;-21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31/12/2023._x000a__x000a_&lt;b&gt;55 hrs 7 mins&lt;/b&gt; of Holiday _x000a_&lt;b&gt;0 hrs&lt;/b&gt; of Recognising Loyalty _x000a_&lt;b&gt;0 hrs&lt;/b&gt; of Work Anniversary _x000a_&lt;b&gt;0 hrs&lt;/b&gt; of MyReward _x000a_&lt;b&gt;-21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report to &lt;b&gt;Simon Hammond&lt;/b&gt;, Team Manager._x000a__x000a_&lt;b&gt;Simon's&lt;/b&gt; office location is 38 Carver Street in Sheffield, West Yorkshire, GB._x000a__x000a_Email: &lt;a href='mailto:simon.hammond@nationwide.co.uk'&gt;simon.hammond@nationwide.co.uk&lt;/a&gt;_x000a__x000a_View &lt;b&gt;Simon's&lt;/b&gt; profile in &lt;a href=&quot;https://dnn.fa.em2.oraclecloud.com/fscmUI/faces/deeplink?objType=DIRECTORY_SEARCH&amp;action=NONE&quot;&gt;Directory&lt;/a&gt; to know more."/>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KELVIN.BROWN@NATIONWIDE.CO.UK%22%2c+env%3a+%22https://dnn.fa.em2.oraclecloud.com%22%7d&amp;opauniqueuser=KELVIN.BROWN@NATIONWIDE.CO.UK"/>
        <s v="You haven't taken any time off in the last twelve months._x000a__x000a_Schedule time off: https://dnn.fa.em2.oraclecloud.com/hcmUI/faces/deeplink?objType=ADD_ABSENCE&amp;action=NONE_x000a_View future absences_x000a_View absences for a specific duration_x000a_View absence balance (excl. sickness balance)"/>
        <s v="Shared Parental Leave_x000a__x000a_To find out more please have a look at the Shared Parental Leave Policy. You may also find it helpful to use the Shared Parental Leave and Pay Questionnaire which will estimate your leave and pay values based on the information you enter into it._x000a_Shared Parental Leave Policy: https://dnn.fa.em2.oraclecloud.com:443/fscmUI/faces/deeplink?objType=CSO_ARTICLE_CONTENT_KM&amp;objKey=docId%3DHRPOL12%3Blocale%3Den_US&amp;action=EDIT_IN_TAB_x000a_Shared Parental Leave and Pay Questionnaire: https://nbs-opa--tst1.custhelp.com/web-determinations/startsession/NBS_SharedLeave?seedData=%7bname%3a+%22GERARD.JENKINS@NATIONWIDE.CO.UK%22%2c+env%3a+%22https://dnn.fa.em2.oraclecloud.com%22%7d&amp;opauniqueuser=GERARD.JENKINS@NATIONWIDE.CO.UK"/>
        <s v="Here's your absence balance as of 31/12/2024._x000a__x000a_&lt;b&gt;0 hrs&lt;/b&gt; of MyReward _x000a_&lt;b&gt;99 hrs 15 mins&lt;/b&gt; of Holiday _x000a_&lt;b&gt;0 hrs&lt;/b&gt; of Recognising Loyalty _x000a_&lt;b&gt;0 hrs&lt;/b&gt; of Work Anniversary _x000a_&lt;b&gt;-2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25/03/2023._x000a__x000a_&lt;b&gt;70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31/12/2023._x000a__x000a_&lt;b&gt;28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25/03/2023._x000a__x000a_&lt;b&gt;105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r work email is &lt;a href='mailto:sally.oakley2@nationwide.co.uk'&gt;sally.oakley2@nationwide.co.uk&lt;/a&gt;._x000a__x000a_&lt;a href=&quot;https://dnn.fa.em2.oraclecloud.com/hcmUI/faces/deeplink?objType=EMP_CONTACT_INFO&amp;action=NONE&quot;&gt;View additional contact information&lt;/a&gt; including your phone, email, home address and other communication methods._x000a__x000a_Need to see a co-workers work email address? Try something like 'Show me John Smith's email'."/>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tst1.custhelp.com/web-determinations/startsession/NBS_Maternity?seedData=%7bname%3a+%22EMMA.YOUNG@NATIONWIDE.CO.UK%22%2c+env%3a+%22https://dnn.fa.em2.oraclecloud.com%22%7d&amp;opauniqueuser=EMMA.YOUNG@NATIONWIDE.CO.UK"/>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tst1.custhelp.com/web-determinations/startsession/NBS_Maternity?seedData=%7bname%3a+%22MEGAN.SIMS@NATIONWIDE.CO.UK%22%2c+env%3a+%22https://dnn.fa.em2.oraclecloud.com%22%7d&amp;opauniqueuser=MEGAN.SIMS@NATIONWIDE.CO.UK"/>
        <s v="Here's your absence balance as of 25/03/2023._x000a__x000a_&lt;b&gt;124 hrs 45 mins&lt;/b&gt; of Holiday _x000a_&lt;b&gt;0 hrs&lt;/b&gt; of Recognising Loyalty _x000a_&lt;b&gt;0 hrs&lt;/b&gt; of Work Anniversary _x000a_&lt;b&gt;0 hrs&lt;/b&gt; of MyReward _x000a_&lt;b&gt;-6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 are your first 3 requests:_x000a__x000a_1. Personal Contribution Approval Requested for Lisa Cooper (496581) on 2023-08-15 by Lisa Cooper_x000a_Completed on August 21st 2023_x000a__x000a_2. Personal Contribution Approval Requested for Lisa Cooper (496581) on 2023-08-15 by Lisa Cooper_x000a_Completed on August 15th 2023_x000a__x000a_3. Personal Contribution Approval Requested for Lisa Cooper (496581) on 2023-08-15 by Lisa Cooper_x000a_Completed on August 15th 2023_x000a__x000a_Next 3"/>
        <s v="Next 3:_x000a__x000a_4. Personal Contribution Approval Requested for Lisa Cooper (496581) on 2023-07-28 by Lisa Cooper_x000a_Completed on July 30th 2023_x000a__x000a_5. Personal Contribution Approval Requested for Lisa Cooper (496581) on 2023-07-28 by Lisa Cooper_x000a_Completed on July 28th 2023_x000a__x000a_6. Personal Contribution Approval Requested for Lisa Cooper (496581) on 2023-07-28 by Lisa Cooper_x000a_Completed on July 28th 2023_x000a__x000a_Next 2"/>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SARAH.ARMSTRONG@NATIONWIDE.CO.UK%22%2c+env%3a+%22https://dnn.fa.em2.oraclecloud.com%22%7d&amp;opauniqueuser=SARAH.ARMSTRONG@NATIONWIDE.CO.UK_x000a_Job Security and Redundancy Policy: https://dnn.fa.em2.oraclecloud.com:443/fscmUI/faces/deeplink?objType=CSO_ARTICLE_CONTENT_KM&amp;objKey=docId%3DHRPOL17%3Blocale%3Den_US&amp;action=EDIT_IN_TAB"/>
        <s v="Here are your first 3 requests:_x000a__x000a_1. Approval of Holiday Absence Request for Laura Mead from 2023-11-24 to 2023-11-30_x000a_Assigned on August 23rd 2023_x000a__x000a_2. Laura Mead Added Feedback About Lucy Rowe_x000a_Assigned on May 12th 2023_x000a__x000a_3. Laura Mead Added Feedback About Lucy Rowe_x000a_Assigned on May 12th 2023_x000a__x000a_Next 3"/>
        <s v="Here's your absence balance as of 25/03/2023._x000a__x000a_&lt;b&gt;142 hrs 49 mins&lt;/b&gt; of Holiday _x000a_&lt;b&gt;0 hrs&lt;/b&gt; of Recognising Loyalty _x000a_&lt;b&gt;0 hrs&lt;/b&gt; of Work Anniversary _x000a_&lt;b&gt;0 hrs&lt;/b&gt; of Public Holiday _x000a_&lt;b&gt;0 hrs&lt;/b&gt; of MyReward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have the following time off in the next twelve months._x000a__x000a_&lt;b&gt;73 hrs 50 mins&lt;/b&gt; of &lt;b&gt;Holiday&lt;/b&gt; from Sep 8th to Sep 22nd_x000a__x000a_Schedule time off: https://dnn.fa.em2.oraclecloud.com/hcmUI/faces/deeplink?objType=ADD_ABSENCE&amp;action=NONE_x000a_View absences for a specific duration_x000a_View absence balance (excl. sickness balance)"/>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CHARLES.DAY@NATIONWIDE.CO.UK%22%2c+env%3a+%22https://dnn.fa.em2.oraclecloud.com%22%7d&amp;opauniqueuser=CHARLES.DAY@NATIONWIDE.CO.UK_x000a_Job Security and Redundancy Policy: https://dnn.fa.em2.oraclecloud.com:443/fscmUI/faces/deeplink?objType=CSO_ARTICLE_CONTENT_KM&amp;objKey=docId%3DHRPOL17%3Blocale%3Den_US&amp;action=EDIT_IN_TAB"/>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NINA.PATEL2@NATIONWIDE.CO.UK%22%2c+env%3a+%22https://dnn.fa.em2.oraclecloud.com%22%7d&amp;opauniqueuser=NINA.PATEL2@NATIONWIDE.CO.UK_x000a_Job Security and Redundancy Policy: https://dnn.fa.em2.oraclecloud.com:443/fscmUI/faces/deeplink?objType=CSO_ARTICLE_CONTENT_KM&amp;objKey=docId%3DHRPOL17%3Blocale%3Den_US&amp;action=EDIT_IN_TAB"/>
        <s v="I can only show salary for your directs. Do you want to check salary details for your directs?_x000a__x000a_Yes_x000a_No"/>
        <s v="You have 1 active assignment._x000a__x000a_&lt;b&gt;Branch Manager M+&lt;/b&gt;, E033348._x000a_You report to Gayle McVea in this assignment._x000a__x000a_Need to see a co-worker's assignment? Try something like 'Show me John Smith's assignment'."/>
        <s v="&lt;b&gt;Gayle McVea&lt;/b&gt; has 1 active assignment._x000a__x000a_&lt;b&gt;Member Relationships Director&lt;/b&gt;, E085402._x000a_&lt;b&gt;Gayle&lt;/b&gt; reports to Claire Wilson in this assignment."/>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MICHAELA.EARP@NATIONWIDE.CO.UK%22%2c+env%3a+%22https://dnn.fa.em2.oraclecloud.com%22%7d&amp;opauniqueuser=MICHAELA.EARP@NATIONWIDE.CO.UK_x000a_Job Security and Redundancy Policy: https://dnn.fa.em2.oraclecloud.com:443/fscmUI/faces/deeplink?objType=CSO_ARTICLE_CONTENT_KM&amp;objKey=docId%3DHRPOL17%3Blocale%3Den_US&amp;action=EDIT_IN_TAB"/>
        <s v="Here's your absence balance as of 25/03/2023._x000a__x000a_&lt;b&gt;201 hrs 45 mins&lt;/b&gt; of Holiday _x000a_&lt;b&gt;0 hrs&lt;/b&gt; of Recognising Loyalty _x000a_&lt;b&gt;0 hrs&lt;/b&gt; of Work Anniversary _x000a_&lt;b&gt;105 hrs&lt;/b&gt; of MyReward _x000a_&lt;b&gt;8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Sandra.Craggs@nationwide.co.uk%22%2c+env%3a+%22https://dnn.fa.em2.oraclecloud.com%22%7d&amp;opauniqueuser=Sandra.Craggs@nationwide.co.uk"/>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AMANDA.FREEGARD@NATIONWIDE.CO.UK%22%2c+env%3a+%22https://dnn.fa.em2.oraclecloud.com%22%7d&amp;opauniqueuser=AMANDA.FREEGARD@NATIONWIDE.CO.UK_x000a_Job Security and Redundancy Policy: https://dnn.fa.em2.oraclecloud.com:443/fscmUI/faces/deeplink?objType=CSO_ARTICLE_CONTENT_KM&amp;objKey=docId%3DHRPOL17%3Blocale%3Den_US&amp;action=EDIT_IN_TAB"/>
        <s v="You entered 2 types of email. Please choose one from the list._x000a_1. home_x000a_2. work"/>
        <s v="Sure. Here's how you can do it._x000a_&lt;a href='https://dnn.fa.em2.oraclecloud.com/hcmUI/faces/deeplink?objType=EMP_CONTACT_INFO&amp;action=NONE'&gt;View and update your home email&lt;/a&gt;_x000a__x000a_Need to see a co-workers work email address? Try something like 'Show me John Smith's email'."/>
        <s v="You don't have any time off scheduled between 01/01/2024 and 31/12/2024. _x000a__x000a_To see your end of year Holiday Balance, select 'View balance as of another date' below and input '31/12/23' when prompted_x000a__x000a_Schedule time off: https://dnn.fa.em2.oraclecloud.com/hcmUI/faces/deeplink?objType=ADD_ABSENCE&amp;action=NONE_x000a_View absence balance (excl. sickness balance)"/>
        <s v="Your current pay rate is -------GBP  annually. Your last approved adjustment was an increase of &lt;b&gt;4.6&lt;/b&gt;% (----GBP) effective on August 01, 2023."/>
        <s v="You report to &lt;b&gt;Caitlin Evans&lt;/b&gt;, Finance Reconciliation Lead._x000a__x000a_&lt;b&gt;Caitlin's&lt;/b&gt; office location is 7/11 Montague Street in Worthing, GB._x000a__x000a_Email: &lt;a href='mailto:Caitlin.Evans@nationwide.co.uk'&gt;Caitlin.Evans@nationwide.co.uk&lt;/a&gt;_x000a__x000a_View &lt;b&gt;Caitlin's&lt;/b&gt; profile in &lt;a href=&quot;https://dnn.fa.em2.oraclecloud.com/fscmUI/faces/deeplink?objType=DIRECTORY_SEARCH&amp;action=NONE&quot;&gt;Directory&lt;/a&gt; to know more."/>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ANGELAT.TILEY@NATIONWIDE.CO.UK%22%2c+env%3a+%22https://dnn.fa.em2.oraclecloud.com%22%7d&amp;opauniqueuser=ANGELAT.TILEY@NATIONWIDE.CO.UK"/>
        <s v="Here's your absence balance as of 29/03/2023._x000a__x000a_&lt;b&gt;0 hrs&lt;/b&gt; of MyReward _x000a_&lt;b&gt;87 hrs 30 mins&lt;/b&gt; of Holiday _x000a_&lt;b&gt;0 hrs&lt;/b&gt; of Recognising Loyalty _x000a_&lt;b&gt;0 hrs&lt;/b&gt; of Work Anniversary _x000a_&lt;b&gt;-9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29/03/2023._x000a__x000a_&lt;b&gt;217 hrs&lt;/b&gt; of Holiday _x000a_&lt;b&gt;0 hrs&lt;/b&gt; of Recognising Loyalty _x000a_&lt;b&gt;0 hrs&lt;/b&gt; of Work Anniversary _x000a_&lt;b&gt;7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lt;a href='https://dnn.fa.em2.oraclecloud.com/hcmUI/content/conn/FusionAppsContentRepository/uuid/dDocID:8732034?download&amp;XFND_SCHEME_ID=1&amp;XFND_CERT_FP=E7A6669B1744C0DE0883C285E2A79DD364729D79&amp;XFND_RANDOM=640927481742070335&amp;XFND_EXPIRES=1693296649607&amp;XFND_SIGNATURE=GSxyDD~THQn1rVnXEHAaGtbG9j1LNKVFBxe2FNvQyMZxccif90RxPz03Vh98DEq7qGvUe~7Zfqhxig~a~aHGy1pSWPcEJNfj3ISXi9IQuw2xByGbRJr01biUahNTpcFXsJna60vAuKDRP8v3lpYxStUlj58kcpL-7qtAAB2wPGA_&amp;Id=8732034' &gt;View your payslip&lt;/a&gt;"/>
        <s v="Your work email is &lt;a href='mailto:jake.gibbs@nationwide.co.uk'&gt;jake.gibbs@nationwide.co.uk&lt;/a&gt;._x000a__x000a_&lt;a href=&quot;https://dnn.fa.em2.oraclecloud.com/hcmUI/faces/deeplink?objType=EMP_CONTACT_INFO&amp;action=NONE&quot;&gt;View additional contact information&lt;/a&gt; including your phone, email, home address and other communication methods._x000a__x000a_Need to see a co-workers work email address? Try something like 'Show me John Smith's email'."/>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tst1.custhelp.com/web-determinations/startsession/NBS_Maternity?seedData=%7bname%3a+%22gary.ambrose@nationwide.co.uk%22%2c+env%3a+%22https://dnn.fa.em2.oraclecloud.com%22%7d&amp;opauniqueuser=gary.ambrose@nationwide.co.uk"/>
        <s v="Sure. I think this is what you want._x000a_&lt;a href='https://dnn.fa.em2.oraclecloud.com/hcmUI/faces/deeplink?objType=EMP_FAMILY_AND_EMGNC_CONTACTS&amp;action=NONE' &gt;View and update your emergency contacts&lt;/a&gt;_x000a__x000a_Ask 'Update my contact info' to update your details like phone numbers and personal email address."/>
        <s v="&lt;a href='https://dnn.fa.em2.oraclecloud.com/hcmUI/content/conn/FusionAppsContentRepository/uuid/dDocID:8734671?download&amp;XFND_SCHEME_ID=1&amp;XFND_CERT_FP=E7A6669B1744C0DE0883C285E2A79DD364729D79&amp;XFND_RANDOM=-8875428923312424245&amp;XFND_EXPIRES=1693298282000&amp;XFND_SIGNATURE=R-fOsyEIyBed6JoeSUwXma4PVPG62uLYJcV9mzKLbWi7ic9Ss9-R29qaqAh2~FxSFBMoP7Mjcid8Dkx0bV8g6CtcV0-KW5Z03ArG2uocIXHJSMw8Pd~HYArY7MBR6sWTDWqLzLhyCtfnlYarxiSBTDZhxuQliWsLqv20xadB7Hw_&amp;Id=8734671' &gt;View your payslip&lt;/a&gt;"/>
        <s v="Here's your absence balance as of 29/03/2023._x000a__x000a_&lt;b&gt;0 hrs&lt;/b&gt; of Work Anniversary _x000a_&lt;b&gt;-17 hrs&lt;/b&gt; of Public Holiday _x000a_&lt;b&gt;0 hrs&lt;/b&gt; of Recognising Loyalty _x000a_&lt;b&gt;0 hrs&lt;/b&gt; of MyReward _x000a_&lt;b&gt;49 hrs 30 mins&lt;/b&gt; of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r work email is &lt;a href='mailto:Seb.Wylie@nationwide.co.uk'&gt;Seb.Wylie@nationwide.co.uk&lt;/a&gt;._x000a__x000a_&lt;a href=&quot;https://dnn.fa.em2.oraclecloud.com/hcmUI/faces/deeplink?objType=EMP_CONTACT_INFO&amp;action=NONE&quot;&gt;View additional contact information&lt;/a&gt; including your phone, email, home address and other communication methods._x000a__x000a_Need to see a co-workers work email address? Try something like 'Show me John Smith's email'."/>
        <s v="Here's your absence balance as of 16/09/2023._x000a__x000a_&lt;b&gt;0 hrs&lt;/b&gt; of MyReward _x000a_&lt;b&gt;111 hrs 45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31/12/2023._x000a__x000a_&lt;b&gt;0 hrs&lt;/b&gt; of MyReward _x000a_&lt;b&gt;111 hrs 45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29/03/2023._x000a__x000a_&lt;b&gt;0 hrs&lt;/b&gt; of MyReward _x000a_&lt;b&gt;84 hrs&lt;/b&gt; of Holiday _x000a_&lt;b&gt;0 hrs&lt;/b&gt; of Recognising Loyalty _x000a_&lt;b&gt;7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CANDESSE.MOON@NATIONWIDE.CO.UK%22%2c+env%3a+%22https://dnn.fa.em2.oraclecloud.com%22%7d&amp;opauniqueuser=CANDESSE.MOON@NATIONWIDE.CO.UK_x000a_Job Security and Redundancy Policy: https://dnn.fa.em2.oraclecloud.com:443/fscmUI/faces/deeplink?objType=CSO_ARTICLE_CONTENT_KM&amp;objKey=docId%3DHRPOL17%3Blocale%3Den_US&amp;action=EDIT_IN_TAB"/>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antonia.thomas-humphreys@nationwide.co.uk%22%2c+env%3a+%22https://dnn.fa.em2.oraclecloud.com%22%7d&amp;opauniqueuser=antonia.thomas-humphreys@nationwide.co.uk_x000a_Job Security and Redundancy Policy: https://dnn.fa.em2.oraclecloud.com:443/fscmUI/faces/deeplink?objType=CSO_ARTICLE_CONTENT_KM&amp;objKey=docId%3DHRPOL17%3Blocale%3Den_US&amp;action=EDIT_IN_TAB"/>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tst1.custhelp.com/web-determinations/startsession/NBS_Maternity?seedData=%7bname%3a+%22JULY.FOSTER@NATIONWIDE.CO.UK%22%2c+env%3a+%22https://dnn.fa.em2.oraclecloud.com%22%7d&amp;opauniqueuser=JULY.FOSTER@NATIONWIDE.CO.UK"/>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ROBERT.LIVESEY2@NATIONWIDE.CO.UK%22%2c+env%3a+%22https://dnn.fa.em2.oraclecloud.com%22%7d&amp;opauniqueuser=ROBERT.LIVESEY2@NATIONWIDE.CO.UK_x000a_Job Security and Redundancy Policy: https://dnn.fa.em2.oraclecloud.com:443/fscmUI/faces/deeplink?objType=CSO_ARTICLE_CONTENT_KM&amp;objKey=docId%3DHRPOL17%3Blocale%3Den_US&amp;action=EDIT_IN_TAB"/>
        <s v="Here's your absence balance as of 29/03/2023._x000a__x000a_&lt;b&gt;0 hrs&lt;/b&gt; of MyReward _x000a_&lt;b&gt;23 hrs&lt;/b&gt; of Holiday _x000a_&lt;b&gt;0 hrs&lt;/b&gt; of Recognising Loyalty _x000a_&lt;b&gt;0 hrs&lt;/b&gt; of Work Anniversary _x000a_&lt;b&gt;-13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Ok. Here's how you claim KIT Day pay. You claim it as Overtime, after each KIT Day. You'll only be able to claim KIT Day pay while you're on leave, so it's important any claims are submitted immediately after each KIT Day has taken place. To claim for yourself go &lt;a href=&quot;https://dnn.fa.em2.oraclecloud.com/fscmUI/faces/deeplink?objType=NFX_MANAGE_MY_PER_CONTRIBUTION&amp;amp;action=NONE&quot;&gt;here&lt;/a&gt;, using this &lt;a href=&quot;https://dnn.fa.em2.oraclecloud.com/fscmUI/faces/deeplink?objType=CSO_ARTICLE_CONTENT_KM&amp;amp;objKey=docId%3DHRGUI55%3Blocale%3Den_US&amp;amp;action=EDIT_IN_TAB&quot;&gt;guidance&lt;/a&gt;. To claim on behalf of a direct report click &lt;a href=&quot;https://dnn.fa.em2.oraclecloud.com/fscmUI/faces/deeplink?objType=MANAGE_COMPENSATION&amp;amp;action=EDIT&quot;&gt;here&lt;/a&gt; and use this &lt;a href=&quot;https://dnn.fa.em2.oraclecloud.com:443/fscmUI/faces/deeplink?objType=CSO_ARTICLE_CONTENT_KM&amp;amp;objKey=docId%3DHRGUI56%3Blocale%3Den_US&amp;amp;action=EDIT_IN_TAB&quot;&gt;guidance&lt;/a&gt;."/>
        <s v="You can request a Healthcare Loan &lt;a href=&quot;https://dnn.fa.em2.oraclecloud.com/fscmUI/faces/deeplink?objType=NFX_MANAGE_MY_PER_CONTRIBUTION&amp;amp;action=NONE&quot;&gt;here&lt;/a&gt;.&lt;br /&gt;_x000a_This step by step &lt;a href=&quot;https://dnn.fa.em2.oraclecloud.com:443/fscmUI/faces/deeplink?objType=CSO_ARTICLE_CONTENT_KM&amp;amp;objKey=docId%3DHRGUI55%3Blocale%3Den_US&amp;amp;action=EDIT_IN_TAB&quot;&gt;guide&lt;/a&gt; shows you how."/>
        <s v="Here's your absence balance as of 29/03/2023._x000a__x000a_&lt;b&gt;0 hrs&lt;/b&gt; of Recognising Loyalty _x000a_&lt;b&gt;0 hrs&lt;/b&gt; of Work Anniversary _x000a_&lt;b&gt;0 hrs&lt;/b&gt; of Public Holiday _x000a_&lt;b&gt;0 hrs&lt;/b&gt; of MyReward _x000a_&lt;b&gt;82 hrs&lt;/b&gt; of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natalie.elly@nationwide.co.uk%22%2c+env%3a+%22https://dnn.fa.em2.oraclecloud.com%22%7d&amp;opauniqueuser=natalie.elly@nationwide.co.uk"/>
        <s v="I'm sorry. I can't find any active colleagues called &lt;b&gt;Evie Robb&lt;/b&gt;. Can you enter the person's name again, in case I got it wrong. Just so you know, my directory only shows active colleagues. If the person you're looking for has left or is temporarily inactive they won't show. If you need to find their employee number or other directory details please raise a Service Request via your Helpdesk tab."/>
        <s v="Hmm. Could it be spelled differently? I still can't find the person. Try one more time and I will try to look it up again. Just so you know, my directory only shows active colleagues. If the person you're looking for has left or is temporarily inactive they won't show. If you need to find their employee number or other directory details please raise a Service Request via your Helpdesk tab."/>
        <s v="Here's your absence balance as of 29/03/2023._x000a__x000a_&lt;b&gt;0 hrs&lt;/b&gt; of Recognising Loyalty _x000a_&lt;b&gt;0 hrs&lt;/b&gt; of Work Anniversary _x000a_&lt;b&gt;0 hrs&lt;/b&gt; of Public Holiday _x000a_&lt;b&gt;70 hrs&lt;/b&gt; of MyReward _x000a_&lt;b&gt;217 hrs&lt;/b&gt; of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have 1 pending approval requests and 1 FYIs."/>
        <s v="Here's the first request:_x000a_1. Withdrawal of Holiday Absence Record for Jeni Fellows from 2023-08-31 to 2023-08-31_x000a__x000a_&lt;a href='https://dnn.fa.em2.oraclecloud.com:443/hcmUI/faces/adf.task-flow?tz=UTC&amp;df=medium&amp;dt=both&amp;tf=short&amp;lg=en&amp;cy=US&amp;bpmWorklistTaskId=3801ed5d-e5db-420c-8adf-7b44e336c5d4&amp;bpmBrowserWindowStatus=taskFlowReturn&amp;bpmWorklistContext=8d58a738-d6fc-4614-a596-87aa6dea35d6%3B%3BG%3B%3B8mAW4fsUcWgPydp8AlCb4LvDqphQZx5SKDjAIj8eiwEcKi4zdaNQruSS4upy4yR0HNqgGbG%2BSK1LrRpK7s%2B5fkiG%2Fmc1IkQUEmCOVixMqwyjyndh696wbg7UOM6ZAanXT6fpmI6xr6CUD4qkLA8v1BTADiDwFIkR4oRun7TLIkc%3D&amp;bpmClientType=&amp;sf=alta&amp;_id=UnifiedNotificationFlow&amp;_document=WEB-INF%2Foracle%2Fapps%2Ffinancials%2FcommonModules%2Fshared%2FpublicUi%2FonlineNotification%2Fflow%2FUnifiedNotificationFlow.xml' target='_blank'&gt;View Approval&lt;/a&gt;"/>
        <s v="Here are your FYIs:_x000a__x000a_1. PeopleCloud Learning - You have recently been assigned learning_x000a__x000a_&lt;a href='https://dnn.fa.em2.oraclecloud.com:443/hcmUI/faces/adf.task-flow?tz=UTC&amp;df=medium&amp;dt=both&amp;tf=short&amp;lg=en&amp;cy=US&amp;bpmWorklistTaskId=ff76b8cb-22aa-4340-806d-a6c236ec9be1&amp;bpmBrowserWindowStatus=taskFlowReturn&amp;bpmWorklistContext=8d58a738-d6fc-4614-a596-87aa6dea35d6%3B%3BG%3B%3B8mAW4fsUcWgPydp8AlCb4LvDqphQZx5SKDjAIj8eiwEcKi4zdaNQruSS4upy4yR0HNqgGbG%2BSK1LrRpK7s%2B5fkiG%2Fmc1IkQUEmCOVixMqwyjyndh696wbg7UOM6ZAanXT6fpmI6xr6CUD4qkLA8v1BTADiDwFIkR4oRun7TLIkc%3D&amp;bpmClientType=&amp;sf=alta&amp;_id=HcmEmailNotificationHumantask_TF&amp;_document=WEB-INF%2Foracle%2Fapps%2Fhcm%2Fcommon%2Fcore%2Falerts%2FpublicUi%2Fcomponent%2Fflow%2FHcmEmailNotificationHumantask_TFxml.xml' target='_blank'&gt;View Details&lt;/a&gt;"/>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tst1.custhelp.com/web-determinations/startsession/NBS_Maternity?seedData=%7bname%3a+%22laura.dawkins@nationwide.co.uk%22%2c+env%3a+%22https://dnn.fa.em2.oraclecloud.com%22%7d&amp;opauniqueuser=laura.dawkins@nationwide.co.uk"/>
        <s v="Your work email is &lt;a href='mailto:Hannah.Shawcross@nationwide.co.uk'&gt;Hannah.Shawcross@nationwide.co.uk&lt;/a&gt;._x000a__x000a_&lt;a href=&quot;https://dnn.fa.em2.oraclecloud.com/hcmUI/faces/deeplink?objType=EMP_CONTACT_INFO&amp;action=NONE&quot;&gt;View additional contact information&lt;/a&gt; including your phone, email, home address and other communication methods._x000a__x000a_Need to see a co-workers work email address? Try something like 'Show me John Smith's email'."/>
        <s v="Here's your absence balance as of 29/03/2023._x000a__x000a_&lt;b&gt;0 hrs&lt;/b&gt; of Work Anniversary _x000a_&lt;b&gt;-21 hrs&lt;/b&gt; of Public Holiday _x000a_&lt;b&gt;0 hrs&lt;/b&gt; of MyReward _x000a_&lt;b&gt;51 hrs&lt;/b&gt; of Holiday _x000a_&lt;b&gt;1 hr 30 mins&lt;/b&gt; of Recognising Loyalt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31/12/2023._x000a__x000a_&lt;b&gt;0 hrs&lt;/b&gt; of Work Anniversary _x000a_&lt;b&gt;-21 hrs&lt;/b&gt; of Public Holiday _x000a_&lt;b&gt;0 hrs&lt;/b&gt; of MyReward _x000a_&lt;b&gt;30 hrs&lt;/b&gt; of Holiday _x000a_&lt;b&gt;1 hr 30 mins&lt;/b&gt; of Recognising Loyalt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29/03/2023._x000a__x000a_&lt;b&gt;0 hrs&lt;/b&gt; of MyReward _x000a_&lt;b&gt;84 hrs 49 mins&lt;/b&gt; of Holiday _x000a_&lt;b&gt;0 hrs&lt;/b&gt; of Recognising Loyalty _x000a_&lt;b&gt;0 hrs&lt;/b&gt; of Work Anniversary _x000a_&lt;b&gt;-13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have the following time off in the next twelve months._x000a__x000a_&lt;b&gt;5 hrs&lt;/b&gt; of &lt;b&gt;Holiday&lt;/b&gt; on Sep 4th_x000a_&lt;b&gt;7 hrs&lt;/b&gt; of &lt;b&gt;Holiday&lt;/b&gt; on Sep 5th_x000a_&lt;b&gt;7 hrs&lt;/b&gt; of &lt;b&gt;Holiday&lt;/b&gt; on Sep 6th_x000a_&lt;b&gt;7 hrs&lt;/b&gt; of &lt;b&gt;Holiday&lt;/b&gt; on Sep 18th_x000a_&lt;b&gt;7 hrs&lt;/b&gt; of &lt;b&gt;Holiday&lt;/b&gt; on Nov 15th_x000a_&lt;b&gt;7 hrs&lt;/b&gt; of &lt;b&gt;Holiday&lt;/b&gt; on Nov 16th_x000a_&lt;b&gt;7 hrs&lt;/b&gt; of &lt;b&gt;Holiday&lt;/b&gt; on Nov 20th_x000a_&lt;b&gt;7 hrs&lt;/b&gt; of &lt;b&gt;Holiday&lt;/b&gt; on Dec 13th_x000a__x000a_Schedule time off: https://dnn.fa.em2.oraclecloud.com/hcmUI/faces/deeplink?objType=ADD_ABSENCE&amp;action=NONE_x000a_View absences for a specific duration_x000a_View absence balance (excl. sickness balance)"/>
        <s v="Your current pay rate is -------GBP  annually. Your last approved adjustment was an increase of &lt;b&gt;9&lt;/b&gt;% (----GBP) effective on April 01, 2023."/>
        <s v="Here's your absence balance as of 29/03/2023._x000a__x000a_&lt;b&gt;0 hrs&lt;/b&gt; of MyReward _x000a_&lt;b&gt;34 hrs 15 mins&lt;/b&gt; of Holiday _x000a_&lt;b&gt;0 hrs&lt;/b&gt; of Recognising Loyalty _x000a_&lt;b&gt;0 hrs&lt;/b&gt; of Work Anniversary _x000a_&lt;b&gt;-25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29/03/2023._x000a__x000a_&lt;b&gt;0 hrs&lt;/b&gt; of MyReward _x000a_&lt;b&gt;62 hrs 30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31/12/2023._x000a__x000a_&lt;b&gt;0 hrs&lt;/b&gt; of MyReward _x000a_&lt;b&gt;27 hrs 15 mins&lt;/b&gt; of Holiday _x000a_&lt;b&gt;0 hrs&lt;/b&gt; of Recognising Loyalty _x000a_&lt;b&gt;0 hrs&lt;/b&gt; of Work Anniversary _x000a_&lt;b&gt;-25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HELENA.KENNY@NATIONWIDE.CO.UK%22%2c+env%3a+%22https://dnn.fa.em2.oraclecloud.com%22%7d&amp;opauniqueuser=HELENA.KENNY@NATIONWIDE.CO.UK"/>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BEAU.MORONEY@NATIONWIDE.CO.UK%22%2c+env%3a+%22https://dnn.fa.em2.oraclecloud.com%22%7d&amp;opauniqueuser=BEAU.MORONEY@NATIONWIDE.CO.UK_x000a_Job Security and Redundancy Policy: https://dnn.fa.em2.oraclecloud.com:443/fscmUI/faces/deeplink?objType=CSO_ARTICLE_CONTENT_KM&amp;objKey=docId%3DHRPOL17%3Blocale%3Den_US&amp;action=EDIT_IN_TAB"/>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WILLIAM.SPEARING@NATIONWIDE.CO.UK%22%2c+env%3a+%22https://dnn.fa.em2.oraclecloud.com%22%7d&amp;opauniqueuser=WILLIAM.SPEARING@NATIONWIDE.CO.UK_x000a_Job Security and Redundancy Policy: https://dnn.fa.em2.oraclecloud.com:443/fscmUI/faces/deeplink?objType=CSO_ARTICLE_CONTENT_KM&amp;objKey=docId%3DHRPOL17%3Blocale%3Den_US&amp;action=EDIT_IN_TAB"/>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martin.logan@nationwide.co.uk%22%2c+env%3a+%22https://dnn.fa.em2.oraclecloud.com%22%7d&amp;opauniqueuser=martin.logan@nationwide.co.uk_x000a_Job Security and Redundancy Policy: https://dnn.fa.em2.oraclecloud.com:443/fscmUI/faces/deeplink?objType=CSO_ARTICLE_CONTENT_KM&amp;objKey=docId%3DHRPOL17%3Blocale%3Den_US&amp;action=EDIT_IN_TAB"/>
        <s v="You report to &lt;b&gt;Lauren Jamieson&lt;/b&gt;, Senior Experience Lead._x000a__x000a_&lt;b&gt;Lauren's&lt;/b&gt; office location is Caledonia House, Carnegie Avenue in Dunfermline, Fife Region, GB._x000a__x000a_Email: &lt;a href='mailto:Lauren.Jamieson@nationwide.co.uk'&gt;Lauren.Jamieson@nationwide.co.uk&lt;/a&gt;_x000a__x000a_View &lt;b&gt;Lauren's&lt;/b&gt; profile in &lt;a href=&quot;https://dnn.fa.em2.oraclecloud.com/fscmUI/faces/deeplink?objType=DIRECTORY_SEARCH&amp;action=NONE&quot;&gt;Directory&lt;/a&gt; to know more."/>
        <s v="You have no pending approval requests and 1 FYIs."/>
        <s v="Here are your FYIs:_x000a__x000a_1. PeopleCloud Learning - You have recently been assigned learning_x000a__x000a_&lt;a href='https://dnn.fa.em2.oraclecloud.com:443/hcmUI/faces/adf.task-flow?tz=UTC&amp;df=medium&amp;dt=both&amp;tf=short&amp;lg=en&amp;cy=US&amp;bpmWorklistTaskId=86eb16ae-4d83-40e9-a700-07ab475bea71&amp;bpmBrowserWindowStatus=taskFlowReturn&amp;bpmWorklistContext=026bc684-3f61-4eed-bc01-b1cbe7c70779%3B%3BG%3B%3BXjMYQkVYKM4jFTJWfLJQWsRrvRSQ%2FGIc4DSjexE4gF3piJ1SOLwDa%2FfPJgo0ex28YLgfdv3B9kPLjV0PefHI5n3uk0Ux00ltjyr%2FjbtyyIBKn9ODp%2FVdzeQcbWIMv1nT1iLRRuHQRtxwebCIXOqAdHpPs7HXtuVNyyambJ%2BMyenW2CgRppvAYTKTLLuj4xhD&amp;bpmClientType=&amp;sf=alta&amp;_id=HcmEmailNotificationHumantask_TF&amp;_document=WEB-INF%2Foracle%2Fapps%2Fhcm%2Fcommon%2Fcore%2Falerts%2FpublicUi%2Fcomponent%2Fflow%2FHcmEmailNotificationHumantask_TFxml.xml' target='_blank'&gt;View Details&lt;/a&gt;"/>
        <s v="Your work email is &lt;a href='mailto:Thomas.Copestake@nationwide.co.uk'&gt;Thomas.Copestake@nationwide.co.uk&lt;/a&gt;._x000a__x000a_&lt;a href=&quot;https://dnn.fa.em2.oraclecloud.com/hcmUI/faces/deeplink?objType=EMP_CONTACT_INFO&amp;action=NONE&quot;&gt;View additional contact information&lt;/a&gt; including your phone, email, home address and other communication methods._x000a__x000a_Need to see a co-workers work email address? Try something like 'Show me John Smith's email'."/>
        <s v="Here's your absence balance as of 30/03/2023._x000a__x000a_&lt;b&gt;9 hrs&lt;/b&gt; of Work Anniversary _x000a_&lt;b&gt;0 hrs&lt;/b&gt; of Public Holiday _x000a_&lt;b&gt;0 hrs&lt;/b&gt; of Sabbatical Leave _x000a_&lt;b&gt;0 hrs&lt;/b&gt; of Recognising Loyalty _x000a_&lt;b&gt;0 hrs&lt;/b&gt; of MyReward _x000a_&lt;b&gt;140 hrs 30 mins&lt;/b&gt; of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ve taken the following time off in the last twelve months._x000a__x000a_&lt;b&gt;21 hrs&lt;/b&gt; of &lt;b&gt;Holiday&lt;/b&gt; from Jun 28th to Jun 30th_x000a_&lt;b&gt;45 hrs 30 mins&lt;/b&gt; of &lt;b&gt;Holiday&lt;/b&gt; from May 10th to May 19th_x000a_&lt;b&gt;4 days&lt;/b&gt; of &lt;b&gt;Sickness&lt;/b&gt; from Nov 23rd to Nov 26th_x000a_&lt;b&gt;21 hrs&lt;/b&gt; of &lt;b&gt;Holiday&lt;/b&gt; from Nov 2nd to Nov 4th_x000a_&lt;b&gt;21 hrs&lt;/b&gt; of &lt;b&gt;Holiday&lt;/b&gt; from Sep 28th to Sep 30th_x000a_&lt;b&gt;42 hrs&lt;/b&gt; of &lt;b&gt;Holiday&lt;/b&gt; from Sep 7th to Sep 16th_x000a__x000a_Schedule time off: https://dnn.fa.em2.oraclecloud.com/hcmUI/faces/deeplink?objType=ADD_ABSENCE&amp;action=NONE_x000a_View absences for a specific duration_x000a_View absence balance (excl. sickness balance)"/>
        <s v="You report to &lt;b&gt;Victoria Evans&lt;/b&gt;, Business Designer._x000a__x000a_&lt;b&gt;Victoria's&lt;/b&gt; office location is Nationwide House, Pipers Way in Swindon, Wiltshire, GB._x000a__x000a_Email: &lt;a href='mailto:victoria.evans3@nationwide.co.uk'&gt;victoria.evans3@nationwide.co.uk&lt;/a&gt;_x000a__x000a_View &lt;b&gt;Victoria's&lt;/b&gt; profile in &lt;a href=&quot;https://dnn.fa.em2.oraclecloud.com/fscmUI/faces/deeplink?objType=DIRECTORY_SEARCH&amp;action=NONE&quot;&gt;Directory&lt;/a&gt; to know more._x000a__x000a_Need to see one of your co-workers manager? Try &lt;q&gt;Show me John Smith's manager&lt;/q&gt;."/>
        <s v="Choose the right person to see their manager._x000a__x000a_Business Designer_x000a_https://dnn.fa.em2.oraclecloud.com/hcmUI/personImage?personId=202000010532564&amp;returnSquare=true&amp;maxSize=800&amp;returnInitials=Y_x000a_Natalie Elly_x000a__x000a_P&amp;O Senior Consultant_x000a_https://dnn.fa.em2.oraclecloud.com/hcmUI/personImage?personId=204440003542166&amp;returnSquare=true&amp;maxSize=800&amp;returnInitials=Y_x000a_Natalie Kelly"/>
        <s v="Natalie Elly reports to &lt;b&gt;Sarah Doyle&lt;/b&gt;, Business Designer._x000a__x000a_&lt;b&gt;Sarah's&lt;/b&gt; office location is Nationwide House, Pipers Way in Swindon, Wiltshire, GB._x000a__x000a_Email: &lt;a href='mailto:sarah.doyle@nationwide.co.uk'&gt;sarah.doyle@nationwide.co.uk&lt;/a&gt;_x000a__x000a_View &lt;b&gt;Sarah's&lt;/b&gt; profile in &lt;a href=&quot;https://dnn.fa.em2.oraclecloud.com/fscmUI/faces/deeplink?objType=DIRECTORY_SEARCH&amp;action=NONE&quot;&gt;Directory&lt;/a&gt; to know more."/>
        <s v="You have the following time off in the next twelve months._x000a__x000a_&lt;b&gt;14 hrs&lt;/b&gt; of &lt;b&gt;Holiday&lt;/b&gt; from Oct 12th to Oct 13th_x000a_&lt;b&gt;7 hrs&lt;/b&gt; of &lt;b&gt;Holiday&lt;/b&gt; on Nov 28th_x000a__x000a_Schedule time off: https://dnn.fa.em2.oraclecloud.com/hcmUI/faces/deeplink?objType=ADD_ABSENCE&amp;action=NONE_x000a_View past absences_x000a_View absences for a specific duration_x000a_View absence balance (excl. sickness balance)"/>
        <s v="Here's your absence balance as of 30/03/2023._x000a__x000a_&lt;b&gt;201 hrs 1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ve taken the following time off in the last twelve months._x000a__x000a_&lt;b&gt;1 day&lt;/b&gt; of &lt;b&gt;Sickness&lt;/b&gt; on May 18th_x000a_&lt;b&gt;2 days&lt;/b&gt; of &lt;b&gt;Sickness&lt;/b&gt; from Mar 30th to Mar 31st_x000a__x000a_Schedule time off: https://dnn.fa.em2.oraclecloud.com/hcmUI/faces/deeplink?objType=ADD_ABSENCE&amp;action=NONE_x000a_View absences for a specific duration_x000a_View absence balance (excl. sickness balance)"/>
        <s v="You have the following time off in the next twelve months._x000a__x000a_&lt;b&gt;3 hrs&lt;/b&gt; of &lt;b&gt;Holiday&lt;/b&gt; on Sep 1st_x000a_&lt;b&gt;35 hrs&lt;/b&gt; of &lt;b&gt;Holiday&lt;/b&gt; from Sep 4th to Sep 8th_x000a_&lt;b&gt;3 hrs&lt;/b&gt; of &lt;b&gt;Holiday&lt;/b&gt; on Oct 6th_x000a_&lt;b&gt;3 hrs&lt;/b&gt; of &lt;b&gt;Holiday&lt;/b&gt; on Oct 13th_x000a_&lt;b&gt;3 hrs&lt;/b&gt; of &lt;b&gt;Holiday&lt;/b&gt; on Oct 20th_x000a_&lt;b&gt;3 hrs&lt;/b&gt; of &lt;b&gt;Holiday&lt;/b&gt; on Oct 27th_x000a_&lt;b&gt;3 hrs&lt;/b&gt; of &lt;b&gt;Holiday&lt;/b&gt; on Nov 3rd_x000a_&lt;b&gt;11 hrs&lt;/b&gt; of &lt;b&gt;Holiday&lt;/b&gt; from Dec 1st to Dec 4th_x000a_&lt;b&gt;8 hrs&lt;/b&gt; of &lt;b&gt;Holiday&lt;/b&gt; on Dec 5th_x000a__x000a_Schedule time off: https://dnn.fa.em2.oraclecloud.com/hcmUI/faces/deeplink?objType=ADD_ABSENCE&amp;action=NONE_x000a_View past absences_x000a_View absences for a specific duration_x000a_View absence balance (excl. sickness balance)"/>
        <s v="Here's your absence balance as of 30/03/2023._x000a__x000a_&lt;b&gt;0 hrs&lt;/b&gt; of MyReward _x000a_&lt;b&gt;89 hrs 15 mins&lt;/b&gt; of Holiday _x000a_&lt;b&gt;0 hrs&lt;/b&gt; of Recognising Loyalty _x000a_&lt;b&gt;0 hrs&lt;/b&gt; of Work Anniversary _x000a_&lt;b&gt;-7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31/12/2023._x000a__x000a_&lt;b&gt;0 hrs&lt;/b&gt; of MyReward _x000a_&lt;b&gt;36 hrs 45 mins&lt;/b&gt; of Holiday _x000a_&lt;b&gt;0 hrs&lt;/b&gt; of Recognising Loyalty _x000a_&lt;b&gt;0 hrs&lt;/b&gt; of Work Anniversary _x000a_&lt;b&gt;-7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Sure. Here's how you can do it._x000a__x000a_&lt;a href=&quot;https://dnn.fa.em2.oraclecloud.com/hcmUI/faces/deeplink?objType=EMP_CONTACT_INFO&amp;action=NONE&quot;&gt;View and update your contact details&lt;/a&gt; including your phone, email, home address and other communication method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MATT.BISSET@NATIONWIDE.CO.UK%22%2c+env%3a+%22https://dnn.fa.em2.oraclecloud.com%22%7d&amp;opauniqueuser=MATT.BISSET@NATIONWIDE.CO.UK"/>
        <s v="Here's your absence balance as of 30/03/2023._x000a__x000a_&lt;b&gt;-18 hrs 15 mins&lt;/b&gt; of Public Holiday _x000a_&lt;b&gt;0 hrs&lt;/b&gt; of MyReward _x000a_&lt;b&gt;46 hrs 15 mins&lt;/b&gt; of Holiday _x000a_&lt;b&gt;0 hrs&lt;/b&gt; of Recognising Loyalty _x000a_&lt;b&gt;0 hrs&lt;/b&gt; of Work Anniversar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31/12/2023._x000a__x000a_&lt;b&gt;-18 hrs 15 mins&lt;/b&gt; of Public Holiday _x000a_&lt;b&gt;0 hrs&lt;/b&gt; of MyReward _x000a_&lt;b&gt;46 hrs 15 mins&lt;/b&gt; of Holiday _x000a_&lt;b&gt;0 hrs&lt;/b&gt; of Recognising Loyalty _x000a_&lt;b&gt;0 hrs&lt;/b&gt; of Work Anniversar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 are your FYIs:_x000a__x000a_1. PeopleCloud Learning - You have recently been assigned learning_x000a__x000a_&lt;a href='https://dnn.fa.em2.oraclecloud.com:443/hcmUI/faces/adf.task-flow?tz=UTC&amp;df=medium&amp;dt=both&amp;tf=short&amp;lg=en&amp;cy=US&amp;bpmWorklistTaskId=5f0060d2-74db-442e-984e-041048906506&amp;bpmBrowserWindowStatus=taskFlowReturn&amp;bpmWorklistContext=6d1174b6-cf21-407b-859c-e807c8fc04c7%3B%3BG%3B%3Bdeyf9LsS3jpTiR6Z9FQLXutxAJTSBWsDOoLOE1E2Y8b23Y1uYwD%2B26PiQkhC9APC0DA%2BXhwwkLGO1UEniuhe1HC819Rsv4cy1Tbvze6GEtmZnCUKnTsgN5eAZlnE7QLwRe9HszXDrHPHgitgkGowF4io%2FVfBLYMSTn6bL6z21Dosi%2FJVM%2Fy7VL4cWK%2B0MwzE&amp;bpmClientType=&amp;sf=alta&amp;_id=HcmEmailNotificationHumantask_TF&amp;_document=WEB-INF%2Foracle%2Fapps%2Fhcm%2Fcommon%2Fcore%2Falerts%2FpublicUi%2Fcomponent%2Fflow%2FHcmEmailNotificationHumantask_TFxml.xml' target='_blank'&gt;View Details&lt;/a&gt;"/>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LEANNE.SCHOEMAN@NATIONWIDE.CO.UK%22%2c+env%3a+%22https://dnn.fa.em2.oraclecloud.com%22%7d&amp;opauniqueuser=LEANNE.SCHOEMAN@NATIONWIDE.CO.UK_x000a_Job Security and Redundancy Policy: https://dnn.fa.em2.oraclecloud.com:443/fscmUI/faces/deeplink?objType=CSO_ARTICLE_CONTENT_KM&amp;objKey=docId%3DHRPOL17%3Blocale%3Den_US&amp;action=EDIT_IN_TAB"/>
        <s v="Here's your absence balance as of 30/03/2023._x000a__x000a_&lt;b&gt;0 hrs&lt;/b&gt; of MyReward _x000a_&lt;b&gt;91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31/12/2023._x000a__x000a_&lt;b&gt;0 hrs&lt;/b&gt; of MyReward _x000a_&lt;b&gt;14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tst1.custhelp.com/web-determinations/startsession/NBS_Maternity?seedData=%7bname%3a+%22beth.hatherall@nationwide.co.uk%22%2c+env%3a+%22https://dnn.fa.em2.oraclecloud.com%22%7d&amp;opauniqueuser=beth.hatherall@nationwide.co.uk"/>
        <s v="You have the following time off in the next twelve months._x000a__x000a_&lt;b&gt;21 hrs&lt;/b&gt; of &lt;b&gt;Holiday&lt;/b&gt; from Sep 11th to Sep 13th_x000a_&lt;b&gt;7 hrs&lt;/b&gt; of &lt;b&gt;Holiday&lt;/b&gt; on Oct 23rd_x000a_&lt;b&gt;7 hrs&lt;/b&gt; of &lt;b&gt;Holiday&lt;/b&gt; on Nov 13th_x000a_&lt;b&gt;14 hrs&lt;/b&gt; of &lt;b&gt;Holiday&lt;/b&gt; from Dec 4th to Dec 5th_x000a__x000a_Schedule time off: https://dnn.fa.em2.oraclecloud.com/hcmUI/faces/deeplink?objType=ADD_ABSENCE&amp;action=NONE_x000a_View past absences_x000a_View absences for a specific duration_x000a_View absence balance (excl. sickness balance)"/>
        <s v="Here's your absence balance as of 30/03/2023._x000a__x000a_&lt;b&gt;0 hrs&lt;/b&gt; of MyReward _x000a_&lt;b&gt;55 hrs 45 mins&lt;/b&gt; of Holiday _x000a_&lt;b&gt;0 hrs&lt;/b&gt; of Recognising Loyalty _x000a_&lt;b&gt;0 hrs&lt;/b&gt; of Work Anniversary _x000a_&lt;b&gt;-18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have the following time off in the next twelve months._x000a__x000a_&lt;b&gt;21 hrs&lt;/b&gt; of &lt;b&gt;Holiday&lt;/b&gt; from Sep 11th to Sep 13th_x000a_&lt;b&gt;7 hrs&lt;/b&gt; of &lt;b&gt;Holiday&lt;/b&gt; on Oct 23rd_x000a_&lt;b&gt;7 hrs&lt;/b&gt; of &lt;b&gt;Holiday&lt;/b&gt; on Nov 13th_x000a_&lt;b&gt;14 hrs&lt;/b&gt; of &lt;b&gt;Holiday&lt;/b&gt; from Dec 4th to Dec 5th_x000a__x000a_Schedule time off: https://dnn.fa.em2.oraclecloud.com/hcmUI/faces/deeplink?objType=ADD_ABSENCE&amp;action=NONE_x000a_View absences for a specific duration_x000a_View absence balance (excl. sickness balance)"/>
        <s v="Here's your absence balance as of 30/03/2023._x000a__x000a_&lt;b&gt;0 hrs&lt;/b&gt; of MyReward _x000a_&lt;b&gt;55 hrs 45 mins&lt;/b&gt; of Holiday _x000a_&lt;b&gt;0 hrs&lt;/b&gt; of Recognising Loyalty _x000a_&lt;b&gt;0 hrs&lt;/b&gt; of Work Anniversary _x000a_&lt;b&gt;-18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s v="You have 30 submissions pending approval:"/>
        <s v="Here are your first 3 requests:_x000a__x000a_1. Personal Contribution Approval Requested for Dhivya Pethurajan (508263) on 2023-08-04 by Dhivya Pethurajan_x000a_Completed on August 28th 2023_x000a__x000a_2. Personal Contribution Approval Requested for Dhivya Pethurajan (508263) on 2023-08-04 by Dhivya Pethurajan_x000a_Completed on August 28th 2023_x000a__x000a_3. Personal Contribution Approval Requested for Dhivya Pethurajan (508263) on 2023-08-14 by Dhivya Pethurajan_x000a_Completed on August 21st 2023_x000a__x000a_Next 3"/>
        <s v="Next 3:_x000a__x000a_4. Personal Contribution Approval Requested for Dhivya Pethurajan (508263) on 2023-08-14 by Dhivya Pethurajan_x000a_Completed on August 14th 2023_x000a__x000a_5. Personal Contribution Approval Requested for Dhivya Pethurajan (508263) on 2023-08-14 by Dhivya Pethurajan_x000a_Completed on August 14th 2023_x000a__x000a_6. Personal Contribution Approval Requested for Dhivya Pethurajan (508263) on 2023-08-04 by Dhivya Pethurajan_x000a_Completed on August 4th 2023_x000a__x000a_Next 3"/>
        <s v="Here's your absence balance as of 30/03/2023._x000a__x000a_&lt;b&gt;0 hrs&lt;/b&gt; of MyReward _x000a_&lt;b&gt;72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Here's your absence balance as of 30/03/2023._x000a__x000a_&lt;b&gt;0 hrs&lt;/b&gt; of MyReward _x000a_&lt;b&gt;131 hrs 45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have the following time off in the next twelve months._x000a__x000a_&lt;b&gt;53 hrs&lt;/b&gt; of &lt;b&gt;Holiday&lt;/b&gt; from Sep 12th to Sep 20th_x000a__x000a_Schedule time off: https://dnn.fa.em2.oraclecloud.com/hcmUI/faces/deeplink?objType=ADD_ABSENCE&amp;action=NONE_x000a_View absences for a specific duration_x000a_View absence balance (excl. sickness balance)"/>
        <s v="I'm sorry. I can't find any active colleagues called &lt;b&gt;Hiliday Calcualot&lt;/b&gt;. Can you enter the person's name again, in case I got it wrong. Just so you know, my directory only shows active colleagues. If the person you're looking for has left or is temporarily inactive they won't show. If you need to find their employee number or other directory details please raise a Service Request via your Helpdesk tab."/>
        <s v="I'm sorry. I can't find any active colleagues called &lt;b&gt;{NAME}&lt;/b&gt;.  Just so you know, my directory only shows active colleagues. If the person you're looking for has left or is temporarily inactive they won't show. If you need to find their employee number or other directory details please raise a Service Request via your Helpdesk tab."/>
        <s v="Let me know if you have another question for me."/>
        <s v="Here's your absence balance as of 30/03/2023._x000a__x000a_&lt;b&gt;0 hrs&lt;/b&gt; of Public Holiday _x000a_&lt;b&gt;0 hrs&lt;/b&gt; of MyReward _x000a_&lt;b&gt;217 hrs&lt;/b&gt; of Holiday _x000a_&lt;b&gt;0 hrs&lt;/b&gt; of Recognising Loyalty _x000a_&lt;b&gt;0 hrs&lt;/b&gt; of Work Anniversar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asia.fox@nationwide.co.uk%22%2c+env%3a+%22https://dnn.fa.em2.oraclecloud.com%22%7d&amp;opauniqueuser=asia.fox@nationwide.co.uk"/>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CARLO.PILEGGI@NATIONWIDE.CO.UK%22%2c+env%3a+%22https://dnn.fa.em2.oraclecloud.com%22%7d&amp;opauniqueuser=CARLO.PILEGGI@NATIONWIDE.CO.UK_x000a_Job Security and Redundancy Policy: https://dnn.fa.em2.oraclecloud.com:443/fscmUI/faces/deeplink?objType=CSO_ARTICLE_CONTENT_KM&amp;objKey=docId%3DHRPOL17%3Blocale%3Den_US&amp;action=EDIT_IN_TAB"/>
        <s v="Your work email is &lt;a href='mailto:Genevieve.Kirk@nationwide.co.uk'&gt;Genevieve.Kirk@nationwide.co.uk&lt;/a&gt;._x000a__x000a_&lt;a href=&quot;https://dnn.fa.em2.oraclecloud.com/hcmUI/faces/deeplink?objType=EMP_CONTACT_INFO&amp;action=NONE&quot;&gt;View additional contact information&lt;/a&gt; including your phone, email, home address and other communication methods._x000a__x000a_Need to see a co-workers work email address? Try something like 'Show me John Smith's email'."/>
        <s v="Here's your absence balance as of 30/03/2023._x000a__x000a_&lt;b&gt;0 hrs&lt;/b&gt; of MyReward _x000a_&lt;b&gt;65 hrs 45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 have the following time off in the next twelve months._x000a__x000a_&lt;b&gt;35 hrs&lt;/b&gt; of &lt;b&gt;Holiday&lt;/b&gt; from Oct 30th to Nov 3rd_x000a__x000a_Schedule time off: https://dnn.fa.em2.oraclecloud.com/hcmUI/faces/deeplink?objType=ADD_ABSENCE&amp;action=NONE_x000a_View absences for a specific duration_x000a_View absence balance (excl. sickness balance)"/>
        <s v="Here's your absence balance as of 30/03/2023._x000a__x000a_&lt;b&gt;0 hrs&lt;/b&gt; of MyReward _x000a_&lt;b&gt;65 hrs 45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s v="Your department is &lt;b&gt;0946 - Ballymena&lt;/b&gt;._x000a__x000a_Need to see a co-worker's department? Try something like 'Show me John Smith's department'"/>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sharon.bouchard@nationwide.co.uk%22%2c+env%3a+%22https://dnn.fa.em2.oraclecloud.com%22%7d&amp;opauniqueuser=sharon.bouchard@nationwide.co.uk"/>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CHRISTINEL.NEWBY@NATIONWIDE.CO.UK%22%2c+env%3a+%22https://dnn.fa.em2.oraclecloud.com%22%7d&amp;opauniqueuser=CHRISTINEL.NEWBY@NATIONWIDE.CO.UK"/>
        <s v="You have nothing to approve."/>
        <s v="Here's your absence balance as of 30/03/2023._x000a__x000a_&lt;b&gt;0 hrs&lt;/b&gt; of MyReward _x000a_&lt;b&gt;73 hrs 45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You've taken the following time off in the last twelve months._x000a__x000a_&lt;b&gt;21 hrs&lt;/b&gt; of &lt;b&gt;Holiday&lt;/b&gt; from Aug 18th to Aug 22nd_x000a_&lt;b&gt;3 hrs 30 mins&lt;/b&gt; of &lt;b&gt;Holiday&lt;/b&gt; on Aug 16th_x000a_&lt;b&gt;7 hrs&lt;/b&gt; of &lt;b&gt;Holiday&lt;/b&gt; on Jul 14th_x000a_&lt;b&gt;2 hrs 30 mins&lt;/b&gt; of &lt;b&gt;Holiday&lt;/b&gt; on Jun 2nd_x000a_&lt;b&gt;2 hrs 30 mins&lt;/b&gt; of &lt;b&gt;Holiday&lt;/b&gt; on Jun 1st_x000a_&lt;b&gt;14 hrs&lt;/b&gt; of &lt;b&gt;Holiday&lt;/b&gt; from May 16th to May 17th_x000a__x000a_Schedule time off: https://dnn.fa.em2.oraclecloud.com/hcmUI/faces/deeplink?objType=ADD_ABSENCE&amp;action=NONE_x000a_View absences for a specific duration_x000a_View absence balance (excl. sickness balance)"/>
        <s v="Here's your absence balance as of 31/03/2023._x000a__x000a_&lt;b&gt;0 hrs&lt;/b&gt; of MyReward _x000a_&lt;b&gt;0 hrs&lt;/b&gt; of Recognising Loyalty _x000a_&lt;b&gt;113 hrs&lt;/b&gt; of Holida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tst1.custhelp.com/web-determinations/startsession/NBS_Maternity?seedData=%7bname%3a+%22CRAIG.HALL2@NATIONWIDE.CO.UK%22%2c+env%3a+%22https://dnn.fa.em2.oraclecloud.com%22%7d&amp;opauniqueuser=CRAIG.HALL2@NATIONWIDE.CO.UK"/>
        <s v="Here's your absence balance as of 31/03/2023._x000a__x000a_&lt;b&gt;0 hrs&lt;/b&gt; of MyReward _x000a_&lt;b&gt;85 hrs&lt;/b&gt; of Holiday _x000a_&lt;b&gt;0 hrs&lt;/b&gt; of Recognising Loyalty _x000a_&lt;b&gt;0 hrs&lt;/b&gt; of Work Anniversary _x000a_&lt;b&gt;-7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Sorry, you can't update your work email. Only Logical Access can do this. If you've recently updated your name or preferred name in PeopleCloud, Logical Access will email you in the next few days to ask if you'd like to update your work email to match your new name details._x000a__x000a_Your work email is &lt;a href='mailto:Natalie.Phillips@nationwide.co.uk'&gt;Natalie.Phillips@nationwide.co.uk&lt;/a&gt;._x000a__x000a_&lt;a href=&quot;https://dnn.fa.em2.oraclecloud.com/hcmUI/faces/deeplink?objType=EMP_CONTACT_INFO&amp;action=NONE&quot;&gt;View additional contact information&lt;/a&gt; including your phone, email, home address and other communication methods."/>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laura.williams@nationwide.co.uk%22%2c+env%3a+%22https://dnn.fa.em2.oraclecloud.com%22%7d&amp;opauniqueuser=laura.williams@nationwide.co.uk"/>
        <s v="You have 13 submissions pending approval:"/>
        <s v="Here are your first 3 requests:_x000a__x000a_1. Personal Contribution Approval Requested for Adam Paphitis (411710) on 2023-08-31 by Adam Paphitis_x000a_Assigned on August 31st 2023_x000a__x000a_2. Personal Contribution Approval Requested for Adam Paphitis (411710) on 2023-08-31 by Adam Paphitis_x000a_Assigned on August 31st 2023_x000a__x000a_3. Personal Contribution Approval Requested for Adam Paphitis (411710) on 2023-08-31 by Adam Paphitis_x000a_Withdrawn on August 31st 2023_x000a__x000a_Next 3"/>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HANNAH.BATER@NATIONWIDE.CO.UK%22%2c+env%3a+%22https://dnn.fa.em2.oraclecloud.com%22%7d&amp;opauniqueuser=HANNAH.BATER@NATIONWIDE.CO.UK_x000a_Job Security and Redundancy Policy: https://dnn.fa.em2.oraclecloud.com:443/fscmUI/faces/deeplink?objType=CSO_ARTICLE_CONTENT_KM&amp;objKey=docId%3DHRPOL17%3Blocale%3Den_US&amp;action=EDIT_IN_TAB"/>
        <s v="&lt;a href='https://dnn.fa.em2.oraclecloud.com/hcmUI/content/conn/FusionAppsContentRepository/uuid/dDocID:8741252?download&amp;XFND_SCHEME_ID=1&amp;XFND_CERT_FP=E7A6669B1744C0DE0883C285E2A79DD364729D79&amp;XFND_RANDOM=-8859034583157564670&amp;XFND_EXPIRES=1693478562991&amp;XFND_SIGNATURE=DpcYgM20PysvxB9q0~q5s3g0kgWLIG1wf6pmnkYPpJh6bhftIV7po4OT6SR6g-6NMoJltLc-wPzgeHdzJmvsW4mHEhz7kLXM7wsAcckXbyGwbabblDrHDXWOkpBDHtjM3WtLVguCAuO0cvMIekqWk1Y0qw~-2KMBE3kZ4cjCO78_&amp;Id=8741252' &gt;View your payslip&lt;/a&gt;"/>
        <s v="Here's your absence balance as of 31/03/2023._x000a__x000a_&lt;b&gt;0 hrs&lt;/b&gt; of MyReward _x000a_&lt;b&gt;84 hrs&lt;/b&gt; of Holiday _x000a_&lt;b&gt;0 hrs&lt;/b&gt; of Recognising Loyalty _x000a_&lt;b&gt;7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CATHERINE.WALTON@NATIONWIDE.CO.UK%22%2c+env%3a+%22https://dnn.fa.em2.oraclecloud.com%22%7d&amp;opauniqueuser=CATHERINE.WALTON@NATIONWIDE.CO.UK_x000a_Job Security and Redundancy Policy: https://dnn.fa.em2.oraclecloud.com:443/fscmUI/faces/deeplink?objType=CSO_ARTICLE_CONTENT_KM&amp;objKey=docId%3DHRPOL17%3Blocale%3Den_US&amp;action=EDIT_IN_TAB"/>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Emilie.Staple@nationwide.co.uk%22%2c+env%3a+%22https://dnn.fa.em2.oraclecloud.com%22%7d&amp;opauniqueuser=Emilie.Staple@nationwide.co.uk"/>
        <s v="&lt;a href='https://dnn.fa.em2.oraclecloud.com/hcmUI/content/conn/FusionAppsContentRepository/uuid/dDocID:8746043?download&amp;XFND_SCHEME_ID=1&amp;XFND_CERT_FP=E7A6669B1744C0DE0883C285E2A79DD364729D79&amp;XFND_RANDOM=-866187256487921566&amp;XFND_EXPIRES=1693484756876&amp;XFND_SIGNATURE=nLWmGJq9Bn2ZzY1KWbCWF-Gd75ldXGi3hrZopvV3nJM8xj~wVLAb8nj7nj4~haN5lPSy8zN6~RvZuOkf~11uKKpuaew1P4qAGTfDCQlHEpNBzdrEf~rpOCT9beSPhW1iYYaF6Z2FX69LGYyHZBbbmUyiEnlYf-AYDtRbo0Uccv4_&amp;Id=8746043' &gt;View your payslip&lt;/a&gt;"/>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REBECCA.LANGDON@NATIONWIDE.CO.UK%22%2c+env%3a+%22https://dnn.fa.em2.oraclecloud.com%22%7d&amp;opauniqueuser=REBECCA.LANGDON@NATIONWIDE.CO.UK"/>
        <s v="Here are your first 3 requests:_x000a__x000a_1. Personal Contribution Approval Requested for Tracey Clarke (041079) on 2023-08-29 by Tracey Clarke_x000a_Completed on August 30th 2023_x000a__x000a_2. Personal Contribution Approval Requested for Tracey Clarke (041079) on 2023-08-29 by Tracey Clarke_x000a_Completed on August 29th 2023_x000a__x000a_3. Personal Contribution Approval Requested for Tracey Clarke (041079) on 2023-08-29 by Tracey Clarke_x000a_Completed on August 29th 2023_x000a__x000a_Next 3"/>
        <s v="Here are your FYIs:_x000a__x000a_1. PeopleCloud Learning - You have recently been assigned learning_x000a__x000a_&lt;a href='https://dnn.fa.em2.oraclecloud.com:443/hcmUI/faces/adf.task-flow?tz=UTC&amp;df=medium&amp;dt=both&amp;tf=short&amp;lg=en&amp;cy=US&amp;bpmWorklistTaskId=79fc353a-72f3-4796-904a-dc495b8cf874&amp;bpmBrowserWindowStatus=taskFlowReturn&amp;bpmWorklistContext=9b41f593-8eb9-4598-bd75-b333efea12d4%3B%3BG%3B%3BrwwEzgHzAJcTXeOeb62gusaz9Qj1Q9Hj%2FrLgEtV%2FCQhi1jxMRkQ41N%2FGIP48fyKWoLM%2Fna91mgzj8CQS6dwcZm9EQike%2BOqyB1VhHNHoyNfk2skWdydGWWT%2FrshjPri3AON%2FOGyqwf5K9zgaOB6jFbO8zTbhzhdjD6w2PjkjO5n7DKgSURlbwFvTpWI%2BUTVa&amp;bpmClientType=&amp;sf=alta&amp;_id=HcmEmailNotificationHumantask_TF&amp;_document=WEB-INF%2Foracle%2Fapps%2Fhcm%2Fcommon%2Fcore%2Falerts%2FpublicUi%2Fcomponent%2Fflow%2FHcmEmailNotificationHumantask_TFxml.xml' target='_blank'&gt;View Details&lt;/a&gt;"/>
        <s v="Here are your FYIs:_x000a__x000a_1. PeopleCloud Learning - You have recently been assigned learning_x000a__x000a_&lt;a href='https://dnn.fa.em2.oraclecloud.com:443/hcmUI/faces/adf.task-flow?tz=UTC&amp;df=medium&amp;dt=both&amp;tf=short&amp;lg=en&amp;cy=US&amp;bpmWorklistTaskId=79fc353a-72f3-4796-904a-dc495b8cf874&amp;bpmBrowserWindowStatus=taskFlowReturn&amp;bpmWorklistContext=6011b29d-9561-4219-9673-593658181786%3B%3BG%3B%3Bvw0UtX0x%2BSt8lgRyYyayKpAsN2hCodmdyfT5FVZ6wPY3g3S2BTP6zVEW%2F6YtiOViRu64P7ba645yxzJ9zxmwA%2FgfAM1XppXqSeibK%2F7Dh13ib7dSrrW1QaY2R8Gh4x7J731DtKw0HRQ0tWAgBctsLFcZ1Jbc66ma%2Bmluufd%2BXsSjnS8WkMvH%2BtGUI8OfgWxY&amp;bpmClientType=&amp;sf=alta&amp;_id=HcmEmailNotificationHumantask_TF&amp;_document=WEB-INF%2Foracle%2Fapps%2Fhcm%2Fcommon%2Fcore%2Falerts%2FpublicUi%2Fcomponent%2Fflow%2FHcmEmailNotificationHumantask_TFxml.xml' target='_blank'&gt;View Details&lt;/a&gt;"/>
        <s v="Sorry, you can't update your work email. Only Logical Access can do this. If you've recently updated your name or preferred name in PeopleCloud, Logical Access will email you in the next few days to ask if you'd like to update your work email to match your new name details._x000a__x000a_Your work email is &lt;a href='mailto:caroline.jones@nationwide.co.uk'&gt;caroline.jones@nationwide.co.uk&lt;/a&gt;._x000a__x000a_&lt;a href=&quot;https://dnn.fa.em2.oraclecloud.com/hcmUI/faces/deeplink?objType=EMP_CONTACT_INFO&amp;action=NONE&quot;&gt;View additional contact information&lt;/a&gt; including your phone, email, home address and other communication methods."/>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Tom.Campbell@nationwide.co.uk%22%2c+env%3a+%22https://dnn.fa.em2.oraclecloud.com%22%7d&amp;opauniqueuser=Tom.Campbell@nationwide.co.uk_x000a_Job Security and Redundancy Policy: https://dnn.fa.em2.oraclecloud.com:443/fscmUI/faces/deeplink?objType=CSO_ARTICLE_CONTENT_KM&amp;objKey=docId%3DHRPOL17%3Blocale%3Den_US&amp;action=EDIT_IN_TAB"/>
        <s v="Maternity Leave_x000a_To find out more please have a look at the Maternity Leave Policy._x000a__x000a_You may also find it helpful to use the Maternity Pay &amp; Leave Questionnaire which will estimate your leave and pay values based on the information you enter into it._x000a_Maternity Leave Policy: https://dnn.fa.em2.oraclecloud.com:443/fscmUI/faces/deeplink?objType=CSO_ARTICLE_CONTENT_KM&amp;objKey=docId%3DHRPOL12%3Blocale%3Den_US&amp;action=EDIT_IN_TAB_x000a_Maternity Leave and Pay Questionnaire: https://nbs-opa--tst1.custhelp.com/web-determinations/startsession/NBS_Maternity?seedData=%7bname%3a+%22Priyadharshini.SubramanianChandrasekaran@nationwide.co.uk%22%2c+env%3a+%22https://dnn.fa.em2.oraclecloud.com%22%7d&amp;opauniqueuser=Priyadharshini.SubramanianChandrasekaran@nationwide.co.uk"/>
        <s v="Change of Hours_x000a_You'll find detailed guidance in the Hybrid and Home Working Policy and the Flexible Working Policy. If you'd like to see what your pay and holiday allowance would be if you changed your hours, please use the Change of Hours Prep and Pay Questionnaire._x000a__x000a_Hybrid and Home Working Policy_x000a_: https://dnn.fa.em2.oraclecloud.com:443/fscmUI/faces/deeplink?objType=CSO_ARTICLE_CONTENT_KM&amp;objKey=docId%3DHRPOL89%3Blocale%3Den_US&amp;action=EDIT_IN_TAB_x000a_Flexible Working Policy: https://dnn.fa.em2.oraclecloud.com:443/fscmUI/faces/deeplink?objType=CSO_ARTICLE_CONTENT_KM&amp;objKey=docId%3DHRPOL13%3Blocale%3Den_US&amp;action=EDIT_IN_TAB_x000a_Change of Hours Prep and Pay Questionnaire_x000a_: https://nbs-opa--tst1.custhelp.com/web-determinations/startsession/NBS_FlexWorking?seedData=%7bname%3a+%22SHELLEY.FORD@NATIONWIDE.CO.UK%22%2c+env%3a+%22https://dnn.fa.em2.oraclecloud.com%22%7d&amp;opauniqueuser=SHELLEY.FORD@NATIONWIDE.CO.UK"/>
        <s v="Job Security &amp; Redundancy_x000a_The Severance Pay Estimator will estimate your severance pay based on your length of service, age, salary and contractual terms. You should use it in conjunction with the Job Security and Redundancy Policy._x000a_Severance Pay Estimator: https://nbs-opa--tst1.custhelp.com/web-determinations/startsession/SeverancePayEstimator?seedData=%7bname%3a+%22PHIL.RANDALL@NATIONWIDE.CO.UK%22%2c+env%3a+%22https://dnn.fa.em2.oraclecloud.com%22%7d&amp;opauniqueuser=PHIL.RANDALL@NATIONWIDE.CO.UK_x000a_Job Security and Redundancy Policy: https://dnn.fa.em2.oraclecloud.com:443/fscmUI/faces/deeplink?objType=CSO_ARTICLE_CONTENT_KM&amp;objKey=docId%3DHRPOL17%3Blocale%3Den_US&amp;action=EDIT_IN_TAB"/>
        <s v="You have the following time off in the next twelve months._x000a__x000a_&lt;b&gt;84 hrs&lt;/b&gt; of &lt;b&gt;Holiday&lt;/b&gt; from Nov 1st to Nov 16th_x000a__x000a_Schedule time off: https://dnn.fa.em2.oraclecloud.com/hcmUI/faces/deeplink?objType=ADD_ABSENCE&amp;action=NONE_x000a_View past absences_x000a_View absences for a specific duration_x000a_View absence balance (excl. sickness balance)"/>
        <s v="Choose the right person to see their work location._x000a__x000a_Senior Case Owner_x000a_https://dnn.fa.em2.oraclecloud.com/hcmUI/personImage?personId=100000003537299&amp;returnSquare=true&amp;maxSize=800&amp;returnInitials=Y_x000a_Tasha  Bandey_x000a__x000a_HR Systems Manager_x000a_https://dnn.fa.em2.oraclecloud.com/hcmUI/personImage?personId=100000003502097&amp;returnSquare=true&amp;maxSize=800&amp;returnInitials=Y_x000a_Tasha Guise_x000a__x000a_FC Analyst_x000a_https://dnn.fa.em2.oraclecloud.com/hcmUI/personImage?personId=100000285415099&amp;returnSquare=true&amp;maxSize=800&amp;returnInitials=Y_x000a_Tasha Jordan_x000a__x000a_Financial Planning Manager_x000a_https://dnn.fa.em2.oraclecloud.com/hcmUI/personImage?personId=100000003487805&amp;returnSquare=true&amp;maxSize=800&amp;returnInitials=Y_x000a_Tasha Lenny_x000a__x000a_Contact Centre Snr Consultant_x000a_https://dnn.fa.em2.oraclecloud.com/hcmUI/personImage?personId=100000562350593&amp;returnSquare=true&amp;maxSize=800&amp;returnInitials=Y_x000a_Tasha Speirs_x000a__x000a_Show More" u="1"/>
        <s v="Here's your absence balance as of 01/08/2023._x000a__x000a_&lt;b&gt;113 hrs 15 mins&lt;/b&gt; of Holiday _x000a_&lt;b&gt;35 hrs&lt;/b&gt; of Family Support Leave _x000a_&lt;b&gt;0 hrs&lt;/b&gt; of Recognising Loyalty _x000a_&lt;b&gt;0 hrs&lt;/b&gt; of Work Anniversary _x000a_&lt;b&gt;0 hrs&lt;/b&gt; of MyReward _x000a_&lt;b&gt;-15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There are no scheduled absences for your reports between 01/08/2023 and 31/07/2024." u="1"/>
        <s v="Here's your absence balance as of 01/08/2023._x000a__x000a_&lt;b&gt;140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1/08/2023._x000a__x000a_&lt;b&gt;40 hrs 45 mins&lt;/b&gt; of Holiday _x000a_&lt;b&gt;0 hrs&lt;/b&gt; of Recognising Loyalty _x000a_&lt;b&gt;0 hrs&lt;/b&gt; of Work Anniversary _x000a_&lt;b&gt;0 hrs&lt;/b&gt; of MyReward _x000a_&lt;b&gt;-23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2/08/2023._x000a__x000a_&lt;b&gt;82 hrs 15 mins&lt;/b&gt; of Holiday _x000a_&lt;b&gt;0 hrs&lt;/b&gt; of Recognising Loyalty _x000a_&lt;b&gt;0 hrs&lt;/b&gt; of Work Anniversary _x000a_&lt;b&gt;0 hrs&lt;/b&gt; of MyReward _x000a_&lt;b&gt;-12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8/02/2023._x000a__x000a_&lt;b&gt;151 hrs 15 mins&lt;/b&gt; of Holiday _x000a_&lt;b&gt;0 hrs&lt;/b&gt; of Recognising Loyalty _x000a_&lt;b&gt;0 hrs&lt;/b&gt; of Work Anniversary _x000a_&lt;b&gt;15 hrs&lt;/b&gt; of MyReward _x000a_&lt;b&gt;-12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2/08/2023._x000a__x000a_&lt;b&gt;85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2/08/2023._x000a__x000a_&lt;b&gt;104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2/08/2023._x000a__x000a_&lt;b&gt;104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u="1"/>
        <s v="Here's your absence balance as of 02/08/2023._x000a__x000a_&lt;b&gt;144 hrs&lt;/b&gt; of Holiday _x000a_&lt;b&gt;0 hrs&lt;/b&gt; of Recognising Loyalty _x000a_&lt;b&gt;0 hrs&lt;/b&gt; of Work Anniversary _x000a_&lt;b&gt;0 hrs&lt;/b&gt; of MyReward _x000a_&lt;b&gt;-9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2/08/2023._x000a__x000a_&lt;b&gt;98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You don't have any time off taken or scheduled between 02/08/2023 and 03/08/2023. _x000a__x000a_To see your end of year Holiday Balance, select 'View balance as of another date' below and input '31/12/23' when prompted_x000a__x000a_Schedule time off: https://dnn.fa.em2.oraclecloud.com/hcmUI/faces/deeplink?objType=ADD_ABSENCE&amp;action=NONE_x000a_View absence balance (excl. sickness balance)" u="1"/>
        <d v="2023-08-03T00:00:00" u="1"/>
        <s v="Here's your absence balance as of 08/03/2023._x000a__x000a_&lt;b&gt;122 hrs 45 mins&lt;/b&gt; of Holiday _x000a_&lt;b&gt;0 hrs&lt;/b&gt; of Recognising Loyalty _x000a_&lt;b&gt;0 hrs&lt;/b&gt; of Work Anniversary _x000a_&lt;b&gt;21 hrs&lt;/b&gt; of MyReward _x000a_&lt;b&gt;2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d v="2023-03-08T00:00:00" u="1"/>
        <s v="Here's your absence balance as of 03/08/2023._x000a__x000a_&lt;b&gt;104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2/08/2023._x000a__x000a_&lt;b&gt;66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2/08/2023._x000a__x000a_&lt;b&gt;65 hrs 30 mins&lt;/b&gt; of Holiday _x000a_&lt;b&gt;0 hrs&lt;/b&gt; of Recognising Loyalty _x000a_&lt;b&gt;0 hrs&lt;/b&gt; of Work Anniversary _x000a_&lt;b&gt;0 hrs&lt;/b&gt; of MyReward _x000a_&lt;b&gt;-10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2/08/2023._x000a__x000a_&lt;b&gt;65 hrs&lt;/b&gt; of Holiday _x000a_&lt;b&gt;0 hrs&lt;/b&gt; of Recognising Loyalty _x000a_&lt;b&gt;0 hrs&lt;/b&gt; of Work Anniversary _x000a_&lt;b&gt;0 hrs&lt;/b&gt; of MyReward _x000a_&lt;b&gt;-12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3/08/2023._x000a__x000a_&lt;b&gt;126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3/08/2023._x000a__x000a_&lt;b&gt;87 hrs 15 mins&lt;/b&gt; of Holiday _x000a_&lt;b&gt;0 hrs&lt;/b&gt; of Recognising Loyalty _x000a_&lt;b&gt;0 hrs&lt;/b&gt; of Work Anniversary _x000a_&lt;b&gt;0 hrs&lt;/b&gt; of MyReward _x000a_&lt;b&gt;-13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3/08/2023._x000a__x000a_&lt;b&gt;65 hrs 30 mins&lt;/b&gt; of Holiday _x000a_&lt;b&gt;0 hrs&lt;/b&gt; of Recognising Loyalty _x000a_&lt;b&gt;0 hrs&lt;/b&gt; of Work Anniversary _x000a_&lt;b&gt;0 hrs&lt;/b&gt; of MyReward _x000a_&lt;b&gt;-10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3/08/2023._x000a__x000a_&lt;b&gt;72 hrs 15 mins&lt;/b&gt; of Holiday _x000a_&lt;b&gt;0 hrs&lt;/b&gt; of Recognising Loyalty _x000a_&lt;b&gt;0 hrs&lt;/b&gt; of Work Anniversary _x000a_&lt;b&gt;0 hrs&lt;/b&gt; of MyReward _x000a_&lt;b&gt;-6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3/08/2023._x000a__x000a_&lt;b&gt;148 hrs 45 mins&lt;/b&gt; of Holiday _x000a_&lt;b&gt;0 hrs&lt;/b&gt; of Recognising Loyalty _x000a_&lt;b&gt;0 hrs&lt;/b&gt; of Work Anniversary _x000a_&lt;b&gt;0 hrs&lt;/b&gt; of MyReward _x000a_&lt;b&gt;-7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3/08/2023._x000a__x000a_&lt;b&gt;103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3/08/2023._x000a__x000a_&lt;b&gt;30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3/08/2023._x000a__x000a_&lt;b&gt;124 hrs 1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4/08/2023._x000a__x000a_&lt;b&gt;133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4/08/2023._x000a__x000a_&lt;b&gt;101 hrs 1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4/08/2023._x000a__x000a_&lt;b&gt;47 hrs 4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I joined on 31/10/1988  how much notice do I need to give if I intend to retire on 31/03/2024.  And how much if it was 28/02/2024" u="1"/>
        <s v="Here's your absence balance as of 05/08/2023._x000a__x000a_&lt;b&gt;65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5/08/2023._x000a__x000a_&lt;b&gt;65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past absences" u="1"/>
        <s v="Here's your absence balance as of 07/08/2023._x000a__x000a_&lt;b&gt;101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7/08/2023._x000a__x000a_&lt;b&gt;80 hrs 30 mins&lt;/b&gt; of Holiday _x000a_&lt;b&gt;0 hrs&lt;/b&gt; of Sabbatical Leave _x000a_&lt;b&gt;0 hrs&lt;/b&gt; of Recognising Loyalty _x000a_&lt;b&gt;0 hrs&lt;/b&gt; of Work Anniversary _x000a_&lt;b&gt;0 hrs&lt;/b&gt; of MyReward _x000a_&lt;b&gt;-4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7/08/2023._x000a__x000a_&lt;b&gt;100 hrs 2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7/08/2023._x000a__x000a_&lt;b&gt;67 hrs&lt;/b&gt; of Holiday _x000a_&lt;b&gt;0 hrs&lt;/b&gt; of Recognising Loyalty _x000a_&lt;b&gt;0 hrs&lt;/b&gt; of Work Anniversary _x000a_&lt;b&gt;0 hrs&lt;/b&gt; of MyReward _x000a_&lt;b&gt;-13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7/08/2023._x000a__x000a_&lt;b&gt;132 hrs 30 mins&lt;/b&gt; of Holiday _x000a_&lt;b&gt;7 hrs&lt;/b&gt; of Recognising Loyalty _x000a_&lt;b&gt;7 hrs&lt;/b&gt; of Work Anniversary _x000a_&lt;b&gt;0 hrs&lt;/b&gt; of MyReward _x000a_&lt;b&gt;-7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7/08/2023._x000a__x000a_&lt;b&gt;132 hrs 30 mins&lt;/b&gt; of Holiday _x000a_&lt;b&gt;7 hrs&lt;/b&gt; of Recognising Loyalty _x000a_&lt;b&gt;7 hrs&lt;/b&gt; of Work Anniversary _x000a_&lt;b&gt;0 hrs&lt;/b&gt; of MyReward _x000a_&lt;b&gt;-7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u="1"/>
        <s v="Here's your absence balance as of 07/08/2023._x000a__x000a_&lt;b&gt;91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8/08/23._x000a__x000a_&lt;b&gt;98 hrs&lt;/b&gt; of Holiday _x000a_&lt;b&gt;7 hrs&lt;/b&gt; of Recognising Loyalty _x000a_&lt;b&gt;7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8/08/2023._x000a__x000a_&lt;b&gt;80 hrs 30 mins&lt;/b&gt; of Holiday _x000a_&lt;b&gt;0 hrs&lt;/b&gt; of Sabbatical Leave _x000a_&lt;b&gt;0 hrs&lt;/b&gt; of Recognising Loyalty _x000a_&lt;b&gt;0 hrs&lt;/b&gt; of Work Anniversary _x000a_&lt;b&gt;0 hrs&lt;/b&gt; of MyReward _x000a_&lt;b&gt;-4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8/08/2023._x000a__x000a_&lt;b&gt;91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8/08/2023._x000a__x000a_&lt;b&gt;73 hrs 30 mins&lt;/b&gt; of Holiday _x000a_&lt;b&gt;0 hrs&lt;/b&gt; of Recognising Loyalty _x000a_&lt;b&gt;0 hrs&lt;/b&gt; of Work Anniversary _x000a_&lt;b&gt;0 hrs&lt;/b&gt; of MyReward _x000a_&lt;b&gt;-24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8/08/2023._x000a__x000a_&lt;b&gt;54 hrs 45 mins&lt;/b&gt; of Holiday _x000a_&lt;b&gt;0 hrs&lt;/b&gt; of Recognising Loyalty _x000a_&lt;b&gt;0 hrs&lt;/b&gt; of Work Anniversary _x000a_&lt;b&gt;0 hrs&lt;/b&gt; of MyReward _x000a_&lt;b&gt;-9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8/08/2023._x000a__x000a_&lt;b&gt;78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8/08/2023._x000a__x000a_&lt;b&gt;78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u="1"/>
        <d v="2023-08-21T00:00:00" u="1"/>
        <s v="Here's your absence balance as of 21/08/2023._x000a__x000a_&lt;b&gt;33 hrs 1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u="1"/>
        <s v="You have the following time off scheduled between 21/08/2023 and 31/12/2023._x000a__x000a_&lt;b&gt;7 hrs&lt;/b&gt; of &lt;b&gt;Holiday&lt;/b&gt; on Sep 6th_x000a_&lt;b&gt;7 hrs&lt;/b&gt; of &lt;b&gt;Holiday&lt;/b&gt; on Nov 15th_x000a_&lt;b&gt;14 hrs&lt;/b&gt; of &lt;b&gt;Holiday&lt;/b&gt; from Nov 16th to Nov 17th _x000a__x000a_To see your end of year Holiday Balance, select 'View balance as of another date' below and input '31/12/23' when prompted_x000a__x000a_Schedule time off: https://dnn.fa.em2.oraclecloud.com/hcmUI/faces/deeplink?objType=ADD_ABSENCE&amp;action=NONE_x000a_View absence balance (excl. sickness balance)" u="1"/>
        <d v="2023-11-18T00:00:00" u="1"/>
        <s v="Here's your absence balance as of 18/11/2023._x000a__x000a_&lt;b&gt;5 hrs 1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u="1"/>
        <s v="Here's your absence balance as of 08/08/2023._x000a__x000a_&lt;b&gt;54 hrs 45 mins&lt;/b&gt; of Holiday _x000a_&lt;b&gt;0 hrs&lt;/b&gt; of Recognising Loyalty _x000a_&lt;b&gt;0 hrs&lt;/b&gt; of Work Anniversary _x000a_&lt;b&gt;0 hrs&lt;/b&gt; of MyReward _x000a_&lt;b&gt;-9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u="1"/>
        <s v="Here's your absence balance as of 08/08/2023._x000a__x000a_&lt;b&gt;202 hrs 4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8/08/2023._x000a__x000a_&lt;b&gt;18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8/08/2023._x000a__x000a_&lt;b&gt;77 hrs 12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9/08/2023._x000a__x000a_&lt;b&gt;94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9/08/2023._x000a__x000a_&lt;b&gt;119 hrs&lt;/b&gt; of Holiday _x000a_&lt;b&gt;0 hrs&lt;/b&gt; of Recognising Loyalty _x000a_&lt;b&gt;7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1/08/2023._x000a__x000a_&lt;b&gt;84 hrs&lt;/b&gt; of Holiday _x000a_&lt;b&gt;0 hrs&lt;/b&gt; of Recognising Loyalty _x000a_&lt;b&gt;7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9/08/2023._x000a__x000a_&lt;b&gt;76 hrs 45 mins&lt;/b&gt; of Holiday _x000a_&lt;b&gt;0 hrs&lt;/b&gt; of Recognising Loyalty _x000a_&lt;b&gt;0 hrs&lt;/b&gt; of Work Anniversary _x000a_&lt;b&gt;0 hrs&lt;/b&gt; of MyReward _x000a_&lt;b&gt;-18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9/08/2023._x000a__x000a_&lt;b&gt;76 hrs 45 mins&lt;/b&gt; of Holiday _x000a_&lt;b&gt;0 hrs&lt;/b&gt; of Recognising Loyalty _x000a_&lt;b&gt;0 hrs&lt;/b&gt; of Work Anniversary _x000a_&lt;b&gt;0 hrs&lt;/b&gt; of MyReward _x000a_&lt;b&gt;-18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u="1"/>
        <s v="Here's your absence balance as of 09/08/2023._x000a__x000a_&lt;b&gt;126 hrs&lt;/b&gt; of Holiday _x000a_&lt;b&gt;0 hrs&lt;/b&gt; of Recognising Loyalty _x000a_&lt;b&gt;7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9/08/2023._x000a__x000a_&lt;b&gt;77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d v="2023-08-18T00:00:00" u="1"/>
        <s v="Here's your absence balance as of 18/08/2023._x000a__x000a_&lt;b&gt;0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9/08/2023._x000a__x000a_&lt;b&gt;92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09/08/2023._x000a__x000a_&lt;b&gt;98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0/08/2023._x000a__x000a_&lt;b&gt;126 hrs&lt;/b&gt; of Holiday _x000a_&lt;b&gt;0 hrs&lt;/b&gt; of Recognising Loyalty _x000a_&lt;b&gt;7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0/08/2023._x000a__x000a_&lt;b&gt;112 hrs&lt;/b&gt; of Holiday _x000a_&lt;b&gt;210 hrs&lt;/b&gt; of Sabbatical Leave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0/08/2023._x000a__x000a_&lt;b&gt;117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1/08/2023._x000a__x000a_&lt;b&gt;0 hrs&lt;/b&gt; of MyReward _x000a_&lt;b&gt;19 hrs 30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1/08/2023._x000a__x000a_&lt;b&gt;0 hrs&lt;/b&gt; of MyReward _x000a_&lt;b&gt;175 hrs&lt;/b&gt; of Holiday _x000a_&lt;b&gt;0 hrs&lt;/b&gt; of Recognising Loyalty _x000a_&lt;b&gt;0 hrs&lt;/b&gt; of Work Anniversary _x000a_&lt;b&gt;-7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1/08/2023._x000a__x000a_&lt;b&gt;0 hrs&lt;/b&gt; of MyReward _x000a_&lt;b&gt;62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1/08/2023._x000a__x000a_&lt;b&gt;0 hrs&lt;/b&gt; of MyReward _x000a_&lt;b&gt;175 hrs 5 mins&lt;/b&gt; of Holiday _x000a_&lt;b&gt;0 hrs&lt;/b&gt; of Recognising Loyalty _x000a_&lt;b&gt;7 hrs&lt;/b&gt; of Work Anniversary _x000a_&lt;b&gt;0 hrs&lt;/b&gt; of Public Holiday _x000a_&lt;b&gt;0 hrs&lt;/b&gt; of Sabbatical Leave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1/08/2023._x000a__x000a_&lt;b&gt;0 hrs&lt;/b&gt; of MyReward _x000a_&lt;b&gt;137 hrs 30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1/08/2023._x000a__x000a_&lt;b&gt;0 hrs&lt;/b&gt; of MyReward _x000a_&lt;b&gt;77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2/08/2023._x000a__x000a_&lt;b&gt;0 hrs&lt;/b&gt; of MyReward _x000a_&lt;b&gt;175 hrs 5 mins&lt;/b&gt; of Holiday _x000a_&lt;b&gt;0 hrs&lt;/b&gt; of Recognising Loyalty _x000a_&lt;b&gt;7 hrs&lt;/b&gt; of Work Anniversary _x000a_&lt;b&gt;0 hrs&lt;/b&gt; of Public Holiday _x000a_&lt;b&gt;0 hrs&lt;/b&gt; of Sabbatical Leave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2/08/2023._x000a__x000a_&lt;b&gt;173 hrs&lt;/b&gt; of Holiday _x000a_&lt;b&gt;0 hrs&lt;/b&gt; of Sabbatical Leave _x000a_&lt;b&gt;0 hrs&lt;/b&gt; of Recognising Loyalty _x000a_&lt;b&gt;7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3/08/2023._x000a__x000a_&lt;b&gt;112 hrs&lt;/b&gt; of Holiday _x000a_&lt;b&gt;0 hrs&lt;/b&gt; of Recognising Loyalty _x000a_&lt;b&gt;0 hrs&lt;/b&gt; of Work Anniversary _x000a_&lt;b&gt;0 hrs&lt;/b&gt; of MyReward _x000a_&lt;b&gt;-1 hr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4/08/2023._x000a__x000a_&lt;b&gt;151 hrs 15 mins&lt;/b&gt; of Holiday _x000a_&lt;b&gt;0 hrs&lt;/b&gt; of Recognising Loyalty _x000a_&lt;b&gt;0 hrs&lt;/b&gt; of Work Anniversary _x000a_&lt;b&gt;0 hrs&lt;/b&gt; of MyReward _x000a_&lt;b&gt;-8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4/08/2023._x000a__x000a_&lt;b&gt;70 hrs 30 mins&lt;/b&gt; of Holiday _x000a_&lt;b&gt;0 hrs&lt;/b&gt; of Recognising Loyalty _x000a_&lt;b&gt;0 hrs&lt;/b&gt; of Work Anniversary _x000a_&lt;b&gt;0 hrs&lt;/b&gt; of MyReward _x000a_&lt;b&gt;-8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4/08/2023._x000a__x000a_&lt;b&gt;78 hrs 58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4/08/2023._x000a__x000a_&lt;b&gt;113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4/08/2023._x000a__x000a_&lt;b&gt;113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u="1"/>
        <s v="Here's your absence balance as of 14/08/2023._x000a__x000a_&lt;b&gt;161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4/08/2023._x000a__x000a_&lt;b&gt;125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4/08/2023._x000a__x000a_&lt;b&gt;115 hrs 30 mins&lt;/b&gt; of Holiday _x000a_&lt;b&gt;0 hrs&lt;/b&gt; of Recognising Loyalty _x000a_&lt;b&gt;0 hrs&lt;/b&gt; of Work Anniversary _x000a_&lt;b&gt;0 hrs&lt;/b&gt; of MyReward _x000a_&lt;b&gt;-8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4/08/2023._x000a__x000a_&lt;b&gt;127 hrs 19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4/08/2023._x000a__x000a_&lt;b&gt;127 hrs 19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past absences" u="1"/>
        <s v="Here's your absence balance as of 14/08/2023._x000a__x000a_&lt;b&gt;175 hrs&lt;/b&gt; of Holiday _x000a_&lt;b&gt;0 hrs&lt;/b&gt; of Recognising Loyalty _x000a_&lt;b&gt;0 hrs&lt;/b&gt; of Work Anniversary _x000a_&lt;b&gt;7 hrs 10 min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5/08/2023._x000a__x000a_&lt;b&gt;119 hrs 45 mins&lt;/b&gt; of Holiday _x000a_&lt;b&gt;0 hrs&lt;/b&gt; of Recognising Loyalty _x000a_&lt;b&gt;0 hrs&lt;/b&gt; of Work Anniversary _x000a_&lt;b&gt;0 hrs&lt;/b&gt; of MyReward _x000a_&lt;b&gt;-10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5/08/2023._x000a__x000a_&lt;b&gt;48 hrs&lt;/b&gt; of Holiday _x000a_&lt;b&gt;0 hrs&lt;/b&gt; of Recognising Loyalty _x000a_&lt;b&gt;0 hrs&lt;/b&gt; of Work Anniversary _x000a_&lt;b&gt;0 hrs&lt;/b&gt; of MyReward _x000a_&lt;b&gt;6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5/08/2023._x000a__x000a_&lt;b&gt;74 hrs 15 mins&lt;/b&gt; of Holiday _x000a_&lt;b&gt;0 hrs&lt;/b&gt; of Recognising Loyalty _x000a_&lt;b&gt;0 hrs&lt;/b&gt; of Work Anniversary _x000a_&lt;b&gt;0 hrs&lt;/b&gt; of MyReward _x000a_&lt;b&gt;-11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5/08/2023._x000a__x000a_&lt;b&gt;74 hrs 15 mins&lt;/b&gt; of Holiday _x000a_&lt;b&gt;0 hrs&lt;/b&gt; of Recognising Loyalty _x000a_&lt;b&gt;0 hrs&lt;/b&gt; of Work Anniversary _x000a_&lt;b&gt;0 hrs&lt;/b&gt; of MyReward _x000a_&lt;b&gt;-11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u="1"/>
        <s v="Here's your absence balance as of 15/08/2023._x000a__x000a_&lt;b&gt;60 hrs&lt;/b&gt; of Holiday _x000a_&lt;b&gt;0 hrs&lt;/b&gt; of Recognising Loyalty _x000a_&lt;b&gt;0 hrs&lt;/b&gt; of Work Anniversary _x000a_&lt;b&gt;0 hrs&lt;/b&gt; of MyReward _x000a_&lt;b&gt;-1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5/08/2023._x000a__x000a_&lt;b&gt;52 hrs 1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5/08/2023._x000a__x000a_&lt;b&gt;113 hrs&lt;/b&gt; of Holiday _x000a_&lt;b&gt;120 hrs&lt;/b&gt; of Sabbatical Leave _x000a_&lt;b&gt;0 hrs&lt;/b&gt; of Recognising Loyalty _x000a_&lt;b&gt;4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5/08/2023._x000a__x000a_&lt;b&gt;115 hrs 4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5/08/2023._x000a__x000a_&lt;b&gt;127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5/08/2023._x000a__x000a_&lt;b&gt;112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5/08/2023._x000a__x000a_&lt;b&gt;86 hrs 1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5/08/2023._x000a__x000a_&lt;b&gt;94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6/08/2023._x000a__x000a_&lt;b&gt;101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6/08/2023._x000a__x000a_&lt;b&gt;67 hrs 2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6/08/2023._x000a__x000a_&lt;b&gt;115 hrs&lt;/b&gt; of Holiday _x000a_&lt;b&gt;0 hrs&lt;/b&gt; of Sabbatical Leave _x000a_&lt;b&gt;25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You were paid ------ GBP on 21/08/2023._x000a_Here's your payslip information." u="1"/>
        <s v="GB P45 Plain Paper_x000a_go to www.gov.uk/government/publications/income-tax-claiming-tax-back-when-you-have-stopped-working-p50 Help If you need more help, go to www.gov.uk/topic/personal-tax_x000a_Open Link: https://dnn.fa.em2.oraclecloud.com:443/utility/resources/fusion/content/draft/34EB7A6E4413439D85F1724503D44478/A1417E3AA24D4FB5B954553FB0F96E9F/OOTB%20amended_R147_%20P45%20Automated%20Letter%20-%2016%20May%202023.docx_x000a__x000a_Right to Erase Request - 12 Month Response Text Email 4 August 2023.docx_x000a_Each application will be erased after 12 months in line with our data retention. Weâ€™re here to help_x000a_Open Link: https://dnn.fa.em2.oraclecloud.com:443/utility/resources/fusion/content/draft/DF56B113B5F34B3D8A9E55E15439FECA/B28DBB441FF44D9483259728B97A74B0/Right%20to%20Erase%20Request%20-%2012%20Month%20Response%20Text%20Email%204%20August%202023.docx_x000a__x000a_NW_NT1793 SoW Projected End Date Approaching (6_ 4_ 2 weeks prior) Automated Not_x000a_Weâ€™re here to help If you have any further queries, please contact Resource.Requests@nationwide.co.uk Kind regards,_x000a_Open Link: https://dnn.fa.em2.oraclecloud.com:443/utility/resources/fusion/content/draft/0298EAB263404A30A5F94FA9C3868468/BE089263F82C430F88B0B00CCA95E38A/NW_NT1793%20SoW%20Projected%20End%20Date%20Approaching%20%286_%204_%202%20weeks%20prior%29%20Automated%20Notification%20-%2009%20August%202023.docx_x000a__x000a_NW_NT1897 SoW Projected End Date Approaching (1 week prior) Automated Notificati_x000a_Weâ€™re here to help If you have any further queries, please contact Resource.Requests@nationwide.co.uk Kind regards,_x000a_Open Link: https://dnn.fa.em2.oraclecloud.com:443/utility/resources/fusion/content/draft/831FC2909DF2478DA26E838BAAF5E606/646E9AB961DB4BF6A0B4F8F818964A4D/NW_NT1897%20SoW%20Projected%20End%20Date%20Approaching%20%281%20week%20prior%29%20Automated%20Notification%20-%2009%20August%202023.docx" u="1"/>
        <s v="Here's your absence balance as of 16/08/2023._x000a__x000a_&lt;b&gt;31 hrs 45 mins&lt;/b&gt; of Holiday _x000a_&lt;b&gt;0 hrs&lt;/b&gt; of Recognising Loyalty _x000a_&lt;b&gt;0 hrs&lt;/b&gt; of Work Anniversary _x000a_&lt;b&gt;0 hrs&lt;/b&gt; of MyReward _x000a_&lt;b&gt;-11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6/08/2023._x000a__x000a_&lt;b&gt;174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Absence balance as of 01/08/23" u="1"/>
        <s v="Here's your absence balance as of 08/01/2023._x000a__x000a_&lt;b&gt;223 hrs 19 mins&lt;/b&gt; of Holiday _x000a_&lt;b&gt;0 hrs&lt;/b&gt; of Recognising Loyalty _x000a_&lt;b&gt;0 hrs&lt;/b&gt; of Work Anniversary _x000a_&lt;b&gt;35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6/08/2023._x000a__x000a_&lt;b&gt;100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6/08/2023._x000a__x000a_&lt;b&gt;56 hrs 1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6/08/2023._x000a__x000a_&lt;b&gt;35 hrs 45 mins&lt;/b&gt; of Holiday _x000a_&lt;b&gt;0 hrs&lt;/b&gt; of Recognising Loyalty _x000a_&lt;b&gt;0 hrs&lt;/b&gt; of Work Anniversary _x000a_&lt;b&gt;0 hrs&lt;/b&gt; of MyReward _x000a_&lt;b&gt;-21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You didn't take any scheduled time off on 21/08/2023. _x000a__x000a_To see your end of year Holiday Balance, select 'View balance as of another date' below and input '31/12/23' when prompted_x000a__x000a_Schedule time off: https://dnn.fa.em2.oraclecloud.com/hcmUI/faces/deeplink?objType=ADD_ABSENCE&amp;action=NONE_x000a_View absence balance (excl. sickness balance)" u="1"/>
        <s v="There are no scheduled absences for your reports between 16/08/232023 and 17/08/232023." u="1"/>
        <s v="Step 1: Log into IIQ from the Intranet Home page:_x000a_Step 4: Select your name so the green tick appears, and then click â€˜Nextâ€™ at the bottom of the screen. Step 5: In the â€˜Searchâ€™ field, search for â€˜Occupational Healthâ€™ to find the AD group. Step 6: Select the AD group so that the green tick appears and click â€˜Nextâ€™ at the bottom of the screen._x000a_Open Link: https://dnn.fa.em2.oraclecloud.com:443/utility/resources/fusion/content/draft/CFA85F680CE042A38AB24C05776152A8/B9EAC684701944ED97C67226C2700177/IIQ%20Access%20-%20Screen%20Shots%20Guide%205%20January%202023.pdf_x000a__x000a_Wellbeing â€“ Sources of Support_x000a_who are absent or who have health concerns, so they can remain in or return safely to work. For more information, search the intranet for Occupational Health or follow this link: Occupational Health_x000a_Open Link: https://dnn.fa.em2.oraclecloud.com:443/utility/resources/fusion/content/draft/6783E1CF417D42049751D4149C480C8D/366B071DA257426ABE2ED478499D4C6B/Wellbeing%20%20Sources%20of%20Support%20Guide%20-%2018%20May%202023.pdf_x000a__x000a_Sickness Absence Manager Toolkit - Manager Mini Guide_x000a_Before any decisions are made seek HR and Occupational Health advice . If your employee returns early, remember to update the return date on PeopleCloud so that their absence record remains up to date and to ensure they are paid correctly._x000a_Open Link: https://dnn.fa.em2.oraclecloud.com:443/utility/resources/fusion/content/draft/27F4BED9BDB74D698BD86C6FD16A2A43/59053D233D7C4A27A6591371DCAB30D4/Sickness%20Absence%20Manager%20Toolkit%20-%20Manager%20Mini%20Guide%20-%2016%20May%202023.pdf_x000a__x000a_Managing Sickness Absence â€“ Manager Guide_x000a_Although they may not be fit enough to carry out their substantive role, it may be possible for them to return temporarily to another role within their Community or in another part of the business. Be aware of what opportunities are available for your employee, discuss opportunities with other managers and the employee. Before any decisions are made seek HR and Occupational Health advice._x000a_Open Link: https://dnn.fa.em2.oraclecloud.com:443/utility/resources/fusion/content/draft/8977027F17574D5888B164A3E53F3857/4D97C9221A32419DB2630B6DC2FFA92C/Managing%20Sickness%20Absence%20-%20Manager%20Guide%20-%2016%20May%202023.pdf" u="1"/>
        <s v="Here's your absence balance as of 16/08/2023._x000a__x000a_&lt;b&gt;44 hrs&lt;/b&gt; of Holiday _x000a_&lt;b&gt;0 hrs&lt;/b&gt; of Recognising Loyalty _x000a_&lt;b&gt;0 hrs&lt;/b&gt; of Work Anniversary _x000a_&lt;b&gt;0 hrs&lt;/b&gt; of MyReward _x000a_&lt;b&gt;-13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6/08/2023._x000a__x000a_&lt;b&gt;0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7/08/2023._x000a__x000a_&lt;b&gt;48 hrs 45 mins&lt;/b&gt; of Holiday _x000a_&lt;b&gt;0 hrs&lt;/b&gt; of Recognising Loyalty _x000a_&lt;b&gt;0 hrs&lt;/b&gt; of Work Anniversary _x000a_&lt;b&gt;0 hrs&lt;/b&gt; of MyReward _x000a_&lt;b&gt;-19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7/08/2023._x000a__x000a_&lt;b&gt;65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7/08/2023._x000a__x000a_&lt;b&gt;81 hrs 15 mins&lt;/b&gt; of Holiday _x000a_&lt;b&gt;0 hrs&lt;/b&gt; of Recognising Loyalty _x000a_&lt;b&gt;0 hrs&lt;/b&gt; of Work Anniversary _x000a_&lt;b&gt;0 hrs&lt;/b&gt; of MyReward _x000a_&lt;b&gt;5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7/08/2023._x000a__x000a_&lt;b&gt;67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7/08/2023._x000a__x000a_&lt;b&gt;166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8/08/2023._x000a__x000a_&lt;b&gt;126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8/08/2023._x000a__x000a_&lt;b&gt;124 hrs 1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8/08/2023._x000a__x000a_&lt;b&gt;113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9/08/2023._x000a__x000a_&lt;b&gt;0 hrs&lt;/b&gt; of MyReward _x000a_&lt;b&gt;72 hrs 30 mins&lt;/b&gt; of Holiday _x000a_&lt;b&gt;0 hrs&lt;/b&gt; of Recognising Loyalty _x000a_&lt;b&gt;0 hrs&lt;/b&gt; of Work Anniversary _x000a_&lt;b&gt;22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19/08/2023._x000a__x000a_&lt;b&gt;0 hrs&lt;/b&gt; of MyReward _x000a_&lt;b&gt;72 hrs 30 mins&lt;/b&gt; of Holiday _x000a_&lt;b&gt;0 hrs&lt;/b&gt; of Recognising Loyalty _x000a_&lt;b&gt;0 hrs&lt;/b&gt; of Work Anniversary _x000a_&lt;b&gt;22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u="1"/>
        <s v="Here's your absence balance as of 21/08/2023._x000a__x000a_&lt;b&gt;0 hrs&lt;/b&gt; of MyReward _x000a_&lt;b&gt;84 hrs&lt;/b&gt; of Holiday _x000a_&lt;b&gt;0 hrs&lt;/b&gt; of Recognising Loyalty _x000a_&lt;b&gt;7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1/08/2023._x000a__x000a_&lt;b&gt;57 hrs 15 mins&lt;/b&gt; of Holiday _x000a_&lt;b&gt;210 hrs&lt;/b&gt; of Sabbatical Leave _x000a_&lt;b&gt;0 hrs&lt;/b&gt; of Recognising Loyalty _x000a_&lt;b&gt;7 hrs&lt;/b&gt; of Work Anniversary _x000a_&lt;b&gt;0 hrs&lt;/b&gt; of MyReward _x000a_&lt;b&gt;-6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i, i have had my duplicate overtime claim for 9/8/23 approved twice by my manager. will this be adjusted and not go thru twice" u="1"/>
        <s v="i have had a overtime request duplicated and approved twice for 09/08/23. can this be adjusted by payroll as should only be one dayof overtime worked and approved" u="1"/>
        <s v="Here's your absence balance as of 21/08/2023._x000a__x000a_&lt;b&gt;206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1/08/2023._x000a__x000a_&lt;b&gt;127 hrs 30 mins&lt;/b&gt; of Holiday _x000a_&lt;b&gt;0 hrs&lt;/b&gt; of Sabbatical Leave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1/08/2023._x000a__x000a_&lt;b&gt;89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1/08/2023._x000a__x000a_&lt;b&gt;0 hrs&lt;/b&gt; of MyReward _x000a_&lt;b&gt;0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1/08/2023._x000a__x000a_&lt;b&gt;20 hrs&lt;/b&gt; of MyReward _x000a_&lt;b&gt;106 hrs 58 mins&lt;/b&gt; of Holiday _x000a_&lt;b&gt;0 hrs&lt;/b&gt; of Recognising Loyalty _x000a_&lt;b&gt;0 hrs&lt;/b&gt; of Work Anniversary _x000a_&lt;b&gt;-8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1/08/2023._x000a__x000a_&lt;b&gt;0 hrs&lt;/b&gt; of MyReward _x000a_&lt;b&gt;144 hrs&lt;/b&gt; of Holiday _x000a_&lt;b&gt;0 hrs&lt;/b&gt; of Recognising Loyalty _x000a_&lt;b&gt;0 hrs&lt;/b&gt; of Work Anniversary _x000a_&lt;b&gt;-8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1/08/2023._x000a__x000a_&lt;b&gt;16 hrs&lt;/b&gt; of MyReward _x000a_&lt;b&gt;78 hrs 45 mins&lt;/b&gt; of Holiday _x000a_&lt;b&gt;0 hrs&lt;/b&gt; of Recognising Loyalty _x000a_&lt;b&gt;0 hrs&lt;/b&gt; of Work Anniversary _x000a_&lt;b&gt;-17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1/08/2023._x000a__x000a_&lt;b&gt;0 hrs&lt;/b&gt; of MyReward _x000a_&lt;b&gt;56 hrs 10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2/08/2023._x000a__x000a_&lt;b&gt;0 hrs&lt;/b&gt; of MyReward _x000a_&lt;b&gt;84 hrs&lt;/b&gt; of Holiday _x000a_&lt;b&gt;0 hrs&lt;/b&gt; of Recognising Loyalty _x000a_&lt;b&gt;7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2/08/2023._x000a__x000a_&lt;b&gt;0 hrs&lt;/b&gt; of MyReward _x000a_&lt;b&gt;107 hrs 15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d v="2023-08-22T00:00:00" u="1"/>
        <s v="Here's your absence balance as of 22/08/2023._x000a__x000a_&lt;b&gt;210 hrs&lt;/b&gt; of Sabbatical Leave _x000a_&lt;b&gt;0 hrs&lt;/b&gt; of MyReward _x000a_&lt;b&gt;59 hrs 30 mins&lt;/b&gt; of Holiday _x000a_&lt;b&gt;0 hrs&lt;/b&gt; of Recognising Loyalty _x000a_&lt;b&gt;7 hrs&lt;/b&gt; of Work Anniversary _x000a_&lt;b&gt;-15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2/08/2023._x000a__x000a_&lt;b&gt;0 hrs&lt;/b&gt; of MyReward _x000a_&lt;b&gt;59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2/08/2023._x000a__x000a_&lt;b&gt;0 hrs&lt;/b&gt; of MyReward _x000a_&lt;b&gt;210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2/08/2023._x000a__x000a_&lt;b&gt;0 hrs&lt;/b&gt; of Recognising Loyalty _x000a_&lt;b&gt;0 hrs&lt;/b&gt; of Work Anniversary _x000a_&lt;b&gt;0 hrs&lt;/b&gt; of Public Holiday _x000a_&lt;b&gt;65 hrs 15 mins&lt;/b&gt; of Holiday _x000a_&lt;b&gt;0 hrs&lt;/b&gt; of MyReward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2/08/2023._x000a__x000a_&lt;b&gt;0 hrs&lt;/b&gt; of Public Holiday _x000a_&lt;b&gt;0 hrs&lt;/b&gt; of Work Anniversary _x000a_&lt;b&gt;0 hrs&lt;/b&gt; of MyReward _x000a_&lt;b&gt;120 hrs 15 mins&lt;/b&gt; of Holiday _x000a_&lt;b&gt;0 hrs&lt;/b&gt; of Recognising Loyalt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2/08/2023._x000a__x000a_&lt;b&gt;0 hrs&lt;/b&gt; of MyReward _x000a_&lt;b&gt;45 hrs 30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d v="2023-08-25T00:00:00" u="1"/>
        <s v="Here's your absence balance as of 25/08/2023._x000a__x000a_&lt;b&gt;0 hrs&lt;/b&gt; of MyReward _x000a_&lt;b&gt;0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the absence balance for &lt;b&gt;Lisa Smith&lt;/b&gt; as of 22/08/2023._x000a__x000a_&lt;b&gt;65 hrs 45 mins&lt;/b&gt; of Holiday _x000a_&lt;b&gt;21 hrs&lt;/b&gt; of Family Support Leave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View balance as of another date_x000a_View future absences_x000a_View past absences" u="1"/>
        <s v="22/038/23" u="1"/>
        <s v="Here's your absence balance as of 22/08/2023._x000a__x000a_&lt;b&gt;98 hrs&lt;/b&gt; of Holiday _x000a_&lt;b&gt;210 hrs&lt;/b&gt; of Sabbatical Leave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3/08/2023._x000a__x000a_&lt;b&gt;0 hrs&lt;/b&gt; of MyReward _x000a_&lt;b&gt;94 hrs 30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3/08/2023._x000a__x000a_&lt;b&gt;0 hrs&lt;/b&gt; of MyReward _x000a_&lt;b&gt;56 hrs&lt;/b&gt; of Holiday _x000a_&lt;b&gt;0 hrs&lt;/b&gt; of Recognising Loyalty _x000a_&lt;b&gt;0 hrs&lt;/b&gt; of Work Anniversary _x000a_&lt;b&gt;-11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the absence balance for &lt;b&gt;Keith Coatsworth&lt;/b&gt; as of 23/08/2023._x000a__x000a_&lt;b&gt;139 hrs 40 mins&lt;/b&gt; of Holiday _x000a_&lt;b&gt;35 hrs&lt;/b&gt; of Family Support Leave _x000a_&lt;b&gt;7 hrs&lt;/b&gt; of Recognising Loyalty _x000a_&lt;b&gt;7 hrs&lt;/b&gt; of Work Anniversary _x000a_&lt;b&gt;0 hrs&lt;/b&gt; of MyReward _x000a_&lt;b&gt;0 hrs&lt;/b&gt; of Public Holiday  _x000a__x000a_To see your end of year Holiday Balance, select 'View balance as of another date' below and input '31/12/23' when prompted_x000a__x000a_View balance as of another date_x000a_View future absences_x000a_View past absences" u="1"/>
        <s v="Here's the absence balance for &lt;b&gt;Keith Coatsworth&lt;/b&gt; as of 23/08/2023._x000a__x000a_&lt;b&gt;139 hrs 40 mins&lt;/b&gt; of Holiday _x000a_&lt;b&gt;35 hrs&lt;/b&gt; of Family Support Leave _x000a_&lt;b&gt;7 hrs&lt;/b&gt; of Recognising Loyalty _x000a_&lt;b&gt;7 hrs&lt;/b&gt; of Work Anniversary _x000a_&lt;b&gt;0 hrs&lt;/b&gt; of MyReward _x000a_&lt;b&gt;0 hrs&lt;/b&gt; of Public Holiday  _x000a__x000a_To see your end of year Holiday Balance, select 'View balance as of another date' below and input '31/12/23' when prompted_x000a__x000a_View balance as of another date_x000a_View past absences" u="1"/>
        <s v="Here's your absence balance as of 23/08/2023._x000a__x000a_&lt;b&gt;0 hrs&lt;/b&gt; of MyReward _x000a_&lt;b&gt;63 hrs 45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3/08/2023._x000a__x000a_&lt;b&gt;0 hrs&lt;/b&gt; of MyReward _x000a_&lt;b&gt;50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3/08/2023._x000a__x000a_&lt;b&gt;126 hrs&lt;/b&gt; of Sabbatical Leave _x000a_&lt;b&gt;0 hrs&lt;/b&gt; of MyReward _x000a_&lt;b&gt;106 hrs 20 mins&lt;/b&gt; of Holiday _x000a_&lt;b&gt;0 hrs&lt;/b&gt; of Recognising Loyalty _x000a_&lt;b&gt;4 hrs 15 mins&lt;/b&gt; of Work Anniversary _x000a_&lt;b&gt;-18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3/08/2023._x000a__x000a_&lt;b&gt;72 hrs 45 mins&lt;/b&gt; of Holiday _x000a_&lt;b&gt;0 hrs&lt;/b&gt; of Recognising Loyalty _x000a_&lt;b&gt;0 hrs&lt;/b&gt; of Work Anniversary _x000a_&lt;b&gt;0 hrs&lt;/b&gt; of MyReward _x000a_&lt;b&gt;-5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3/08/2023._x000a__x000a_&lt;b&gt;0 hrs&lt;/b&gt; of MyReward _x000a_&lt;b&gt;87 hrs 15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3/08/2023._x000a__x000a_&lt;b&gt;16 hrs&lt;/b&gt; of MyReward _x000a_&lt;b&gt;210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d v="2023-08-23T00:00:00" u="1"/>
        <s v="Here's your absence balance as of 23/08/2023._x000a__x000a_&lt;b&gt;0 hrs&lt;/b&gt; of Recognising Loyalty _x000a_&lt;b&gt;0 hrs&lt;/b&gt; of Work Anniversary _x000a_&lt;b&gt;0 hrs&lt;/b&gt; of Public Holiday _x000a_&lt;b&gt;65 hrs 15 mins&lt;/b&gt; of Holiday _x000a_&lt;b&gt;0 hrs&lt;/b&gt; of MyReward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3/08/2023._x000a__x000a_&lt;b&gt;0 hrs&lt;/b&gt; of MyReward _x000a_&lt;b&gt;98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3/08/2023._x000a__x000a_&lt;b&gt;0 hrs&lt;/b&gt; of MyReward _x000a_&lt;b&gt;56 hrs 21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3/08/2023._x000a__x000a_&lt;b&gt;0 hrs&lt;/b&gt; of MyReward _x000a_&lt;b&gt;21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4/08/2023._x000a__x000a_&lt;b&gt;53 hrs 17 mins&lt;/b&gt; of Holiday _x000a_&lt;b&gt;0 hrs&lt;/b&gt; of Recognising Loyalty _x000a_&lt;b&gt;0 hrs&lt;/b&gt; of Work Anniversary _x000a_&lt;b&gt;0 hrs&lt;/b&gt; of MyReward _x000a_&lt;b&gt;-3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4/08/2023._x000a__x000a_&lt;b&gt;0 hrs&lt;/b&gt; of MyReward _x000a_&lt;b&gt;116 hrs 15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4/08/2023._x000a__x000a_&lt;b&gt;51 hrs 30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4/08/2023._x000a__x000a_&lt;b&gt;0 hrs&lt;/b&gt; of MyReward _x000a_&lt;b&gt;56 hrs&lt;/b&gt; of Holiday _x000a_&lt;b&gt;0 hrs&lt;/b&gt; of Recognising Loyalty _x000a_&lt;b&gt;0 hrs&lt;/b&gt; of Work Anniversary _x000a_&lt;b&gt;-11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4/08/2023._x000a__x000a_&lt;b&gt;0 hrs&lt;/b&gt; of MyReward _x000a_&lt;b&gt;144 hrs&lt;/b&gt; of Holiday _x000a_&lt;b&gt;0 hrs&lt;/b&gt; of Recognising Loyalty _x000a_&lt;b&gt;0 hrs&lt;/b&gt; of Work Anniversary _x000a_&lt;b&gt;-8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4/08/2023._x000a__x000a_&lt;b&gt;0 hrs&lt;/b&gt; of MyReward _x000a_&lt;b&gt;133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4/08/2023._x000a__x000a_&lt;b&gt;0 hrs&lt;/b&gt; of Public Holiday _x000a_&lt;b&gt;0 hrs&lt;/b&gt; of Recognising Loyalty _x000a_&lt;b&gt;0 hrs&lt;/b&gt; of MyReward _x000a_&lt;b&gt;0 hrs&lt;/b&gt; of Work Anniversary _x000a_&lt;b&gt;140 hrs&lt;/b&gt; of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5/08/2023._x000a__x000a_&lt;b&gt;87 hrs 47 mins&lt;/b&gt; of Holiday _x000a_&lt;b&gt;0 hrs&lt;/b&gt; of Recognising Loyalty _x000a_&lt;b&gt;0 hrs&lt;/b&gt; of Work Anniversary _x000a_&lt;b&gt;0 hrs&lt;/b&gt; of MyReward _x000a_&lt;b&gt;-21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5/08/2023._x000a__x000a_&lt;b&gt;70 hrs 4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5/08/2023._x000a__x000a_&lt;b&gt;105 hr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5/08/2023._x000a__x000a_&lt;b&gt;124 hrs 45 mins&lt;/b&gt; of Holiday _x000a_&lt;b&gt;0 hrs&lt;/b&gt; of Recognising Loyalty _x000a_&lt;b&gt;0 hrs&lt;/b&gt; of Work Anniversary _x000a_&lt;b&gt;0 hrs&lt;/b&gt; of MyReward _x000a_&lt;b&gt;-6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5/08/2023._x000a__x000a_&lt;b&gt;142 hrs 49 mins&lt;/b&gt; of Holiday _x000a_&lt;b&gt;0 hrs&lt;/b&gt; of Recognising Loyalty _x000a_&lt;b&gt;0 hrs&lt;/b&gt; of Work Anniversary _x000a_&lt;b&gt;0 hrs&lt;/b&gt; of Public Holiday _x000a_&lt;b&gt;0 hrs&lt;/b&gt; of MyReward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5/08/2023._x000a__x000a_&lt;b&gt;201 hrs 45 mins&lt;/b&gt; of Holiday _x000a_&lt;b&gt;0 hrs&lt;/b&gt; of Recognising Loyalty _x000a_&lt;b&gt;0 hrs&lt;/b&gt; of Work Anniversary _x000a_&lt;b&gt;105 hrs&lt;/b&gt; of MyReward _x000a_&lt;b&gt;8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9/08/2023._x000a__x000a_&lt;b&gt;0 hrs&lt;/b&gt; of MyReward _x000a_&lt;b&gt;87 hrs 30 mins&lt;/b&gt; of Holiday _x000a_&lt;b&gt;0 hrs&lt;/b&gt; of Recognising Loyalty _x000a_&lt;b&gt;0 hrs&lt;/b&gt; of Work Anniversary _x000a_&lt;b&gt;-9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9/08/2023._x000a__x000a_&lt;b&gt;217 hrs&lt;/b&gt; of Holiday _x000a_&lt;b&gt;0 hrs&lt;/b&gt; of Recognising Loyalty _x000a_&lt;b&gt;0 hrs&lt;/b&gt; of Work Anniversary _x000a_&lt;b&gt;7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9/08/2023._x000a__x000a_&lt;b&gt;0 hrs&lt;/b&gt; of Work Anniversary _x000a_&lt;b&gt;-17 hrs&lt;/b&gt; of Public Holiday _x000a_&lt;b&gt;0 hrs&lt;/b&gt; of Recognising Loyalty _x000a_&lt;b&gt;0 hrs&lt;/b&gt; of MyReward _x000a_&lt;b&gt;49 hrs 30 mins&lt;/b&gt; of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9/08/2023._x000a__x000a_&lt;b&gt;0 hrs&lt;/b&gt; of MyReward _x000a_&lt;b&gt;84 hrs&lt;/b&gt; of Holiday _x000a_&lt;b&gt;0 hrs&lt;/b&gt; of Recognising Loyalty _x000a_&lt;b&gt;7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9/08/2023._x000a__x000a_&lt;b&gt;0 hrs&lt;/b&gt; of MyReward _x000a_&lt;b&gt;23 hrs&lt;/b&gt; of Holiday _x000a_&lt;b&gt;0 hrs&lt;/b&gt; of Recognising Loyalty _x000a_&lt;b&gt;0 hrs&lt;/b&gt; of Work Anniversary _x000a_&lt;b&gt;-13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9/08/2023._x000a__x000a_&lt;b&gt;0 hrs&lt;/b&gt; of Recognising Loyalty _x000a_&lt;b&gt;0 hrs&lt;/b&gt; of Work Anniversary _x000a_&lt;b&gt;0 hrs&lt;/b&gt; of Public Holiday _x000a_&lt;b&gt;0 hrs&lt;/b&gt; of MyReward _x000a_&lt;b&gt;82 hrs&lt;/b&gt; of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9/08/2023._x000a__x000a_&lt;b&gt;0 hrs&lt;/b&gt; of Recognising Loyalty _x000a_&lt;b&gt;0 hrs&lt;/b&gt; of Work Anniversary _x000a_&lt;b&gt;0 hrs&lt;/b&gt; of Public Holiday _x000a_&lt;b&gt;70 hrs&lt;/b&gt; of MyReward _x000a_&lt;b&gt;217 hrs&lt;/b&gt; of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9/08/2023._x000a__x000a_&lt;b&gt;0 hrs&lt;/b&gt; of Work Anniversary _x000a_&lt;b&gt;-21 hrs&lt;/b&gt; of Public Holiday _x000a_&lt;b&gt;0 hrs&lt;/b&gt; of MyReward _x000a_&lt;b&gt;51 hrs&lt;/b&gt; of Holiday _x000a_&lt;b&gt;1 hr 30 mins&lt;/b&gt; of Recognising Loyalt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9/08/2023._x000a__x000a_&lt;b&gt;0 hrs&lt;/b&gt; of MyReward _x000a_&lt;b&gt;84 hrs 49 mins&lt;/b&gt; of Holiday _x000a_&lt;b&gt;0 hrs&lt;/b&gt; of Recognising Loyalty _x000a_&lt;b&gt;0 hrs&lt;/b&gt; of Work Anniversary _x000a_&lt;b&gt;-13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9/08/2023._x000a__x000a_&lt;b&gt;0 hrs&lt;/b&gt; of MyReward _x000a_&lt;b&gt;34 hrs 15 mins&lt;/b&gt; of Holiday _x000a_&lt;b&gt;0 hrs&lt;/b&gt; of Recognising Loyalty _x000a_&lt;b&gt;0 hrs&lt;/b&gt; of Work Anniversary _x000a_&lt;b&gt;-25 hrs 30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29/08/2023._x000a__x000a_&lt;b&gt;0 hrs&lt;/b&gt; of MyReward _x000a_&lt;b&gt;62 hrs 30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30/08/2023._x000a__x000a_&lt;b&gt;9 hrs&lt;/b&gt; of Work Anniversary _x000a_&lt;b&gt;0 hrs&lt;/b&gt; of Public Holiday _x000a_&lt;b&gt;0 hrs&lt;/b&gt; of Sabbatical Leave _x000a_&lt;b&gt;0 hrs&lt;/b&gt; of Recognising Loyalty _x000a_&lt;b&gt;0 hrs&lt;/b&gt; of MyReward _x000a_&lt;b&gt;140 hrs 30 mins&lt;/b&gt; of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Choose the right person to see their manager._x000a__x000a_Business Designer_x000a_https://dnn.fa.em2.oraclecloud.com/hcmUI/personImage?personId=100000010532564&amp;returnSquare=true&amp;maxSize=800&amp;returnInitials=Y_x000a_Natalie Elly_x000a__x000a_P&amp;O Senior Consultant_x000a_https://dnn.fa.em2.oraclecloud.com/hcmUI/personImage?personId=100000003542166&amp;returnSquare=true&amp;maxSize=800&amp;returnInitials=Y_x000a_Natalie Kelly" u="1"/>
        <s v="Here's your absence balance as of 30/08/2023._x000a__x000a_&lt;b&gt;201 hrs 15 mins&lt;/b&gt; of Holiday _x000a_&lt;b&gt;0 hrs&lt;/b&gt; of Recognising Loyalty _x000a_&lt;b&gt;0 hrs&lt;/b&gt; of Work Anniversary _x000a_&lt;b&gt;0 hrs&lt;/b&gt; of MyReward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30/08/2023._x000a__x000a_&lt;b&gt;0 hrs&lt;/b&gt; of MyReward _x000a_&lt;b&gt;89 hrs 15 mins&lt;/b&gt; of Holiday _x000a_&lt;b&gt;0 hrs&lt;/b&gt; of Recognising Loyalty _x000a_&lt;b&gt;0 hrs&lt;/b&gt; of Work Anniversary _x000a_&lt;b&gt;-7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30/08/2023._x000a__x000a_&lt;b&gt;-18 hrs 15 mins&lt;/b&gt; of Public Holiday _x000a_&lt;b&gt;0 hrs&lt;/b&gt; of MyReward _x000a_&lt;b&gt;46 hrs 15 mins&lt;/b&gt; of Holiday _x000a_&lt;b&gt;0 hrs&lt;/b&gt; of Recognising Loyalty _x000a_&lt;b&gt;0 hrs&lt;/b&gt; of Work Anniversar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30/08/2023._x000a__x000a_&lt;b&gt;0 hrs&lt;/b&gt; of MyReward _x000a_&lt;b&gt;91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30/08/2023._x000a__x000a_&lt;b&gt;0 hrs&lt;/b&gt; of MyReward _x000a_&lt;b&gt;55 hrs 45 mins&lt;/b&gt; of Holiday _x000a_&lt;b&gt;0 hrs&lt;/b&gt; of Recognising Loyalty _x000a_&lt;b&gt;0 hrs&lt;/b&gt; of Work Anniversary _x000a_&lt;b&gt;-18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30/08/2023._x000a__x000a_&lt;b&gt;0 hrs&lt;/b&gt; of MyReward _x000a_&lt;b&gt;55 hrs 45 mins&lt;/b&gt; of Holiday _x000a_&lt;b&gt;0 hrs&lt;/b&gt; of Recognising Loyalty _x000a_&lt;b&gt;0 hrs&lt;/b&gt; of Work Anniversary _x000a_&lt;b&gt;-18 hrs 1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u="1"/>
        <s v="Here's your absence balance as of 30/08/2023._x000a__x000a_&lt;b&gt;0 hrs&lt;/b&gt; of MyReward _x000a_&lt;b&gt;72 hr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30/08/2023._x000a__x000a_&lt;b&gt;0 hrs&lt;/b&gt; of MyReward _x000a_&lt;b&gt;131 hrs 45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30/08/2023._x000a__x000a_&lt;b&gt;0 hrs&lt;/b&gt; of Public Holiday _x000a_&lt;b&gt;0 hrs&lt;/b&gt; of MyReward _x000a_&lt;b&gt;217 hrs&lt;/b&gt; of Holiday _x000a_&lt;b&gt;0 hrs&lt;/b&gt; of Recognising Loyalty _x000a_&lt;b&gt;0 hrs&lt;/b&gt; of Work Anniversar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30/08/2023._x000a__x000a_&lt;b&gt;0 hrs&lt;/b&gt; of MyReward _x000a_&lt;b&gt;65 hrs 45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30/08/2023._x000a__x000a_&lt;b&gt;0 hrs&lt;/b&gt; of MyReward _x000a_&lt;b&gt;65 hrs 45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 u="1"/>
        <s v="Here's your absence balance as of 30/08/2023._x000a__x000a_&lt;b&gt;0 hrs&lt;/b&gt; of MyReward _x000a_&lt;b&gt;73 hrs 45 mins&lt;/b&gt; of Holiday _x000a_&lt;b&gt;0 hrs&lt;/b&gt; of Recognising Loyalt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31/08/2023._x000a__x000a_&lt;b&gt;0 hrs&lt;/b&gt; of MyReward _x000a_&lt;b&gt;0 hrs&lt;/b&gt; of Recognising Loyalty _x000a_&lt;b&gt;113 hrs&lt;/b&gt; of Holiday _x000a_&lt;b&gt;0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31/08/2023._x000a__x000a_&lt;b&gt;0 hrs&lt;/b&gt; of MyReward _x000a_&lt;b&gt;85 hrs&lt;/b&gt; of Holiday _x000a_&lt;b&gt;0 hrs&lt;/b&gt; of Recognising Loyalty _x000a_&lt;b&gt;0 hrs&lt;/b&gt; of Work Anniversary _x000a_&lt;b&gt;-7 hrs 45 min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 v="Here's your absence balance as of 31/08/2023._x000a__x000a_&lt;b&gt;0 hrs&lt;/b&gt; of MyReward _x000a_&lt;b&gt;84 hrs&lt;/b&gt; of Holiday _x000a_&lt;b&gt;0 hrs&lt;/b&gt; of Recognising Loyalty _x000a_&lt;b&gt;7 hrs&lt;/b&gt; of Work Anniversary _x000a_&lt;b&gt;0 hrs&lt;/b&gt; of Public Holiday  _x000a__x000a_To see your end of year Holiday Balance, select 'View balance as of another date' below and input '31/12/23' when prompted_x000a__x000a_Schedule time off: https://dnn.fa.em2.oraclecloud.com/hcmUI/faces/deeplink?objType=ADD_ABSENCE&amp;action=NONE_x000a_View balance as of another date_x000a_View future absences_x000a_View past absences" u="1"/>
      </sharedItems>
    </cacheField>
    <cacheField name="Choices" numFmtId="0">
      <sharedItems containsBlank="1" count="3">
        <m/>
        <s v="(B)"/>
        <s v="(S)"/>
      </sharedItems>
    </cacheField>
    <cacheField name="Source" numFmtId="0">
      <sharedItems count="2">
        <s v="USER"/>
        <s v="BOT"/>
      </sharedItems>
    </cacheField>
    <cacheField name="Classification" numFmtId="0">
      <sharedItems containsBlank="1"/>
    </cacheField>
    <cacheField name="What" numFmtId="0">
      <sharedItems containsBlank="1" count="6">
        <s v="Failure"/>
        <s v="Qualified Success"/>
        <s v="Success"/>
        <s v=""/>
        <m/>
        <s v=" "/>
      </sharedItems>
    </cacheField>
    <cacheField name="When" numFmtId="0">
      <sharedItems containsBlank="1"/>
    </cacheField>
    <cacheField name="Where" numFmtId="0">
      <sharedItems containsBlank="1" count="7">
        <s v="Interaction"/>
        <s v="Response"/>
        <s v="System"/>
        <s v="Utterance"/>
        <s v=""/>
        <m/>
        <s v=" "/>
      </sharedItems>
    </cacheField>
    <cacheField name="Utterance Issues" numFmtId="0">
      <sharedItems containsBlank="1"/>
    </cacheField>
    <cacheField name="Notes / Skil to Assign To" numFmtId="0">
      <sharedItems containsBlank="1" count="15">
        <s v=" "/>
        <m/>
        <s v="I'm experiencing some technical issues"/>
        <s v="No response"/>
        <s v="Attempting re-routing"/>
        <s v="I don't recognise your account"/>
        <s v="There don't appear to be any absence plan details"/>
        <s v="I couldn't connect to the application"/>
        <s v="You can only see absence balances for your team"/>
        <s v="You don't have permission"/>
        <s v="absenceBalance.view.self"/>
        <s v="Bug 35561431 FYI as pending approval"/>
        <s v="Bug 35561431" u="1"/>
        <s v=" I'm experiencing some technical issues" u="1"/>
        <s v="I'm experiencing some technical issues " u="1"/>
      </sharedItems>
    </cacheField>
    <cacheField name="Usage Intent" numFmtId="0">
      <sharedItems containsBlank="1" count="37">
        <s v="Emp Info"/>
        <s v="Abs"/>
        <s v="SR"/>
        <s v="Quit"/>
        <s v="Help"/>
        <s v="Knowledge"/>
        <s v="MSS"/>
        <s v="Careers"/>
        <s v="Expense"/>
        <s v="IT Support"/>
        <s v="Talent"/>
        <s v="Abs Q"/>
        <s v="Checklist"/>
        <s v="Pay Q"/>
        <s v="Directory"/>
        <s v="Benefits"/>
        <s v="Covid"/>
        <s v="Learn"/>
        <s v="Taxes"/>
        <s v="Qstory"/>
        <s v="EAP"/>
        <s v="Worklist"/>
        <s v="Letter"/>
        <s v="Payslip"/>
        <s v="FlexWorking"/>
        <s v="Wage"/>
        <s v="Misc"/>
        <s v="Personal Info"/>
        <s v="Hiring"/>
        <s v="Bank"/>
        <s v="JobEvaluation"/>
        <s v="CSR"/>
        <s v="Dispute"/>
        <s v="UX"/>
        <s v="Grow"/>
        <m/>
        <s v="Q story" u="1"/>
      </sharedItems>
    </cacheField>
    <cacheField name="Day" numFmtId="0">
      <sharedItems/>
    </cacheField>
    <cacheField name="Date" numFmtId="14">
      <sharedItems containsSemiMixedTypes="0" containsNonDate="0" containsDate="1" containsString="0" minDate="2023-03-01T00:00:00" maxDate="2023-09-01T00:00:00" count="59">
        <d v="2023-03-01T00:00:00"/>
        <d v="2023-03-02T00:00:00"/>
        <d v="2023-03-03T00:00:00"/>
        <d v="2023-03-04T00:00:00"/>
        <d v="2023-03-05T00:00:00"/>
        <d v="2023-03-07T00:00:00"/>
        <d v="2023-03-09T00:00:00"/>
        <d v="2023-03-10T00:00:00"/>
        <d v="2023-03-11T00:00:00"/>
        <d v="2023-03-14T00:00:00"/>
        <d v="2023-03-15T00:00:00"/>
        <d v="2023-03-16T00:00:00"/>
        <d v="2023-03-17T00:00:00"/>
        <d v="2023-03-13T00:00:00"/>
        <d v="2023-03-19T00:00:00"/>
        <d v="2023-03-20T00:00:00"/>
        <d v="2023-03-21T00:00:00"/>
        <d v="2023-03-22T00:00:00"/>
        <d v="2023-03-23T00:00:00"/>
        <d v="2023-03-24T00:00:00"/>
        <d v="2023-03-25T00:00:00"/>
        <d v="2023-03-26T00:00:00"/>
        <d v="2023-03-29T00:00:00"/>
        <d v="2023-03-30T00:00:00"/>
        <d v="2023-03-31T00:00:00"/>
        <d v="2023-03-06T00:00:00"/>
        <d v="2023-03-27T00:00:00"/>
        <d v="2023-03-12T00:00:00"/>
        <d v="2023-08-01T00:00:00" u="1"/>
        <d v="2023-08-02T00:00:00" u="1"/>
        <d v="2023-08-03T00:00:00" u="1"/>
        <d v="2023-08-04T00:00:00" u="1"/>
        <d v="2023-08-05T00:00:00" u="1"/>
        <d v="2023-08-06T00:00:00" u="1"/>
        <d v="2023-08-07T00:00:00" u="1"/>
        <d v="2023-08-08T00:00:00" u="1"/>
        <d v="2023-08-09T00:00:00" u="1"/>
        <d v="2023-08-10T00:00:00" u="1"/>
        <d v="2023-08-11T00:00:00" u="1"/>
        <d v="2023-08-12T00:00:00" u="1"/>
        <d v="2023-08-13T00:00:00" u="1"/>
        <d v="2023-08-14T00:00:00" u="1"/>
        <d v="2023-08-15T00:00:00" u="1"/>
        <d v="2023-08-16T00:00:00" u="1"/>
        <d v="2023-08-17T00:00:00" u="1"/>
        <d v="2023-08-18T00:00:00" u="1"/>
        <d v="2023-08-19T00:00:00" u="1"/>
        <d v="2023-08-20T00:00:00" u="1"/>
        <d v="2023-08-21T00:00:00" u="1"/>
        <d v="2023-08-22T00:00:00" u="1"/>
        <d v="2023-08-23T00:00:00" u="1"/>
        <d v="2023-08-24T00:00:00" u="1"/>
        <d v="2023-08-25T00:00:00" u="1"/>
        <d v="2023-08-26T00:00:00" u="1"/>
        <d v="2023-08-27T00:00:00" u="1"/>
        <d v="2023-08-28T00:00:00" u="1"/>
        <d v="2023-08-29T00:00:00" u="1"/>
        <d v="2023-08-30T00:00:00" u="1"/>
        <d v="2023-08-31T00:00:00" u="1"/>
      </sharedItems>
    </cacheField>
    <cacheField name="Time" numFmtId="21">
      <sharedItems containsSemiMixedTypes="0" containsNonDate="0" containsDate="1" containsString="0" minDate="1899-12-30T00:15:18" maxDate="1899-12-30T23:00:25"/>
    </cacheField>
    <cacheField name="User ID" numFmtId="1">
      <sharedItems containsSemiMixedTypes="0" containsString="0" containsNumber="1" containsInteger="1" minValue="202000010532564" maxValue="513003604764608"/>
    </cacheField>
    <cacheField name="# of Words" numFmtId="0">
      <sharedItems containsString="0" containsBlank="1" containsNumber="1" containsInteger="1" minValue="1" maxValue="126" count="58">
        <n v="5"/>
        <n v="1"/>
        <n v="94"/>
        <n v="7"/>
        <n v="3"/>
        <n v="4"/>
        <n v="11"/>
        <n v="112"/>
        <n v="15"/>
        <n v="2"/>
        <n v="16"/>
        <n v="20"/>
        <n v="8"/>
        <n v="55"/>
        <n v="43"/>
        <n v="38"/>
        <n v="23"/>
        <n v="19"/>
        <n v="6"/>
        <n v="10"/>
        <n v="9"/>
        <n v="29"/>
        <n v="34"/>
        <n v="25"/>
        <n v="56"/>
        <n v="14"/>
        <n v="21"/>
        <n v="48"/>
        <n v="32"/>
        <n v="28"/>
        <n v="12"/>
        <n v="30"/>
        <n v="36"/>
        <n v="24"/>
        <n v="51"/>
        <n v="53"/>
        <n v="18"/>
        <n v="39"/>
        <n v="60"/>
        <n v="13"/>
        <n v="17"/>
        <n v="27"/>
        <n v="58"/>
        <n v="35"/>
        <n v="26"/>
        <n v="22"/>
        <n v="82"/>
        <n v="59"/>
        <n v="33"/>
        <n v="40"/>
        <n v="31"/>
        <n v="46"/>
        <n v="78"/>
        <n v="44"/>
        <n v="101"/>
        <n v="63"/>
        <n v="126"/>
        <m/>
      </sharedItems>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2D6205-3FD3-194C-9A8A-DF0D0A0E3556}" name="PivotTable2"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7" firstHeaderRow="1" firstDataRow="1" firstDataCol="1" rowPageCount="1" colPageCount="1"/>
  <pivotFields count="15">
    <pivotField dataField="1" showAll="0"/>
    <pivotField showAll="0"/>
    <pivotField axis="axisPage" multipleItemSelectionAllowed="1" showAll="0">
      <items count="3">
        <item h="1" x="1"/>
        <item x="0"/>
        <item t="default"/>
      </items>
    </pivotField>
    <pivotField showAll="0"/>
    <pivotField axis="axisRow" showAll="0">
      <items count="7">
        <item x="3"/>
        <item x="5"/>
        <item x="0"/>
        <item x="1"/>
        <item x="2"/>
        <item x="4"/>
        <item t="default"/>
      </items>
    </pivotField>
    <pivotField showAll="0"/>
    <pivotField showAll="0"/>
    <pivotField showAll="0"/>
    <pivotField showAll="0"/>
    <pivotField showAll="0"/>
    <pivotField showAll="0"/>
    <pivotField numFmtId="14" showAll="0"/>
    <pivotField numFmtId="21" showAll="0"/>
    <pivotField numFmtId="1" showAll="0"/>
    <pivotField showAll="0"/>
  </pivotFields>
  <rowFields count="1">
    <field x="4"/>
  </rowFields>
  <rowItems count="4">
    <i>
      <x v="2"/>
    </i>
    <i>
      <x v="3"/>
    </i>
    <i>
      <x v="4"/>
    </i>
    <i t="grand">
      <x/>
    </i>
  </rowItems>
  <colItems count="1">
    <i/>
  </colItems>
  <pageFields count="1">
    <pageField fld="2" hier="-1"/>
  </pageFields>
  <dataFields count="1">
    <dataField name="Count of text" fld="0" subtotal="count" baseField="0" baseItem="0"/>
  </dataFields>
  <chartFormats count="4">
    <chartFormat chart="0" format="12" series="1">
      <pivotArea type="data" outline="0" fieldPosition="0">
        <references count="1">
          <reference field="4294967294" count="1" selected="0">
            <x v="0"/>
          </reference>
        </references>
      </pivotArea>
    </chartFormat>
    <chartFormat chart="0" format="13">
      <pivotArea type="data" outline="0" fieldPosition="0">
        <references count="2">
          <reference field="4294967294" count="1" selected="0">
            <x v="0"/>
          </reference>
          <reference field="4" count="1" selected="0">
            <x v="2"/>
          </reference>
        </references>
      </pivotArea>
    </chartFormat>
    <chartFormat chart="0" format="14">
      <pivotArea type="data" outline="0" fieldPosition="0">
        <references count="2">
          <reference field="4294967294" count="1" selected="0">
            <x v="0"/>
          </reference>
          <reference field="4" count="1" selected="0">
            <x v="3"/>
          </reference>
        </references>
      </pivotArea>
    </chartFormat>
    <chartFormat chart="0" format="15">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28C587-219E-9242-BE08-91A8900860B8}" name="PivotTable1"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Word Counts">
  <location ref="A4:E63" firstHeaderRow="1" firstDataRow="2" firstDataCol="1" rowPageCount="1" colPageCount="1"/>
  <pivotFields count="15">
    <pivotField dataField="1" showAll="0"/>
    <pivotField showAll="0"/>
    <pivotField axis="axisPage" multipleItemSelectionAllowed="1" showAll="0">
      <items count="3">
        <item h="1" x="1"/>
        <item x="0"/>
        <item t="default"/>
      </items>
    </pivotField>
    <pivotField showAll="0"/>
    <pivotField axis="axisCol" showAll="0">
      <items count="7">
        <item x="3"/>
        <item x="5"/>
        <item x="0"/>
        <item x="1"/>
        <item x="2"/>
        <item x="4"/>
        <item t="default"/>
      </items>
    </pivotField>
    <pivotField showAll="0"/>
    <pivotField showAll="0"/>
    <pivotField showAll="0"/>
    <pivotField showAll="0"/>
    <pivotField showAll="0"/>
    <pivotField showAll="0"/>
    <pivotField numFmtId="14" showAll="0"/>
    <pivotField numFmtId="21" showAll="0"/>
    <pivotField numFmtId="1" showAll="0"/>
    <pivotField axis="axisRow" showAll="0">
      <items count="59">
        <item x="1"/>
        <item x="9"/>
        <item x="4"/>
        <item x="5"/>
        <item x="0"/>
        <item x="18"/>
        <item x="3"/>
        <item x="12"/>
        <item x="20"/>
        <item x="19"/>
        <item x="6"/>
        <item x="30"/>
        <item x="39"/>
        <item x="25"/>
        <item x="8"/>
        <item x="10"/>
        <item x="40"/>
        <item x="36"/>
        <item x="17"/>
        <item x="11"/>
        <item x="26"/>
        <item x="45"/>
        <item x="16"/>
        <item x="33"/>
        <item x="23"/>
        <item x="44"/>
        <item x="41"/>
        <item x="29"/>
        <item x="21"/>
        <item x="31"/>
        <item x="50"/>
        <item x="28"/>
        <item x="48"/>
        <item x="22"/>
        <item x="43"/>
        <item x="32"/>
        <item x="15"/>
        <item x="37"/>
        <item x="49"/>
        <item x="14"/>
        <item x="53"/>
        <item x="51"/>
        <item x="27"/>
        <item x="34"/>
        <item x="35"/>
        <item x="13"/>
        <item x="24"/>
        <item x="42"/>
        <item x="47"/>
        <item x="38"/>
        <item x="55"/>
        <item x="52"/>
        <item x="46"/>
        <item x="2"/>
        <item x="54"/>
        <item x="7"/>
        <item x="56"/>
        <item x="57"/>
        <item t="default"/>
      </items>
    </pivotField>
  </pivotFields>
  <rowFields count="1">
    <field x="14"/>
  </rowFields>
  <rowItems count="5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t="grand">
      <x/>
    </i>
  </rowItems>
  <colFields count="1">
    <field x="4"/>
  </colFields>
  <colItems count="4">
    <i>
      <x v="2"/>
    </i>
    <i>
      <x v="3"/>
    </i>
    <i>
      <x v="4"/>
    </i>
    <i t="grand">
      <x/>
    </i>
  </colItems>
  <pageFields count="1">
    <pageField fld="2" hier="-1"/>
  </pageFields>
  <dataFields count="1">
    <dataField name="Count of" fld="0" subtotal="count" baseField="0" baseItem="0"/>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E6F967-7A01-F74B-8A11-7E8CCE94849C}" name="PivotTable1"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32" firstHeaderRow="1" firstDataRow="1" firstDataCol="1" rowPageCount="1" colPageCount="1"/>
  <pivotFields count="15">
    <pivotField dataField="1" showAll="0"/>
    <pivotField showAll="0"/>
    <pivotField axis="axisPage" multipleItemSelectionAllowed="1" showAll="0">
      <items count="3">
        <item h="1" x="1"/>
        <item x="0"/>
        <item t="default"/>
      </items>
    </pivotField>
    <pivotField showAll="0"/>
    <pivotField showAll="0"/>
    <pivotField showAll="0"/>
    <pivotField showAll="0"/>
    <pivotField showAll="0"/>
    <pivotField showAll="0"/>
    <pivotField showAll="0"/>
    <pivotField showAll="0"/>
    <pivotField axis="axisRow" numFmtId="14" showAll="0">
      <items count="60">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x="0"/>
        <item x="1"/>
        <item x="2"/>
        <item x="3"/>
        <item x="4"/>
        <item x="25"/>
        <item x="5"/>
        <item x="6"/>
        <item x="7"/>
        <item x="8"/>
        <item x="27"/>
        <item x="13"/>
        <item x="9"/>
        <item x="10"/>
        <item x="11"/>
        <item x="12"/>
        <item x="14"/>
        <item x="15"/>
        <item x="16"/>
        <item x="17"/>
        <item x="18"/>
        <item x="19"/>
        <item x="20"/>
        <item x="21"/>
        <item x="26"/>
        <item x="22"/>
        <item x="23"/>
        <item x="24"/>
        <item t="default"/>
      </items>
    </pivotField>
    <pivotField numFmtId="21" showAll="0"/>
    <pivotField numFmtId="1" showAll="0"/>
    <pivotField showAll="0"/>
  </pivotFields>
  <rowFields count="1">
    <field x="11"/>
  </rowFields>
  <rowItems count="29">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t="grand">
      <x/>
    </i>
  </rowItems>
  <colItems count="1">
    <i/>
  </colItems>
  <pageFields count="1">
    <pageField fld="2" hier="-1"/>
  </pageFields>
  <dataFields count="1">
    <dataField name="Count of text"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D2DA8B-A6CF-FC43-AC5E-699BB8C7A31C}" name="PivotTable5"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D5" firstHeaderRow="1" firstDataRow="2" firstDataCol="1" rowPageCount="1" colPageCount="1"/>
  <pivotFields count="15">
    <pivotField dataField="1" showAll="0"/>
    <pivotField showAll="0"/>
    <pivotField axis="axisPage" multipleItemSelectionAllowed="1" showAll="0">
      <items count="3">
        <item h="1" x="1"/>
        <item x="0"/>
        <item t="default"/>
      </items>
    </pivotField>
    <pivotField showAll="0"/>
    <pivotField showAll="0"/>
    <pivotField showAll="0"/>
    <pivotField showAll="0"/>
    <pivotField showAll="0"/>
    <pivotField showAll="0"/>
    <pivotField showAll="0"/>
    <pivotField showAll="0"/>
    <pivotField axis="axisCol" numFmtId="14" showAll="0">
      <items count="60">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x="0"/>
        <item x="1"/>
        <item x="2"/>
        <item x="3"/>
        <item x="4"/>
        <item x="25"/>
        <item x="5"/>
        <item x="6"/>
        <item x="7"/>
        <item x="8"/>
        <item x="27"/>
        <item x="13"/>
        <item x="9"/>
        <item x="10"/>
        <item x="11"/>
        <item x="12"/>
        <item x="14"/>
        <item x="15"/>
        <item x="16"/>
        <item x="17"/>
        <item x="18"/>
        <item x="19"/>
        <item x="20"/>
        <item x="21"/>
        <item x="26"/>
        <item x="22"/>
        <item x="23"/>
        <item x="24"/>
        <item t="default"/>
      </items>
    </pivotField>
    <pivotField numFmtId="21" showAll="0"/>
    <pivotField numFmtId="1" showAll="0"/>
    <pivotField showAll="0"/>
  </pivotFields>
  <rowItems count="1">
    <i/>
  </rowItems>
  <colFields count="1">
    <field x="11"/>
  </colFields>
  <colItems count="29">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t="grand">
      <x/>
    </i>
  </colItems>
  <pageFields count="1">
    <pageField fld="2" hier="-1"/>
  </pageFields>
  <dataFields count="1">
    <dataField name="Count of tex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705C489-1AAF-ED44-AE60-E5AF9AF77605}" name="PivotTable3"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rowPageCount="1" colPageCount="1"/>
  <pivotFields count="15">
    <pivotField dataField="1" showAll="0"/>
    <pivotField showAll="0"/>
    <pivotField axis="axisPage" multipleItemSelectionAllowed="1" showAll="0">
      <items count="3">
        <item h="1" x="1"/>
        <item x="0"/>
        <item t="default"/>
      </items>
    </pivotField>
    <pivotField showAll="0"/>
    <pivotField showAll="0"/>
    <pivotField showAll="0"/>
    <pivotField showAll="0"/>
    <pivotField showAll="0"/>
    <pivotField showAll="0"/>
    <pivotField showAll="0"/>
    <pivotField showAll="0"/>
    <pivotField numFmtId="14" showAll="0"/>
    <pivotField numFmtId="21" showAll="0"/>
    <pivotField numFmtId="1" showAll="0"/>
    <pivotField showAll="0"/>
  </pivotFields>
  <rowItems count="1">
    <i/>
  </rowItems>
  <colItems count="1">
    <i/>
  </colItems>
  <pageFields count="1">
    <pageField fld="2" hier="-1"/>
  </pageFields>
  <dataFields count="1">
    <dataField name="Count of tex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752A69C-0DAD-2B4F-B4EF-62A122A1C2C5}" name="PivotTable4"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8:E20" firstHeaderRow="1" firstDataRow="2" firstDataCol="1" rowPageCount="1" colPageCount="1"/>
  <pivotFields count="15">
    <pivotField dataField="1" showAll="0"/>
    <pivotField showAll="0"/>
    <pivotField axis="axisPage" multipleItemSelectionAllowed="1" showAll="0">
      <items count="3">
        <item h="1" x="1"/>
        <item x="0"/>
        <item t="default"/>
      </items>
    </pivotField>
    <pivotField showAll="0"/>
    <pivotField axis="axisCol" showAll="0">
      <items count="7">
        <item x="3"/>
        <item x="5"/>
        <item x="0"/>
        <item x="1"/>
        <item x="2"/>
        <item x="4"/>
        <item t="default"/>
      </items>
    </pivotField>
    <pivotField showAll="0"/>
    <pivotField showAll="0"/>
    <pivotField showAll="0"/>
    <pivotField showAll="0"/>
    <pivotField showAll="0"/>
    <pivotField showAll="0"/>
    <pivotField numFmtId="14" showAll="0"/>
    <pivotField numFmtId="21" showAll="0"/>
    <pivotField numFmtId="1" showAll="0"/>
    <pivotField showAll="0"/>
  </pivotFields>
  <rowItems count="1">
    <i/>
  </rowItems>
  <colFields count="1">
    <field x="4"/>
  </colFields>
  <colItems count="4">
    <i>
      <x v="2"/>
    </i>
    <i>
      <x v="3"/>
    </i>
    <i>
      <x v="4"/>
    </i>
    <i t="grand">
      <x/>
    </i>
  </colItems>
  <pageFields count="1">
    <pageField fld="2" hier="-1"/>
  </pageFields>
  <dataFields count="1">
    <dataField name="Count of tex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56815F7-BE7D-1444-B7DE-9B5CE572C01B}" name="PivotTable6"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40" firstHeaderRow="1" firstDataRow="2" firstDataCol="1" rowPageCount="1" colPageCount="1"/>
  <pivotFields count="15">
    <pivotField dataField="1" showAll="0"/>
    <pivotField showAll="0"/>
    <pivotField axis="axisPage" multipleItemSelectionAllowed="1" showAll="0">
      <items count="3">
        <item h="1" x="1"/>
        <item x="0"/>
        <item t="default"/>
      </items>
    </pivotField>
    <pivotField showAll="0"/>
    <pivotField axis="axisCol" showAll="0">
      <items count="7">
        <item x="3"/>
        <item x="5"/>
        <item x="0"/>
        <item x="1"/>
        <item x="2"/>
        <item x="4"/>
        <item t="default"/>
      </items>
    </pivotField>
    <pivotField showAll="0"/>
    <pivotField showAll="0"/>
    <pivotField showAll="0"/>
    <pivotField showAll="0"/>
    <pivotField axis="axisRow" showAll="0" sortType="descending">
      <items count="38">
        <item x="1"/>
        <item n="Absense Questions" x="11"/>
        <item x="29"/>
        <item x="15"/>
        <item x="7"/>
        <item x="12"/>
        <item x="16"/>
        <item x="31"/>
        <item x="14"/>
        <item x="32"/>
        <item x="20"/>
        <item x="0"/>
        <item x="8"/>
        <item x="24"/>
        <item x="34"/>
        <item x="4"/>
        <item x="28"/>
        <item x="9"/>
        <item x="30"/>
        <item x="5"/>
        <item x="17"/>
        <item x="22"/>
        <item x="26"/>
        <item x="6"/>
        <item x="13"/>
        <item x="23"/>
        <item x="27"/>
        <item m="1" x="36"/>
        <item x="19"/>
        <item x="3"/>
        <item x="2"/>
        <item x="10"/>
        <item x="18"/>
        <item x="33"/>
        <item x="25"/>
        <item x="21"/>
        <item x="35"/>
        <item t="default"/>
      </items>
      <autoSortScope>
        <pivotArea dataOnly="0" outline="0" fieldPosition="0">
          <references count="1">
            <reference field="4294967294" count="1" selected="0">
              <x v="0"/>
            </reference>
          </references>
        </pivotArea>
      </autoSortScope>
    </pivotField>
    <pivotField showAll="0"/>
    <pivotField numFmtId="14" showAll="0"/>
    <pivotField numFmtId="21" showAll="0"/>
    <pivotField numFmtId="1" showAll="0"/>
    <pivotField showAll="0"/>
  </pivotFields>
  <rowFields count="1">
    <field x="9"/>
  </rowFields>
  <rowItems count="36">
    <i>
      <x v="1"/>
    </i>
    <i>
      <x/>
    </i>
    <i>
      <x v="30"/>
    </i>
    <i>
      <x v="19"/>
    </i>
    <i>
      <x v="24"/>
    </i>
    <i>
      <x v="15"/>
    </i>
    <i>
      <x v="29"/>
    </i>
    <i>
      <x v="13"/>
    </i>
    <i>
      <x v="11"/>
    </i>
    <i>
      <x v="3"/>
    </i>
    <i>
      <x v="25"/>
    </i>
    <i>
      <x v="32"/>
    </i>
    <i>
      <x v="23"/>
    </i>
    <i>
      <x v="34"/>
    </i>
    <i>
      <x v="35"/>
    </i>
    <i>
      <x v="21"/>
    </i>
    <i>
      <x v="26"/>
    </i>
    <i>
      <x v="31"/>
    </i>
    <i>
      <x v="22"/>
    </i>
    <i>
      <x v="9"/>
    </i>
    <i>
      <x v="12"/>
    </i>
    <i>
      <x v="10"/>
    </i>
    <i>
      <x v="4"/>
    </i>
    <i>
      <x v="20"/>
    </i>
    <i>
      <x v="18"/>
    </i>
    <i>
      <x v="17"/>
    </i>
    <i>
      <x v="5"/>
    </i>
    <i>
      <x v="33"/>
    </i>
    <i>
      <x v="8"/>
    </i>
    <i>
      <x v="2"/>
    </i>
    <i>
      <x v="6"/>
    </i>
    <i>
      <x v="14"/>
    </i>
    <i>
      <x v="16"/>
    </i>
    <i>
      <x v="28"/>
    </i>
    <i>
      <x v="7"/>
    </i>
    <i t="grand">
      <x/>
    </i>
  </rowItems>
  <colFields count="1">
    <field x="4"/>
  </colFields>
  <colItems count="4">
    <i>
      <x v="2"/>
    </i>
    <i>
      <x v="3"/>
    </i>
    <i>
      <x v="4"/>
    </i>
    <i t="grand">
      <x/>
    </i>
  </colItems>
  <pageFields count="1">
    <pageField fld="2" hier="-1"/>
  </pageFields>
  <dataFields count="1">
    <dataField name="Count of tex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916F162-282C-0848-8C07-4CC4BEAB73E7}" name="PivotTable7"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B11" firstHeaderRow="1" firstDataRow="1" firstDataCol="1" rowPageCount="3" colPageCount="1"/>
  <pivotFields count="15">
    <pivotField showAll="0"/>
    <pivotField showAll="0"/>
    <pivotField axis="axisPage" multipleItemSelectionAllowed="1" showAll="0">
      <items count="3">
        <item h="1" x="1"/>
        <item x="0"/>
        <item t="default"/>
      </items>
    </pivotField>
    <pivotField showAll="0"/>
    <pivotField axis="axisPage" multipleItemSelectionAllowed="1" showAll="0">
      <items count="7">
        <item h="1" x="3"/>
        <item h="1" x="5"/>
        <item x="0"/>
        <item h="1" x="1"/>
        <item h="1" x="2"/>
        <item h="1" x="4"/>
        <item t="default"/>
      </items>
    </pivotField>
    <pivotField showAll="0"/>
    <pivotField axis="axisPage" multipleItemSelectionAllowed="1" showAll="0">
      <items count="8">
        <item h="1" x="4"/>
        <item h="1" x="6"/>
        <item h="1" x="0"/>
        <item h="1" x="1"/>
        <item x="2"/>
        <item h="1" x="3"/>
        <item h="1" x="5"/>
        <item t="default"/>
      </items>
    </pivotField>
    <pivotField showAll="0"/>
    <pivotField axis="axisRow" dataField="1" showAll="0">
      <items count="16">
        <item x="0"/>
        <item m="1" x="13"/>
        <item x="10"/>
        <item x="4"/>
        <item m="1" x="12"/>
        <item x="7"/>
        <item x="2"/>
        <item m="1" x="14"/>
        <item x="3"/>
        <item x="9"/>
        <item x="1"/>
        <item x="5"/>
        <item x="11"/>
        <item x="6"/>
        <item x="8"/>
        <item t="default"/>
      </items>
    </pivotField>
    <pivotField showAll="0"/>
    <pivotField showAll="0"/>
    <pivotField numFmtId="14" showAll="0"/>
    <pivotField numFmtId="21" showAll="0"/>
    <pivotField numFmtId="1" showAll="0"/>
    <pivotField showAll="0"/>
  </pivotFields>
  <rowFields count="1">
    <field x="8"/>
  </rowFields>
  <rowItems count="6">
    <i>
      <x v="3"/>
    </i>
    <i>
      <x v="5"/>
    </i>
    <i>
      <x v="6"/>
    </i>
    <i>
      <x v="11"/>
    </i>
    <i>
      <x v="13"/>
    </i>
    <i t="grand">
      <x/>
    </i>
  </rowItems>
  <colItems count="1">
    <i/>
  </colItems>
  <pageFields count="3">
    <pageField fld="2" hier="-1"/>
    <pageField fld="4" hier="-1"/>
    <pageField fld="6" hier="-1"/>
  </pageFields>
  <dataFields count="1">
    <dataField name="Count of Notes / Skil to Assign To" fld="8"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AE2FAF8-D650-C04D-ADFE-8D339C2453D6}" name="PivotTable2" cacheId="38" applyNumberFormats="0" applyBorderFormats="0" applyFontFormats="0" applyPatternFormats="0" applyAlignmentFormats="0" applyWidthHeightFormats="1" dataCaption="Values" grandTotalCaption="Total of One Button Click" updatedVersion="8" minRefreshableVersion="3" useAutoFormatting="1" itemPrintTitles="1" createdVersion="8" indent="0" outline="1" outlineData="1" multipleFieldFilters="0" rowHeaderCaption="Button Label" colHeaderCaption="Columns">
  <location ref="A4:D18" firstHeaderRow="1" firstDataRow="2" firstDataCol="1" rowPageCount="2" colPageCount="1"/>
  <pivotFields count="15">
    <pivotField axis="axisRow" dataField="1" showAll="0">
      <items count="3682">
        <item x="1837"/>
        <item x="1797"/>
        <item x="1987"/>
        <item x="1841"/>
        <item x="1842"/>
        <item x="1125"/>
        <item x="1846"/>
        <item x="2499"/>
        <item x="2577"/>
        <item x="2579"/>
        <item x="2589"/>
        <item x="2581"/>
        <item x="2587"/>
        <item x="2583"/>
        <item x="2986"/>
        <item x="2904"/>
        <item x="2944"/>
        <item x="2987"/>
        <item x="2755"/>
        <item x="2890"/>
        <item x="2498"/>
        <item x="2575"/>
        <item x="2574"/>
        <item x="2908"/>
        <item x="2932"/>
        <item x="2744"/>
        <item x="2970"/>
        <item x="2787"/>
        <item x="2920"/>
        <item x="2718"/>
        <item x="2903"/>
        <item x="2985"/>
        <item x="3277"/>
        <item x="3143"/>
        <item x="3182"/>
        <item x="3185"/>
        <item x="3315"/>
        <item x="3357"/>
        <item x="3105"/>
        <item x="3069"/>
        <item x="3318"/>
        <item x="3053"/>
        <item x="3002"/>
        <item x="3244"/>
        <item x="3245"/>
        <item x="3361"/>
        <item x="3309"/>
        <item x="3184"/>
        <item x="3123"/>
        <item x="3135"/>
        <item x="3213"/>
        <item x="3113"/>
        <item x="3175"/>
        <item x="3224"/>
        <item x="3454"/>
        <item x="3158"/>
        <item x="3026"/>
        <item x="3173"/>
        <item x="3174"/>
        <item x="3044"/>
        <item x="3181"/>
        <item x="3107"/>
        <item x="3001"/>
        <item x="3458"/>
        <item x="3073"/>
        <item x="3298"/>
        <item x="3119"/>
        <item x="2419"/>
        <item x="2511"/>
        <item x="2857"/>
        <item x="3344"/>
        <item x="3262"/>
        <item x="2884"/>
        <item x="2858"/>
        <item x="2436"/>
        <item x="3199"/>
        <item x="3131"/>
        <item x="2724"/>
        <item x="2506"/>
        <item x="1008"/>
        <item x="1620"/>
        <item x="2269"/>
        <item x="1222"/>
        <item x="1639"/>
        <item x="1541"/>
        <item x="1805"/>
        <item x="1529"/>
        <item x="1622"/>
        <item x="1047"/>
        <item x="809"/>
        <item x="1540"/>
        <item m="1" x="3623"/>
        <item x="1775"/>
        <item x="2476"/>
        <item x="3316"/>
        <item x="270"/>
        <item x="1495"/>
        <item x="501"/>
        <item x="1988"/>
        <item x="1309"/>
        <item x="451"/>
        <item m="1" x="3579"/>
        <item x="960"/>
        <item x="2119"/>
        <item x="461"/>
        <item x="342"/>
        <item x="1406"/>
        <item x="705"/>
        <item x="1583"/>
        <item x="175"/>
        <item x="58"/>
        <item x="1630"/>
        <item x="534"/>
        <item x="19"/>
        <item x="20"/>
        <item x="2005"/>
        <item x="1961"/>
        <item x="1692"/>
        <item x="187"/>
        <item x="721"/>
        <item x="777"/>
        <item x="1672"/>
        <item x="912"/>
        <item x="2006"/>
        <item x="1322"/>
        <item x="1960"/>
        <item x="1185"/>
        <item x="1872"/>
        <item x="3159"/>
        <item x="2480"/>
        <item x="2888"/>
        <item x="2608"/>
        <item x="3088"/>
        <item x="1674"/>
        <item x="1087"/>
        <item x="1933"/>
        <item x="181"/>
        <item x="259"/>
        <item x="663"/>
        <item x="402"/>
        <item x="330"/>
        <item x="2559"/>
        <item x="2424"/>
        <item x="2412"/>
        <item x="2431"/>
        <item x="2288"/>
        <item x="1854"/>
        <item x="1871"/>
        <item x="103"/>
        <item x="2399"/>
        <item x="530"/>
        <item x="468"/>
        <item x="416"/>
        <item x="114"/>
        <item x="306"/>
        <item x="2450"/>
        <item x="2461"/>
        <item x="320"/>
        <item x="319"/>
        <item x="592"/>
        <item x="1433"/>
        <item x="283"/>
        <item x="1372"/>
        <item x="2301"/>
        <item x="701"/>
        <item x="8"/>
        <item x="682"/>
        <item x="131"/>
        <item x="418"/>
        <item x="434"/>
        <item x="1135"/>
        <item x="739"/>
        <item x="2416"/>
        <item x="106"/>
        <item x="2414"/>
        <item x="1296"/>
        <item x="1741"/>
        <item x="159"/>
        <item x="1"/>
        <item x="1077"/>
        <item x="413"/>
        <item x="1236"/>
        <item x="1238"/>
        <item x="1279"/>
        <item x="2146"/>
        <item x="2213"/>
        <item x="480"/>
        <item x="2136"/>
        <item x="2593"/>
        <item x="1269"/>
        <item x="1497"/>
        <item x="544"/>
        <item x="732"/>
        <item x="1623"/>
        <item x="1711"/>
        <item x="1424"/>
        <item x="2297"/>
        <item x="72"/>
        <item x="1844"/>
        <item x="770"/>
        <item x="321"/>
        <item x="959"/>
        <item x="2273"/>
        <item x="955"/>
        <item x="430"/>
        <item x="2088"/>
        <item x="163"/>
        <item x="792"/>
        <item x="952"/>
        <item x="542"/>
        <item x="1387"/>
        <item x="1006"/>
        <item x="1595"/>
        <item x="946"/>
        <item x="1561"/>
        <item x="898"/>
        <item x="968"/>
        <item x="928"/>
        <item x="162"/>
        <item x="2166"/>
        <item x="1812"/>
        <item x="1782"/>
        <item x="956"/>
        <item x="1110"/>
        <item x="1055"/>
        <item x="1160"/>
        <item x="1547"/>
        <item x="203"/>
        <item x="2304"/>
        <item x="726"/>
        <item x="2193"/>
        <item x="776"/>
        <item x="1122"/>
        <item x="363"/>
        <item x="435"/>
        <item x="2381"/>
        <item x="2283"/>
        <item x="1698"/>
        <item x="36"/>
        <item x="1182"/>
        <item x="552"/>
        <item x="1088"/>
        <item x="990"/>
        <item x="1565"/>
        <item x="2351"/>
        <item x="2298"/>
        <item x="1128"/>
        <item x="1063"/>
        <item x="1530"/>
        <item x="1551"/>
        <item x="359"/>
        <item x="1637"/>
        <item x="41"/>
        <item x="38"/>
        <item x="24"/>
        <item x="409"/>
        <item x="2098"/>
        <item x="52"/>
        <item x="2091"/>
        <item x="271"/>
        <item x="2105"/>
        <item x="2386"/>
        <item x="1689"/>
        <item x="1898"/>
        <item x="1851"/>
        <item x="1881"/>
        <item x="1466"/>
        <item x="720"/>
        <item x="217"/>
        <item x="1152"/>
        <item x="427"/>
        <item x="937"/>
        <item x="1307"/>
        <item x="896"/>
        <item x="127"/>
        <item x="126"/>
        <item x="128"/>
        <item x="179"/>
        <item x="773"/>
        <item x="287"/>
        <item x="1976"/>
        <item x="2401"/>
        <item x="2043"/>
        <item x="1173"/>
        <item x="62"/>
        <item x="1715"/>
        <item x="900"/>
        <item x="1718"/>
        <item x="95"/>
        <item x="151"/>
        <item x="2074"/>
        <item x="869"/>
        <item x="767"/>
        <item x="362"/>
        <item x="340"/>
        <item x="1337"/>
        <item x="2170"/>
        <item x="2294"/>
        <item x="793"/>
        <item x="1800"/>
        <item x="712"/>
        <item x="2286"/>
        <item x="1912"/>
        <item x="171"/>
        <item x="1095"/>
        <item x="39"/>
        <item x="1096"/>
        <item x="2144"/>
        <item x="842"/>
        <item x="1383"/>
        <item x="1463"/>
        <item x="2303"/>
        <item x="2202"/>
        <item x="1484"/>
        <item x="775"/>
        <item x="2121"/>
        <item x="110"/>
        <item x="266"/>
        <item x="714"/>
        <item x="13"/>
        <item x="2069"/>
        <item x="826"/>
        <item x="1490"/>
        <item x="687"/>
        <item x="648"/>
        <item x="2055"/>
        <item x="2118"/>
        <item x="1589"/>
        <item x="1369"/>
        <item x="699"/>
        <item x="242"/>
        <item x="2054"/>
        <item x="784"/>
        <item x="2353"/>
        <item x="381"/>
        <item x="2337"/>
        <item x="1887"/>
        <item x="2154"/>
        <item x="1717"/>
        <item x="1370"/>
        <item x="1758"/>
        <item x="1349"/>
        <item x="976"/>
        <item x="1277"/>
        <item x="863"/>
        <item x="890"/>
        <item x="275"/>
        <item x="2083"/>
        <item x="1187"/>
        <item x="1392"/>
        <item x="1276"/>
        <item x="1978"/>
        <item x="1464"/>
        <item x="1585"/>
        <item x="2404"/>
        <item x="1716"/>
        <item x="1580"/>
        <item x="1834"/>
        <item x="574"/>
        <item x="3217"/>
        <item x="3354"/>
        <item x="3434"/>
        <item x="3234"/>
        <item x="3269"/>
        <item x="3442"/>
        <item x="3317"/>
        <item x="3111"/>
        <item x="3457"/>
        <item x="3284"/>
        <item x="3149"/>
        <item x="3302"/>
        <item x="3392"/>
        <item x="3290"/>
        <item x="3165"/>
        <item x="3287"/>
        <item x="3156"/>
        <item x="3127"/>
        <item x="3155"/>
        <item x="3124"/>
        <item x="3268"/>
        <item x="3120"/>
        <item x="3218"/>
        <item x="3323"/>
        <item x="3293"/>
        <item x="3450"/>
        <item x="3133"/>
        <item x="3206"/>
        <item x="3281"/>
        <item x="3201"/>
        <item x="3412"/>
        <item x="3375"/>
        <item x="3292"/>
        <item x="3102"/>
        <item x="3118"/>
        <item x="3459"/>
        <item x="3267"/>
        <item x="3347"/>
        <item x="3301"/>
        <item x="3441"/>
        <item x="3466"/>
        <item x="3272"/>
        <item x="2788"/>
        <item x="2836"/>
        <item x="2495"/>
        <item x="2567"/>
        <item x="2917"/>
        <item x="2808"/>
        <item x="2877"/>
        <item x="2613"/>
        <item x="2649"/>
        <item x="2770"/>
        <item x="2792"/>
        <item x="2666"/>
        <item x="2682"/>
        <item x="2968"/>
        <item x="3025"/>
        <item x="2619"/>
        <item x="2610"/>
        <item x="2446"/>
        <item x="2862"/>
        <item x="2923"/>
        <item x="2940"/>
        <item x="2599"/>
        <item x="2630"/>
        <item x="2804"/>
        <item x="2526"/>
        <item x="2891"/>
        <item x="2501"/>
        <item x="2607"/>
        <item x="2509"/>
        <item x="2612"/>
        <item x="2941"/>
        <item x="3024"/>
        <item x="2924"/>
        <item x="2618"/>
        <item x="3064"/>
        <item x="2959"/>
        <item x="2843"/>
        <item x="2760"/>
        <item x="2961"/>
        <item x="2952"/>
        <item x="2990"/>
        <item x="3072"/>
        <item x="2600"/>
        <item x="1759"/>
        <item x="1803"/>
        <item x="843"/>
        <item x="1615"/>
        <item x="2396"/>
        <item x="1975"/>
        <item x="2398"/>
        <item x="577"/>
        <item x="2395"/>
        <item x="2394"/>
        <item x="2258"/>
        <item x="651"/>
        <item x="2117"/>
        <item x="1467"/>
        <item x="2191"/>
        <item x="2380"/>
        <item x="805"/>
        <item x="1405"/>
        <item x="595"/>
        <item x="2198"/>
        <item x="2385"/>
        <item x="2062"/>
        <item x="2183"/>
        <item x="895"/>
        <item x="1726"/>
        <item x="469"/>
        <item x="92"/>
        <item x="93"/>
        <item x="1779"/>
        <item x="2722"/>
        <item x="94"/>
        <item x="288"/>
        <item x="693"/>
        <item m="1" x="3665"/>
        <item m="1" x="3469"/>
        <item x="2356"/>
        <item x="357"/>
        <item x="101"/>
        <item x="962"/>
        <item x="100"/>
        <item x="197"/>
        <item x="327"/>
        <item x="1051"/>
        <item x="310"/>
        <item x="347"/>
        <item x="783"/>
        <item x="1304"/>
        <item x="2275"/>
        <item x="947"/>
        <item x="1451"/>
        <item x="1221"/>
        <item x="231"/>
        <item x="309"/>
        <item x="837"/>
        <item x="316"/>
        <item x="1785"/>
        <item x="1924"/>
        <item x="1813"/>
        <item x="855"/>
        <item x="2188"/>
        <item x="1041"/>
        <item x="736"/>
        <item x="2354"/>
        <item x="583"/>
        <item x="856"/>
        <item x="546"/>
        <item x="1268"/>
        <item x="1403"/>
        <item x="1312"/>
        <item x="780"/>
        <item x="254"/>
        <item x="851"/>
        <item x="1931"/>
        <item x="2343"/>
        <item x="1179"/>
        <item x="638"/>
        <item x="1699"/>
        <item x="868"/>
        <item x="632"/>
        <item x="79"/>
        <item x="1101"/>
        <item x="1362"/>
        <item x="443"/>
        <item x="1338"/>
        <item x="694"/>
        <item x="1009"/>
        <item x="2293"/>
        <item x="80"/>
        <item x="1231"/>
        <item x="1402"/>
        <item x="2311"/>
        <item x="23"/>
        <item x="1086"/>
        <item x="756"/>
        <item x="399"/>
        <item x="609"/>
        <item x="2178"/>
        <item x="400"/>
        <item x="848"/>
        <item x="1471"/>
        <item x="1033"/>
        <item x="301"/>
        <item x="979"/>
        <item x="874"/>
        <item x="641"/>
        <item x="26"/>
        <item x="2113"/>
        <item x="429"/>
        <item x="142"/>
        <item x="115"/>
        <item x="1916"/>
        <item x="3057"/>
        <item x="2750"/>
        <item x="3050"/>
        <item x="2208"/>
        <item x="209"/>
        <item x="1747"/>
        <item x="980"/>
        <item x="393"/>
        <item x="1866"/>
        <item x="122"/>
        <item x="123"/>
        <item x="1749"/>
        <item x="493"/>
        <item x="294"/>
        <item x="312"/>
        <item x="477"/>
        <item x="1483"/>
        <item x="1350"/>
        <item x="107"/>
        <item x="741"/>
        <item x="2029"/>
        <item x="1592"/>
        <item x="676"/>
        <item x="2225"/>
        <item x="1476"/>
        <item x="1768"/>
        <item x="918"/>
        <item x="2082"/>
        <item x="2017"/>
        <item x="1576"/>
        <item x="379"/>
        <item x="2095"/>
        <item x="465"/>
        <item x="2390"/>
        <item x="185"/>
        <item x="368"/>
        <item x="1874"/>
        <item x="135"/>
        <item x="134"/>
        <item x="1479"/>
        <item x="1998"/>
        <item x="1164"/>
        <item x="2633"/>
        <item x="2244"/>
        <item x="1272"/>
        <item x="951"/>
        <item x="965"/>
        <item x="489"/>
        <item x="981"/>
        <item x="875"/>
        <item x="1420"/>
        <item x="905"/>
        <item x="2004"/>
        <item x="1950"/>
        <item x="56"/>
        <item x="344"/>
        <item x="1014"/>
        <item x="1243"/>
        <item x="2240"/>
        <item x="2260"/>
        <item x="1229"/>
        <item x="717"/>
        <item x="768"/>
        <item x="941"/>
        <item x="241"/>
        <item x="1428"/>
        <item x="2408"/>
        <item x="295"/>
        <item x="2372"/>
        <item x="1188"/>
        <item x="578"/>
        <item x="1488"/>
        <item x="1425"/>
        <item x="679"/>
        <item x="938"/>
        <item x="628"/>
        <item x="1153"/>
        <item x="697"/>
        <item x="2629"/>
        <item x="5"/>
        <item x="2425"/>
        <item x="565"/>
        <item x="700"/>
        <item x="529"/>
        <item x="1416"/>
        <item x="2751"/>
        <item x="1809"/>
        <item x="880"/>
        <item x="1384"/>
        <item x="1061"/>
        <item x="568"/>
        <item x="2384"/>
        <item x="1575"/>
        <item x="2322"/>
        <item x="922"/>
        <item x="2224"/>
        <item x="500"/>
        <item x="821"/>
        <item x="176"/>
        <item x="608"/>
        <item x="1093"/>
        <item x="1994"/>
        <item x="1515"/>
        <item x="1528"/>
        <item x="2175"/>
        <item x="840"/>
        <item x="823"/>
        <item x="1798"/>
        <item x="1840"/>
        <item x="1847"/>
        <item x="2335"/>
        <item x="1831"/>
        <item x="425"/>
        <item x="410"/>
        <item x="1626"/>
        <item x="1237"/>
        <item x="2448"/>
        <item x="1227"/>
        <item x="504"/>
        <item x="265"/>
        <item x="2194"/>
        <item x="1608"/>
        <item x="1002"/>
        <item x="1380"/>
        <item x="1365"/>
        <item x="2230"/>
        <item x="1983"/>
        <item x="1017"/>
        <item x="1021"/>
        <item x="1138"/>
        <item x="1290"/>
        <item x="570"/>
        <item x="1388"/>
        <item x="1767"/>
        <item x="2231"/>
        <item x="2158"/>
        <item x="2164"/>
        <item x="1013"/>
        <item x="1204"/>
        <item x="1111"/>
        <item x="2553"/>
        <item x="2180"/>
        <item x="1757"/>
        <item x="86"/>
        <item x="2171"/>
        <item x="404"/>
        <item x="1180"/>
        <item x="1191"/>
        <item m="1" x="3576"/>
        <item x="1391"/>
        <item x="2220"/>
        <item x="831"/>
        <item x="459"/>
        <item x="636"/>
        <item x="862"/>
        <item x="889"/>
        <item x="2026"/>
        <item x="439"/>
        <item x="2259"/>
        <item x="3061"/>
        <item x="467"/>
        <item x="1657"/>
        <item x="1509"/>
        <item x="446"/>
        <item x="1167"/>
        <item x="1106"/>
        <item x="2471"/>
        <item x="164"/>
        <item x="2140"/>
        <item x="1020"/>
        <item x="541"/>
        <item x="586"/>
        <item x="1325"/>
        <item x="2132"/>
        <item x="1838"/>
        <item x="2052"/>
        <item x="108"/>
        <item x="1829"/>
        <item x="2174"/>
        <item x="771"/>
        <item x="1361"/>
        <item x="2262"/>
        <item x="2276"/>
        <item x="1890"/>
        <item x="1947"/>
        <item x="1875"/>
        <item x="298"/>
        <item x="1658"/>
        <item x="81"/>
        <item x="2253"/>
        <item x="284"/>
        <item x="65"/>
        <item x="1596"/>
        <item x="1348"/>
        <item x="2346"/>
        <item x="292"/>
        <item x="105"/>
        <item x="1161"/>
        <item x="708"/>
        <item x="1649"/>
        <item x="3191"/>
        <item x="30"/>
        <item x="1557"/>
        <item x="1162"/>
        <item x="940"/>
        <item x="88"/>
        <item x="2238"/>
        <item x="3004"/>
        <item x="2648"/>
        <item x="1648"/>
        <item x="2382"/>
        <item x="450"/>
        <item x="1929"/>
        <item x="850"/>
        <item x="343"/>
        <item x="407"/>
        <item x="1682"/>
        <item x="627"/>
        <item x="1196"/>
        <item x="3021"/>
        <item x="3023"/>
        <item x="2980"/>
        <item x="2669"/>
        <item x="3203"/>
        <item x="2747"/>
        <item x="3011"/>
        <item x="3096"/>
        <item x="3077"/>
        <item x="3042"/>
        <item x="3009"/>
        <item x="2675"/>
        <item x="3128"/>
        <item x="3169"/>
        <item x="2628"/>
        <item x="2863"/>
        <item x="2689"/>
        <item x="3240"/>
        <item x="3013"/>
        <item x="3337"/>
        <item x="2572"/>
        <item x="2469"/>
        <item x="2769"/>
        <item x="2867"/>
        <item x="3452"/>
        <item x="3425"/>
        <item x="3028"/>
        <item x="3237"/>
        <item x="2993"/>
        <item x="3334"/>
        <item x="2851"/>
        <item x="2829"/>
        <item x="3161"/>
        <item x="3460"/>
        <item x="2460"/>
        <item x="3415"/>
        <item x="3462"/>
        <item x="3461"/>
        <item x="3398"/>
        <item x="3381"/>
        <item x="2780"/>
        <item x="2434"/>
        <item m="1" x="3627"/>
        <item m="1" x="3628"/>
        <item x="3264"/>
        <item m="1" x="3622"/>
        <item x="2625"/>
        <item x="2815"/>
        <item x="2951"/>
        <item x="3380"/>
        <item x="2529"/>
        <item x="3198"/>
        <item x="3016"/>
        <item x="3228"/>
        <item x="2534"/>
        <item m="1" x="3470"/>
        <item m="1" x="3472"/>
        <item m="1" x="3473"/>
        <item x="3019"/>
        <item m="1" x="3478"/>
        <item m="1" x="3477"/>
        <item m="1" x="3479"/>
        <item m="1" x="3487"/>
        <item m="1" x="3488"/>
        <item m="1" x="3486"/>
        <item m="1" x="3474"/>
        <item m="1" x="3476"/>
        <item m="1" x="3480"/>
        <item m="1" x="3494"/>
        <item m="1" x="3485"/>
        <item m="1" x="3496"/>
        <item m="1" x="3489"/>
        <item m="1" x="3493"/>
        <item m="1" x="3495"/>
        <item m="1" x="3491"/>
        <item m="1" x="3492"/>
        <item m="1" x="3490"/>
        <item x="3197"/>
        <item m="1" x="3498"/>
        <item m="1" x="3497"/>
        <item m="1" x="3499"/>
        <item x="2896"/>
        <item m="1" x="3501"/>
        <item m="1" x="3502"/>
        <item x="3303"/>
        <item x="2963"/>
        <item m="1" x="3505"/>
        <item m="1" x="3503"/>
        <item m="1" x="3508"/>
        <item m="1" x="3507"/>
        <item m="1" x="3506"/>
        <item m="1" x="3504"/>
        <item m="1" x="3509"/>
        <item m="1" x="3580"/>
        <item m="1" x="3475"/>
        <item m="1" x="3483"/>
        <item m="1" x="3524"/>
        <item m="1" x="3523"/>
        <item m="1" x="3522"/>
        <item m="1" x="3514"/>
        <item m="1" x="3513"/>
        <item m="1" x="3525"/>
        <item m="1" x="3516"/>
        <item m="1" x="3515"/>
        <item m="1" x="3511"/>
        <item m="1" x="3512"/>
        <item m="1" x="3510"/>
        <item m="1" x="3527"/>
        <item m="1" x="3531"/>
        <item m="1" x="3530"/>
        <item m="1" x="3529"/>
        <item m="1" x="3532"/>
        <item m="1" x="3535"/>
        <item m="1" x="3526"/>
        <item m="1" x="3536"/>
        <item x="2854"/>
        <item m="1" x="3538"/>
        <item m="1" x="3539"/>
        <item m="1" x="3537"/>
        <item x="2855"/>
        <item m="1" x="3544"/>
        <item m="1" x="3543"/>
        <item m="1" x="3541"/>
        <item m="1" x="3540"/>
        <item m="1" x="3542"/>
        <item m="1" x="3545"/>
        <item m="1" x="3546"/>
        <item m="1" x="3547"/>
        <item m="1" x="3548"/>
        <item m="1" x="3553"/>
        <item m="1" x="3552"/>
        <item m="1" x="3556"/>
        <item m="1" x="3555"/>
        <item m="1" x="3557"/>
        <item m="1" x="3558"/>
        <item m="1" x="3549"/>
        <item m="1" x="3554"/>
        <item m="1" x="3559"/>
        <item m="1" x="3550"/>
        <item m="1" x="3551"/>
        <item m="1" x="3569"/>
        <item m="1" x="3566"/>
        <item m="1" x="3567"/>
        <item m="1" x="3560"/>
        <item m="1" x="3568"/>
        <item m="1" x="3561"/>
        <item m="1" x="3565"/>
        <item m="1" x="3564"/>
        <item m="1" x="3563"/>
        <item m="1" x="3562"/>
        <item m="1" x="3570"/>
        <item m="1" x="3571"/>
        <item m="1" x="3588"/>
        <item m="1" x="3581"/>
        <item m="1" x="3572"/>
        <item m="1" x="3574"/>
        <item m="1" x="3578"/>
        <item m="1" x="3577"/>
        <item m="1" x="3583"/>
        <item m="1" x="3587"/>
        <item m="1" x="3582"/>
        <item m="1" x="3573"/>
        <item x="3364"/>
        <item m="1" x="3593"/>
        <item m="1" x="3589"/>
        <item m="1" x="3590"/>
        <item m="1" x="3592"/>
        <item m="1" x="3591"/>
        <item m="1" x="3534"/>
        <item m="1" x="3596"/>
        <item m="1" x="3595"/>
        <item m="1" x="3594"/>
        <item m="1" x="3521"/>
        <item m="1" x="3598"/>
        <item m="1" x="3597"/>
        <item x="3241"/>
        <item x="3242"/>
        <item m="1" x="3606"/>
        <item m="1" x="3608"/>
        <item m="1" x="3610"/>
        <item m="1" x="3599"/>
        <item m="1" x="3604"/>
        <item m="1" x="3609"/>
        <item m="1" x="3607"/>
        <item m="1" x="3603"/>
        <item m="1" x="3518"/>
        <item m="1" x="3600"/>
        <item m="1" x="3528"/>
        <item m="1" x="3605"/>
        <item m="1" x="3612"/>
        <item m="1" x="3616"/>
        <item m="1" x="3619"/>
        <item m="1" x="3615"/>
        <item m="1" x="3611"/>
        <item m="1" x="3618"/>
        <item m="1" x="3617"/>
        <item m="1" x="3614"/>
        <item m="1" x="3624"/>
        <item x="2639"/>
        <item m="1" x="3639"/>
        <item m="1" x="3630"/>
        <item m="1" x="3638"/>
        <item m="1" x="3626"/>
        <item m="1" x="3629"/>
        <item m="1" x="3633"/>
        <item m="1" x="3625"/>
        <item m="1" x="3637"/>
        <item m="1" x="3636"/>
        <item m="1" x="3631"/>
        <item m="1" x="3634"/>
        <item m="1" x="3632"/>
        <item m="1" x="3641"/>
        <item m="1" x="3645"/>
        <item m="1" x="3644"/>
        <item m="1" x="3643"/>
        <item m="1" x="3646"/>
        <item m="1" x="3642"/>
        <item m="1" x="3640"/>
        <item m="1" x="3621"/>
        <item m="1" x="3649"/>
        <item m="1" x="3650"/>
        <item m="1" x="3651"/>
        <item m="1" x="3652"/>
        <item m="1" x="3648"/>
        <item m="1" x="3647"/>
        <item x="2872"/>
        <item m="1" x="3657"/>
        <item m="1" x="3662"/>
        <item m="1" x="3663"/>
        <item m="1" x="3661"/>
        <item m="1" x="3656"/>
        <item m="1" x="3653"/>
        <item m="1" x="3658"/>
        <item m="1" x="3659"/>
        <item m="1" x="3655"/>
        <item m="1" x="3660"/>
        <item m="1" x="3654"/>
        <item m="1" x="3668"/>
        <item m="1" x="3673"/>
        <item m="1" x="3671"/>
        <item m="1" x="3670"/>
        <item m="1" x="3676"/>
        <item m="1" x="3675"/>
        <item m="1" x="3672"/>
        <item m="1" x="3677"/>
        <item m="1" x="3667"/>
        <item m="1" x="3669"/>
        <item m="1" x="3674"/>
        <item m="1" x="3666"/>
        <item m="1" x="3664"/>
        <item m="1" x="3678"/>
        <item m="1" x="3680"/>
        <item m="1" x="3679"/>
        <item x="3414"/>
        <item x="3195"/>
        <item x="2635"/>
        <item x="3365"/>
        <item x="3289"/>
        <item x="3418"/>
        <item x="3391"/>
        <item x="2887"/>
        <item x="3410"/>
        <item x="2934"/>
        <item x="3266"/>
        <item x="3276"/>
        <item x="3227"/>
        <item x="3385"/>
        <item x="2637"/>
        <item x="2860"/>
        <item x="2525"/>
        <item x="3148"/>
        <item x="3137"/>
        <item x="2832"/>
        <item x="2490"/>
        <item x="3328"/>
        <item x="2711"/>
        <item x="2949"/>
        <item x="2915"/>
        <item x="2954"/>
        <item x="2982"/>
        <item x="2798"/>
        <item x="3321"/>
        <item x="2530"/>
        <item x="2694"/>
        <item x="2791"/>
        <item x="2820"/>
        <item x="3190"/>
        <item x="3186"/>
        <item x="3326"/>
        <item x="2742"/>
        <item x="2447"/>
        <item x="1189"/>
        <item x="1223"/>
        <item x="1938"/>
        <item x="1970"/>
        <item x="137"/>
        <item x="1270"/>
        <item x="1766"/>
        <item x="1174"/>
        <item x="1737"/>
        <item x="1934"/>
        <item x="1038"/>
        <item x="124"/>
        <item x="257"/>
        <item x="1295"/>
        <item x="2369"/>
        <item x="1616"/>
        <item x="296"/>
        <item x="2284"/>
        <item x="332"/>
        <item x="615"/>
        <item x="2057"/>
        <item x="1373"/>
        <item x="2234"/>
        <item x="601"/>
        <item x="1176"/>
        <item x="1754"/>
        <item x="237"/>
        <item x="1410"/>
        <item x="376"/>
        <item x="149"/>
        <item x="1789"/>
        <item x="2370"/>
        <item x="147"/>
        <item x="148"/>
        <item x="21"/>
        <item x="2042"/>
        <item x="89"/>
        <item x="584"/>
        <item x="1115"/>
        <item x="374"/>
        <item x="2159"/>
        <item x="1108"/>
        <item x="2106"/>
        <item x="1773"/>
        <item x="3003"/>
        <item x="31"/>
        <item x="1355"/>
        <item x="2287"/>
        <item x="1524"/>
        <item x="678"/>
        <item x="1781"/>
        <item x="1990"/>
        <item x="1103"/>
        <item m="1" x="3601"/>
        <item x="2264"/>
        <item x="1083"/>
        <item x="1091"/>
        <item x="2030"/>
        <item x="146"/>
        <item x="2148"/>
        <item x="1697"/>
        <item x="49"/>
        <item x="48"/>
        <item x="743"/>
        <item x="367"/>
        <item x="2139"/>
        <item x="226"/>
        <item x="1959"/>
        <item x="1705"/>
        <item x="345"/>
        <item x="145"/>
        <item x="2377"/>
        <item x="1050"/>
        <item x="1679"/>
        <item x="323"/>
        <item x="2321"/>
        <item x="953"/>
        <item x="954"/>
        <item x="2285"/>
        <item x="1475"/>
        <item x="1558"/>
        <item x="1029"/>
        <item x="204"/>
        <item x="1939"/>
        <item x="2007"/>
        <item x="352"/>
        <item x="798"/>
        <item x="2212"/>
        <item x="3377"/>
        <item x="2483"/>
        <item x="2726"/>
        <item x="2602"/>
        <item x="1395"/>
        <item x="9"/>
        <item x="1263"/>
        <item x="709"/>
        <item x="448"/>
        <item x="2051"/>
        <item x="401"/>
        <item x="490"/>
        <item x="984"/>
        <item x="1203"/>
        <item x="1199"/>
        <item x="1706"/>
        <item x="394"/>
        <item x="688"/>
        <item x="2044"/>
        <item x="2033"/>
        <item x="2131"/>
        <item x="2097"/>
        <item x="437"/>
        <item x="906"/>
        <item x="2151"/>
        <item x="453"/>
        <item x="878"/>
        <item x="438"/>
        <item x="2186"/>
        <item x="603"/>
        <item x="893"/>
        <item x="2338"/>
        <item x="1434"/>
        <item x="1787"/>
        <item x="989"/>
        <item x="2109"/>
        <item x="2243"/>
        <item x="671"/>
        <item x="395"/>
        <item x="2107"/>
        <item x="1256"/>
        <item x="279"/>
        <item x="524"/>
        <item x="1460"/>
        <item x="1298"/>
        <item x="1602"/>
        <item x="1382"/>
        <item x="1305"/>
        <item x="1526"/>
        <item x="1492"/>
        <item x="2040"/>
        <item x="661"/>
        <item x="517"/>
        <item x="696"/>
        <item x="1821"/>
        <item x="143"/>
        <item x="390"/>
        <item x="1579"/>
        <item x="1275"/>
        <item x="132"/>
        <item x="654"/>
        <item x="230"/>
        <item x="1853"/>
        <item x="519"/>
        <item x="1728"/>
        <item x="428"/>
        <item x="2429"/>
        <item x="1480"/>
        <item x="967"/>
        <item x="1527"/>
        <item x="657"/>
        <item x="415"/>
        <item x="1651"/>
        <item x="1462"/>
        <item x="2192"/>
        <item x="729"/>
        <item x="1407"/>
        <item x="1736"/>
        <item x="2344"/>
        <item x="1351"/>
        <item x="1334"/>
        <item x="516"/>
        <item x="1761"/>
        <item x="1059"/>
        <item x="846"/>
        <item x="2334"/>
        <item x="221"/>
        <item x="2111"/>
        <item x="57"/>
        <item x="2340"/>
        <item x="222"/>
        <item x="1081"/>
        <item x="1076"/>
        <item x="1962"/>
        <item x="1082"/>
        <item x="1044"/>
        <item x="1124"/>
        <item x="348"/>
        <item x="361"/>
        <item x="2053"/>
        <item x="1566"/>
        <item x="1827"/>
        <item x="1951"/>
        <item x="1058"/>
        <item x="1022"/>
        <item x="170"/>
        <item x="1134"/>
        <item x="1807"/>
        <item x="2003"/>
        <item x="845"/>
        <item x="560"/>
        <item x="60"/>
        <item x="849"/>
        <item x="1986"/>
        <item x="1885"/>
        <item x="273"/>
        <item x="1478"/>
        <item x="2352"/>
        <item x="1522"/>
        <item x="78"/>
        <item x="1783"/>
        <item x="27"/>
        <item x="1107"/>
        <item x="2066"/>
        <item x="1772"/>
        <item x="2204"/>
        <item x="1441"/>
        <item x="2149"/>
        <item x="1865"/>
        <item x="1435"/>
        <item x="550"/>
        <item x="613"/>
        <item x="1832"/>
        <item x="1210"/>
        <item x="1574"/>
        <item x="2280"/>
        <item x="2179"/>
        <item x="2368"/>
        <item x="986"/>
        <item x="1360"/>
        <item x="1477"/>
        <item x="2096"/>
        <item x="1617"/>
        <item x="165"/>
        <item x="1288"/>
        <item x="1724"/>
        <item x="1235"/>
        <item x="1137"/>
        <item x="1049"/>
        <item x="1778"/>
        <item x="1777"/>
        <item x="326"/>
        <item x="1264"/>
        <item x="1734"/>
        <item x="652"/>
        <item x="1946"/>
        <item x="1073"/>
        <item x="1074"/>
        <item x="1012"/>
        <item x="2016"/>
        <item x="2383"/>
        <item x="1072"/>
        <item x="1036"/>
        <item x="1035"/>
        <item x="1897"/>
        <item x="598"/>
        <item x="948"/>
        <item x="10"/>
        <item x="1727"/>
        <item x="2315"/>
        <item x="527"/>
        <item x="1532"/>
        <item x="1385"/>
        <item x="336"/>
        <item x="1411"/>
        <item x="2092"/>
        <item x="1390"/>
        <item x="2199"/>
        <item x="333"/>
        <item x="1147"/>
        <item x="2362"/>
        <item x="1339"/>
        <item x="2271"/>
        <item x="1594"/>
        <item x="1154"/>
        <item x="2378"/>
        <item x="2067"/>
        <item x="1751"/>
        <item x="1694"/>
        <item x="1790"/>
        <item x="1097"/>
        <item x="2252"/>
        <item x="540"/>
        <item x="1878"/>
        <item x="1449"/>
        <item x="526"/>
        <item x="1600"/>
        <item x="891"/>
        <item x="658"/>
        <item x="1864"/>
        <item x="1121"/>
        <item x="752"/>
        <item x="774"/>
        <item x="904"/>
        <item x="1663"/>
        <item x="45"/>
        <item x="2104"/>
        <item x="572"/>
        <item x="1133"/>
        <item x="1071"/>
        <item x="2185"/>
        <item x="1320"/>
        <item x="1144"/>
        <item x="1450"/>
        <item x="365"/>
        <item x="1869"/>
        <item x="515"/>
        <item x="1899"/>
        <item x="2122"/>
        <item x="581"/>
        <item x="228"/>
        <item x="335"/>
        <item x="1555"/>
        <item x="1567"/>
        <item x="2161"/>
        <item x="278"/>
        <item x="1763"/>
        <item x="569"/>
        <item x="1886"/>
        <item x="677"/>
        <item x="2010"/>
        <item x="118"/>
        <item x="2080"/>
        <item x="897"/>
        <item x="566"/>
        <item x="819"/>
        <item x="1977"/>
        <item x="1895"/>
        <item x="1883"/>
        <item x="2215"/>
        <item x="1126"/>
        <item x="600"/>
        <item x="109"/>
        <item x="42"/>
        <item x="718"/>
        <item x="1806"/>
        <item x="1932"/>
        <item x="1375"/>
        <item x="1250"/>
        <item x="554"/>
        <item x="1882"/>
        <item x="1954"/>
        <item x="2115"/>
        <item x="1308"/>
        <item x="1953"/>
        <item x="1660"/>
        <item x="2090"/>
        <item x="2050"/>
        <item x="1969"/>
        <item x="460"/>
        <item x="445"/>
        <item x="2169"/>
        <item x="1598"/>
        <item x="1100"/>
        <item x="607"/>
        <item x="1436"/>
        <item x="474"/>
        <item x="1202"/>
        <item x="392"/>
        <item x="996"/>
        <item x="2172"/>
        <item x="2331"/>
        <item x="1499"/>
        <item x="412"/>
        <item x="1352"/>
        <item x="1991"/>
        <item x="876"/>
        <item x="96"/>
        <item x="2056"/>
        <item x="612"/>
        <item x="1084"/>
        <item x="2181"/>
        <item x="711"/>
        <item x="2217"/>
        <item x="442"/>
        <item x="1604"/>
        <item x="1554"/>
        <item x="417"/>
        <item x="444"/>
        <item x="2291"/>
        <item x="877"/>
        <item x="1007"/>
        <item x="637"/>
        <item x="807"/>
        <item x="389"/>
        <item x="2222"/>
        <item x="1518"/>
        <item x="1367"/>
        <item x="1618"/>
        <item x="424"/>
        <item x="422"/>
        <item x="421"/>
        <item x="423"/>
        <item x="1562"/>
        <item x="1791"/>
        <item x="670"/>
        <item x="2047"/>
        <item x="2328"/>
        <item x="919"/>
        <item x="643"/>
        <item x="2009"/>
        <item x="2306"/>
        <item x="1211"/>
        <item x="1216"/>
        <item x="1417"/>
        <item x="1408"/>
        <item x="1519"/>
        <item x="647"/>
        <item x="1446"/>
        <item x="1102"/>
        <item x="479"/>
        <item x="1419"/>
        <item x="1177"/>
        <item x="1427"/>
        <item x="1336"/>
        <item x="1506"/>
        <item x="2349"/>
        <item x="1824"/>
        <item x="894"/>
        <item x="1030"/>
        <item x="2341"/>
        <item x="1445"/>
        <item x="1341"/>
        <item x="2102"/>
        <item x="902"/>
        <item x="1770"/>
        <item x="562"/>
        <item x="799"/>
        <item x="755"/>
        <item x="1926"/>
        <item x="1112"/>
        <item x="286"/>
        <item x="1027"/>
        <item x="2079"/>
        <item x="917"/>
        <item x="1936"/>
        <item x="1654"/>
        <item x="1171"/>
        <item x="1852"/>
        <item x="2163"/>
        <item x="841"/>
        <item x="371"/>
        <item x="1656"/>
        <item x="2279"/>
        <item x="1884"/>
        <item x="795"/>
        <item x="1816"/>
        <item x="2024"/>
        <item x="2388"/>
        <item x="2403"/>
        <item x="1219"/>
        <item x="763"/>
        <item x="2153"/>
        <item x="778"/>
        <item x="1577"/>
        <item x="2190"/>
        <item x="1780"/>
        <item x="1197"/>
        <item x="757"/>
        <item x="1311"/>
        <item x="1997"/>
        <item x="1042"/>
        <item x="1143"/>
        <item x="1119"/>
        <item x="1489"/>
        <item x="1745"/>
        <item x="1996"/>
        <item x="1045"/>
        <item x="2123"/>
        <item x="2400"/>
        <item x="1386"/>
        <item x="1893"/>
        <item x="1605"/>
        <item x="1040"/>
        <item x="751"/>
        <item x="1740"/>
        <item x="749"/>
        <item x="1643"/>
        <item x="1172"/>
        <item x="971"/>
        <item x="1943"/>
        <item x="223"/>
        <item x="692"/>
        <item x="913"/>
        <item x="180"/>
        <item x="985"/>
        <item x="879"/>
        <item x="1849"/>
        <item x="369"/>
        <item x="1046"/>
        <item x="668"/>
        <item x="667"/>
        <item x="2367"/>
        <item x="753"/>
        <item x="925"/>
        <item x="2232"/>
        <item x="2327"/>
        <item x="766"/>
        <item x="1113"/>
        <item x="1521"/>
        <item x="449"/>
        <item x="1828"/>
        <item x="2150"/>
        <item x="829"/>
        <item x="2141"/>
        <item x="910"/>
        <item x="882"/>
        <item x="1310"/>
        <item x="1397"/>
        <item x="1713"/>
        <item x="707"/>
        <item x="943"/>
        <item x="762"/>
        <item x="1340"/>
        <item x="1569"/>
        <item x="1848"/>
        <item x="3063"/>
        <item x="564"/>
        <item x="2162"/>
        <item x="1925"/>
        <item x="1317"/>
        <item x="859"/>
        <item x="3051"/>
        <item x="3058"/>
        <item x="1120"/>
        <item x="742"/>
        <item x="911"/>
        <item x="111"/>
        <item x="1503"/>
        <item x="514"/>
        <item x="69"/>
        <item x="2363"/>
        <item x="98"/>
        <item x="470"/>
        <item x="1822"/>
        <item x="452"/>
        <item x="551"/>
        <item x="673"/>
        <item x="1242"/>
        <item x="355"/>
        <item x="1377"/>
        <item x="2249"/>
        <item x="630"/>
        <item x="3305"/>
        <item x="2464"/>
        <item x="1190"/>
        <item x="512"/>
        <item x="354"/>
        <item x="2864"/>
        <item x="2596"/>
        <item x="3342"/>
        <item x="1019"/>
        <item x="2036"/>
        <item x="2389"/>
        <item x="54"/>
        <item x="3091"/>
        <item x="3074"/>
        <item x="1901"/>
        <item x="1163"/>
        <item x="1995"/>
        <item x="206"/>
        <item x="360"/>
        <item x="6"/>
        <item x="384"/>
        <item x="40"/>
        <item x="1094"/>
        <item x="2365"/>
        <item x="2336"/>
        <item x="1510"/>
        <item x="32"/>
        <item x="324"/>
        <item x="1857"/>
        <item x="247"/>
        <item x="325"/>
        <item x="618"/>
        <item x="1156"/>
        <item x="1683"/>
        <item x="2101"/>
        <item x="391"/>
        <item x="356"/>
        <item x="1850"/>
        <item x="29"/>
        <item m="1" x="3602"/>
        <item x="119"/>
        <item x="866"/>
        <item x="2250"/>
        <item x="782"/>
        <item x="639"/>
        <item x="370"/>
        <item x="1776"/>
        <item x="322"/>
        <item x="2348"/>
        <item x="1786"/>
        <item x="2364"/>
        <item x="377"/>
        <item x="77"/>
        <item x="1584"/>
        <item x="225"/>
        <item x="213"/>
        <item x="790"/>
        <item m="1" x="3500"/>
        <item x="854"/>
        <item x="1896"/>
        <item x="351"/>
        <item x="933"/>
        <item x="2257"/>
        <item x="1241"/>
        <item x="1638"/>
        <item x="338"/>
        <item x="1465"/>
        <item x="2265"/>
        <item x="1980"/>
        <item x="802"/>
        <item x="174"/>
        <item x="1597"/>
        <item x="833"/>
        <item x="2317"/>
        <item x="832"/>
        <item x="1057"/>
        <item x="1501"/>
        <item x="2197"/>
        <item x="1010"/>
        <item x="825"/>
        <item x="220"/>
        <item x="1902"/>
        <item x="970"/>
        <item x="1224"/>
        <item x="18"/>
        <item x="1564"/>
        <item x="458"/>
        <item x="249"/>
        <item x="1178"/>
        <item x="1181"/>
        <item x="992"/>
        <item x="303"/>
        <item x="2028"/>
        <item x="1814"/>
        <item x="2270"/>
        <item x="2048"/>
        <item x="1130"/>
        <item x="1394"/>
        <item x="1393"/>
        <item x="2430"/>
        <item x="2505"/>
        <item x="1011"/>
        <item x="33"/>
        <item x="280"/>
        <item x="1921"/>
        <item x="1650"/>
        <item x="791"/>
        <item x="1700"/>
        <item x="549"/>
        <item x="12"/>
        <item x="857"/>
        <item x="139"/>
        <item x="382"/>
        <item x="1903"/>
        <item x="1543"/>
        <item x="1904"/>
        <item x="915"/>
        <item x="1255"/>
        <item x="653"/>
        <item x="681"/>
        <item x="1666"/>
        <item x="1733"/>
        <item x="2897"/>
        <item x="7"/>
        <item x="1985"/>
        <item x="779"/>
        <item x="2211"/>
        <item x="2160"/>
        <item x="591"/>
        <item x="1609"/>
        <item x="318"/>
        <item x="2308"/>
        <item x="1085"/>
        <item x="1504"/>
        <item x="660"/>
        <item x="2316"/>
        <item x="588"/>
        <item x="579"/>
        <item x="488"/>
        <item x="2486"/>
        <item x="3431"/>
        <item x="2667"/>
        <item x="3304"/>
        <item x="3376"/>
        <item x="3430"/>
        <item x="2485"/>
        <item x="2617"/>
        <item x="245"/>
        <item x="59"/>
        <item x="1258"/>
        <item x="205"/>
        <item x="366"/>
        <item x="604"/>
        <item x="3101"/>
        <item x="2426"/>
        <item x="2697"/>
        <item x="1581"/>
        <item x="130"/>
        <item x="129"/>
        <item x="1249"/>
        <item x="482"/>
        <item x="2218"/>
        <item x="2358"/>
        <item x="491"/>
        <item x="1815"/>
        <item x="2075"/>
        <item x="1750"/>
        <item x="331"/>
        <item x="2541"/>
        <item x="2753"/>
        <item x="1906"/>
        <item x="2423"/>
        <item x="2439"/>
        <item x="2835"/>
        <item x="3097"/>
        <item x="2598"/>
        <item x="2658"/>
        <item x="2496"/>
        <item x="2597"/>
        <item x="2719"/>
        <item x="2422"/>
        <item x="1245"/>
        <item x="1517"/>
        <item x="1329"/>
        <item x="1105"/>
        <item x="210"/>
        <item x="25"/>
        <item x="1068"/>
        <item x="1398"/>
        <item x="1971"/>
        <item x="1303"/>
        <item x="1860"/>
        <item x="1321"/>
        <item x="1213"/>
        <item x="1913"/>
        <item x="55"/>
        <item x="2930"/>
        <item x="28"/>
        <item x="963"/>
        <item x="2002"/>
        <item x="1859"/>
        <item x="1955"/>
        <item x="152"/>
        <item x="1647"/>
        <item x="1966"/>
        <item x="1368"/>
        <item x="2001"/>
        <item x="1319"/>
        <item x="1318"/>
        <item x="926"/>
        <item x="621"/>
        <item x="1514"/>
        <item x="505"/>
        <item x="506"/>
        <item x="1132"/>
        <item x="567"/>
        <item x="727"/>
        <item x="315"/>
        <item x="629"/>
        <item x="82"/>
        <item x="1873"/>
        <item x="1409"/>
        <item x="177"/>
        <item x="2255"/>
        <item x="1470"/>
        <item x="1146"/>
        <item x="1911"/>
        <item x="744"/>
        <item x="2108"/>
        <item x="1194"/>
        <item x="1165"/>
        <item x="631"/>
        <item x="1098"/>
        <item x="1048"/>
        <item x="2239"/>
        <item x="334"/>
        <item x="372"/>
        <item x="999"/>
        <item x="816"/>
        <item x="2702"/>
        <item x="3094"/>
        <item x="2585"/>
        <item x="2827"/>
        <item x="3100"/>
        <item x="2716"/>
        <item x="2885"/>
        <item x="308"/>
        <item x="2251"/>
        <item x="218"/>
        <item x="645"/>
        <item x="646"/>
        <item x="1685"/>
        <item x="803"/>
        <item x="2216"/>
        <item x="2059"/>
        <item x="2347"/>
        <item x="61"/>
        <item x="750"/>
        <item x="1494"/>
        <item x="1664"/>
        <item x="899"/>
        <item x="1550"/>
        <item x="2391"/>
        <item x="1267"/>
        <item x="462"/>
        <item x="3348"/>
        <item x="3368"/>
        <item x="3393"/>
        <item x="3367"/>
        <item x="3435"/>
        <item x="3456"/>
        <item x="3340"/>
        <item x="3164"/>
        <item x="3153"/>
        <item x="3273"/>
        <item x="3453"/>
        <item x="3099"/>
        <item x="3126"/>
        <item x="3283"/>
        <item x="3130"/>
        <item x="3209"/>
        <item x="3296"/>
        <item x="3152"/>
        <item x="3252"/>
        <item x="3249"/>
        <item x="3297"/>
        <item x="3416"/>
        <item x="3395"/>
        <item x="3235"/>
        <item x="3239"/>
        <item x="3345"/>
        <item x="3129"/>
        <item x="3341"/>
        <item x="3103"/>
        <item x="3467"/>
        <item x="3370"/>
        <item x="3336"/>
        <item x="3314"/>
        <item x="3295"/>
        <item x="3464"/>
        <item x="3394"/>
        <item x="2852"/>
        <item x="2591"/>
        <item x="2592"/>
        <item x="2931"/>
        <item x="2409"/>
        <item x="2911"/>
        <item x="2500"/>
        <item x="3070"/>
        <item x="2967"/>
        <item x="2427"/>
        <item x="2641"/>
        <item x="2536"/>
        <item x="2839"/>
        <item x="2732"/>
        <item x="2761"/>
        <item x="2654"/>
        <item x="2874"/>
        <item x="2734"/>
        <item x="2823"/>
        <item x="2806"/>
        <item x="2803"/>
        <item x="2768"/>
        <item x="2809"/>
        <item x="2848"/>
        <item x="2865"/>
        <item x="2563"/>
        <item x="2561"/>
        <item x="2733"/>
        <item x="3055"/>
        <item x="2818"/>
        <item x="2631"/>
        <item x="3046"/>
        <item x="2894"/>
        <item x="2474"/>
        <item x="2875"/>
        <item x="2812"/>
        <item x="2882"/>
        <item x="2502"/>
        <item x="2516"/>
        <item x="2846"/>
        <item x="2740"/>
        <item x="2656"/>
        <item x="2988"/>
        <item x="2794"/>
        <item x="2638"/>
        <item x="2842"/>
        <item x="2841"/>
        <item x="2644"/>
        <item x="3052"/>
        <item x="2784"/>
        <item x="2570"/>
        <item x="2680"/>
        <item x="2700"/>
        <item x="2785"/>
        <item x="2735"/>
        <item x="2929"/>
        <item x="3067"/>
        <item x="2969"/>
        <item x="2659"/>
        <item x="2928"/>
        <item x="2410"/>
        <item x="2907"/>
        <item x="1793"/>
        <item x="1949"/>
        <item x="2359"/>
        <item x="2514"/>
        <item x="2157"/>
        <item x="547"/>
        <item x="738"/>
        <item x="1644"/>
        <item x="212"/>
        <item x="847"/>
        <item x="2167"/>
        <item x="758"/>
        <item x="759"/>
        <item x="1271"/>
        <item x="2103"/>
        <item x="3040"/>
        <item x="1142"/>
        <item x="70"/>
        <item x="2295"/>
        <item x="944"/>
        <item x="1415"/>
        <item x="964"/>
        <item x="1835"/>
        <item x="2241"/>
        <item x="138"/>
        <item x="522"/>
        <item x="525"/>
        <item x="993"/>
        <item x="1139"/>
        <item x="2084"/>
        <item x="800"/>
        <item x="690"/>
        <item x="1015"/>
        <item x="186"/>
        <item x="243"/>
        <item x="2223"/>
        <item x="3089"/>
        <item x="3432"/>
        <item x="1481"/>
        <item x="1687"/>
        <item x="53"/>
        <item x="2129"/>
        <item x="1756"/>
        <item x="1856"/>
        <item x="1570"/>
        <item x="1414"/>
        <item x="1625"/>
        <item x="2228"/>
        <item x="198"/>
        <item x="1469"/>
        <item x="313"/>
        <item x="733"/>
        <item x="731"/>
        <item x="1568"/>
        <item x="1722"/>
        <item x="1732"/>
        <item x="178"/>
        <item x="74"/>
        <item x="1342"/>
        <item x="1343"/>
        <item x="1347"/>
        <item x="1345"/>
        <item x="1344"/>
        <item x="704"/>
        <item x="511"/>
        <item x="2227"/>
        <item x="622"/>
        <item x="2274"/>
        <item x="1000"/>
        <item x="1001"/>
        <item x="998"/>
        <item x="1945"/>
        <item x="2373"/>
        <item x="1089"/>
        <item x="499"/>
        <item x="307"/>
        <item x="2510"/>
        <item x="1534"/>
        <item x="50"/>
        <item x="1546"/>
        <item x="1548"/>
        <item x="1655"/>
        <item x="769"/>
        <item x="1633"/>
        <item x="1248"/>
        <item x="1366"/>
        <item x="2155"/>
        <item x="2392"/>
        <item x="1024"/>
        <item x="3187"/>
        <item x="3419"/>
        <item x="3076"/>
        <item x="3447"/>
        <item x="3331"/>
        <item x="3359"/>
        <item x="3369"/>
        <item x="3382"/>
        <item x="3162"/>
        <item x="3251"/>
        <item x="3255"/>
        <item x="3154"/>
        <item x="3332"/>
        <item x="3140"/>
        <item x="3465"/>
        <item x="3122"/>
        <item x="3139"/>
        <item x="3260"/>
        <item x="3150"/>
        <item x="3151"/>
        <item x="2552"/>
        <item x="2660"/>
        <item x="2720"/>
        <item x="2900"/>
        <item x="2962"/>
        <item x="2715"/>
        <item x="2699"/>
        <item x="2958"/>
        <item x="2547"/>
        <item x="2759"/>
        <item x="2950"/>
        <item x="2989"/>
        <item x="2473"/>
        <item x="2712"/>
        <item x="3062"/>
        <item x="2713"/>
        <item x="2978"/>
        <item x="2491"/>
        <item x="2616"/>
        <item x="2883"/>
        <item x="2477"/>
        <item x="2417"/>
        <item x="2454"/>
        <item x="2936"/>
        <item x="2676"/>
        <item x="2696"/>
        <item x="2405"/>
        <item x="2947"/>
        <item x="2609"/>
        <item x="2647"/>
        <item x="2440"/>
        <item x="2955"/>
        <item x="2421"/>
        <item x="2999"/>
        <item x="1246"/>
        <item x="789"/>
        <item x="1473"/>
        <item x="1252"/>
        <item x="838"/>
        <item x="818"/>
        <item x="358"/>
        <item x="1701"/>
        <item x="314"/>
        <item x="1508"/>
        <item x="1136"/>
        <item x="268"/>
        <item x="1858"/>
        <item x="548"/>
        <item x="349"/>
        <item x="2371"/>
        <item x="44"/>
        <item x="1636"/>
        <item x="380"/>
        <item x="596"/>
        <item x="244"/>
        <item x="492"/>
        <item x="339"/>
        <item x="1232"/>
        <item x="497"/>
        <item x="502"/>
        <item x="1917"/>
        <item x="2312"/>
        <item x="2177"/>
        <item x="414"/>
        <item x="51"/>
        <item x="1056"/>
        <item x="1714"/>
        <item x="1739"/>
        <item x="1158"/>
        <item x="235"/>
        <item x="930"/>
        <item x="281"/>
        <item x="471"/>
        <item x="1948"/>
        <item x="1459"/>
        <item x="754"/>
        <item x="1691"/>
        <item x="2267"/>
        <item x="475"/>
        <item x="605"/>
        <item x="1940"/>
        <item x="297"/>
        <item x="2278"/>
        <item x="1155"/>
        <item x="1454"/>
        <item x="611"/>
        <item x="168"/>
        <item x="264"/>
        <item x="1804"/>
        <item x="1404"/>
        <item x="66"/>
        <item x="37"/>
        <item x="713"/>
        <item x="236"/>
        <item x="1743"/>
        <item x="1456"/>
        <item x="2018"/>
        <item x="1170"/>
        <item x="1867"/>
        <item x="839"/>
        <item x="2266"/>
        <item x="1861"/>
        <item x="1855"/>
        <item x="2011"/>
        <item x="942"/>
        <item x="476"/>
        <item x="274"/>
        <item x="2034"/>
        <item x="675"/>
        <item x="1114"/>
        <item x="978"/>
        <item x="3404"/>
        <item x="977"/>
        <item x="1670"/>
        <item x="1833"/>
        <item x="1668"/>
        <item x="535"/>
        <item x="536"/>
        <item x="2248"/>
        <item x="1371"/>
        <item x="538"/>
        <item x="715"/>
        <item x="144"/>
        <item x="573"/>
        <item x="871"/>
        <item x="929"/>
        <item x="267"/>
        <item x="921"/>
        <item x="1359"/>
        <item x="411"/>
        <item x="1079"/>
        <item x="1123"/>
        <item x="1169"/>
        <item x="706"/>
        <item x="1116"/>
        <item x="881"/>
        <item x="924"/>
        <item x="642"/>
        <item x="2133"/>
        <item x="2309"/>
        <item x="2452"/>
        <item x="1723"/>
        <item x="1825"/>
        <item x="2342"/>
        <item x="3031"/>
        <item x="3032"/>
        <item x="3033"/>
        <item x="3034"/>
        <item x="3035"/>
        <item x="3036"/>
        <item x="3037"/>
        <item x="3038"/>
        <item x="3039"/>
        <item x="3029"/>
        <item x="3426"/>
        <item x="3335"/>
        <item x="3030"/>
        <item x="408"/>
        <item x="735"/>
        <item x="883"/>
        <item x="1627"/>
        <item x="1422"/>
        <item x="329"/>
        <item x="304"/>
        <item x="2397"/>
        <item x="1909"/>
        <item x="3056"/>
        <item x="1230"/>
        <item x="974"/>
        <item x="528"/>
        <item x="14"/>
        <item x="824"/>
        <item x="158"/>
        <item x="2329"/>
        <item x="1845"/>
        <item x="3060"/>
        <item x="1299"/>
        <item x="457"/>
        <item x="3095"/>
        <item x="2437"/>
        <item x="2643"/>
        <item x="2957"/>
        <item x="2538"/>
        <item x="2869"/>
        <item x="2892"/>
        <item x="2672"/>
        <item x="3106"/>
        <item x="2664"/>
        <item x="3372"/>
        <item x="2432"/>
        <item x="2449"/>
        <item x="2614"/>
        <item x="2756"/>
        <item x="2428"/>
        <item x="2685"/>
        <item x="2549"/>
        <item x="3078"/>
        <item x="2543"/>
        <item x="2411"/>
        <item x="2470"/>
        <item x="3109"/>
        <item x="2433"/>
        <item x="2661"/>
        <item x="2467"/>
        <item x="3112"/>
        <item x="3090"/>
        <item x="2537"/>
        <item x="1680"/>
        <item x="346"/>
        <item x="1323"/>
        <item x="2112"/>
        <item x="728"/>
        <item x="2456"/>
        <item x="75"/>
        <item x="47"/>
        <item x="302"/>
        <item x="539"/>
        <item x="2325"/>
        <item x="2535"/>
        <item x="2651"/>
        <item x="2560"/>
        <item x="2493"/>
        <item x="2466"/>
        <item x="1301"/>
        <item x="1300"/>
        <item x="1702"/>
        <item x="1016"/>
        <item x="1810"/>
        <item x="350"/>
        <item x="617"/>
        <item x="2235"/>
        <item x="328"/>
        <item x="606"/>
        <item x="2058"/>
        <item x="1437"/>
        <item x="2374"/>
        <item x="664"/>
        <item x="1491"/>
        <item x="1981"/>
        <item x="234"/>
        <item x="2236"/>
        <item x="1826"/>
        <item x="633"/>
        <item x="634"/>
        <item x="1070"/>
        <item x="1004"/>
        <item x="2326"/>
        <item x="2360"/>
        <item x="724"/>
        <item x="1880"/>
        <item x="1354"/>
        <item x="385"/>
        <item x="698"/>
        <item x="1109"/>
        <item x="1421"/>
        <item x="1552"/>
        <item x="635"/>
        <item x="1031"/>
        <item x="431"/>
        <item x="1910"/>
        <item x="619"/>
        <item x="2300"/>
        <item x="745"/>
        <item x="1531"/>
        <item x="649"/>
        <item x="337"/>
        <item x="440"/>
        <item x="1553"/>
        <item x="620"/>
        <item x="589"/>
        <item x="1400"/>
        <item x="102"/>
        <item x="575"/>
        <item x="1744"/>
        <item x="1455"/>
        <item x="166"/>
        <item x="1037"/>
        <item x="1535"/>
        <item x="1730"/>
        <item x="533"/>
        <item x="291"/>
        <item x="153"/>
        <item x="746"/>
        <item x="861"/>
        <item x="748"/>
        <item x="1771"/>
        <item x="207"/>
        <item x="1438"/>
        <item x="195"/>
        <item x="509"/>
        <item x="834"/>
        <item x="827"/>
        <item x="1586"/>
        <item x="864"/>
        <item x="558"/>
        <item x="624"/>
        <item x="747"/>
        <item x="1967"/>
        <item x="172"/>
        <item x="2086"/>
        <item x="173"/>
        <item x="1513"/>
        <item x="920"/>
        <item x="269"/>
        <item x="585"/>
        <item x="2076"/>
        <item x="2387"/>
        <item x="2039"/>
        <item x="1140"/>
        <item x="1444"/>
        <item x="662"/>
        <item x="3193"/>
        <item x="1145"/>
        <item x="1060"/>
        <item x="1525"/>
        <item x="723"/>
        <item x="1675"/>
        <item x="1572"/>
        <item x="1676"/>
        <item x="426"/>
        <item x="260"/>
        <item x="908"/>
        <item x="907"/>
        <item x="200"/>
        <item x="563"/>
        <item x="160"/>
        <item x="811"/>
        <item x="761"/>
        <item x="844"/>
        <item x="1973"/>
        <item x="1972"/>
        <item x="454"/>
        <item x="1915"/>
        <item x="246"/>
        <item x="2168"/>
        <item x="2573"/>
        <item x="2508"/>
        <item x="2025"/>
        <item x="2355"/>
        <item x="2489"/>
        <item x="2451"/>
        <item x="2531"/>
        <item x="2520"/>
        <item x="2546"/>
        <item x="2453"/>
        <item x="2996"/>
        <item x="1941"/>
        <item x="2725"/>
        <item x="3083"/>
        <item x="2895"/>
        <item x="2521"/>
        <item x="2673"/>
        <item x="3045"/>
        <item x="1629"/>
        <item x="397"/>
        <item x="2031"/>
        <item x="1293"/>
        <item x="1588"/>
        <item x="104"/>
        <item x="1628"/>
        <item x="1254"/>
        <item x="822"/>
        <item x="83"/>
        <item x="1677"/>
        <item x="378"/>
        <item x="1582"/>
        <item x="121"/>
        <item x="63"/>
        <item x="2196"/>
        <item x="495"/>
        <item x="1316"/>
        <item x="1117"/>
        <item x="1080"/>
        <item x="1914"/>
        <item x="594"/>
        <item x="2318"/>
        <item x="939"/>
        <item x="276"/>
        <item x="193"/>
        <item x="1523"/>
        <item x="1118"/>
        <item x="1559"/>
        <item x="1259"/>
        <item x="2027"/>
        <item x="1023"/>
        <item x="1396"/>
        <item x="1686"/>
        <item x="1673"/>
        <item x="2214"/>
        <item x="1244"/>
        <item x="472"/>
        <item x="2442"/>
        <item x="1376"/>
        <item x="860"/>
        <item x="2087"/>
        <item x="576"/>
        <item x="1646"/>
        <item x="1186"/>
        <item x="1034"/>
        <item x="1631"/>
        <item x="1603"/>
        <item x="403"/>
        <item x="1413"/>
        <item x="659"/>
        <item x="277"/>
        <item x="1418"/>
        <item x="112"/>
        <item x="695"/>
        <item x="447"/>
        <item x="2323"/>
        <item x="975"/>
        <item x="1363"/>
        <item x="293"/>
        <item x="1062"/>
        <item x="1635"/>
        <item x="507"/>
        <item x="503"/>
        <item x="436"/>
        <item x="672"/>
        <item x="765"/>
        <item x="1265"/>
        <item x="1078"/>
        <item x="1291"/>
        <item x="1018"/>
        <item x="2256"/>
        <item x="1228"/>
        <item x="1281"/>
        <item x="1958"/>
        <item x="1330"/>
        <item x="722"/>
        <item x="113"/>
        <item x="1502"/>
        <item x="710"/>
        <item x="120"/>
        <item x="2263"/>
        <item x="1942"/>
        <item x="2008"/>
        <item x="786"/>
        <item x="155"/>
        <item x="2019"/>
        <item x="183"/>
        <item x="182"/>
        <item x="184"/>
        <item x="523"/>
        <item x="518"/>
        <item x="691"/>
        <item x="520"/>
        <item x="521"/>
        <item x="188"/>
        <item x="683"/>
        <item x="84"/>
        <item x="1005"/>
        <item x="1818"/>
        <item x="2085"/>
        <item x="2205"/>
        <item x="644"/>
        <item x="4"/>
        <item x="1538"/>
        <item x="1282"/>
        <item x="1537"/>
        <item x="1549"/>
        <item x="498"/>
        <item x="553"/>
        <item x="1217"/>
        <item x="1129"/>
        <item x="1201"/>
        <item x="901"/>
        <item x="2068"/>
        <item x="559"/>
        <item x="1836"/>
        <item x="936"/>
        <item x="788"/>
        <item x="674"/>
        <item x="2307"/>
        <item x="853"/>
        <item x="828"/>
        <item x="1591"/>
        <item x="167"/>
        <item x="2281"/>
        <item x="67"/>
        <item x="2299"/>
        <item x="1443"/>
        <item x="1461"/>
        <item x="1440"/>
        <item x="1239"/>
        <item x="455"/>
        <item x="1843"/>
        <item x="1507"/>
        <item x="852"/>
        <item x="716"/>
        <item x="2143"/>
        <item x="1195"/>
        <item x="1839"/>
        <item x="2662"/>
        <item x="2221"/>
        <item x="432"/>
        <item x="2134"/>
        <item x="2229"/>
        <item x="2375"/>
        <item x="473"/>
        <item x="2282"/>
        <item x="988"/>
        <item x="396"/>
        <item x="258"/>
        <item x="1486"/>
        <item x="966"/>
        <item x="2268"/>
        <item x="388"/>
        <item x="1302"/>
        <item x="478"/>
        <item x="1505"/>
        <item x="2203"/>
        <item x="1332"/>
        <item x="2137"/>
        <item x="1399"/>
        <item x="1593"/>
        <item x="1614"/>
        <item x="2195"/>
        <item x="2254"/>
        <item x="1141"/>
        <item x="1678"/>
        <item x="1429"/>
        <item x="3325"/>
        <item x="3223"/>
        <item x="3257"/>
        <item x="3145"/>
        <item x="3163"/>
        <item x="3308"/>
        <item x="2714"/>
        <item x="2893"/>
        <item x="2681"/>
        <item x="3006"/>
        <item x="1536"/>
        <item x="2219"/>
        <item x="616"/>
        <item x="1937"/>
        <item x="2065"/>
        <item x="2261"/>
        <item x="1212"/>
        <item x="884"/>
        <item x="887"/>
        <item x="625"/>
        <item x="813"/>
        <item x="2152"/>
        <item x="865"/>
        <item x="1333"/>
        <item x="496"/>
        <item x="867"/>
        <item x="623"/>
        <item x="2247"/>
        <item x="932"/>
        <item x="1412"/>
        <item x="1611"/>
        <item x="2015"/>
        <item x="508"/>
        <item x="1043"/>
        <item x="2324"/>
        <item x="1587"/>
        <item x="1709"/>
        <item x="1218"/>
        <item x="2094"/>
        <item x="2147"/>
        <item x="2126"/>
        <item x="1681"/>
        <item x="2124"/>
        <item x="2210"/>
        <item x="1905"/>
        <item x="1607"/>
        <item x="256"/>
        <item x="2305"/>
        <item x="2127"/>
        <item x="2743"/>
        <item x="510"/>
        <item x="290"/>
        <item x="2670"/>
        <item x="2463"/>
        <item x="2921"/>
        <item x="2997"/>
        <item x="2663"/>
        <item x="1439"/>
        <item x="2777"/>
        <item x="3463"/>
        <item x="3258"/>
        <item x="3178"/>
        <item x="3233"/>
        <item x="2922"/>
        <item x="3449"/>
        <item x="2916"/>
        <item x="2479"/>
        <item x="2736"/>
        <item x="3282"/>
        <item x="764"/>
        <item x="1326"/>
        <item x="466"/>
        <item x="1442"/>
        <item x="481"/>
        <item x="909"/>
        <item x="1379"/>
        <item x="216"/>
        <item x="1927"/>
        <item x="419"/>
        <item x="772"/>
        <item x="85"/>
        <item x="116"/>
        <item x="1667"/>
        <item x="640"/>
        <item x="1979"/>
        <item x="972"/>
        <item x="199"/>
        <item x="201"/>
        <item m="1" x="3586"/>
        <item x="227"/>
        <item x="1590"/>
        <item x="997"/>
        <item x="669"/>
        <item x="969"/>
        <item x="2296"/>
        <item x="666"/>
        <item x="248"/>
        <item x="1159"/>
        <item x="2650"/>
        <item x="3411"/>
        <item x="2657"/>
        <item x="3350"/>
        <item x="3146"/>
        <item x="2844"/>
        <item x="3238"/>
        <item x="2554"/>
        <item x="3080"/>
        <item x="3085"/>
        <item x="2615"/>
        <item x="2407"/>
        <item x="3084"/>
        <item x="2708"/>
        <item x="2701"/>
        <item x="3134"/>
        <item x="3360"/>
        <item x="2919"/>
        <item x="3081"/>
        <item x="3125"/>
        <item x="2455"/>
        <item x="2406"/>
        <item x="3079"/>
        <item x="2620"/>
        <item x="3132"/>
        <item x="2584"/>
        <item x="2562"/>
        <item x="3093"/>
        <item x="3098"/>
        <item x="3138"/>
        <item x="2565"/>
        <item x="262"/>
        <item x="261"/>
        <item x="263"/>
        <item x="916"/>
        <item x="1923"/>
        <item x="1266"/>
        <item x="1234"/>
        <item x="1613"/>
        <item x="2652"/>
        <item x="1358"/>
        <item x="2512"/>
        <item x="3087"/>
        <item x="1863"/>
        <item x="1104"/>
        <item x="1432"/>
        <item x="1205"/>
        <item x="2156"/>
        <item x="561"/>
        <item x="836"/>
        <item x="686"/>
        <item x="537"/>
        <item x="873"/>
        <item x="1665"/>
        <item x="2478"/>
        <item x="1381"/>
        <item x="2114"/>
        <item x="1374"/>
        <item x="689"/>
        <item x="2564"/>
        <item x="1335"/>
        <item x="2081"/>
        <item x="2063"/>
        <item x="1993"/>
        <item x="2023"/>
        <item x="2125"/>
        <item x="2627"/>
        <item x="2302"/>
        <item x="2807"/>
        <item x="2542"/>
        <item x="2653"/>
        <item x="812"/>
        <item x="2333"/>
        <item x="2165"/>
        <item x="2189"/>
        <item x="2445"/>
        <item x="2678"/>
        <item x="2799"/>
        <item x="2487"/>
        <item x="2"/>
        <item x="16"/>
        <item m="1" x="3471"/>
        <item m="1" x="3585"/>
        <item x="2873"/>
        <item x="3075"/>
        <item x="3086"/>
        <item x="2757"/>
        <item x="2045"/>
        <item x="2182"/>
        <item x="1802"/>
        <item x="71"/>
        <item x="2443"/>
        <item x="2705"/>
        <item x="3226"/>
        <item x="3082"/>
        <item x="2441"/>
        <item x="3048"/>
        <item x="2995"/>
        <item x="1919"/>
        <item x="289"/>
        <item x="815"/>
        <item x="1092"/>
        <item x="1642"/>
        <item x="820"/>
        <item x="1811"/>
        <item x="1472"/>
        <item x="543"/>
        <item x="341"/>
        <item x="626"/>
        <item x="740"/>
        <item x="2849"/>
        <item x="2566"/>
        <item x="2472"/>
        <item x="2622"/>
        <item x="3215"/>
        <item x="2870"/>
        <item x="2624"/>
        <item x="2645"/>
        <item x="3176"/>
        <item x="90"/>
        <item x="364"/>
        <item x="282"/>
        <item x="2459"/>
        <item x="1560"/>
        <item x="958"/>
        <item x="1956"/>
        <item x="91"/>
        <item x="587"/>
        <item x="830"/>
        <item x="994"/>
        <item x="995"/>
        <item x="734"/>
        <item x="1823"/>
        <item x="1784"/>
        <item x="1571"/>
        <item x="2078"/>
        <item x="1389"/>
        <item x="1725"/>
        <item x="1792"/>
        <item x="1704"/>
        <item x="1003"/>
        <item x="11"/>
        <item x="1448"/>
        <item x="2361"/>
        <item x="1533"/>
        <item x="945"/>
        <item x="2206"/>
        <item x="2209"/>
        <item x="1184"/>
        <item x="580"/>
        <item x="1208"/>
        <item x="1684"/>
        <item x="2640"/>
        <item x="1516"/>
        <item x="593"/>
        <item x="161"/>
        <item x="1742"/>
        <item x="1274"/>
        <item x="1493"/>
        <item x="483"/>
        <item x="1260"/>
        <item x="1563"/>
        <item x="272"/>
        <item x="1273"/>
        <item x="1707"/>
        <item x="1556"/>
        <item x="1968"/>
        <item x="1364"/>
        <item x="22"/>
        <item x="1498"/>
        <item x="1280"/>
        <item x="456"/>
        <item x="1482"/>
        <item x="1220"/>
        <item x="1247"/>
        <item x="650"/>
        <item x="961"/>
        <item x="15"/>
        <item x="532"/>
        <item x="927"/>
        <item x="1922"/>
        <item x="655"/>
        <item x="1794"/>
        <item x="2677"/>
        <item x="3092"/>
        <item x="73"/>
        <item x="1820"/>
        <item x="1708"/>
        <item x="2292"/>
        <item x="1652"/>
        <item x="555"/>
        <item x="2142"/>
        <item x="870"/>
        <item x="1053"/>
        <item x="610"/>
        <item x="1452"/>
        <item x="2226"/>
        <item x="211"/>
        <item x="2072"/>
        <item x="1760"/>
        <item x="2237"/>
        <item x="1206"/>
        <item x="2138"/>
        <item x="1632"/>
        <item x="1064"/>
        <item x="1285"/>
        <item x="1634"/>
        <item x="43"/>
        <item x="2245"/>
        <item x="1306"/>
        <item x="2070"/>
        <item x="239"/>
        <item x="240"/>
        <item x="232"/>
        <item x="1964"/>
        <item x="2073"/>
        <item x="582"/>
        <item x="34"/>
        <item x="1378"/>
        <item x="406"/>
        <item x="1891"/>
        <item x="1892"/>
        <item x="1039"/>
        <item x="982"/>
        <item x="602"/>
        <item x="2021"/>
        <item x="2022"/>
        <item x="934"/>
        <item x="2313"/>
        <item x="157"/>
        <item x="531"/>
        <item x="1166"/>
        <item x="1746"/>
        <item x="154"/>
        <item x="785"/>
        <item x="1026"/>
        <item x="950"/>
        <item x="1965"/>
        <item x="2038"/>
        <item x="2332"/>
        <item x="935"/>
        <item x="858"/>
        <item x="1054"/>
        <item x="87"/>
        <item x="703"/>
        <item x="1193"/>
        <item x="1659"/>
        <item x="1292"/>
        <item x="2379"/>
        <item x="1278"/>
        <item x="2393"/>
        <item x="463"/>
        <item x="1496"/>
        <item x="2037"/>
        <item x="2049"/>
        <item x="2242"/>
        <item x="485"/>
        <item x="484"/>
        <item x="405"/>
        <item x="656"/>
        <item x="1356"/>
        <item x="285"/>
        <item x="1430"/>
        <item x="2201"/>
        <item x="2272"/>
        <item x="1423"/>
        <item x="1669"/>
        <item x="1512"/>
        <item x="1328"/>
        <item x="1226"/>
        <item x="1453"/>
        <item x="1738"/>
        <item x="1458"/>
        <item x="1545"/>
        <item x="1090"/>
        <item x="1918"/>
        <item x="1127"/>
        <item x="1868"/>
        <item x="2339"/>
        <item x="1573"/>
        <item x="117"/>
        <item x="1696"/>
        <item x="599"/>
        <item x="156"/>
        <item x="2100"/>
        <item x="2277"/>
        <item x="229"/>
        <item x="2376"/>
        <item x="949"/>
        <item x="1920"/>
        <item x="817"/>
        <item x="1808"/>
        <item x="1735"/>
        <item x="2012"/>
        <item x="1774"/>
        <item x="2482"/>
        <item x="2721"/>
        <item x="1457"/>
        <item x="1028"/>
        <item x="886"/>
        <item x="888"/>
        <item x="1795"/>
        <item x="808"/>
        <item x="1544"/>
        <item x="1641"/>
        <item x="1879"/>
        <item x="1710"/>
        <item x="2032"/>
        <item x="1131"/>
        <item x="1907"/>
        <item x="383"/>
        <item x="1662"/>
        <item x="433"/>
        <item x="614"/>
        <item x="35"/>
        <item x="141"/>
        <item x="1075"/>
        <item x="1324"/>
        <item x="2060"/>
        <item x="150"/>
        <item x="1817"/>
        <item x="835"/>
        <item x="1624"/>
        <item x="1963"/>
        <item x="810"/>
        <item x="1149"/>
        <item x="2176"/>
        <item x="2200"/>
        <item x="571"/>
        <item x="1578"/>
        <item x="2290"/>
        <item x="2749"/>
        <item x="17"/>
        <item x="794"/>
        <item x="923"/>
        <item x="1957"/>
        <item x="557"/>
        <item x="2116"/>
        <item x="665"/>
        <item x="233"/>
        <item x="2665"/>
        <item x="2418"/>
        <item x="1327"/>
        <item x="1283"/>
        <item x="194"/>
        <item x="1930"/>
        <item x="1796"/>
        <item x="1762"/>
        <item x="1474"/>
        <item x="1695"/>
        <item x="1752"/>
        <item x="1731"/>
        <item x="513"/>
        <item x="991"/>
        <item x="1601"/>
        <item x="373"/>
        <item x="1485"/>
        <item x="68"/>
        <item x="215"/>
        <item x="311"/>
        <item x="931"/>
        <item x="2345"/>
        <item x="987"/>
        <item x="1801"/>
        <item x="2233"/>
        <item x="1257"/>
        <item x="983"/>
        <item x="2035"/>
        <item x="1729"/>
        <item x="214"/>
        <item x="494"/>
        <item x="387"/>
        <item x="1989"/>
        <item x="0"/>
        <item x="1720"/>
        <item x="1788"/>
        <item x="2402"/>
        <item x="1888"/>
        <item x="208"/>
        <item x="1830"/>
        <item x="1099"/>
        <item x="1748"/>
        <item x="1640"/>
        <item x="1753"/>
        <item x="2698"/>
        <item x="1151"/>
        <item x="2145"/>
        <item x="2071"/>
        <item x="1719"/>
        <item x="252"/>
        <item x="1148"/>
        <item x="486"/>
        <item x="64"/>
        <item x="1877"/>
        <item x="2289"/>
        <item x="2020"/>
        <item x="2077"/>
        <item x="545"/>
        <item x="1755"/>
        <item x="730"/>
        <item x="1671"/>
        <item x="684"/>
        <item x="1066"/>
        <item x="1207"/>
        <item x="1401"/>
        <item x="251"/>
        <item x="1175"/>
        <item x="1889"/>
        <item x="2000"/>
        <item x="1999"/>
        <item x="2789"/>
        <item x="1974"/>
        <item x="2594"/>
        <item x="2814"/>
        <item x="2909"/>
        <item x="3307"/>
        <item x="2731"/>
        <item x="2800"/>
        <item x="2793"/>
        <item x="2801"/>
        <item x="2586"/>
        <item x="2415"/>
        <item x="1721"/>
        <item x="1876"/>
        <item x="398"/>
        <item x="1353"/>
        <item x="1908"/>
        <item x="1183"/>
        <item x="2207"/>
        <item x="1346"/>
        <item x="1693"/>
        <item x="2314"/>
        <item x="1712"/>
        <item x="556"/>
        <item x="375"/>
        <item x="253"/>
        <item x="1209"/>
        <item x="1468"/>
        <item x="1261"/>
        <item x="885"/>
        <item x="2135"/>
        <item x="441"/>
        <item x="1157"/>
        <item x="1944"/>
        <item x="1069"/>
        <item x="1052"/>
        <item x="680"/>
        <item x="801"/>
        <item x="2099"/>
        <item x="1426"/>
        <item x="957"/>
        <item x="1025"/>
        <item x="2013"/>
        <item x="169"/>
        <item x="1214"/>
        <item x="2320"/>
        <item x="685"/>
        <item x="2319"/>
        <item x="1520"/>
        <item x="2350"/>
        <item x="386"/>
        <item x="2310"/>
        <item x="2366"/>
        <item x="903"/>
        <item x="46"/>
        <item x="140"/>
        <item x="1313"/>
        <item x="1314"/>
        <item x="300"/>
        <item x="760"/>
        <item x="299"/>
        <item x="1447"/>
        <item x="1935"/>
        <item x="1799"/>
        <item x="787"/>
        <item x="1233"/>
        <item x="2120"/>
        <item x="353"/>
        <item x="2246"/>
        <item x="1612"/>
        <item x="1610"/>
        <item x="806"/>
        <item x="1487"/>
        <item x="1150"/>
        <item x="3"/>
        <item x="872"/>
        <item x="1192"/>
        <item x="1297"/>
        <item x="1251"/>
        <item x="1067"/>
        <item x="1315"/>
        <item x="202"/>
        <item x="1289"/>
        <item x="1599"/>
        <item x="1645"/>
        <item x="1500"/>
        <item x="1984"/>
        <item x="1215"/>
        <item x="1253"/>
        <item x="1357"/>
        <item x="3246"/>
        <item x="1900"/>
        <item x="597"/>
        <item x="797"/>
        <item x="590"/>
        <item x="1928"/>
        <item x="1198"/>
        <item x="892"/>
        <item x="1769"/>
        <item x="1661"/>
        <item x="1703"/>
        <item x="189"/>
        <item x="250"/>
        <item x="1331"/>
        <item x="1032"/>
        <item x="1065"/>
        <item x="2041"/>
        <item x="1992"/>
        <item x="2014"/>
        <item x="1862"/>
        <item x="1870"/>
        <item x="1225"/>
        <item x="814"/>
        <item x="196"/>
        <item x="76"/>
        <item x="99"/>
        <item x="97"/>
        <item x="1952"/>
        <item x="1511"/>
        <item x="487"/>
        <item x="973"/>
        <item x="796"/>
        <item x="1894"/>
        <item x="2064"/>
        <item x="238"/>
        <item x="2545"/>
        <item x="1294"/>
        <item x="2357"/>
        <item x="1982"/>
        <item x="305"/>
        <item x="2330"/>
        <item x="2046"/>
        <item x="1690"/>
        <item x="1765"/>
        <item x="1764"/>
        <item x="125"/>
        <item x="2184"/>
        <item x="737"/>
        <item x="2187"/>
        <item x="781"/>
        <item x="804"/>
        <item x="914"/>
        <item x="190"/>
        <item x="191"/>
        <item x="255"/>
        <item x="2089"/>
        <item x="192"/>
        <item x="1262"/>
        <item x="702"/>
        <item x="1240"/>
        <item x="1200"/>
        <item x="719"/>
        <item x="133"/>
        <item x="317"/>
        <item x="725"/>
        <item x="2128"/>
        <item x="219"/>
        <item x="2918"/>
        <item x="2748"/>
        <item x="2816"/>
        <item x="2492"/>
        <item x="2717"/>
        <item x="2557"/>
        <item x="2805"/>
        <item x="3373"/>
        <item x="2752"/>
        <item x="2813"/>
        <item x="2686"/>
        <item x="136"/>
        <item x="2462"/>
        <item x="3114"/>
        <item x="2810"/>
        <item m="1" x="3584"/>
        <item x="2606"/>
        <item x="2683"/>
        <item x="3351"/>
        <item x="2723"/>
        <item x="2764"/>
        <item m="1" x="3481"/>
        <item x="2481"/>
        <item x="2507"/>
        <item x="2544"/>
        <item x="3349"/>
        <item x="3343"/>
        <item x="2868"/>
        <item x="2876"/>
        <item x="2690"/>
        <item x="3167"/>
        <item x="2778"/>
        <item x="3379"/>
        <item x="2623"/>
        <item x="2571"/>
        <item x="3451"/>
        <item x="3160"/>
        <item x="3012"/>
        <item x="2779"/>
        <item x="2828"/>
        <item x="3236"/>
        <item x="3216"/>
        <item x="2458"/>
        <item x="2992"/>
        <item x="3424"/>
        <item x="3027"/>
        <item x="2866"/>
        <item x="2850"/>
        <item x="2468"/>
        <item x="2879"/>
        <item x="3397"/>
        <item x="3168"/>
        <item x="3202"/>
        <item x="3008"/>
        <item x="3010"/>
        <item x="2979"/>
        <item x="2746"/>
        <item x="2668"/>
        <item x="3020"/>
        <item x="2688"/>
        <item x="2674"/>
        <item x="3041"/>
        <item x="3443"/>
        <item x="2739"/>
        <item x="2943"/>
        <item x="3068"/>
        <item x="3405"/>
        <item x="3275"/>
        <item x="2925"/>
        <item x="2831"/>
        <item x="2518"/>
        <item x="2825"/>
        <item x="3422"/>
        <item x="3420"/>
        <item x="2861"/>
        <item x="2772"/>
        <item x="3054"/>
        <item x="3408"/>
        <item x="3438"/>
        <item x="2569"/>
        <item x="2413"/>
        <item x="2782"/>
        <item x="2766"/>
        <item x="3387"/>
        <item x="2935"/>
        <item x="3429"/>
        <item x="2913"/>
        <item x="2540"/>
        <item x="3243"/>
        <item x="3339"/>
        <item x="2729"/>
        <item x="3468"/>
        <item m="1" x="3519"/>
        <item x="3171"/>
        <item x="2636"/>
        <item x="3324"/>
        <item x="3353"/>
        <item x="3396"/>
        <item x="3322"/>
        <item x="3402"/>
        <item x="2494"/>
        <item x="2578"/>
        <item x="2497"/>
        <item x="2984"/>
        <item x="3043"/>
        <item x="2576"/>
        <item x="2580"/>
        <item x="2582"/>
        <item m="1" x="3575"/>
        <item x="2727"/>
        <item x="2522"/>
        <item x="2555"/>
        <item x="2420"/>
        <item x="2595"/>
        <item x="3117"/>
        <item x="2802"/>
        <item x="3407"/>
        <item x="2796"/>
        <item x="2946"/>
        <item x="2938"/>
        <item x="2837"/>
        <item x="2781"/>
        <item x="3445"/>
        <item x="3401"/>
        <item x="2604"/>
        <item x="2524"/>
        <item x="3166"/>
        <item x="2738"/>
        <item x="3280"/>
        <item x="3207"/>
        <item x="2847"/>
        <item x="3142"/>
        <item x="3230"/>
        <item x="3066"/>
        <item x="2692"/>
        <item x="2605"/>
        <item x="2878"/>
        <item x="3157"/>
        <item x="2786"/>
        <item x="2621"/>
        <item x="2687"/>
        <item x="3104"/>
        <item x="2765"/>
        <item x="2811"/>
        <item x="2762"/>
        <item x="3116"/>
        <item x="2558"/>
        <item x="3253"/>
        <item x="2754"/>
        <item x="2974"/>
        <item x="2966"/>
        <item x="2945"/>
        <item x="2965"/>
        <item x="3352"/>
        <item x="2695"/>
        <item x="3319"/>
        <item x="2611"/>
        <item x="3388"/>
        <item x="3440"/>
        <item x="3211"/>
        <item x="2444"/>
        <item x="3208"/>
        <item x="2551"/>
        <item x="2975"/>
        <item x="2655"/>
        <item x="2703"/>
        <item x="3214"/>
        <item x="2822"/>
        <item x="2856"/>
        <item x="2548"/>
        <item x="2632"/>
        <item x="2704"/>
        <item x="2484"/>
        <item x="2626"/>
        <item x="2475"/>
        <item x="2515"/>
        <item x="3183"/>
        <item x="3250"/>
        <item x="3300"/>
        <item x="3436"/>
        <item x="3383"/>
        <item x="3358"/>
        <item x="3200"/>
        <item x="3330"/>
        <item x="3363"/>
        <item x="3254"/>
        <item x="3399"/>
        <item x="3180"/>
        <item x="1284"/>
        <item m="1" x="3484"/>
        <item x="2061"/>
        <item x="1688"/>
        <item x="420"/>
        <item m="1" x="3482"/>
        <item m="1" x="3533"/>
        <item m="1" x="3517"/>
        <item m="1" x="3613"/>
        <item m="1" x="3635"/>
        <item m="1" x="3620"/>
        <item x="1653"/>
        <item x="1619"/>
        <item x="1621"/>
        <item m="1" x="3520"/>
        <item x="464"/>
        <item x="1287"/>
        <item x="2435"/>
        <item x="2438"/>
        <item x="2457"/>
        <item x="2465"/>
        <item x="2488"/>
        <item x="2503"/>
        <item x="2504"/>
        <item x="2513"/>
        <item x="2517"/>
        <item x="2519"/>
        <item x="2523"/>
        <item x="2527"/>
        <item x="2528"/>
        <item x="1286"/>
        <item x="2532"/>
        <item x="2533"/>
        <item x="2539"/>
        <item x="2550"/>
        <item x="2556"/>
        <item x="2568"/>
        <item x="2588"/>
        <item x="2590"/>
        <item x="2601"/>
        <item x="2603"/>
        <item x="2634"/>
        <item x="2642"/>
        <item x="2646"/>
        <item x="2671"/>
        <item x="2679"/>
        <item x="2684"/>
        <item x="1431"/>
        <item x="2691"/>
        <item x="2693"/>
        <item x="2706"/>
        <item x="2707"/>
        <item x="2709"/>
        <item x="2710"/>
        <item x="2728"/>
        <item x="2730"/>
        <item x="2737"/>
        <item x="2741"/>
        <item x="2745"/>
        <item x="2758"/>
        <item x="2763"/>
        <item x="2767"/>
        <item x="2771"/>
        <item x="2773"/>
        <item x="1539"/>
        <item x="2774"/>
        <item x="2775"/>
        <item x="1542"/>
        <item x="2776"/>
        <item x="2783"/>
        <item x="2790"/>
        <item x="2795"/>
        <item x="2797"/>
        <item x="2817"/>
        <item x="2819"/>
        <item x="2821"/>
        <item x="2824"/>
        <item x="2826"/>
        <item x="2830"/>
        <item x="2833"/>
        <item x="1606"/>
        <item x="2834"/>
        <item x="2838"/>
        <item x="2840"/>
        <item x="2845"/>
        <item x="2853"/>
        <item x="2859"/>
        <item x="2871"/>
        <item x="2880"/>
        <item x="2881"/>
        <item x="2886"/>
        <item x="2889"/>
        <item x="2898"/>
        <item x="2899"/>
        <item x="2901"/>
        <item x="2902"/>
        <item x="2905"/>
        <item x="2906"/>
        <item x="2910"/>
        <item x="2912"/>
        <item x="2914"/>
        <item x="2926"/>
        <item x="2927"/>
        <item x="2933"/>
        <item x="2937"/>
        <item x="2939"/>
        <item x="2942"/>
        <item x="2948"/>
        <item x="2953"/>
        <item x="2956"/>
        <item x="2960"/>
        <item x="2964"/>
        <item x="2971"/>
        <item x="2972"/>
        <item x="2973"/>
        <item x="2976"/>
        <item x="2977"/>
        <item x="2981"/>
        <item x="2983"/>
        <item x="2991"/>
        <item x="2994"/>
        <item x="2998"/>
        <item x="3000"/>
        <item x="3005"/>
        <item x="3007"/>
        <item x="3014"/>
        <item x="1819"/>
        <item x="3015"/>
        <item x="3017"/>
        <item x="3018"/>
        <item x="3022"/>
        <item x="3047"/>
        <item x="3049"/>
        <item x="3059"/>
        <item x="3065"/>
        <item x="3071"/>
        <item x="3108"/>
        <item x="3110"/>
        <item x="3115"/>
        <item x="3121"/>
        <item x="3136"/>
        <item x="3141"/>
        <item x="3144"/>
        <item x="3147"/>
        <item x="3170"/>
        <item x="3172"/>
        <item x="3177"/>
        <item x="3179"/>
        <item x="1168"/>
        <item x="224"/>
        <item x="3188"/>
        <item x="3189"/>
        <item x="3192"/>
        <item x="3194"/>
        <item x="3196"/>
        <item x="3204"/>
        <item x="3205"/>
        <item x="3210"/>
        <item x="3212"/>
        <item x="3219"/>
        <item x="2093"/>
        <item x="3220"/>
        <item x="3221"/>
        <item x="3222"/>
        <item x="3225"/>
        <item x="3229"/>
        <item x="3231"/>
        <item x="2110"/>
        <item x="3232"/>
        <item x="3247"/>
        <item x="2130"/>
        <item x="3248"/>
        <item x="3256"/>
        <item x="3259"/>
        <item x="3261"/>
        <item x="3263"/>
        <item x="3265"/>
        <item x="3270"/>
        <item x="3271"/>
        <item x="3274"/>
        <item x="3278"/>
        <item x="3279"/>
        <item x="2173"/>
        <item x="3285"/>
        <item x="3286"/>
        <item x="3288"/>
        <item x="3291"/>
        <item x="3294"/>
        <item x="3299"/>
        <item x="3306"/>
        <item x="3310"/>
        <item x="3311"/>
        <item x="3312"/>
        <item x="3313"/>
        <item x="3320"/>
        <item x="3327"/>
        <item x="3329"/>
        <item x="3333"/>
        <item x="3338"/>
        <item x="3346"/>
        <item x="3355"/>
        <item x="3356"/>
        <item x="3362"/>
        <item x="3366"/>
        <item x="3371"/>
        <item x="3374"/>
        <item x="3378"/>
        <item x="3384"/>
        <item x="3386"/>
        <item x="3389"/>
        <item x="3390"/>
        <item x="3400"/>
        <item x="3403"/>
        <item x="3406"/>
        <item x="3409"/>
        <item x="3413"/>
        <item x="3417"/>
        <item x="3421"/>
        <item x="3423"/>
        <item x="3427"/>
        <item x="3428"/>
        <item x="3433"/>
        <item x="3437"/>
        <item x="3439"/>
        <item x="3444"/>
        <item x="3446"/>
        <item x="3448"/>
        <item x="3455"/>
        <item t="default"/>
      </items>
    </pivotField>
    <pivotField axis="axisPage" multipleItemSelectionAllowed="1" showAll="0">
      <items count="4">
        <item h="1" x="0"/>
        <item x="1"/>
        <item x="2"/>
        <item t="default"/>
      </items>
    </pivotField>
    <pivotField axis="axisPage" multipleItemSelectionAllowed="1" showAll="0">
      <items count="3">
        <item h="1" x="1"/>
        <item x="0"/>
        <item t="default"/>
      </items>
    </pivotField>
    <pivotField showAll="0"/>
    <pivotField axis="axisCol" showAll="0">
      <items count="7">
        <item x="3"/>
        <item x="5"/>
        <item x="0"/>
        <item x="1"/>
        <item x="2"/>
        <item x="4"/>
        <item t="default"/>
      </items>
    </pivotField>
    <pivotField showAll="0"/>
    <pivotField showAll="0"/>
    <pivotField showAll="0"/>
    <pivotField showAll="0"/>
    <pivotField showAll="0"/>
    <pivotField showAll="0"/>
    <pivotField numFmtId="14" showAll="0"/>
    <pivotField numFmtId="21" showAll="0"/>
    <pivotField numFmtId="1" showAll="0"/>
    <pivotField showAll="0"/>
  </pivotFields>
  <rowFields count="1">
    <field x="0"/>
  </rowFields>
  <rowItems count="13">
    <i>
      <x v="552"/>
    </i>
    <i>
      <x v="562"/>
    </i>
    <i>
      <x v="668"/>
    </i>
    <i>
      <x v="672"/>
    </i>
    <i>
      <x v="2479"/>
    </i>
    <i>
      <x v="2490"/>
    </i>
    <i>
      <x v="2573"/>
    </i>
    <i>
      <x v="2577"/>
    </i>
    <i>
      <x v="2580"/>
    </i>
    <i>
      <x v="2871"/>
    </i>
    <i>
      <x v="3193"/>
    </i>
    <i>
      <x v="3194"/>
    </i>
    <i t="grand">
      <x/>
    </i>
  </rowItems>
  <colFields count="1">
    <field x="4"/>
  </colFields>
  <colItems count="3">
    <i>
      <x v="2"/>
    </i>
    <i>
      <x v="4"/>
    </i>
    <i t="grand">
      <x/>
    </i>
  </colItems>
  <pageFields count="2">
    <pageField fld="2" hier="-1"/>
    <pageField fld="1" hier="-1"/>
  </pageFields>
  <dataFields count="1">
    <dataField name="Count of" fld="0" subtotal="count" baseField="0" baseItem="0"/>
  </dataFields>
  <formats count="3">
    <format dxfId="2">
      <pivotArea outline="0" collapsedLevelsAreSubtotals="1" fieldPosition="0"/>
    </format>
    <format dxfId="1">
      <pivotArea dataOnly="0" labelOnly="1" fieldPosition="0">
        <references count="1">
          <reference field="4" count="2">
            <x v="2"/>
            <x v="4"/>
          </reference>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81BA3-EF0A-644A-BA3A-DF1EB028716E}">
  <dimension ref="A1:E17"/>
  <sheetViews>
    <sheetView workbookViewId="0">
      <selection activeCell="B1" sqref="B1"/>
    </sheetView>
  </sheetViews>
  <sheetFormatPr baseColWidth="10" defaultRowHeight="15" x14ac:dyDescent="0.2"/>
  <cols>
    <col min="1" max="1" width="14" bestFit="1" customWidth="1"/>
    <col min="2" max="2" width="11.1640625" bestFit="1" customWidth="1"/>
  </cols>
  <sheetData>
    <row r="1" spans="1:5" x14ac:dyDescent="0.2">
      <c r="A1" s="14" t="s">
        <v>322</v>
      </c>
      <c r="B1" t="s">
        <v>2</v>
      </c>
    </row>
    <row r="3" spans="1:5" x14ac:dyDescent="0.2">
      <c r="A3" s="14" t="s">
        <v>272</v>
      </c>
      <c r="B3" t="s">
        <v>274</v>
      </c>
    </row>
    <row r="4" spans="1:5" x14ac:dyDescent="0.2">
      <c r="A4" s="16" t="s">
        <v>275</v>
      </c>
      <c r="B4" s="33">
        <v>1295</v>
      </c>
      <c r="C4" s="17">
        <f>GETPIVOTDATA("text",$A$3,"What","Failure")/GETPIVOTDATA("text",$A$3)</f>
        <v>0.26129943502824859</v>
      </c>
    </row>
    <row r="5" spans="1:5" x14ac:dyDescent="0.2">
      <c r="A5" s="16" t="s">
        <v>276</v>
      </c>
      <c r="B5" s="33">
        <v>250</v>
      </c>
      <c r="C5" s="17">
        <f>GETPIVOTDATA("text",$A$3,"What","Qualified Success")/GETPIVOTDATA("text",$A$3)</f>
        <v>5.0443906376109765E-2</v>
      </c>
      <c r="D5">
        <f>GETPIVOTDATA("text",$A$3,"What","Qualified Success")+GETPIVOTDATA("text",$A$3,"What","Success")</f>
        <v>3661</v>
      </c>
      <c r="E5" s="17">
        <f>SUM(B5:B6)/GETPIVOTDATA("text",$A$3)</f>
        <v>0.73870056497175141</v>
      </c>
    </row>
    <row r="6" spans="1:5" x14ac:dyDescent="0.2">
      <c r="A6" s="16" t="s">
        <v>277</v>
      </c>
      <c r="B6" s="33">
        <v>3411</v>
      </c>
      <c r="C6" s="17">
        <f>GETPIVOTDATA("text",$A$3,"What","Success")/GETPIVOTDATA("text",$A$3)</f>
        <v>0.68825665859564167</v>
      </c>
    </row>
    <row r="7" spans="1:5" x14ac:dyDescent="0.2">
      <c r="A7" s="16" t="s">
        <v>273</v>
      </c>
      <c r="B7" s="33">
        <v>4956</v>
      </c>
      <c r="C7" s="17">
        <f>SUM(C4:C6)</f>
        <v>1</v>
      </c>
    </row>
    <row r="12" spans="1:5" x14ac:dyDescent="0.2">
      <c r="A12" t="s">
        <v>344</v>
      </c>
    </row>
    <row r="13" spans="1:5" x14ac:dyDescent="0.2">
      <c r="A13" t="s">
        <v>272</v>
      </c>
      <c r="B13" t="s">
        <v>274</v>
      </c>
    </row>
    <row r="14" spans="1:5" x14ac:dyDescent="0.2">
      <c r="A14" t="s">
        <v>275</v>
      </c>
      <c r="B14">
        <v>1295</v>
      </c>
      <c r="C14" s="17">
        <v>0.26129943502824859</v>
      </c>
      <c r="D14" s="17"/>
    </row>
    <row r="15" spans="1:5" x14ac:dyDescent="0.2">
      <c r="A15" t="s">
        <v>276</v>
      </c>
      <c r="B15">
        <v>250</v>
      </c>
      <c r="C15" s="17">
        <v>5.0443906376109765E-2</v>
      </c>
      <c r="D15" s="17">
        <v>3661</v>
      </c>
    </row>
    <row r="16" spans="1:5" x14ac:dyDescent="0.2">
      <c r="A16" t="s">
        <v>277</v>
      </c>
      <c r="B16">
        <v>3411</v>
      </c>
      <c r="C16" s="17">
        <v>0.68825665859564167</v>
      </c>
      <c r="D16" s="17"/>
    </row>
    <row r="17" spans="1:4" x14ac:dyDescent="0.2">
      <c r="A17" t="s">
        <v>273</v>
      </c>
      <c r="B17">
        <v>4956</v>
      </c>
      <c r="C17" s="17">
        <v>1</v>
      </c>
      <c r="D17" s="17"/>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9FFC0-3BAE-5B4A-AAD8-81E38CD1319C}">
  <dimension ref="A1:E32"/>
  <sheetViews>
    <sheetView tabSelected="1" workbookViewId="0">
      <selection activeCell="B49" sqref="B49"/>
    </sheetView>
  </sheetViews>
  <sheetFormatPr baseColWidth="10" defaultRowHeight="15" x14ac:dyDescent="0.2"/>
  <cols>
    <col min="3" max="3" width="29.5" customWidth="1"/>
  </cols>
  <sheetData>
    <row r="1" spans="1:5" x14ac:dyDescent="0.2">
      <c r="A1" t="s">
        <v>206</v>
      </c>
    </row>
    <row r="2" spans="1:5" x14ac:dyDescent="0.2">
      <c r="A2" s="1" t="s">
        <v>208</v>
      </c>
      <c r="D2" t="s">
        <v>323</v>
      </c>
    </row>
    <row r="3" spans="1:5" x14ac:dyDescent="0.2">
      <c r="A3" s="1" t="s">
        <v>210</v>
      </c>
    </row>
    <row r="4" spans="1:5" x14ac:dyDescent="0.2">
      <c r="A4" s="1" t="s">
        <v>324</v>
      </c>
      <c r="D4" t="s">
        <v>326</v>
      </c>
    </row>
    <row r="5" spans="1:5" ht="16" x14ac:dyDescent="0.2">
      <c r="A5" s="1" t="s">
        <v>325</v>
      </c>
      <c r="B5" s="2"/>
      <c r="C5" s="2"/>
      <c r="D5" s="2" t="s">
        <v>327</v>
      </c>
      <c r="E5" s="2"/>
    </row>
    <row r="6" spans="1:5" ht="16" x14ac:dyDescent="0.2">
      <c r="A6" s="3" t="s">
        <v>213</v>
      </c>
    </row>
    <row r="7" spans="1:5" x14ac:dyDescent="0.2">
      <c r="A7" s="1" t="s">
        <v>214</v>
      </c>
    </row>
    <row r="8" spans="1:5" x14ac:dyDescent="0.2">
      <c r="A8" s="1" t="s">
        <v>215</v>
      </c>
    </row>
    <row r="9" spans="1:5" x14ac:dyDescent="0.2">
      <c r="A9" s="1" t="s">
        <v>216</v>
      </c>
    </row>
    <row r="10" spans="1:5" x14ac:dyDescent="0.2">
      <c r="A10" s="1" t="s">
        <v>217</v>
      </c>
    </row>
    <row r="11" spans="1:5" x14ac:dyDescent="0.2">
      <c r="A11" s="1" t="s">
        <v>218</v>
      </c>
    </row>
    <row r="12" spans="1:5" x14ac:dyDescent="0.2">
      <c r="A12" s="1" t="s">
        <v>216</v>
      </c>
    </row>
    <row r="13" spans="1:5" x14ac:dyDescent="0.2">
      <c r="A13" s="1" t="s">
        <v>219</v>
      </c>
      <c r="D13" t="s">
        <v>318</v>
      </c>
    </row>
    <row r="14" spans="1:5" x14ac:dyDescent="0.2">
      <c r="A14" s="1" t="s">
        <v>220</v>
      </c>
      <c r="D14" t="s">
        <v>317</v>
      </c>
    </row>
    <row r="15" spans="1:5" x14ac:dyDescent="0.2">
      <c r="A15" s="1" t="s">
        <v>221</v>
      </c>
      <c r="D15" t="s">
        <v>316</v>
      </c>
    </row>
    <row r="16" spans="1:5" x14ac:dyDescent="0.2">
      <c r="A16" s="1" t="s">
        <v>222</v>
      </c>
    </row>
    <row r="17" spans="1:4" x14ac:dyDescent="0.2">
      <c r="A17" s="1" t="s">
        <v>216</v>
      </c>
    </row>
    <row r="18" spans="1:4" x14ac:dyDescent="0.2">
      <c r="A18" s="1" t="s">
        <v>223</v>
      </c>
      <c r="D18" t="s">
        <v>315</v>
      </c>
    </row>
    <row r="19" spans="1:4" x14ac:dyDescent="0.2">
      <c r="A19" s="1" t="s">
        <v>216</v>
      </c>
    </row>
    <row r="20" spans="1:4" x14ac:dyDescent="0.2">
      <c r="A20" s="1" t="s">
        <v>224</v>
      </c>
    </row>
    <row r="21" spans="1:4" x14ac:dyDescent="0.2">
      <c r="A21" s="1" t="s">
        <v>225</v>
      </c>
    </row>
    <row r="22" spans="1:4" x14ac:dyDescent="0.2">
      <c r="A22" s="1" t="s">
        <v>226</v>
      </c>
      <c r="D22" t="s">
        <v>312</v>
      </c>
    </row>
    <row r="23" spans="1:4" x14ac:dyDescent="0.2">
      <c r="A23" s="1" t="s">
        <v>227</v>
      </c>
    </row>
    <row r="24" spans="1:4" x14ac:dyDescent="0.2">
      <c r="A24" s="1" t="s">
        <v>343</v>
      </c>
      <c r="D24" t="s">
        <v>313</v>
      </c>
    </row>
    <row r="25" spans="1:4" x14ac:dyDescent="0.2">
      <c r="A25" s="1" t="s">
        <v>216</v>
      </c>
    </row>
    <row r="26" spans="1:4" x14ac:dyDescent="0.2">
      <c r="A26" s="1" t="s">
        <v>229</v>
      </c>
      <c r="D26" t="s">
        <v>314</v>
      </c>
    </row>
    <row r="29" spans="1:4" x14ac:dyDescent="0.2">
      <c r="D29" s="31" t="s">
        <v>207</v>
      </c>
    </row>
    <row r="30" spans="1:4" x14ac:dyDescent="0.2">
      <c r="D30" t="s">
        <v>209</v>
      </c>
    </row>
    <row r="31" spans="1:4" x14ac:dyDescent="0.2">
      <c r="D31" t="s">
        <v>211</v>
      </c>
    </row>
    <row r="32" spans="1:4" x14ac:dyDescent="0.2">
      <c r="D32" t="s">
        <v>212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Q540"/>
  <sheetViews>
    <sheetView zoomScale="120" zoomScaleNormal="120" workbookViewId="0">
      <pane ySplit="1" topLeftCell="A127" activePane="bottomLeft" state="frozen"/>
      <selection pane="bottomLeft" activeCell="A151" sqref="A151:A173"/>
    </sheetView>
  </sheetViews>
  <sheetFormatPr baseColWidth="10" defaultColWidth="8.83203125" defaultRowHeight="15" x14ac:dyDescent="0.2"/>
  <cols>
    <col min="1" max="1" width="121.6640625" style="36" customWidth="1"/>
    <col min="2" max="2" width="9.1640625" style="7" customWidth="1"/>
    <col min="3" max="3" width="8.83203125" style="7"/>
    <col min="4" max="4" width="27.5" style="7" customWidth="1"/>
    <col min="5" max="8" width="8.83203125" style="7"/>
    <col min="9" max="9" width="10.1640625" style="7" customWidth="1"/>
    <col min="10" max="10" width="9.83203125" style="7" customWidth="1"/>
    <col min="11" max="11" width="5.1640625" style="7" bestFit="1" customWidth="1"/>
    <col min="12" max="12" width="10.5" style="7" customWidth="1"/>
    <col min="13" max="13" width="7.6640625" style="7" customWidth="1"/>
    <col min="14" max="14" width="16.6640625" style="7" bestFit="1" customWidth="1"/>
    <col min="15" max="15" width="8.83203125" style="7"/>
    <col min="17" max="17" width="55.33203125" customWidth="1"/>
  </cols>
  <sheetData>
    <row r="1" spans="1:17" ht="48" x14ac:dyDescent="0.2">
      <c r="A1" s="30" t="s">
        <v>0</v>
      </c>
      <c r="B1" s="4" t="s">
        <v>321</v>
      </c>
      <c r="C1" s="4" t="s">
        <v>322</v>
      </c>
      <c r="D1" s="4" t="s">
        <v>230</v>
      </c>
      <c r="E1" s="4" t="s">
        <v>231</v>
      </c>
      <c r="F1" s="4" t="s">
        <v>232</v>
      </c>
      <c r="G1" s="4" t="s">
        <v>233</v>
      </c>
      <c r="H1" s="4" t="s">
        <v>234</v>
      </c>
      <c r="I1" s="5" t="s">
        <v>235</v>
      </c>
      <c r="J1" s="5" t="s">
        <v>236</v>
      </c>
      <c r="K1" s="4" t="s">
        <v>201</v>
      </c>
      <c r="L1" s="4" t="s">
        <v>203</v>
      </c>
      <c r="M1" s="4" t="s">
        <v>202</v>
      </c>
      <c r="N1" s="4" t="s">
        <v>320</v>
      </c>
      <c r="O1" s="6" t="s">
        <v>237</v>
      </c>
      <c r="P1" s="35" t="s">
        <v>328</v>
      </c>
      <c r="Q1" s="35" t="s">
        <v>345</v>
      </c>
    </row>
    <row r="2" spans="1:17" ht="16" hidden="1" x14ac:dyDescent="0.2">
      <c r="A2" s="36" t="s">
        <v>140</v>
      </c>
      <c r="C2" s="7" t="s">
        <v>2</v>
      </c>
      <c r="D2" s="7" t="s">
        <v>206</v>
      </c>
      <c r="E2" s="7" t="str">
        <f>IF(OR(D2="", D2="___"),"", LEFT(D2,FIND(" &gt;",D2)-1))</f>
        <v>Success</v>
      </c>
      <c r="F2" s="7" t="str">
        <f>IF(OR(E2="Success",E2="Qualified Success"),"Current",IF(E2="Failure",IF(RIGHT(D2,6)="Future","Future",IF(RIGHT(D2,10)="Irrelevant","Irrelevant","Current")),""))</f>
        <v>Current</v>
      </c>
      <c r="G2" s="7" t="str">
        <f>IF(OR(ISBLANK(D2),D2="Unclassifiable &gt;"),"",IF(ISNUMBER(SEARCH("Utterance",D2)),"Utterance",IF(ISNUMBER(SEARCH("Response",D2)),"Response",IF(ISNUMBER(SEARCH("Interaction",D2)),"Interaction",IF(ISNUMBER(SEARCH("System",D2)),"System","")))))</f>
        <v/>
      </c>
      <c r="H2" s="7" t="str">
        <f>IF(G2="Utterance", IF(ISNUMBER(SEARCH("Unrecognized",D2)), "Unrecognized", IF(ISNUMBER(SEARCH("Mismatched",D2)), "Mismatched", IF(ISNUMBER(SEARCH("False Positive",D2)), "False Positive", "Irrelevant"))), "")</f>
        <v/>
      </c>
      <c r="J2" s="7" t="s">
        <v>329</v>
      </c>
      <c r="K2" s="7" t="s">
        <v>199</v>
      </c>
      <c r="L2" s="9">
        <v>44986</v>
      </c>
      <c r="M2" s="10">
        <v>0.21388888888888891</v>
      </c>
      <c r="N2" s="11">
        <v>204440003500787</v>
      </c>
      <c r="O2" s="7">
        <f>IF(LEN(TRIM($A2))=0,0,LEN($A2)-LEN(SUBSTITUTE($A2," ",""))+1)</f>
        <v>7</v>
      </c>
      <c r="P2">
        <f>IF(D2="", "", COUNTIF($D$1:$D$2273, D2))</f>
        <v>176</v>
      </c>
    </row>
    <row r="3" spans="1:17" ht="112" hidden="1" x14ac:dyDescent="0.2">
      <c r="A3" s="8" t="s">
        <v>346</v>
      </c>
      <c r="C3" s="7" t="s">
        <v>4</v>
      </c>
      <c r="E3" s="7" t="str">
        <f>IF(OR(D3="", D3="___"),"", LEFT(D3,FIND(" &gt;",D3)-1))</f>
        <v/>
      </c>
      <c r="F3" s="7" t="str">
        <f>IF(OR(E3="Success",E3="Qualified Success"),"Current",IF(E3="Failure",IF(RIGHT(D3,6)="Future","Future",IF(RIGHT(D3,10)="Irrelevant","Irrelevant","Current")),""))</f>
        <v/>
      </c>
      <c r="G3" s="7" t="str">
        <f>IF(OR(ISBLANK(D3),D3="Unclassifiable &gt;"),"",IF(ISNUMBER(SEARCH("Utterance",D3)),"Utterance",IF(ISNUMBER(SEARCH("Response",D3)),"Response",IF(ISNUMBER(SEARCH("Interaction",D3)),"Interaction",IF(ISNUMBER(SEARCH("System",D3)),"System","")))))</f>
        <v/>
      </c>
      <c r="H3" s="7" t="str">
        <f>IF(G3="Utterance", IF(ISNUMBER(SEARCH("Unrecognized",D3)), "Unrecognized", IF(ISNUMBER(SEARCH("Mismatched",D3)), "Mismatched", IF(ISNUMBER(SEARCH("False Positive",D3)), "False Positive", "Irrelevant"))), "")</f>
        <v/>
      </c>
      <c r="K3" s="7" t="s">
        <v>199</v>
      </c>
      <c r="L3" s="9">
        <v>44986</v>
      </c>
      <c r="M3" s="10">
        <v>0.21417824074074074</v>
      </c>
      <c r="N3" s="11">
        <v>204440003500787</v>
      </c>
      <c r="P3" t="str">
        <f>IF(D3="", "", COUNTIF($D$1:$D$2273, D3))</f>
        <v/>
      </c>
    </row>
    <row r="4" spans="1:17" ht="16" hidden="1" x14ac:dyDescent="0.2">
      <c r="A4" s="36" t="s">
        <v>68</v>
      </c>
      <c r="C4" s="7" t="s">
        <v>2</v>
      </c>
      <c r="D4" s="7" t="s">
        <v>228</v>
      </c>
      <c r="E4" s="7" t="str">
        <f>IF(OR(D4="", D4="___"),"", LEFT(D4,FIND(" &gt;",D4)-1))</f>
        <v>Qualified Success</v>
      </c>
      <c r="F4" s="7" t="str">
        <f>IF(OR(E4="Success",E4="Qualified Success"),"Current",IF(E4="Failure",IF(RIGHT(D4,6)="Future","Future",IF(RIGHT(D4,10)="Irrelevant","Irrelevant","Current")),""))</f>
        <v>Current</v>
      </c>
      <c r="G4" s="7" t="str">
        <f>IF(OR(ISBLANK(D4),D4="Unclassifiable &gt;"),"",IF(ISNUMBER(SEARCH("Utterance",D4)),"Utterance",IF(ISNUMBER(SEARCH("Response",D4)),"Response",IF(ISNUMBER(SEARCH("Interaction",D4)),"Interaction",IF(ISNUMBER(SEARCH("System",D4)),"System","")))))</f>
        <v>Response</v>
      </c>
      <c r="H4" s="7" t="str">
        <f>IF(G4="Utterance", IF(ISNUMBER(SEARCH("Unrecognized",D4)), "Unrecognized", IF(ISNUMBER(SEARCH("Mismatched",D4)), "Mismatched", IF(ISNUMBER(SEARCH("False Positive",D4)), "False Positive", "Irrelevant"))), "")</f>
        <v/>
      </c>
      <c r="J4" s="7" t="s">
        <v>335</v>
      </c>
      <c r="K4" s="7" t="s">
        <v>200</v>
      </c>
      <c r="L4" s="9">
        <v>45015</v>
      </c>
      <c r="M4" s="10">
        <v>0.54449074074074078</v>
      </c>
      <c r="N4" s="11">
        <v>204440003493600</v>
      </c>
      <c r="O4" s="7">
        <f>IF(LEN(TRIM($A4))=0,0,LEN($A4)-LEN(SUBSTITUTE($A4," ",""))+1)</f>
        <v>5</v>
      </c>
      <c r="P4">
        <f>IF(D4="", "", COUNTIF($D$1:$D$2273, D4))</f>
        <v>10</v>
      </c>
    </row>
    <row r="5" spans="1:17" ht="32" hidden="1" x14ac:dyDescent="0.2">
      <c r="A5" s="8" t="s">
        <v>347</v>
      </c>
      <c r="C5" s="7" t="s">
        <v>4</v>
      </c>
      <c r="F5" s="7" t="str">
        <f>IF(OR(E5="Success",E5="Qualified Success"),"Current",IF(E5="Failure",IF(RIGHT(D5,6)="Future","Future",IF(RIGHT(D5,10)="Irrelevant","Irrelevant","Current")),""))</f>
        <v/>
      </c>
      <c r="G5" s="7" t="str">
        <f>IF(OR(ISBLANK(D5),D5="Unclassifiable &gt;"),"",IF(ISNUMBER(SEARCH("Utterance",D5)),"Utterance",IF(ISNUMBER(SEARCH("Response",D5)),"Response",IF(ISNUMBER(SEARCH("Interaction",D5)),"Interaction",IF(ISNUMBER(SEARCH("System",D5)),"System","")))))</f>
        <v/>
      </c>
      <c r="K5" s="7" t="s">
        <v>200</v>
      </c>
      <c r="L5" s="9">
        <v>45015</v>
      </c>
      <c r="M5" s="10">
        <v>0.54449074074074078</v>
      </c>
      <c r="N5" s="11">
        <v>204440003493600</v>
      </c>
      <c r="P5" t="str">
        <f>IF(D5="", "", COUNTIF($D$1:$D$2273, D5))</f>
        <v/>
      </c>
    </row>
    <row r="6" spans="1:17" ht="16" hidden="1" x14ac:dyDescent="0.2">
      <c r="A6" s="36" t="s">
        <v>177</v>
      </c>
      <c r="C6" s="7" t="s">
        <v>2</v>
      </c>
      <c r="D6" s="7" t="s">
        <v>208</v>
      </c>
      <c r="E6" s="7" t="str">
        <f>IF(OR(D6="", D6="___"),"", LEFT(D6,FIND(" &gt;",D6)-1))</f>
        <v>Failure</v>
      </c>
      <c r="F6" s="7" t="str">
        <f>IF(OR(E6="Success",E6="Qualified Success"),"Current",IF(E6="Failure",IF(RIGHT(D6,6)="Future","Future",IF(RIGHT(D6,10)="Irrelevant","Irrelevant","Current")),""))</f>
        <v>Current</v>
      </c>
      <c r="G6" s="7" t="str">
        <f>IF(OR(ISBLANK(D6),D6="Unclassifiable &gt;"),"",IF(ISNUMBER(SEARCH("Utterance",D6)),"Utterance",IF(ISNUMBER(SEARCH("Response",D6)),"Response",IF(ISNUMBER(SEARCH("Interaction",D6)),"Interaction",IF(ISNUMBER(SEARCH("System",D6)),"System","")))))</f>
        <v>Utterance</v>
      </c>
      <c r="H6" s="7" t="str">
        <f>IF(G6="Utterance", IF(ISNUMBER(SEARCH("Unrecognized",D6)), "Unrecognized", IF(ISNUMBER(SEARCH("Mismatched",D6)), "Mismatched", IF(ISNUMBER(SEARCH("False Positive",D6)), "False Positive", "Irrelevant"))), "")</f>
        <v>Mismatched</v>
      </c>
      <c r="J6" s="7" t="s">
        <v>329</v>
      </c>
      <c r="K6" s="7" t="s">
        <v>200</v>
      </c>
      <c r="L6" s="9">
        <v>45015</v>
      </c>
      <c r="M6" s="10">
        <v>0.54483796296296294</v>
      </c>
      <c r="N6" s="11">
        <v>513002981132044</v>
      </c>
      <c r="O6" s="7">
        <f>IF(LEN(TRIM($A6))=0,0,LEN($A6)-LEN(SUBSTITUTE($A6," ",""))+1)</f>
        <v>8</v>
      </c>
      <c r="P6">
        <f>IF(D6="", "", COUNTIF($D$1:$D$2273, D6))</f>
        <v>32</v>
      </c>
    </row>
    <row r="7" spans="1:17" ht="48" hidden="1" x14ac:dyDescent="0.2">
      <c r="A7" s="8" t="s">
        <v>348</v>
      </c>
      <c r="C7" s="7" t="s">
        <v>4</v>
      </c>
      <c r="F7" s="7" t="str">
        <f>IF(OR(E7="Success",E7="Qualified Success"),"Current",IF(E7="Failure",IF(RIGHT(D7,6)="Future","Future",IF(RIGHT(D7,10)="Irrelevant","Irrelevant","Current")),""))</f>
        <v/>
      </c>
      <c r="G7" s="7" t="str">
        <f>IF(OR(ISBLANK(D7),D7="Unclassifiable &gt;"),"",IF(ISNUMBER(SEARCH("Utterance",D7)),"Utterance",IF(ISNUMBER(SEARCH("Response",D7)),"Response",IF(ISNUMBER(SEARCH("Interaction",D7)),"Interaction",IF(ISNUMBER(SEARCH("System",D7)),"System","")))))</f>
        <v/>
      </c>
      <c r="K7" s="7" t="s">
        <v>200</v>
      </c>
      <c r="L7" s="9">
        <v>45015</v>
      </c>
      <c r="M7" s="10">
        <v>0.54483796296296294</v>
      </c>
      <c r="N7" s="11">
        <v>513002981132044</v>
      </c>
      <c r="P7" t="str">
        <f>IF(D7="", "", COUNTIF($D$1:$D$2273, D7))</f>
        <v/>
      </c>
    </row>
    <row r="8" spans="1:17" ht="16" hidden="1" x14ac:dyDescent="0.2">
      <c r="A8" s="36" t="s">
        <v>26</v>
      </c>
      <c r="B8" s="7" t="s">
        <v>296</v>
      </c>
      <c r="C8" s="7" t="s">
        <v>2</v>
      </c>
      <c r="D8" s="7" t="s">
        <v>206</v>
      </c>
      <c r="E8" s="7" t="str">
        <f>IF(OR(D8="", D8="___"),"", LEFT(D8,FIND(" &gt;",D8)-1))</f>
        <v>Success</v>
      </c>
      <c r="F8" s="7" t="str">
        <f>IF(OR(E8="Success",E8="Qualified Success"),"Current",IF(E8="Failure",IF(RIGHT(D8,6)="Future","Future",IF(RIGHT(D8,10)="Irrelevant","Irrelevant","Current")),""))</f>
        <v>Current</v>
      </c>
      <c r="G8" s="7" t="str">
        <f>IF(OR(ISBLANK(D8),D8="Unclassifiable &gt;"),"",IF(ISNUMBER(SEARCH("Utterance",D8)),"Utterance",IF(ISNUMBER(SEARCH("Response",D8)),"Response",IF(ISNUMBER(SEARCH("Interaction",D8)),"Interaction",IF(ISNUMBER(SEARCH("System",D8)),"System","")))))</f>
        <v/>
      </c>
      <c r="H8" s="7" t="str">
        <f>IF(G8="Utterance", IF(ISNUMBER(SEARCH("Unrecognized",D8)), "Unrecognized", IF(ISNUMBER(SEARCH("Mismatched",D8)), "Mismatched", IF(ISNUMBER(SEARCH("False Positive",D8)), "False Positive", "Irrelevant"))), "")</f>
        <v/>
      </c>
      <c r="J8" s="7" t="s">
        <v>332</v>
      </c>
      <c r="K8" s="7" t="s">
        <v>200</v>
      </c>
      <c r="L8" s="9">
        <v>45015</v>
      </c>
      <c r="M8" s="10">
        <v>0.55107638888888888</v>
      </c>
      <c r="N8" s="11">
        <v>202000033877882</v>
      </c>
      <c r="O8" s="7">
        <f>IF(LEN(TRIM($A8))=0,0,LEN($A8)-LEN(SUBSTITUTE($A8," ",""))+1)</f>
        <v>3</v>
      </c>
      <c r="P8">
        <f>IF(D8="", "", COUNTIF($D$1:$D$2273, D8))</f>
        <v>176</v>
      </c>
    </row>
    <row r="9" spans="1:17" ht="48" hidden="1" x14ac:dyDescent="0.2">
      <c r="A9" s="8" t="s">
        <v>354</v>
      </c>
      <c r="C9" s="7" t="s">
        <v>4</v>
      </c>
      <c r="F9" s="7" t="str">
        <f>IF(OR(E9="Success",E9="Qualified Success"),"Current",IF(E9="Failure",IF(RIGHT(D9,6)="Future","Future",IF(RIGHT(D9,10)="Irrelevant","Irrelevant","Current")),""))</f>
        <v/>
      </c>
      <c r="G9" s="7" t="str">
        <f>IF(OR(ISBLANK(D9),D9="Unclassifiable &gt;"),"",IF(ISNUMBER(SEARCH("Utterance",D9)),"Utterance",IF(ISNUMBER(SEARCH("Response",D9)),"Response",IF(ISNUMBER(SEARCH("Interaction",D9)),"Interaction",IF(ISNUMBER(SEARCH("System",D9)),"System","")))))</f>
        <v/>
      </c>
      <c r="K9" s="7" t="s">
        <v>200</v>
      </c>
      <c r="L9" s="9">
        <v>45015</v>
      </c>
      <c r="M9" s="10">
        <v>0.55107638888888888</v>
      </c>
      <c r="N9" s="11">
        <v>202000033877882</v>
      </c>
      <c r="P9" t="str">
        <f>IF(D9="", "", COUNTIF($D$1:$D$2273, D9))</f>
        <v/>
      </c>
    </row>
    <row r="10" spans="1:17" ht="16" hidden="1" x14ac:dyDescent="0.2">
      <c r="A10" s="37" t="s">
        <v>116</v>
      </c>
      <c r="C10" s="7" t="s">
        <v>2</v>
      </c>
      <c r="D10" s="7" t="s">
        <v>208</v>
      </c>
      <c r="E10" s="7" t="str">
        <f>IF(OR(D10="", D10="___"),"", LEFT(D10,FIND(" &gt;",D10)-1))</f>
        <v>Failure</v>
      </c>
      <c r="F10" s="7" t="str">
        <f>IF(OR(E10="Success",E10="Qualified Success"),"Current",IF(E10="Failure",IF(RIGHT(D10,6)="Future","Future",IF(RIGHT(D10,10)="Irrelevant","Irrelevant","Current")),""))</f>
        <v>Current</v>
      </c>
      <c r="G10" s="7" t="str">
        <f>IF(OR(ISBLANK(D10),D10="Unclassifiable &gt;"),"",IF(ISNUMBER(SEARCH("Utterance",D10)),"Utterance",IF(ISNUMBER(SEARCH("Response",D10)),"Response",IF(ISNUMBER(SEARCH("Interaction",D10)),"Interaction",IF(ISNUMBER(SEARCH("System",D10)),"System","")))))</f>
        <v>Utterance</v>
      </c>
      <c r="H10" s="7" t="str">
        <f>IF(G10="Utterance", IF(ISNUMBER(SEARCH("Unrecognized",D10)), "Unrecognized", IF(ISNUMBER(SEARCH("Mismatched",D10)), "Mismatched", IF(ISNUMBER(SEARCH("False Positive",D10)), "False Positive", "Irrelevant"))), "")</f>
        <v>Mismatched</v>
      </c>
      <c r="J10" s="7" t="s">
        <v>204</v>
      </c>
      <c r="K10" s="7" t="s">
        <v>200</v>
      </c>
      <c r="L10" s="9">
        <v>45015</v>
      </c>
      <c r="M10" s="10">
        <v>0.55304398148148148</v>
      </c>
      <c r="N10" s="11">
        <v>204440003538512</v>
      </c>
      <c r="O10" s="7">
        <f>IF(LEN(TRIM($A10))=0,0,LEN($A10)-LEN(SUBSTITUTE($A10," ",""))+1)</f>
        <v>4</v>
      </c>
      <c r="P10">
        <f>IF(D10="", "", COUNTIF($D$1:$D$2273, D10))</f>
        <v>32</v>
      </c>
    </row>
    <row r="11" spans="1:17" ht="32" hidden="1" x14ac:dyDescent="0.2">
      <c r="A11" s="8" t="s">
        <v>355</v>
      </c>
      <c r="C11" s="7" t="s">
        <v>4</v>
      </c>
      <c r="F11" s="7" t="str">
        <f>IF(OR(E11="Success",E11="Qualified Success"),"Current",IF(E11="Failure",IF(RIGHT(D11,6)="Future","Future",IF(RIGHT(D11,10)="Irrelevant","Irrelevant","Current")),""))</f>
        <v/>
      </c>
      <c r="G11" s="7" t="str">
        <f>IF(OR(ISBLANK(D11),D11="Unclassifiable &gt;"),"",IF(ISNUMBER(SEARCH("Utterance",D11)),"Utterance",IF(ISNUMBER(SEARCH("Response",D11)),"Response",IF(ISNUMBER(SEARCH("Interaction",D11)),"Interaction",IF(ISNUMBER(SEARCH("System",D11)),"System","")))))</f>
        <v/>
      </c>
      <c r="K11" s="7" t="s">
        <v>200</v>
      </c>
      <c r="L11" s="9">
        <v>45015</v>
      </c>
      <c r="M11" s="10">
        <v>0.55306712962962956</v>
      </c>
      <c r="N11" s="11">
        <v>204440003538512</v>
      </c>
      <c r="P11" t="str">
        <f>IF(D11="", "", COUNTIF($D$1:$D$2273, D11))</f>
        <v/>
      </c>
    </row>
    <row r="12" spans="1:17" ht="16" hidden="1" x14ac:dyDescent="0.2">
      <c r="A12" s="37" t="s">
        <v>115</v>
      </c>
      <c r="C12" s="7" t="s">
        <v>2</v>
      </c>
      <c r="D12" s="7" t="s">
        <v>228</v>
      </c>
      <c r="E12" s="7" t="str">
        <f>IF(OR(D12="", D12="___"),"", LEFT(D12,FIND(" &gt;",D12)-1))</f>
        <v>Qualified Success</v>
      </c>
      <c r="F12" s="7" t="str">
        <f>IF(OR(E12="Success",E12="Qualified Success"),"Current",IF(E12="Failure",IF(RIGHT(D12,6)="Future","Future",IF(RIGHT(D12,10)="Irrelevant","Irrelevant","Current")),""))</f>
        <v>Current</v>
      </c>
      <c r="G12" s="7" t="str">
        <f>IF(OR(ISBLANK(D12),D12="Unclassifiable &gt;"),"",IF(ISNUMBER(SEARCH("Utterance",D12)),"Utterance",IF(ISNUMBER(SEARCH("Response",D12)),"Response",IF(ISNUMBER(SEARCH("Interaction",D12)),"Interaction",IF(ISNUMBER(SEARCH("System",D12)),"System","")))))</f>
        <v>Response</v>
      </c>
      <c r="H12" s="7" t="str">
        <f>IF(G12="Utterance", IF(ISNUMBER(SEARCH("Unrecognized",D12)), "Unrecognized", IF(ISNUMBER(SEARCH("Mismatched",D12)), "Mismatched", IF(ISNUMBER(SEARCH("False Positive",D12)), "False Positive", "Irrelevant"))), "")</f>
        <v/>
      </c>
      <c r="J12" s="7" t="s">
        <v>204</v>
      </c>
      <c r="K12" s="7" t="s">
        <v>200</v>
      </c>
      <c r="L12" s="9">
        <v>45015</v>
      </c>
      <c r="M12" s="10">
        <v>0.55353009259259256</v>
      </c>
      <c r="N12" s="11">
        <v>204440003538512</v>
      </c>
      <c r="O12" s="7">
        <f>IF(LEN(TRIM($A12))=0,0,LEN($A12)-LEN(SUBSTITUTE($A12," ",""))+1)</f>
        <v>2</v>
      </c>
      <c r="P12">
        <f>IF(D12="", "", COUNTIF($D$1:$D$2273, D12))</f>
        <v>10</v>
      </c>
    </row>
    <row r="13" spans="1:17" ht="48" hidden="1" x14ac:dyDescent="0.2">
      <c r="A13" s="8" t="s">
        <v>356</v>
      </c>
      <c r="C13" s="7" t="s">
        <v>4</v>
      </c>
      <c r="F13" s="7" t="str">
        <f>IF(OR(E13="Success",E13="Qualified Success"),"Current",IF(E13="Failure",IF(RIGHT(D13,6)="Future","Future",IF(RIGHT(D13,10)="Irrelevant","Irrelevant","Current")),""))</f>
        <v/>
      </c>
      <c r="G13" s="7" t="str">
        <f>IF(OR(ISBLANK(D13),D13="Unclassifiable &gt;"),"",IF(ISNUMBER(SEARCH("Utterance",D13)),"Utterance",IF(ISNUMBER(SEARCH("Response",D13)),"Response",IF(ISNUMBER(SEARCH("Interaction",D13)),"Interaction",IF(ISNUMBER(SEARCH("System",D13)),"System","")))))</f>
        <v/>
      </c>
      <c r="K13" s="7" t="s">
        <v>200</v>
      </c>
      <c r="L13" s="9">
        <v>45015</v>
      </c>
      <c r="M13" s="10">
        <v>0.55353009259259256</v>
      </c>
      <c r="N13" s="11">
        <v>204440003538512</v>
      </c>
      <c r="P13" t="str">
        <f>IF(D13="", "", COUNTIF($D$1:$D$2273, D13))</f>
        <v/>
      </c>
    </row>
    <row r="14" spans="1:17" ht="16" hidden="1" x14ac:dyDescent="0.2">
      <c r="A14" s="36" t="s">
        <v>194</v>
      </c>
      <c r="C14" s="7" t="s">
        <v>2</v>
      </c>
      <c r="D14" s="7" t="s">
        <v>206</v>
      </c>
      <c r="E14" s="7" t="str">
        <f>IF(OR(D14="", D14="___"),"", LEFT(D14,FIND(" &gt;",D14)-1))</f>
        <v>Success</v>
      </c>
      <c r="F14" s="7" t="str">
        <f>IF(OR(E14="Success",E14="Qualified Success"),"Current",IF(E14="Failure",IF(RIGHT(D14,6)="Future","Future",IF(RIGHT(D14,10)="Irrelevant","Irrelevant","Current")),""))</f>
        <v>Current</v>
      </c>
      <c r="G14" s="7" t="str">
        <f>IF(OR(ISBLANK(D14),D14="Unclassifiable &gt;"),"",IF(ISNUMBER(SEARCH("Utterance",D14)),"Utterance",IF(ISNUMBER(SEARCH("Response",D14)),"Response",IF(ISNUMBER(SEARCH("Interaction",D14)),"Interaction",IF(ISNUMBER(SEARCH("System",D14)),"System","")))))</f>
        <v/>
      </c>
      <c r="H14" s="7" t="str">
        <f>IF(G14="Utterance", IF(ISNUMBER(SEARCH("Unrecognized",D14)), "Unrecognized", IF(ISNUMBER(SEARCH("Mismatched",D14)), "Mismatched", IF(ISNUMBER(SEARCH("False Positive",D14)), "False Positive", "Irrelevant"))), "")</f>
        <v/>
      </c>
      <c r="J14" s="7" t="s">
        <v>246</v>
      </c>
      <c r="K14" s="7" t="s">
        <v>200</v>
      </c>
      <c r="L14" s="9">
        <v>45015</v>
      </c>
      <c r="M14" s="10">
        <v>0.55565972222222226</v>
      </c>
      <c r="N14" s="11">
        <v>513003503696585</v>
      </c>
      <c r="O14" s="7">
        <f>IF(LEN(TRIM($A14))=0,0,LEN($A14)-LEN(SUBSTITUTE($A14," ",""))+1)</f>
        <v>12</v>
      </c>
      <c r="P14">
        <f>IF(D14="", "", COUNTIF($D$1:$D$2273, D14))</f>
        <v>176</v>
      </c>
    </row>
    <row r="15" spans="1:17" ht="96" hidden="1" x14ac:dyDescent="0.2">
      <c r="A15" s="8" t="s">
        <v>359</v>
      </c>
      <c r="C15" s="7" t="s">
        <v>4</v>
      </c>
      <c r="F15" s="7" t="str">
        <f>IF(OR(E15="Success",E15="Qualified Success"),"Current",IF(E15="Failure",IF(RIGHT(D15,6)="Future","Future",IF(RIGHT(D15,10)="Irrelevant","Irrelevant","Current")),""))</f>
        <v/>
      </c>
      <c r="G15" s="7" t="str">
        <f>IF(OR(ISBLANK(D15),D15="Unclassifiable &gt;"),"",IF(ISNUMBER(SEARCH("Utterance",D15)),"Utterance",IF(ISNUMBER(SEARCH("Response",D15)),"Response",IF(ISNUMBER(SEARCH("Interaction",D15)),"Interaction",IF(ISNUMBER(SEARCH("System",D15)),"System","")))))</f>
        <v/>
      </c>
      <c r="K15" s="7" t="s">
        <v>200</v>
      </c>
      <c r="L15" s="9">
        <v>45015</v>
      </c>
      <c r="M15" s="10">
        <v>0.5556712962962963</v>
      </c>
      <c r="N15" s="11">
        <v>513003503696585</v>
      </c>
      <c r="P15" t="str">
        <f>IF(D15="", "", COUNTIF($D$1:$D$2273, D15))</f>
        <v/>
      </c>
    </row>
    <row r="16" spans="1:17" ht="16" hidden="1" x14ac:dyDescent="0.2">
      <c r="A16" s="36" t="s">
        <v>357</v>
      </c>
      <c r="C16" s="7" t="s">
        <v>2</v>
      </c>
      <c r="D16" s="7" t="s">
        <v>206</v>
      </c>
      <c r="E16" s="7" t="str">
        <f>IF(OR(D16="", D16="___"),"", LEFT(D16,FIND(" &gt;",D16)-1))</f>
        <v>Success</v>
      </c>
      <c r="F16" s="7" t="str">
        <f>IF(OR(E16="Success",E16="Qualified Success"),"Current",IF(E16="Failure",IF(RIGHT(D16,6)="Future","Future",IF(RIGHT(D16,10)="Irrelevant","Irrelevant","Current")),""))</f>
        <v>Current</v>
      </c>
      <c r="G16" s="7" t="str">
        <f>IF(OR(ISBLANK(D16),D16="Unclassifiable &gt;"),"",IF(ISNUMBER(SEARCH("Utterance",D16)),"Utterance",IF(ISNUMBER(SEARCH("Response",D16)),"Response",IF(ISNUMBER(SEARCH("Interaction",D16)),"Interaction",IF(ISNUMBER(SEARCH("System",D16)),"System","")))))</f>
        <v/>
      </c>
      <c r="H16" s="7" t="str">
        <f>IF(G16="Utterance", IF(ISNUMBER(SEARCH("Unrecognized",D16)), "Unrecognized", IF(ISNUMBER(SEARCH("Mismatched",D16)), "Mismatched", IF(ISNUMBER(SEARCH("False Positive",D16)), "False Positive", "Irrelevant"))), "")</f>
        <v/>
      </c>
      <c r="J16" s="7" t="s">
        <v>246</v>
      </c>
      <c r="K16" s="7" t="s">
        <v>200</v>
      </c>
      <c r="L16" s="9">
        <v>45015</v>
      </c>
      <c r="M16" s="10">
        <v>0.55659722222222219</v>
      </c>
      <c r="N16" s="11">
        <v>513003503696585</v>
      </c>
      <c r="O16" s="7">
        <f>IF(LEN(TRIM($A16))=0,0,LEN($A16)-LEN(SUBSTITUTE($A16," ",""))+1)</f>
        <v>28</v>
      </c>
      <c r="P16">
        <f>IF(D16="", "", COUNTIF($D$1:$D$2273, D16))</f>
        <v>176</v>
      </c>
    </row>
    <row r="17" spans="1:16" ht="96" hidden="1" x14ac:dyDescent="0.2">
      <c r="A17" s="8" t="s">
        <v>359</v>
      </c>
      <c r="C17" s="7" t="s">
        <v>4</v>
      </c>
      <c r="F17" s="7" t="str">
        <f>IF(OR(E17="Success",E17="Qualified Success"),"Current",IF(E17="Failure",IF(RIGHT(D17,6)="Future","Future",IF(RIGHT(D17,10)="Irrelevant","Irrelevant","Current")),""))</f>
        <v/>
      </c>
      <c r="G17" s="7" t="str">
        <f>IF(OR(ISBLANK(D17),D17="Unclassifiable &gt;"),"",IF(ISNUMBER(SEARCH("Utterance",D17)),"Utterance",IF(ISNUMBER(SEARCH("Response",D17)),"Response",IF(ISNUMBER(SEARCH("Interaction",D17)),"Interaction",IF(ISNUMBER(SEARCH("System",D17)),"System","")))))</f>
        <v/>
      </c>
      <c r="K17" s="7" t="s">
        <v>200</v>
      </c>
      <c r="L17" s="9">
        <v>45015</v>
      </c>
      <c r="M17" s="10">
        <v>0.55660879629629634</v>
      </c>
      <c r="N17" s="11">
        <v>513003503696585</v>
      </c>
      <c r="P17" t="str">
        <f>IF(D17="", "", COUNTIF($D$1:$D$2273, D17))</f>
        <v/>
      </c>
    </row>
    <row r="18" spans="1:16" ht="16" hidden="1" x14ac:dyDescent="0.2">
      <c r="A18" s="36" t="s">
        <v>123</v>
      </c>
      <c r="C18" s="7" t="s">
        <v>2</v>
      </c>
      <c r="D18" s="7" t="s">
        <v>206</v>
      </c>
      <c r="E18" s="7" t="str">
        <f>IF(OR(D18="", D18="___"),"", LEFT(D18,FIND(" &gt;",D18)-1))</f>
        <v>Success</v>
      </c>
      <c r="F18" s="7" t="str">
        <f>IF(OR(E18="Success",E18="Qualified Success"),"Current",IF(E18="Failure",IF(RIGHT(D18,6)="Future","Future",IF(RIGHT(D18,10)="Irrelevant","Irrelevant","Current")),""))</f>
        <v>Current</v>
      </c>
      <c r="G18" s="7" t="str">
        <f>IF(OR(ISBLANK(D18),D18="Unclassifiable &gt;"),"",IF(ISNUMBER(SEARCH("Utterance",D18)),"Utterance",IF(ISNUMBER(SEARCH("Response",D18)),"Response",IF(ISNUMBER(SEARCH("Interaction",D18)),"Interaction",IF(ISNUMBER(SEARCH("System",D18)),"System","")))))</f>
        <v/>
      </c>
      <c r="H18" s="7" t="str">
        <f>IF(G18="Utterance", IF(ISNUMBER(SEARCH("Unrecognized",D18)), "Unrecognized", IF(ISNUMBER(SEARCH("Mismatched",D18)), "Mismatched", IF(ISNUMBER(SEARCH("False Positive",D18)), "False Positive", "Irrelevant"))), "")</f>
        <v/>
      </c>
      <c r="J18" s="7" t="s">
        <v>335</v>
      </c>
      <c r="K18" s="7" t="s">
        <v>200</v>
      </c>
      <c r="L18" s="9">
        <v>45015</v>
      </c>
      <c r="M18" s="10">
        <v>0.55903935185185183</v>
      </c>
      <c r="N18" s="11">
        <v>202000532485335</v>
      </c>
      <c r="O18" s="7">
        <f>IF(LEN(TRIM($A18))=0,0,LEN($A18)-LEN(SUBSTITUTE($A18," ",""))+1)</f>
        <v>3</v>
      </c>
      <c r="P18">
        <f>IF(D18="", "", COUNTIF($D$1:$D$2273, D18))</f>
        <v>176</v>
      </c>
    </row>
    <row r="19" spans="1:16" ht="96" hidden="1" x14ac:dyDescent="0.2">
      <c r="A19" s="8" t="s">
        <v>379</v>
      </c>
      <c r="C19" s="7" t="s">
        <v>4</v>
      </c>
      <c r="F19" s="7" t="str">
        <f>IF(OR(E19="Success",E19="Qualified Success"),"Current",IF(E19="Failure",IF(RIGHT(D19,6)="Future","Future",IF(RIGHT(D19,10)="Irrelevant","Irrelevant","Current")),""))</f>
        <v/>
      </c>
      <c r="G19" s="7" t="str">
        <f>IF(OR(ISBLANK(D19),D19="Unclassifiable &gt;"),"",IF(ISNUMBER(SEARCH("Utterance",D19)),"Utterance",IF(ISNUMBER(SEARCH("Response",D19)),"Response",IF(ISNUMBER(SEARCH("Interaction",D19)),"Interaction",IF(ISNUMBER(SEARCH("System",D19)),"System","")))))</f>
        <v/>
      </c>
      <c r="K19" s="7" t="s">
        <v>200</v>
      </c>
      <c r="L19" s="9">
        <v>45015</v>
      </c>
      <c r="M19" s="10">
        <v>0.55906250000000002</v>
      </c>
      <c r="N19" s="11">
        <v>202000532485335</v>
      </c>
      <c r="P19" t="str">
        <f>IF(D19="", "", COUNTIF($D$1:$D$2273, D19))</f>
        <v/>
      </c>
    </row>
    <row r="20" spans="1:16" ht="16" x14ac:dyDescent="0.2">
      <c r="A20" s="36" t="s">
        <v>92</v>
      </c>
      <c r="C20" s="7" t="s">
        <v>2</v>
      </c>
      <c r="D20" s="7" t="s">
        <v>206</v>
      </c>
      <c r="E20" s="7" t="str">
        <f>IF(OR(D20="", D20="___"),"", LEFT(D20,FIND(" &gt;",D20)-1))</f>
        <v>Success</v>
      </c>
      <c r="F20" s="7" t="str">
        <f>IF(OR(E20="Success",E20="Qualified Success"),"Current",IF(E20="Failure",IF(RIGHT(D20,6)="Future","Future",IF(RIGHT(D20,10)="Irrelevant","Irrelevant","Current")),""))</f>
        <v>Current</v>
      </c>
      <c r="G20" s="7" t="str">
        <f>IF(OR(ISBLANK(D20),D20="Unclassifiable &gt;"),"",IF(ISNUMBER(SEARCH("Utterance",D20)),"Utterance",IF(ISNUMBER(SEARCH("Response",D20)),"Response",IF(ISNUMBER(SEARCH("Interaction",D20)),"Interaction",IF(ISNUMBER(SEARCH("System",D20)),"System","")))))</f>
        <v/>
      </c>
      <c r="H20" s="7" t="str">
        <f>IF(G20="Utterance", IF(ISNUMBER(SEARCH("Unrecognized",D20)), "Unrecognized", IF(ISNUMBER(SEARCH("Mismatched",D20)), "Mismatched", IF(ISNUMBER(SEARCH("False Positive",D20)), "False Positive", "Irrelevant"))), "")</f>
        <v/>
      </c>
      <c r="J20" s="7" t="s">
        <v>331</v>
      </c>
      <c r="K20" s="7" t="s">
        <v>200</v>
      </c>
      <c r="L20" s="9">
        <v>45015</v>
      </c>
      <c r="M20" s="10">
        <v>0.5591666666666667</v>
      </c>
      <c r="N20" s="11">
        <v>204440003506463</v>
      </c>
      <c r="O20" s="7">
        <f>IF(LEN(TRIM($A20))=0,0,LEN($A20)-LEN(SUBSTITUTE($A20," ",""))+1)</f>
        <v>5</v>
      </c>
      <c r="P20">
        <f>IF(D20="", "", COUNTIF($D$1:$D$2273, D20))</f>
        <v>176</v>
      </c>
    </row>
    <row r="21" spans="1:16" ht="224" hidden="1" x14ac:dyDescent="0.2">
      <c r="A21" s="8" t="s">
        <v>361</v>
      </c>
      <c r="C21" s="7" t="s">
        <v>4</v>
      </c>
      <c r="F21" s="7" t="str">
        <f>IF(OR(E21="Success",E21="Qualified Success"),"Current",IF(E21="Failure",IF(RIGHT(D21,6)="Future","Future",IF(RIGHT(D21,10)="Irrelevant","Irrelevant","Current")),""))</f>
        <v/>
      </c>
      <c r="G21" s="7" t="str">
        <f>IF(OR(ISBLANK(D21),D21="Unclassifiable &gt;"),"",IF(ISNUMBER(SEARCH("Utterance",D21)),"Utterance",IF(ISNUMBER(SEARCH("Response",D21)),"Response",IF(ISNUMBER(SEARCH("Interaction",D21)),"Interaction",IF(ISNUMBER(SEARCH("System",D21)),"System","")))))</f>
        <v/>
      </c>
      <c r="K21" s="7" t="s">
        <v>200</v>
      </c>
      <c r="L21" s="9">
        <v>45015</v>
      </c>
      <c r="M21" s="10">
        <v>0.55918981481481478</v>
      </c>
      <c r="N21" s="11">
        <v>204440003506463</v>
      </c>
      <c r="P21" t="str">
        <f>IF(D21="", "", COUNTIF($D$1:$D$2273, D21))</f>
        <v/>
      </c>
    </row>
    <row r="22" spans="1:16" ht="16" hidden="1" x14ac:dyDescent="0.2">
      <c r="A22" s="36" t="s">
        <v>149</v>
      </c>
      <c r="C22" s="7" t="s">
        <v>2</v>
      </c>
      <c r="D22" s="7" t="s">
        <v>206</v>
      </c>
      <c r="E22" s="7" t="str">
        <f>IF(OR(D22="", D22="___"),"", LEFT(D22,FIND(" &gt;",D22)-1))</f>
        <v>Success</v>
      </c>
      <c r="F22" s="7" t="str">
        <f>IF(OR(E22="Success",E22="Qualified Success"),"Current",IF(E22="Failure",IF(RIGHT(D22,6)="Future","Future",IF(RIGHT(D22,10)="Irrelevant","Irrelevant","Current")),""))</f>
        <v>Current</v>
      </c>
      <c r="G22" s="7" t="str">
        <f>IF(OR(ISBLANK(D22),D22="Unclassifiable &gt;"),"",IF(ISNUMBER(SEARCH("Utterance",D22)),"Utterance",IF(ISNUMBER(SEARCH("Response",D22)),"Response",IF(ISNUMBER(SEARCH("Interaction",D22)),"Interaction",IF(ISNUMBER(SEARCH("System",D22)),"System","")))))</f>
        <v/>
      </c>
      <c r="H22" s="7" t="str">
        <f>IF(G22="Utterance", IF(ISNUMBER(SEARCH("Unrecognized",D22)), "Unrecognized", IF(ISNUMBER(SEARCH("Mismatched",D22)), "Mismatched", IF(ISNUMBER(SEARCH("False Positive",D22)), "False Positive", "Irrelevant"))), "")</f>
        <v/>
      </c>
      <c r="J22" s="7" t="s">
        <v>335</v>
      </c>
      <c r="K22" s="7" t="s">
        <v>200</v>
      </c>
      <c r="L22" s="9">
        <v>45015</v>
      </c>
      <c r="M22" s="10">
        <v>0.55920138888888882</v>
      </c>
      <c r="N22" s="11">
        <v>202000515856851</v>
      </c>
      <c r="O22" s="7">
        <f>IF(LEN(TRIM($A22))=0,0,LEN($A22)-LEN(SUBSTITUTE($A22," ",""))+1)</f>
        <v>11</v>
      </c>
      <c r="P22">
        <f>IF(D22="", "", COUNTIF($D$1:$D$2273, D22))</f>
        <v>176</v>
      </c>
    </row>
    <row r="23" spans="1:16" ht="144" hidden="1" x14ac:dyDescent="0.2">
      <c r="A23" s="8" t="s">
        <v>373</v>
      </c>
      <c r="C23" s="7" t="s">
        <v>4</v>
      </c>
      <c r="F23" s="7" t="str">
        <f>IF(OR(E23="Success",E23="Qualified Success"),"Current",IF(E23="Failure",IF(RIGHT(D23,6)="Future","Future",IF(RIGHT(D23,10)="Irrelevant","Irrelevant","Current")),""))</f>
        <v/>
      </c>
      <c r="G23" s="7" t="str">
        <f>IF(OR(ISBLANK(D23),D23="Unclassifiable &gt;"),"",IF(ISNUMBER(SEARCH("Utterance",D23)),"Utterance",IF(ISNUMBER(SEARCH("Response",D23)),"Response",IF(ISNUMBER(SEARCH("Interaction",D23)),"Interaction",IF(ISNUMBER(SEARCH("System",D23)),"System","")))))</f>
        <v/>
      </c>
      <c r="K23" s="7" t="s">
        <v>200</v>
      </c>
      <c r="L23" s="9">
        <v>45015</v>
      </c>
      <c r="M23" s="10">
        <v>0.55921296296296297</v>
      </c>
      <c r="N23" s="11">
        <v>202000515856851</v>
      </c>
      <c r="P23" t="str">
        <f>IF(D23="", "", COUNTIF($D$1:$D$2273, D23))</f>
        <v/>
      </c>
    </row>
    <row r="24" spans="1:16" ht="16" x14ac:dyDescent="0.2">
      <c r="A24" s="36" t="s">
        <v>77</v>
      </c>
      <c r="C24" s="7" t="s">
        <v>2</v>
      </c>
      <c r="D24" s="7" t="s">
        <v>222</v>
      </c>
      <c r="E24" s="7" t="str">
        <f>IF(OR(D24="", D24="___"),"", LEFT(D24,FIND(" &gt;",D24)-1))</f>
        <v>Failure</v>
      </c>
      <c r="F24" s="7" t="str">
        <f>IF(OR(E24="Success",E24="Qualified Success"),"Current",IF(E24="Failure",IF(RIGHT(D24,6)="Future","Future",IF(RIGHT(D24,10)="Irrelevant","Irrelevant","Current")),""))</f>
        <v>Current</v>
      </c>
      <c r="G24" s="7" t="str">
        <f>IF(OR(ISBLANK(D24),D24="Unclassifiable &gt;"),"",IF(ISNUMBER(SEARCH("Utterance",D24)),"Utterance",IF(ISNUMBER(SEARCH("Response",D24)),"Response",IF(ISNUMBER(SEARCH("Interaction",D24)),"Interaction",IF(ISNUMBER(SEARCH("System",D24)),"System","")))))</f>
        <v>System</v>
      </c>
      <c r="H24" s="7" t="str">
        <f>IF(G24="Utterance", IF(ISNUMBER(SEARCH("Unrecognized",D24)), "Unrecognized", IF(ISNUMBER(SEARCH("Mismatched",D24)), "Mismatched", IF(ISNUMBER(SEARCH("False Positive",D24)), "False Positive", "Irrelevant"))), "")</f>
        <v/>
      </c>
      <c r="I24" s="7" t="s">
        <v>460</v>
      </c>
      <c r="J24" s="7" t="s">
        <v>331</v>
      </c>
      <c r="K24" s="7" t="s">
        <v>200</v>
      </c>
      <c r="L24" s="9">
        <v>45015</v>
      </c>
      <c r="M24" s="10">
        <v>0.55958333333333332</v>
      </c>
      <c r="N24" s="11">
        <v>204440003506463</v>
      </c>
      <c r="O24" s="7">
        <f>IF(LEN(TRIM($A24))=0,0,LEN($A24)-LEN(SUBSTITUTE($A24," ",""))+1)</f>
        <v>2</v>
      </c>
      <c r="P24">
        <f>IF(D24="", "", COUNTIF($D$1:$D$2273, D24))</f>
        <v>10</v>
      </c>
    </row>
    <row r="25" spans="1:16" ht="16" x14ac:dyDescent="0.2">
      <c r="A25" s="36" t="s">
        <v>77</v>
      </c>
      <c r="C25" s="7" t="s">
        <v>2</v>
      </c>
      <c r="D25" s="7" t="s">
        <v>208</v>
      </c>
      <c r="E25" s="7" t="str">
        <f>IF(OR(D25="", D25="___"),"", LEFT(D25,FIND(" &gt;",D25)-1))</f>
        <v>Failure</v>
      </c>
      <c r="F25" s="7" t="str">
        <f>IF(OR(E25="Success",E25="Qualified Success"),"Current",IF(E25="Failure",IF(RIGHT(D25,6)="Future","Future",IF(RIGHT(D25,10)="Irrelevant","Irrelevant","Current")),""))</f>
        <v>Current</v>
      </c>
      <c r="G25" s="7" t="str">
        <f>IF(OR(ISBLANK(D25),D25="Unclassifiable &gt;"),"",IF(ISNUMBER(SEARCH("Utterance",D25)),"Utterance",IF(ISNUMBER(SEARCH("Response",D25)),"Response",IF(ISNUMBER(SEARCH("Interaction",D25)),"Interaction",IF(ISNUMBER(SEARCH("System",D25)),"System","")))))</f>
        <v>Utterance</v>
      </c>
      <c r="H25" s="7" t="str">
        <f>IF(G25="Utterance", IF(ISNUMBER(SEARCH("Unrecognized",D25)), "Unrecognized", IF(ISNUMBER(SEARCH("Mismatched",D25)), "Mismatched", IF(ISNUMBER(SEARCH("False Positive",D25)), "False Positive", "Irrelevant"))), "")</f>
        <v>Mismatched</v>
      </c>
      <c r="J25" s="7" t="s">
        <v>331</v>
      </c>
      <c r="K25" s="7" t="s">
        <v>200</v>
      </c>
      <c r="L25" s="9">
        <v>45015</v>
      </c>
      <c r="M25" s="10">
        <v>0.55958333333333332</v>
      </c>
      <c r="N25" s="11">
        <v>204440003506463</v>
      </c>
      <c r="O25" s="7">
        <f>IF(LEN(TRIM($A25))=0,0,LEN($A25)-LEN(SUBSTITUTE($A25," ",""))+1)</f>
        <v>2</v>
      </c>
      <c r="P25">
        <f>IF(D25="", "", COUNTIF($D$1:$D$2273, D25))</f>
        <v>32</v>
      </c>
    </row>
    <row r="26" spans="1:16" ht="16" hidden="1" x14ac:dyDescent="0.2">
      <c r="A26" s="8" t="s">
        <v>460</v>
      </c>
      <c r="C26" s="7" t="s">
        <v>4</v>
      </c>
      <c r="F26" s="7" t="str">
        <f>IF(OR(E26="Success",E26="Qualified Success"),"Current",IF(E26="Failure",IF(RIGHT(D26,6)="Future","Future",IF(RIGHT(D26,10)="Irrelevant","Irrelevant","Current")),""))</f>
        <v/>
      </c>
      <c r="G26" s="7" t="str">
        <f>IF(OR(ISBLANK(D26),D26="Unclassifiable &gt;"),"",IF(ISNUMBER(SEARCH("Utterance",D26)),"Utterance",IF(ISNUMBER(SEARCH("Response",D26)),"Response",IF(ISNUMBER(SEARCH("Interaction",D26)),"Interaction",IF(ISNUMBER(SEARCH("System",D26)),"System","")))))</f>
        <v/>
      </c>
      <c r="K26" s="7" t="s">
        <v>200</v>
      </c>
      <c r="L26" s="9">
        <v>45015</v>
      </c>
      <c r="M26" s="10">
        <v>0.55958333333333332</v>
      </c>
      <c r="N26" s="11">
        <v>204440003506463</v>
      </c>
      <c r="P26" t="str">
        <f>IF(D26="", "", COUNTIF($D$1:$D$2273, D26))</f>
        <v/>
      </c>
    </row>
    <row r="27" spans="1:16" ht="48" hidden="1" x14ac:dyDescent="0.2">
      <c r="A27" s="8" t="s">
        <v>380</v>
      </c>
      <c r="C27" s="7" t="s">
        <v>4</v>
      </c>
      <c r="F27" s="7" t="str">
        <f>IF(OR(E27="Success",E27="Qualified Success"),"Current",IF(E27="Failure",IF(RIGHT(D27,6)="Future","Future",IF(RIGHT(D27,10)="Irrelevant","Irrelevant","Current")),""))</f>
        <v/>
      </c>
      <c r="G27" s="7" t="str">
        <f>IF(OR(ISBLANK(D27),D27="Unclassifiable &gt;"),"",IF(ISNUMBER(SEARCH("Utterance",D27)),"Utterance",IF(ISNUMBER(SEARCH("Response",D27)),"Response",IF(ISNUMBER(SEARCH("Interaction",D27)),"Interaction",IF(ISNUMBER(SEARCH("System",D27)),"System","")))))</f>
        <v/>
      </c>
      <c r="K27" s="7" t="s">
        <v>200</v>
      </c>
      <c r="L27" s="9">
        <v>45015</v>
      </c>
      <c r="M27" s="10">
        <v>0.55958333333333332</v>
      </c>
      <c r="N27" s="11">
        <v>204440003506463</v>
      </c>
      <c r="P27" t="str">
        <f>IF(D27="", "", COUNTIF($D$1:$D$2273, D27))</f>
        <v/>
      </c>
    </row>
    <row r="28" spans="1:16" ht="16" hidden="1" x14ac:dyDescent="0.2">
      <c r="A28" s="36" t="s">
        <v>148</v>
      </c>
      <c r="C28" s="7" t="s">
        <v>2</v>
      </c>
      <c r="D28" s="7" t="s">
        <v>206</v>
      </c>
      <c r="E28" s="7" t="str">
        <f>IF(OR(D28="", D28="___"),"", LEFT(D28,FIND(" &gt;",D28)-1))</f>
        <v>Success</v>
      </c>
      <c r="F28" s="7" t="str">
        <f>IF(OR(E28="Success",E28="Qualified Success"),"Current",IF(E28="Failure",IF(RIGHT(D28,6)="Future","Future",IF(RIGHT(D28,10)="Irrelevant","Irrelevant","Current")),""))</f>
        <v>Current</v>
      </c>
      <c r="G28" s="7" t="str">
        <f>IF(OR(ISBLANK(D28),D28="Unclassifiable &gt;"),"",IF(ISNUMBER(SEARCH("Utterance",D28)),"Utterance",IF(ISNUMBER(SEARCH("Response",D28)),"Response",IF(ISNUMBER(SEARCH("Interaction",D28)),"Interaction",IF(ISNUMBER(SEARCH("System",D28)),"System","")))))</f>
        <v/>
      </c>
      <c r="H28" s="7" t="str">
        <f>IF(G28="Utterance", IF(ISNUMBER(SEARCH("Unrecognized",D28)), "Unrecognized", IF(ISNUMBER(SEARCH("Mismatched",D28)), "Mismatched", IF(ISNUMBER(SEARCH("False Positive",D28)), "False Positive", "Irrelevant"))), "")</f>
        <v/>
      </c>
      <c r="J28" s="7" t="s">
        <v>335</v>
      </c>
      <c r="K28" s="7" t="s">
        <v>200</v>
      </c>
      <c r="L28" s="9">
        <v>45015</v>
      </c>
      <c r="M28" s="10">
        <v>0.55974537037037042</v>
      </c>
      <c r="N28" s="11">
        <v>202000515856851</v>
      </c>
      <c r="O28" s="7">
        <f>IF(LEN(TRIM($A28))=0,0,LEN($A28)-LEN(SUBSTITUTE($A28," ",""))+1)</f>
        <v>11</v>
      </c>
      <c r="P28">
        <f>IF(D28="", "", COUNTIF($D$1:$D$2273, D28))</f>
        <v>176</v>
      </c>
    </row>
    <row r="29" spans="1:16" ht="144" hidden="1" x14ac:dyDescent="0.2">
      <c r="A29" s="8" t="s">
        <v>373</v>
      </c>
      <c r="C29" s="7" t="s">
        <v>4</v>
      </c>
      <c r="F29" s="7" t="str">
        <f>IF(OR(E29="Success",E29="Qualified Success"),"Current",IF(E29="Failure",IF(RIGHT(D29,6)="Future","Future",IF(RIGHT(D29,10)="Irrelevant","Irrelevant","Current")),""))</f>
        <v/>
      </c>
      <c r="G29" s="7" t="str">
        <f>IF(OR(ISBLANK(D29),D29="Unclassifiable &gt;"),"",IF(ISNUMBER(SEARCH("Utterance",D29)),"Utterance",IF(ISNUMBER(SEARCH("Response",D29)),"Response",IF(ISNUMBER(SEARCH("Interaction",D29)),"Interaction",IF(ISNUMBER(SEARCH("System",D29)),"System","")))))</f>
        <v/>
      </c>
      <c r="K29" s="7" t="s">
        <v>200</v>
      </c>
      <c r="L29" s="9">
        <v>45015</v>
      </c>
      <c r="M29" s="10">
        <v>0.55975694444444446</v>
      </c>
      <c r="N29" s="11">
        <v>202000515856851</v>
      </c>
      <c r="P29" t="str">
        <f>IF(D29="", "", COUNTIF($D$1:$D$2273, D29))</f>
        <v/>
      </c>
    </row>
    <row r="30" spans="1:16" ht="16" hidden="1" x14ac:dyDescent="0.2">
      <c r="A30" s="36" t="s">
        <v>36</v>
      </c>
      <c r="B30" s="7" t="s">
        <v>296</v>
      </c>
      <c r="C30" s="7" t="s">
        <v>2</v>
      </c>
      <c r="D30" s="7" t="s">
        <v>206</v>
      </c>
      <c r="E30" s="7" t="str">
        <f>IF(OR(D30="", D30="___"),"", LEFT(D30,FIND(" &gt;",D30)-1))</f>
        <v>Success</v>
      </c>
      <c r="F30" s="7" t="str">
        <f>IF(OR(E30="Success",E30="Qualified Success"),"Current",IF(E30="Failure",IF(RIGHT(D30,6)="Future","Future",IF(RIGHT(D30,10)="Irrelevant","Irrelevant","Current")),""))</f>
        <v>Current</v>
      </c>
      <c r="G30" s="7" t="str">
        <f>IF(OR(ISBLANK(D30),D30="Unclassifiable &gt;"),"",IF(ISNUMBER(SEARCH("Utterance",D30)),"Utterance",IF(ISNUMBER(SEARCH("Response",D30)),"Response",IF(ISNUMBER(SEARCH("Interaction",D30)),"Interaction",IF(ISNUMBER(SEARCH("System",D30)),"System","")))))</f>
        <v/>
      </c>
      <c r="H30" s="7" t="str">
        <f>IF(G30="Utterance", IF(ISNUMBER(SEARCH("Unrecognized",D30)), "Unrecognized", IF(ISNUMBER(SEARCH("Mismatched",D30)), "Mismatched", IF(ISNUMBER(SEARCH("False Positive",D30)), "False Positive", "Irrelevant"))), "")</f>
        <v/>
      </c>
      <c r="J30" s="7" t="s">
        <v>243</v>
      </c>
      <c r="K30" s="7" t="s">
        <v>200</v>
      </c>
      <c r="L30" s="9">
        <v>45015</v>
      </c>
      <c r="M30" s="10">
        <v>0.56042824074074071</v>
      </c>
      <c r="N30" s="11">
        <v>202000378875585</v>
      </c>
      <c r="O30" s="7">
        <f>IF(LEN(TRIM($A30))=0,0,LEN($A30)-LEN(SUBSTITUTE($A30," ",""))+1)</f>
        <v>3</v>
      </c>
      <c r="P30">
        <f>IF(D30="", "", COUNTIF($D$1:$D$2273, D30))</f>
        <v>176</v>
      </c>
    </row>
    <row r="31" spans="1:16" ht="32" hidden="1" x14ac:dyDescent="0.2">
      <c r="A31" s="8" t="s">
        <v>381</v>
      </c>
      <c r="C31" s="7" t="s">
        <v>4</v>
      </c>
      <c r="F31" s="7" t="str">
        <f>IF(OR(E31="Success",E31="Qualified Success"),"Current",IF(E31="Failure",IF(RIGHT(D31,6)="Future","Future",IF(RIGHT(D31,10)="Irrelevant","Irrelevant","Current")),""))</f>
        <v/>
      </c>
      <c r="G31" s="7" t="str">
        <f>IF(OR(ISBLANK(D31),D31="Unclassifiable &gt;"),"",IF(ISNUMBER(SEARCH("Utterance",D31)),"Utterance",IF(ISNUMBER(SEARCH("Response",D31)),"Response",IF(ISNUMBER(SEARCH("Interaction",D31)),"Interaction",IF(ISNUMBER(SEARCH("System",D31)),"System","")))))</f>
        <v/>
      </c>
      <c r="K31" s="7" t="s">
        <v>200</v>
      </c>
      <c r="L31" s="9">
        <v>45015</v>
      </c>
      <c r="M31" s="10">
        <v>0.56043981481481475</v>
      </c>
      <c r="N31" s="11">
        <v>202000378875585</v>
      </c>
      <c r="P31" t="str">
        <f>IF(D31="", "", COUNTIF($D$1:$D$2273, D31))</f>
        <v/>
      </c>
    </row>
    <row r="32" spans="1:16" ht="16" x14ac:dyDescent="0.2">
      <c r="A32" s="36" t="s">
        <v>100</v>
      </c>
      <c r="C32" s="7" t="s">
        <v>2</v>
      </c>
      <c r="D32" s="7" t="s">
        <v>208</v>
      </c>
      <c r="E32" s="7" t="str">
        <f>IF(OR(D32="", D32="___"),"", LEFT(D32,FIND(" &gt;",D32)-1))</f>
        <v>Failure</v>
      </c>
      <c r="F32" s="7" t="str">
        <f>IF(OR(E32="Success",E32="Qualified Success"),"Current",IF(E32="Failure",IF(RIGHT(D32,6)="Future","Future",IF(RIGHT(D32,10)="Irrelevant","Irrelevant","Current")),""))</f>
        <v>Current</v>
      </c>
      <c r="G32" s="7" t="str">
        <f>IF(OR(ISBLANK(D32),D32="Unclassifiable &gt;"),"",IF(ISNUMBER(SEARCH("Utterance",D32)),"Utterance",IF(ISNUMBER(SEARCH("Response",D32)),"Response",IF(ISNUMBER(SEARCH("Interaction",D32)),"Interaction",IF(ISNUMBER(SEARCH("System",D32)),"System","")))))</f>
        <v>Utterance</v>
      </c>
      <c r="H32" s="7" t="str">
        <f>IF(G32="Utterance", IF(ISNUMBER(SEARCH("Unrecognized",D32)), "Unrecognized", IF(ISNUMBER(SEARCH("Mismatched",D32)), "Mismatched", IF(ISNUMBER(SEARCH("False Positive",D32)), "False Positive", "Irrelevant"))), "")</f>
        <v>Mismatched</v>
      </c>
      <c r="J32" s="7" t="s">
        <v>331</v>
      </c>
      <c r="K32" s="7" t="s">
        <v>200</v>
      </c>
      <c r="L32" s="9">
        <v>45015</v>
      </c>
      <c r="M32" s="10">
        <v>0.5605324074074074</v>
      </c>
      <c r="N32" s="11">
        <v>204440003506463</v>
      </c>
      <c r="O32" s="7">
        <f>IF(LEN(TRIM($A32))=0,0,LEN($A32)-LEN(SUBSTITUTE($A32," ",""))+1)</f>
        <v>2</v>
      </c>
      <c r="P32">
        <f>IF(D32="", "", COUNTIF($D$1:$D$2273, D32))</f>
        <v>32</v>
      </c>
    </row>
    <row r="33" spans="1:16" ht="48" hidden="1" x14ac:dyDescent="0.2">
      <c r="A33" s="8" t="s">
        <v>382</v>
      </c>
      <c r="C33" s="7" t="s">
        <v>4</v>
      </c>
      <c r="F33" s="7" t="str">
        <f>IF(OR(E33="Success",E33="Qualified Success"),"Current",IF(E33="Failure",IF(RIGHT(D33,6)="Future","Future",IF(RIGHT(D33,10)="Irrelevant","Irrelevant","Current")),""))</f>
        <v/>
      </c>
      <c r="G33" s="7" t="str">
        <f>IF(OR(ISBLANK(D33),D33="Unclassifiable &gt;"),"",IF(ISNUMBER(SEARCH("Utterance",D33)),"Utterance",IF(ISNUMBER(SEARCH("Response",D33)),"Response",IF(ISNUMBER(SEARCH("Interaction",D33)),"Interaction",IF(ISNUMBER(SEARCH("System",D33)),"System","")))))</f>
        <v/>
      </c>
      <c r="K33" s="7" t="s">
        <v>200</v>
      </c>
      <c r="L33" s="9">
        <v>45015</v>
      </c>
      <c r="M33" s="10">
        <v>0.5605324074074074</v>
      </c>
      <c r="N33" s="11">
        <v>204440003506463</v>
      </c>
      <c r="P33" t="str">
        <f>IF(D33="", "", COUNTIF($D$1:$D$2273, D33))</f>
        <v/>
      </c>
    </row>
    <row r="34" spans="1:16" ht="16" hidden="1" x14ac:dyDescent="0.2">
      <c r="A34" s="36" t="s">
        <v>138</v>
      </c>
      <c r="C34" s="7" t="s">
        <v>2</v>
      </c>
      <c r="D34" s="7" t="s">
        <v>206</v>
      </c>
      <c r="E34" s="7" t="str">
        <f>IF(OR(D34="", D34="___"),"", LEFT(D34,FIND(" &gt;",D34)-1))</f>
        <v>Success</v>
      </c>
      <c r="F34" s="7" t="str">
        <f>IF(OR(E34="Success",E34="Qualified Success"),"Current",IF(E34="Failure",IF(RIGHT(D34,6)="Future","Future",IF(RIGHT(D34,10)="Irrelevant","Irrelevant","Current")),""))</f>
        <v>Current</v>
      </c>
      <c r="G34" s="7" t="str">
        <f>IF(OR(ISBLANK(D34),D34="Unclassifiable &gt;"),"",IF(ISNUMBER(SEARCH("Utterance",D34)),"Utterance",IF(ISNUMBER(SEARCH("Response",D34)),"Response",IF(ISNUMBER(SEARCH("Interaction",D34)),"Interaction",IF(ISNUMBER(SEARCH("System",D34)),"System","")))))</f>
        <v/>
      </c>
      <c r="H34" s="7" t="str">
        <f>IF(G34="Utterance", IF(ISNUMBER(SEARCH("Unrecognized",D34)), "Unrecognized", IF(ISNUMBER(SEARCH("Mismatched",D34)), "Mismatched", IF(ISNUMBER(SEARCH("False Positive",D34)), "False Positive", "Irrelevant"))), "")</f>
        <v/>
      </c>
      <c r="J34" s="7" t="s">
        <v>329</v>
      </c>
      <c r="K34" s="7" t="s">
        <v>200</v>
      </c>
      <c r="L34" s="9">
        <v>45015</v>
      </c>
      <c r="M34" s="10">
        <v>0.56104166666666666</v>
      </c>
      <c r="N34" s="11">
        <v>202000378875585</v>
      </c>
      <c r="O34" s="7">
        <f>IF(LEN(TRIM($A34))=0,0,LEN($A34)-LEN(SUBSTITUTE($A34," ",""))+1)</f>
        <v>9</v>
      </c>
      <c r="P34">
        <f>IF(D34="", "", COUNTIF($D$1:$D$2273, D34))</f>
        <v>176</v>
      </c>
    </row>
    <row r="35" spans="1:16" ht="64" hidden="1" x14ac:dyDescent="0.2">
      <c r="A35" s="8" t="s">
        <v>139</v>
      </c>
      <c r="C35" s="7" t="s">
        <v>4</v>
      </c>
      <c r="F35" s="7" t="str">
        <f>IF(OR(E35="Success",E35="Qualified Success"),"Current",IF(E35="Failure",IF(RIGHT(D35,6)="Future","Future",IF(RIGHT(D35,10)="Irrelevant","Irrelevant","Current")),""))</f>
        <v/>
      </c>
      <c r="G35" s="7" t="str">
        <f>IF(OR(ISBLANK(D35),D35="Unclassifiable &gt;"),"",IF(ISNUMBER(SEARCH("Utterance",D35)),"Utterance",IF(ISNUMBER(SEARCH("Response",D35)),"Response",IF(ISNUMBER(SEARCH("Interaction",D35)),"Interaction",IF(ISNUMBER(SEARCH("System",D35)),"System","")))))</f>
        <v/>
      </c>
      <c r="K35" s="7" t="s">
        <v>200</v>
      </c>
      <c r="L35" s="9">
        <v>45015</v>
      </c>
      <c r="M35" s="10">
        <v>0.56104166666666666</v>
      </c>
      <c r="N35" s="11">
        <v>202000378875585</v>
      </c>
      <c r="P35" t="str">
        <f>IF(D35="", "", COUNTIF($D$1:$D$2273, D35))</f>
        <v/>
      </c>
    </row>
    <row r="36" spans="1:16" ht="16" hidden="1" x14ac:dyDescent="0.2">
      <c r="A36" s="36" t="s">
        <v>26</v>
      </c>
      <c r="B36" s="7" t="s">
        <v>296</v>
      </c>
      <c r="C36" s="7" t="s">
        <v>2</v>
      </c>
      <c r="D36" s="7" t="s">
        <v>206</v>
      </c>
      <c r="E36" s="7" t="str">
        <f>IF(OR(D36="", D36="___"),"", LEFT(D36,FIND(" &gt;",D36)-1))</f>
        <v>Success</v>
      </c>
      <c r="F36" s="7" t="str">
        <f>IF(OR(E36="Success",E36="Qualified Success"),"Current",IF(E36="Failure",IF(RIGHT(D36,6)="Future","Future",IF(RIGHT(D36,10)="Irrelevant","Irrelevant","Current")),""))</f>
        <v>Current</v>
      </c>
      <c r="G36" s="7" t="str">
        <f>IF(OR(ISBLANK(D36),D36="Unclassifiable &gt;"),"",IF(ISNUMBER(SEARCH("Utterance",D36)),"Utterance",IF(ISNUMBER(SEARCH("Response",D36)),"Response",IF(ISNUMBER(SEARCH("Interaction",D36)),"Interaction",IF(ISNUMBER(SEARCH("System",D36)),"System","")))))</f>
        <v/>
      </c>
      <c r="H36" s="7" t="str">
        <f>IF(G36="Utterance", IF(ISNUMBER(SEARCH("Unrecognized",D36)), "Unrecognized", IF(ISNUMBER(SEARCH("Mismatched",D36)), "Mismatched", IF(ISNUMBER(SEARCH("False Positive",D36)), "False Positive", "Irrelevant"))), "")</f>
        <v/>
      </c>
      <c r="J36" s="7" t="s">
        <v>332</v>
      </c>
      <c r="K36" s="7" t="s">
        <v>200</v>
      </c>
      <c r="L36" s="9">
        <v>45015</v>
      </c>
      <c r="M36" s="10">
        <v>0.56259259259259264</v>
      </c>
      <c r="N36" s="11">
        <v>513003340818487</v>
      </c>
      <c r="O36" s="7">
        <f>IF(LEN(TRIM($A36))=0,0,LEN($A36)-LEN(SUBSTITUTE($A36," ",""))+1)</f>
        <v>3</v>
      </c>
      <c r="P36">
        <f>IF(D36="", "", COUNTIF($D$1:$D$2273, D36))</f>
        <v>176</v>
      </c>
    </row>
    <row r="37" spans="1:16" ht="48" hidden="1" x14ac:dyDescent="0.2">
      <c r="A37" s="8" t="s">
        <v>383</v>
      </c>
      <c r="C37" s="7" t="s">
        <v>4</v>
      </c>
      <c r="F37" s="7" t="str">
        <f>IF(OR(E37="Success",E37="Qualified Success"),"Current",IF(E37="Failure",IF(RIGHT(D37,6)="Future","Future",IF(RIGHT(D37,10)="Irrelevant","Irrelevant","Current")),""))</f>
        <v/>
      </c>
      <c r="G37" s="7" t="str">
        <f>IF(OR(ISBLANK(D37),D37="Unclassifiable &gt;"),"",IF(ISNUMBER(SEARCH("Utterance",D37)),"Utterance",IF(ISNUMBER(SEARCH("Response",D37)),"Response",IF(ISNUMBER(SEARCH("Interaction",D37)),"Interaction",IF(ISNUMBER(SEARCH("System",D37)),"System","")))))</f>
        <v/>
      </c>
      <c r="K37" s="7" t="s">
        <v>200</v>
      </c>
      <c r="L37" s="9">
        <v>45015</v>
      </c>
      <c r="M37" s="10">
        <v>0.56259259259259264</v>
      </c>
      <c r="N37" s="11">
        <v>513003340818487</v>
      </c>
      <c r="P37" t="str">
        <f>IF(D37="", "", COUNTIF($D$1:$D$2273, D37))</f>
        <v/>
      </c>
    </row>
    <row r="38" spans="1:16" ht="16" hidden="1" x14ac:dyDescent="0.2">
      <c r="A38" s="36" t="s">
        <v>403</v>
      </c>
      <c r="C38" s="7" t="s">
        <v>2</v>
      </c>
      <c r="D38" s="7" t="s">
        <v>206</v>
      </c>
      <c r="E38" s="7" t="str">
        <f>IF(OR(D38="", D38="___"),"", LEFT(D38,FIND(" &gt;",D38)-1))</f>
        <v>Success</v>
      </c>
      <c r="F38" s="7" t="str">
        <f>IF(OR(E38="Success",E38="Qualified Success"),"Current",IF(E38="Failure",IF(RIGHT(D38,6)="Future","Future",IF(RIGHT(D38,10)="Irrelevant","Irrelevant","Current")),""))</f>
        <v>Current</v>
      </c>
      <c r="G38" s="7" t="str">
        <f>IF(OR(ISBLANK(D38),D38="Unclassifiable &gt;"),"",IF(ISNUMBER(SEARCH("Utterance",D38)),"Utterance",IF(ISNUMBER(SEARCH("Response",D38)),"Response",IF(ISNUMBER(SEARCH("Interaction",D38)),"Interaction",IF(ISNUMBER(SEARCH("System",D38)),"System","")))))</f>
        <v/>
      </c>
      <c r="H38" s="7" t="str">
        <f>IF(G38="Utterance", IF(ISNUMBER(SEARCH("Unrecognized",D38)), "Unrecognized", IF(ISNUMBER(SEARCH("Mismatched",D38)), "Mismatched", IF(ISNUMBER(SEARCH("False Positive",D38)), "False Positive", "Irrelevant"))), "")</f>
        <v/>
      </c>
      <c r="J38" s="7" t="s">
        <v>340</v>
      </c>
      <c r="K38" s="7" t="s">
        <v>200</v>
      </c>
      <c r="L38" s="9">
        <v>45015</v>
      </c>
      <c r="M38" s="10">
        <v>0.56313657407407403</v>
      </c>
      <c r="N38" s="11">
        <v>204440003490456</v>
      </c>
      <c r="O38" s="7">
        <f>IF(LEN(TRIM($A38))=0,0,LEN($A38)-LEN(SUBSTITUTE($A38," ",""))+1)</f>
        <v>4</v>
      </c>
      <c r="P38">
        <f>IF(D38="", "", COUNTIF($D$1:$D$2273, D38))</f>
        <v>176</v>
      </c>
    </row>
    <row r="39" spans="1:16" ht="80" hidden="1" x14ac:dyDescent="0.2">
      <c r="A39" s="8" t="s">
        <v>375</v>
      </c>
      <c r="C39" s="7" t="s">
        <v>4</v>
      </c>
      <c r="F39" s="7" t="str">
        <f>IF(OR(E39="Success",E39="Qualified Success"),"Current",IF(E39="Failure",IF(RIGHT(D39,6)="Future","Future",IF(RIGHT(D39,10)="Irrelevant","Irrelevant","Current")),""))</f>
        <v/>
      </c>
      <c r="G39" s="7" t="str">
        <f>IF(OR(ISBLANK(D39),D39="Unclassifiable &gt;"),"",IF(ISNUMBER(SEARCH("Utterance",D39)),"Utterance",IF(ISNUMBER(SEARCH("Response",D39)),"Response",IF(ISNUMBER(SEARCH("Interaction",D39)),"Interaction",IF(ISNUMBER(SEARCH("System",D39)),"System","")))))</f>
        <v/>
      </c>
      <c r="K39" s="7" t="s">
        <v>200</v>
      </c>
      <c r="L39" s="9">
        <v>45015</v>
      </c>
      <c r="M39" s="10">
        <v>0.56314814814814818</v>
      </c>
      <c r="N39" s="11">
        <v>204440003490456</v>
      </c>
      <c r="P39" t="str">
        <f>IF(D39="", "", COUNTIF($D$1:$D$2273, D39))</f>
        <v/>
      </c>
    </row>
    <row r="40" spans="1:16" ht="16" hidden="1" x14ac:dyDescent="0.2">
      <c r="A40" s="36" t="s">
        <v>45</v>
      </c>
      <c r="B40" s="7" t="s">
        <v>296</v>
      </c>
      <c r="C40" s="7" t="s">
        <v>2</v>
      </c>
      <c r="D40" s="7" t="s">
        <v>206</v>
      </c>
      <c r="E40" s="7" t="str">
        <f>IF(OR(D40="", D40="___"),"", LEFT(D40,FIND(" &gt;",D40)-1))</f>
        <v>Success</v>
      </c>
      <c r="F40" s="7" t="str">
        <f>IF(OR(E40="Success",E40="Qualified Success"),"Current",IF(E40="Failure",IF(RIGHT(D40,6)="Future","Future",IF(RIGHT(D40,10)="Irrelevant","Irrelevant","Current")),""))</f>
        <v>Current</v>
      </c>
      <c r="G40" s="7" t="str">
        <f>IF(OR(ISBLANK(D40),D40="Unclassifiable &gt;"),"",IF(ISNUMBER(SEARCH("Utterance",D40)),"Utterance",IF(ISNUMBER(SEARCH("Response",D40)),"Response",IF(ISNUMBER(SEARCH("Interaction",D40)),"Interaction",IF(ISNUMBER(SEARCH("System",D40)),"System","")))))</f>
        <v/>
      </c>
      <c r="H40" s="7" t="str">
        <f>IF(G40="Utterance", IF(ISNUMBER(SEARCH("Unrecognized",D40)), "Unrecognized", IF(ISNUMBER(SEARCH("Mismatched",D40)), "Mismatched", IF(ISNUMBER(SEARCH("False Positive",D40)), "False Positive", "Irrelevant"))), "")</f>
        <v/>
      </c>
      <c r="J40" s="7" t="s">
        <v>243</v>
      </c>
      <c r="K40" s="7" t="s">
        <v>200</v>
      </c>
      <c r="L40" s="9">
        <v>45015</v>
      </c>
      <c r="M40" s="10">
        <v>0.56321759259259263</v>
      </c>
      <c r="N40" s="11">
        <v>202000273229588</v>
      </c>
      <c r="O40" s="7">
        <f>IF(LEN(TRIM($A40))=0,0,LEN($A40)-LEN(SUBSTITUTE($A40," ",""))+1)</f>
        <v>3</v>
      </c>
      <c r="P40">
        <f>IF(D40="", "", COUNTIF($D$1:$D$2273, D40))</f>
        <v>176</v>
      </c>
    </row>
    <row r="41" spans="1:16" ht="32" hidden="1" x14ac:dyDescent="0.2">
      <c r="A41" s="8" t="s">
        <v>389</v>
      </c>
      <c r="C41" s="7" t="s">
        <v>4</v>
      </c>
      <c r="F41" s="7" t="str">
        <f>IF(OR(E41="Success",E41="Qualified Success"),"Current",IF(E41="Failure",IF(RIGHT(D41,6)="Future","Future",IF(RIGHT(D41,10)="Irrelevant","Irrelevant","Current")),""))</f>
        <v/>
      </c>
      <c r="G41" s="7" t="str">
        <f>IF(OR(ISBLANK(D41),D41="Unclassifiable &gt;"),"",IF(ISNUMBER(SEARCH("Utterance",D41)),"Utterance",IF(ISNUMBER(SEARCH("Response",D41)),"Response",IF(ISNUMBER(SEARCH("Interaction",D41)),"Interaction",IF(ISNUMBER(SEARCH("System",D41)),"System","")))))</f>
        <v/>
      </c>
      <c r="K41" s="7" t="s">
        <v>200</v>
      </c>
      <c r="L41" s="9">
        <v>45015</v>
      </c>
      <c r="M41" s="10">
        <v>0.56321759259259263</v>
      </c>
      <c r="N41" s="11">
        <v>202000273229588</v>
      </c>
      <c r="P41" t="str">
        <f>IF(D41="", "", COUNTIF($D$1:$D$2273, D41))</f>
        <v/>
      </c>
    </row>
    <row r="42" spans="1:16" ht="16" hidden="1" x14ac:dyDescent="0.2">
      <c r="A42" s="36" t="s">
        <v>178</v>
      </c>
      <c r="C42" s="7" t="s">
        <v>2</v>
      </c>
      <c r="D42" s="7" t="s">
        <v>208</v>
      </c>
      <c r="E42" s="7" t="str">
        <f>IF(OR(D42="", D42="___"),"", LEFT(D42,FIND(" &gt;",D42)-1))</f>
        <v>Failure</v>
      </c>
      <c r="F42" s="7" t="str">
        <f>IF(OR(E42="Success",E42="Qualified Success"),"Current",IF(E42="Failure",IF(RIGHT(D42,6)="Future","Future",IF(RIGHT(D42,10)="Irrelevant","Irrelevant","Current")),""))</f>
        <v>Current</v>
      </c>
      <c r="G42" s="7" t="str">
        <f>IF(OR(ISBLANK(D42),D42="Unclassifiable &gt;"),"",IF(ISNUMBER(SEARCH("Utterance",D42)),"Utterance",IF(ISNUMBER(SEARCH("Response",D42)),"Response",IF(ISNUMBER(SEARCH("Interaction",D42)),"Interaction",IF(ISNUMBER(SEARCH("System",D42)),"System","")))))</f>
        <v>Utterance</v>
      </c>
      <c r="H42" s="7" t="str">
        <f>IF(G42="Utterance", IF(ISNUMBER(SEARCH("Unrecognized",D42)), "Unrecognized", IF(ISNUMBER(SEARCH("Mismatched",D42)), "Mismatched", IF(ISNUMBER(SEARCH("False Positive",D42)), "False Positive", "Irrelevant"))), "")</f>
        <v>Mismatched</v>
      </c>
      <c r="J42" s="7" t="s">
        <v>253</v>
      </c>
      <c r="K42" s="7" t="s">
        <v>200</v>
      </c>
      <c r="L42" s="9">
        <v>45015</v>
      </c>
      <c r="M42" s="10">
        <v>0.5655324074074074</v>
      </c>
      <c r="N42" s="11">
        <v>513003024687008</v>
      </c>
      <c r="O42" s="7">
        <f>IF(LEN(TRIM($A42))=0,0,LEN($A42)-LEN(SUBSTITUTE($A42," ",""))+1)</f>
        <v>6</v>
      </c>
      <c r="P42">
        <f>IF(D42="", "", COUNTIF($D$1:$D$2273, D42))</f>
        <v>32</v>
      </c>
    </row>
    <row r="43" spans="1:16" ht="96" hidden="1" x14ac:dyDescent="0.2">
      <c r="A43" s="8" t="s">
        <v>395</v>
      </c>
      <c r="C43" s="7" t="s">
        <v>4</v>
      </c>
      <c r="F43" s="7" t="str">
        <f>IF(OR(E43="Success",E43="Qualified Success"),"Current",IF(E43="Failure",IF(RIGHT(D43,6)="Future","Future",IF(RIGHT(D43,10)="Irrelevant","Irrelevant","Current")),""))</f>
        <v/>
      </c>
      <c r="G43" s="7" t="str">
        <f>IF(OR(ISBLANK(D43),D43="Unclassifiable &gt;"),"",IF(ISNUMBER(SEARCH("Utterance",D43)),"Utterance",IF(ISNUMBER(SEARCH("Response",D43)),"Response",IF(ISNUMBER(SEARCH("Interaction",D43)),"Interaction",IF(ISNUMBER(SEARCH("System",D43)),"System","")))))</f>
        <v/>
      </c>
      <c r="K43" s="7" t="s">
        <v>200</v>
      </c>
      <c r="L43" s="9">
        <v>45015</v>
      </c>
      <c r="M43" s="10">
        <v>0.56554398148148144</v>
      </c>
      <c r="N43" s="11">
        <v>513003024687008</v>
      </c>
      <c r="P43" t="str">
        <f>IF(D43="", "", COUNTIF($D$1:$D$2273, D43))</f>
        <v/>
      </c>
    </row>
    <row r="44" spans="1:16" ht="16" x14ac:dyDescent="0.2">
      <c r="A44" s="36" t="s">
        <v>33</v>
      </c>
      <c r="B44" s="7" t="s">
        <v>296</v>
      </c>
      <c r="C44" s="7" t="s">
        <v>2</v>
      </c>
      <c r="D44" s="7" t="s">
        <v>206</v>
      </c>
      <c r="E44" s="7" t="str">
        <f>IF(OR(D44="", D44="___"),"", LEFT(D44,FIND(" &gt;",D44)-1))</f>
        <v>Success</v>
      </c>
      <c r="F44" s="7" t="str">
        <f>IF(OR(E44="Success",E44="Qualified Success"),"Current",IF(E44="Failure",IF(RIGHT(D44,6)="Future","Future",IF(RIGHT(D44,10)="Irrelevant","Irrelevant","Current")),""))</f>
        <v>Current</v>
      </c>
      <c r="G44" s="7" t="str">
        <f>IF(OR(ISBLANK(D44),D44="Unclassifiable &gt;"),"",IF(ISNUMBER(SEARCH("Utterance",D44)),"Utterance",IF(ISNUMBER(SEARCH("Response",D44)),"Response",IF(ISNUMBER(SEARCH("Interaction",D44)),"Interaction",IF(ISNUMBER(SEARCH("System",D44)),"System","")))))</f>
        <v/>
      </c>
      <c r="H44" s="7" t="str">
        <f>IF(G44="Utterance", IF(ISNUMBER(SEARCH("Unrecognized",D44)), "Unrecognized", IF(ISNUMBER(SEARCH("Mismatched",D44)), "Mismatched", IF(ISNUMBER(SEARCH("False Positive",D44)), "False Positive", "Irrelevant"))), "")</f>
        <v/>
      </c>
      <c r="J44" s="7" t="s">
        <v>331</v>
      </c>
      <c r="K44" s="7" t="s">
        <v>200</v>
      </c>
      <c r="L44" s="9">
        <v>45015</v>
      </c>
      <c r="M44" s="10">
        <v>0.56584490740740734</v>
      </c>
      <c r="N44" s="11">
        <v>513003370559734</v>
      </c>
      <c r="O44" s="7">
        <f>IF(LEN(TRIM($A44))=0,0,LEN($A44)-LEN(SUBSTITUTE($A44," ",""))+1)</f>
        <v>4</v>
      </c>
      <c r="P44">
        <f>IF(D44="", "", COUNTIF($D$1:$D$2273, D44))</f>
        <v>176</v>
      </c>
    </row>
    <row r="45" spans="1:16" ht="224" hidden="1" x14ac:dyDescent="0.2">
      <c r="A45" s="8" t="s">
        <v>362</v>
      </c>
      <c r="C45" s="7" t="s">
        <v>4</v>
      </c>
      <c r="F45" s="7" t="str">
        <f>IF(OR(E45="Success",E45="Qualified Success"),"Current",IF(E45="Failure",IF(RIGHT(D45,6)="Future","Future",IF(RIGHT(D45,10)="Irrelevant","Irrelevant","Current")),""))</f>
        <v/>
      </c>
      <c r="G45" s="7" t="str">
        <f>IF(OR(ISBLANK(D45),D45="Unclassifiable &gt;"),"",IF(ISNUMBER(SEARCH("Utterance",D45)),"Utterance",IF(ISNUMBER(SEARCH("Response",D45)),"Response",IF(ISNUMBER(SEARCH("Interaction",D45)),"Interaction",IF(ISNUMBER(SEARCH("System",D45)),"System","")))))</f>
        <v/>
      </c>
      <c r="K45" s="7" t="s">
        <v>200</v>
      </c>
      <c r="L45" s="9">
        <v>45015</v>
      </c>
      <c r="M45" s="10">
        <v>0.56585648148148149</v>
      </c>
      <c r="N45" s="11">
        <v>513003370559734</v>
      </c>
      <c r="P45" t="str">
        <f>IF(D45="", "", COUNTIF($D$1:$D$2273, D45))</f>
        <v/>
      </c>
    </row>
    <row r="46" spans="1:16" ht="16" x14ac:dyDescent="0.2">
      <c r="A46" s="36" t="s">
        <v>64</v>
      </c>
      <c r="C46" s="7" t="s">
        <v>2</v>
      </c>
      <c r="D46" s="7" t="s">
        <v>206</v>
      </c>
      <c r="E46" s="7" t="str">
        <f>IF(OR(D46="", D46="___"),"", LEFT(D46,FIND(" &gt;",D46)-1))</f>
        <v>Success</v>
      </c>
      <c r="F46" s="7" t="str">
        <f>IF(OR(E46="Success",E46="Qualified Success"),"Current",IF(E46="Failure",IF(RIGHT(D46,6)="Future","Future",IF(RIGHT(D46,10)="Irrelevant","Irrelevant","Current")),""))</f>
        <v>Current</v>
      </c>
      <c r="G46" s="7" t="str">
        <f>IF(OR(ISBLANK(D46),D46="Unclassifiable &gt;"),"",IF(ISNUMBER(SEARCH("Utterance",D46)),"Utterance",IF(ISNUMBER(SEARCH("Response",D46)),"Response",IF(ISNUMBER(SEARCH("Interaction",D46)),"Interaction",IF(ISNUMBER(SEARCH("System",D46)),"System","")))))</f>
        <v/>
      </c>
      <c r="H46" s="7" t="str">
        <f>IF(G46="Utterance", IF(ISNUMBER(SEARCH("Unrecognized",D46)), "Unrecognized", IF(ISNUMBER(SEARCH("Mismatched",D46)), "Mismatched", IF(ISNUMBER(SEARCH("False Positive",D46)), "False Positive", "Irrelevant"))), "")</f>
        <v/>
      </c>
      <c r="J46" s="7" t="s">
        <v>331</v>
      </c>
      <c r="K46" s="7" t="s">
        <v>200</v>
      </c>
      <c r="L46" s="9">
        <v>45015</v>
      </c>
      <c r="M46" s="10">
        <v>0.56596064814814817</v>
      </c>
      <c r="N46" s="11">
        <v>513003370559734</v>
      </c>
      <c r="O46" s="7">
        <f>IF(LEN(TRIM($A46))=0,0,LEN($A46)-LEN(SUBSTITUTE($A46," ",""))+1)</f>
        <v>3</v>
      </c>
      <c r="P46">
        <f>IF(D46="", "", COUNTIF($D$1:$D$2273, D46))</f>
        <v>176</v>
      </c>
    </row>
    <row r="47" spans="1:16" ht="112" hidden="1" x14ac:dyDescent="0.2">
      <c r="A47" s="8" t="s">
        <v>363</v>
      </c>
      <c r="C47" s="7" t="s">
        <v>4</v>
      </c>
      <c r="F47" s="7" t="str">
        <f>IF(OR(E47="Success",E47="Qualified Success"),"Current",IF(E47="Failure",IF(RIGHT(D47,6)="Future","Future",IF(RIGHT(D47,10)="Irrelevant","Irrelevant","Current")),""))</f>
        <v/>
      </c>
      <c r="G47" s="7" t="str">
        <f>IF(OR(ISBLANK(D47),D47="Unclassifiable &gt;"),"",IF(ISNUMBER(SEARCH("Utterance",D47)),"Utterance",IF(ISNUMBER(SEARCH("Response",D47)),"Response",IF(ISNUMBER(SEARCH("Interaction",D47)),"Interaction",IF(ISNUMBER(SEARCH("System",D47)),"System","")))))</f>
        <v/>
      </c>
      <c r="K47" s="7" t="s">
        <v>200</v>
      </c>
      <c r="L47" s="9">
        <v>45015</v>
      </c>
      <c r="M47" s="10">
        <v>0.56596064814814817</v>
      </c>
      <c r="N47" s="11">
        <v>513003370559734</v>
      </c>
      <c r="P47" t="str">
        <f>IF(D47="", "", COUNTIF($D$1:$D$2273, D47))</f>
        <v/>
      </c>
    </row>
    <row r="48" spans="1:16" ht="16" x14ac:dyDescent="0.2">
      <c r="A48" s="36" t="s">
        <v>63</v>
      </c>
      <c r="C48" s="7" t="s">
        <v>2</v>
      </c>
      <c r="D48" s="7" t="s">
        <v>206</v>
      </c>
      <c r="E48" s="7" t="str">
        <f>IF(OR(D48="", D48="___"),"", LEFT(D48,FIND(" &gt;",D48)-1))</f>
        <v>Success</v>
      </c>
      <c r="F48" s="7" t="str">
        <f>IF(OR(E48="Success",E48="Qualified Success"),"Current",IF(E48="Failure",IF(RIGHT(D48,6)="Future","Future",IF(RIGHT(D48,10)="Irrelevant","Irrelevant","Current")),""))</f>
        <v>Current</v>
      </c>
      <c r="G48" s="7" t="str">
        <f>IF(OR(ISBLANK(D48),D48="Unclassifiable &gt;"),"",IF(ISNUMBER(SEARCH("Utterance",D48)),"Utterance",IF(ISNUMBER(SEARCH("Response",D48)),"Response",IF(ISNUMBER(SEARCH("Interaction",D48)),"Interaction",IF(ISNUMBER(SEARCH("System",D48)),"System","")))))</f>
        <v/>
      </c>
      <c r="H48" s="7" t="str">
        <f>IF(G48="Utterance", IF(ISNUMBER(SEARCH("Unrecognized",D48)), "Unrecognized", IF(ISNUMBER(SEARCH("Mismatched",D48)), "Mismatched", IF(ISNUMBER(SEARCH("False Positive",D48)), "False Positive", "Irrelevant"))), "")</f>
        <v/>
      </c>
      <c r="J48" s="7" t="s">
        <v>331</v>
      </c>
      <c r="K48" s="7" t="s">
        <v>200</v>
      </c>
      <c r="L48" s="9">
        <v>45015</v>
      </c>
      <c r="M48" s="10">
        <v>0.56606481481481474</v>
      </c>
      <c r="N48" s="11">
        <v>513003370559734</v>
      </c>
      <c r="O48" s="7">
        <f>IF(LEN(TRIM($A48))=0,0,LEN($A48)-LEN(SUBSTITUTE($A48," ",""))+1)</f>
        <v>6</v>
      </c>
      <c r="P48">
        <f>IF(D48="", "", COUNTIF($D$1:$D$2273, D48))</f>
        <v>176</v>
      </c>
    </row>
    <row r="49" spans="1:16" ht="208" hidden="1" x14ac:dyDescent="0.2">
      <c r="A49" s="8" t="s">
        <v>364</v>
      </c>
      <c r="C49" s="7" t="s">
        <v>4</v>
      </c>
      <c r="F49" s="7" t="str">
        <f>IF(OR(E49="Success",E49="Qualified Success"),"Current",IF(E49="Failure",IF(RIGHT(D49,6)="Future","Future",IF(RIGHT(D49,10)="Irrelevant","Irrelevant","Current")),""))</f>
        <v/>
      </c>
      <c r="G49" s="7" t="str">
        <f>IF(OR(ISBLANK(D49),D49="Unclassifiable &gt;"),"",IF(ISNUMBER(SEARCH("Utterance",D49)),"Utterance",IF(ISNUMBER(SEARCH("Response",D49)),"Response",IF(ISNUMBER(SEARCH("Interaction",D49)),"Interaction",IF(ISNUMBER(SEARCH("System",D49)),"System","")))))</f>
        <v/>
      </c>
      <c r="K49" s="7" t="s">
        <v>200</v>
      </c>
      <c r="L49" s="9">
        <v>45015</v>
      </c>
      <c r="M49" s="10">
        <v>0.56607638888888889</v>
      </c>
      <c r="N49" s="11">
        <v>513003370559734</v>
      </c>
      <c r="P49" t="str">
        <f>IF(D49="", "", COUNTIF($D$1:$D$2273, D49))</f>
        <v/>
      </c>
    </row>
    <row r="50" spans="1:16" ht="16" x14ac:dyDescent="0.2">
      <c r="A50" s="36" t="s">
        <v>64</v>
      </c>
      <c r="C50" s="7" t="s">
        <v>2</v>
      </c>
      <c r="D50" s="7" t="s">
        <v>206</v>
      </c>
      <c r="E50" s="7" t="str">
        <f>IF(OR(D50="", D50="___"),"", LEFT(D50,FIND(" &gt;",D50)-1))</f>
        <v>Success</v>
      </c>
      <c r="F50" s="7" t="str">
        <f>IF(OR(E50="Success",E50="Qualified Success"),"Current",IF(E50="Failure",IF(RIGHT(D50,6)="Future","Future",IF(RIGHT(D50,10)="Irrelevant","Irrelevant","Current")),""))</f>
        <v>Current</v>
      </c>
      <c r="G50" s="7" t="str">
        <f>IF(OR(ISBLANK(D50),D50="Unclassifiable &gt;"),"",IF(ISNUMBER(SEARCH("Utterance",D50)),"Utterance",IF(ISNUMBER(SEARCH("Response",D50)),"Response",IF(ISNUMBER(SEARCH("Interaction",D50)),"Interaction",IF(ISNUMBER(SEARCH("System",D50)),"System","")))))</f>
        <v/>
      </c>
      <c r="H50" s="7" t="str">
        <f>IF(G50="Utterance", IF(ISNUMBER(SEARCH("Unrecognized",D50)), "Unrecognized", IF(ISNUMBER(SEARCH("Mismatched",D50)), "Mismatched", IF(ISNUMBER(SEARCH("False Positive",D50)), "False Positive", "Irrelevant"))), "")</f>
        <v/>
      </c>
      <c r="J50" s="7" t="s">
        <v>331</v>
      </c>
      <c r="K50" s="7" t="s">
        <v>200</v>
      </c>
      <c r="L50" s="9">
        <v>45015</v>
      </c>
      <c r="M50" s="10">
        <v>0.56611111111111112</v>
      </c>
      <c r="N50" s="11">
        <v>513003370559734</v>
      </c>
      <c r="O50" s="7">
        <f>IF(LEN(TRIM($A50))=0,0,LEN($A50)-LEN(SUBSTITUTE($A50," ",""))+1)</f>
        <v>3</v>
      </c>
      <c r="P50">
        <f>IF(D50="", "", COUNTIF($D$1:$D$2273, D50))</f>
        <v>176</v>
      </c>
    </row>
    <row r="51" spans="1:16" ht="112" hidden="1" x14ac:dyDescent="0.2">
      <c r="A51" s="8" t="s">
        <v>363</v>
      </c>
      <c r="C51" s="7" t="s">
        <v>4</v>
      </c>
      <c r="F51" s="7" t="str">
        <f>IF(OR(E51="Success",E51="Qualified Success"),"Current",IF(E51="Failure",IF(RIGHT(D51,6)="Future","Future",IF(RIGHT(D51,10)="Irrelevant","Irrelevant","Current")),""))</f>
        <v/>
      </c>
      <c r="G51" s="7" t="str">
        <f>IF(OR(ISBLANK(D51),D51="Unclassifiable &gt;"),"",IF(ISNUMBER(SEARCH("Utterance",D51)),"Utterance",IF(ISNUMBER(SEARCH("Response",D51)),"Response",IF(ISNUMBER(SEARCH("Interaction",D51)),"Interaction",IF(ISNUMBER(SEARCH("System",D51)),"System","")))))</f>
        <v/>
      </c>
      <c r="K51" s="7" t="s">
        <v>200</v>
      </c>
      <c r="L51" s="9">
        <v>45015</v>
      </c>
      <c r="M51" s="10">
        <v>0.56612268518518516</v>
      </c>
      <c r="N51" s="11">
        <v>513003370559734</v>
      </c>
      <c r="P51" t="str">
        <f>IF(D51="", "", COUNTIF($D$1:$D$2273, D51))</f>
        <v/>
      </c>
    </row>
    <row r="52" spans="1:16" ht="16" hidden="1" x14ac:dyDescent="0.2">
      <c r="A52" s="36" t="s">
        <v>193</v>
      </c>
      <c r="C52" s="7" t="s">
        <v>2</v>
      </c>
      <c r="D52" s="7" t="s">
        <v>206</v>
      </c>
      <c r="E52" s="7" t="str">
        <f>IF(OR(D52="", D52="___"),"", LEFT(D52,FIND(" &gt;",D52)-1))</f>
        <v>Success</v>
      </c>
      <c r="F52" s="7" t="str">
        <f>IF(OR(E52="Success",E52="Qualified Success"),"Current",IF(E52="Failure",IF(RIGHT(D52,6)="Future","Future",IF(RIGHT(D52,10)="Irrelevant","Irrelevant","Current")),""))</f>
        <v>Current</v>
      </c>
      <c r="G52" s="7" t="str">
        <f>IF(OR(ISBLANK(D52),D52="Unclassifiable &gt;"),"",IF(ISNUMBER(SEARCH("Utterance",D52)),"Utterance",IF(ISNUMBER(SEARCH("Response",D52)),"Response",IF(ISNUMBER(SEARCH("Interaction",D52)),"Interaction",IF(ISNUMBER(SEARCH("System",D52)),"System","")))))</f>
        <v/>
      </c>
      <c r="H52" s="7" t="str">
        <f>IF(G52="Utterance", IF(ISNUMBER(SEARCH("Unrecognized",D52)), "Unrecognized", IF(ISNUMBER(SEARCH("Mismatched",D52)), "Mismatched", IF(ISNUMBER(SEARCH("False Positive",D52)), "False Positive", "Irrelevant"))), "")</f>
        <v/>
      </c>
      <c r="J52" s="7" t="s">
        <v>339</v>
      </c>
      <c r="K52" s="7" t="s">
        <v>200</v>
      </c>
      <c r="L52" s="9">
        <v>45015</v>
      </c>
      <c r="M52" s="10">
        <v>0.56759259259259254</v>
      </c>
      <c r="N52" s="11">
        <v>513003503696585</v>
      </c>
      <c r="O52" s="7">
        <f>IF(LEN(TRIM($A52))=0,0,LEN($A52)-LEN(SUBSTITUTE($A52," ",""))+1)</f>
        <v>8</v>
      </c>
      <c r="P52">
        <f>IF(D52="", "", COUNTIF($D$1:$D$2273, D52))</f>
        <v>176</v>
      </c>
    </row>
    <row r="53" spans="1:16" ht="96" hidden="1" x14ac:dyDescent="0.2">
      <c r="A53" s="8" t="s">
        <v>402</v>
      </c>
      <c r="C53" s="7" t="s">
        <v>4</v>
      </c>
      <c r="F53" s="7" t="str">
        <f>IF(OR(E53="Success",E53="Qualified Success"),"Current",IF(E53="Failure",IF(RIGHT(D53,6)="Future","Future",IF(RIGHT(D53,10)="Irrelevant","Irrelevant","Current")),""))</f>
        <v/>
      </c>
      <c r="G53" s="7" t="str">
        <f>IF(OR(ISBLANK(D53),D53="Unclassifiable &gt;"),"",IF(ISNUMBER(SEARCH("Utterance",D53)),"Utterance",IF(ISNUMBER(SEARCH("Response",D53)),"Response",IF(ISNUMBER(SEARCH("Interaction",D53)),"Interaction",IF(ISNUMBER(SEARCH("System",D53)),"System","")))))</f>
        <v/>
      </c>
      <c r="K53" s="7" t="s">
        <v>200</v>
      </c>
      <c r="L53" s="9">
        <v>45015</v>
      </c>
      <c r="M53" s="10">
        <v>0.56759259259259254</v>
      </c>
      <c r="N53" s="11">
        <v>513003503696585</v>
      </c>
      <c r="P53" t="str">
        <f>IF(D53="", "", COUNTIF($D$1:$D$2273, D53))</f>
        <v/>
      </c>
    </row>
    <row r="54" spans="1:16" ht="16" hidden="1" x14ac:dyDescent="0.2">
      <c r="A54" s="36" t="s">
        <v>190</v>
      </c>
      <c r="C54" s="7" t="s">
        <v>2</v>
      </c>
      <c r="D54" s="7" t="s">
        <v>206</v>
      </c>
      <c r="E54" s="7" t="str">
        <f>IF(OR(D54="", D54="___"),"", LEFT(D54,FIND(" &gt;",D54)-1))</f>
        <v>Success</v>
      </c>
      <c r="F54" s="7" t="str">
        <f>IF(OR(E54="Success",E54="Qualified Success"),"Current",IF(E54="Failure",IF(RIGHT(D54,6)="Future","Future",IF(RIGHT(D54,10)="Irrelevant","Irrelevant","Current")),""))</f>
        <v>Current</v>
      </c>
      <c r="G54" s="7" t="str">
        <f>IF(OR(ISBLANK(D54),D54="Unclassifiable &gt;"),"",IF(ISNUMBER(SEARCH("Utterance",D54)),"Utterance",IF(ISNUMBER(SEARCH("Response",D54)),"Response",IF(ISNUMBER(SEARCH("Interaction",D54)),"Interaction",IF(ISNUMBER(SEARCH("System",D54)),"System","")))))</f>
        <v/>
      </c>
      <c r="H54" s="7" t="str">
        <f>IF(G54="Utterance", IF(ISNUMBER(SEARCH("Unrecognized",D54)), "Unrecognized", IF(ISNUMBER(SEARCH("Mismatched",D54)), "Mismatched", IF(ISNUMBER(SEARCH("False Positive",D54)), "False Positive", "Irrelevant"))), "")</f>
        <v/>
      </c>
      <c r="J54" s="7" t="s">
        <v>339</v>
      </c>
      <c r="K54" s="7" t="s">
        <v>200</v>
      </c>
      <c r="L54" s="9">
        <v>45015</v>
      </c>
      <c r="M54" s="10">
        <v>0.56814814814814818</v>
      </c>
      <c r="N54" s="11">
        <v>513003370559734</v>
      </c>
      <c r="O54" s="7">
        <f>IF(LEN(TRIM($A54))=0,0,LEN($A54)-LEN(SUBSTITUTE($A54," ",""))+1)</f>
        <v>6</v>
      </c>
      <c r="P54">
        <f>IF(D54="", "", COUNTIF($D$1:$D$2273, D54))</f>
        <v>176</v>
      </c>
    </row>
    <row r="55" spans="1:16" ht="48" hidden="1" x14ac:dyDescent="0.2">
      <c r="A55" s="8" t="s">
        <v>390</v>
      </c>
      <c r="C55" s="7" t="s">
        <v>4</v>
      </c>
      <c r="F55" s="7" t="str">
        <f>IF(OR(E55="Success",E55="Qualified Success"),"Current",IF(E55="Failure",IF(RIGHT(D55,6)="Future","Future",IF(RIGHT(D55,10)="Irrelevant","Irrelevant","Current")),""))</f>
        <v/>
      </c>
      <c r="G55" s="7" t="str">
        <f>IF(OR(ISBLANK(D55),D55="Unclassifiable &gt;"),"",IF(ISNUMBER(SEARCH("Utterance",D55)),"Utterance",IF(ISNUMBER(SEARCH("Response",D55)),"Response",IF(ISNUMBER(SEARCH("Interaction",D55)),"Interaction",IF(ISNUMBER(SEARCH("System",D55)),"System","")))))</f>
        <v/>
      </c>
      <c r="K55" s="7" t="s">
        <v>200</v>
      </c>
      <c r="L55" s="9">
        <v>45015</v>
      </c>
      <c r="M55" s="10">
        <v>0.56815972222222222</v>
      </c>
      <c r="N55" s="11">
        <v>513003370559734</v>
      </c>
      <c r="P55" t="str">
        <f>IF(D55="", "", COUNTIF($D$1:$D$2273, D55))</f>
        <v/>
      </c>
    </row>
    <row r="56" spans="1:16" ht="16" hidden="1" x14ac:dyDescent="0.2">
      <c r="A56" s="36" t="s">
        <v>137</v>
      </c>
      <c r="B56" s="7" t="s">
        <v>299</v>
      </c>
      <c r="C56" s="7" t="s">
        <v>2</v>
      </c>
      <c r="D56" s="7" t="s">
        <v>206</v>
      </c>
      <c r="E56" s="7" t="str">
        <f>IF(OR(D56="", D56="___"),"", LEFT(D56,FIND(" &gt;",D56)-1))</f>
        <v>Success</v>
      </c>
      <c r="F56" s="7" t="str">
        <f>IF(OR(E56="Success",E56="Qualified Success"),"Current",IF(E56="Failure",IF(RIGHT(D56,6)="Future","Future",IF(RIGHT(D56,10)="Irrelevant","Irrelevant","Current")),""))</f>
        <v>Current</v>
      </c>
      <c r="G56" s="7" t="str">
        <f>IF(OR(ISBLANK(D56),D56="Unclassifiable &gt;"),"",IF(ISNUMBER(SEARCH("Utterance",D56)),"Utterance",IF(ISNUMBER(SEARCH("Response",D56)),"Response",IF(ISNUMBER(SEARCH("Interaction",D56)),"Interaction",IF(ISNUMBER(SEARCH("System",D56)),"System","")))))</f>
        <v/>
      </c>
      <c r="H56" s="7" t="str">
        <f>IF(G56="Utterance", IF(ISNUMBER(SEARCH("Unrecognized",D56)), "Unrecognized", IF(ISNUMBER(SEARCH("Mismatched",D56)), "Mismatched", IF(ISNUMBER(SEARCH("False Positive",D56)), "False Positive", "Irrelevant"))), "")</f>
        <v/>
      </c>
      <c r="J56" s="7" t="s">
        <v>329</v>
      </c>
      <c r="K56" s="7" t="s">
        <v>200</v>
      </c>
      <c r="L56" s="9">
        <v>45015</v>
      </c>
      <c r="M56" s="10">
        <v>0.56833333333333336</v>
      </c>
      <c r="N56" s="11">
        <v>513003370559734</v>
      </c>
      <c r="O56" s="7">
        <f>IF(LEN(TRIM($A56))=0,0,LEN($A56)-LEN(SUBSTITUTE($A56," ",""))+1)</f>
        <v>4</v>
      </c>
      <c r="P56">
        <f>IF(D56="", "", COUNTIF($D$1:$D$2273, D56))</f>
        <v>176</v>
      </c>
    </row>
    <row r="57" spans="1:16" ht="96" hidden="1" x14ac:dyDescent="0.2">
      <c r="A57" s="8" t="s">
        <v>394</v>
      </c>
      <c r="C57" s="7" t="s">
        <v>4</v>
      </c>
      <c r="F57" s="7" t="str">
        <f>IF(OR(E57="Success",E57="Qualified Success"),"Current",IF(E57="Failure",IF(RIGHT(D57,6)="Future","Future",IF(RIGHT(D57,10)="Irrelevant","Irrelevant","Current")),""))</f>
        <v/>
      </c>
      <c r="G57" s="7" t="str">
        <f>IF(OR(ISBLANK(D57),D57="Unclassifiable &gt;"),"",IF(ISNUMBER(SEARCH("Utterance",D57)),"Utterance",IF(ISNUMBER(SEARCH("Response",D57)),"Response",IF(ISNUMBER(SEARCH("Interaction",D57)),"Interaction",IF(ISNUMBER(SEARCH("System",D57)),"System","")))))</f>
        <v/>
      </c>
      <c r="K57" s="7" t="s">
        <v>200</v>
      </c>
      <c r="L57" s="9">
        <v>45015</v>
      </c>
      <c r="M57" s="10">
        <v>0.56833333333333336</v>
      </c>
      <c r="N57" s="11">
        <v>513003370559734</v>
      </c>
      <c r="P57" t="str">
        <f>IF(D57="", "", COUNTIF($D$1:$D$2273, D57))</f>
        <v/>
      </c>
    </row>
    <row r="58" spans="1:16" ht="16" x14ac:dyDescent="0.2">
      <c r="A58" s="36" t="s">
        <v>47</v>
      </c>
      <c r="C58" s="7" t="s">
        <v>2</v>
      </c>
      <c r="D58" s="7" t="s">
        <v>208</v>
      </c>
      <c r="E58" s="7" t="str">
        <f>IF(OR(D58="", D58="___"),"", LEFT(D58,FIND(" &gt;",D58)-1))</f>
        <v>Failure</v>
      </c>
      <c r="F58" s="7" t="str">
        <f>IF(OR(E58="Success",E58="Qualified Success"),"Current",IF(E58="Failure",IF(RIGHT(D58,6)="Future","Future",IF(RIGHT(D58,10)="Irrelevant","Irrelevant","Current")),""))</f>
        <v>Current</v>
      </c>
      <c r="G58" s="7" t="str">
        <f>IF(OR(ISBLANK(D58),D58="Unclassifiable &gt;"),"",IF(ISNUMBER(SEARCH("Utterance",D58)),"Utterance",IF(ISNUMBER(SEARCH("Response",D58)),"Response",IF(ISNUMBER(SEARCH("Interaction",D58)),"Interaction",IF(ISNUMBER(SEARCH("System",D58)),"System","")))))</f>
        <v>Utterance</v>
      </c>
      <c r="H58" s="7" t="str">
        <f>IF(G58="Utterance", IF(ISNUMBER(SEARCH("Unrecognized",D58)), "Unrecognized", IF(ISNUMBER(SEARCH("Mismatched",D58)), "Mismatched", IF(ISNUMBER(SEARCH("False Positive",D58)), "False Positive", "Irrelevant"))), "")</f>
        <v>Mismatched</v>
      </c>
      <c r="J58" s="7" t="s">
        <v>331</v>
      </c>
      <c r="K58" s="7" t="s">
        <v>200</v>
      </c>
      <c r="L58" s="9">
        <v>45015</v>
      </c>
      <c r="M58" s="10">
        <v>0.56836805555555558</v>
      </c>
      <c r="N58" s="11">
        <v>513003370559734</v>
      </c>
      <c r="O58" s="7">
        <f>IF(LEN(TRIM($A58))=0,0,LEN($A58)-LEN(SUBSTITUTE($A58," ",""))+1)</f>
        <v>4</v>
      </c>
      <c r="P58">
        <f>IF(D58="", "", COUNTIF($D$1:$D$2273, D58))</f>
        <v>32</v>
      </c>
    </row>
    <row r="59" spans="1:16" ht="32" hidden="1" x14ac:dyDescent="0.2">
      <c r="A59" s="8" t="s">
        <v>349</v>
      </c>
      <c r="C59" s="7" t="s">
        <v>4</v>
      </c>
      <c r="F59" s="7" t="str">
        <f>IF(OR(E59="Success",E59="Qualified Success"),"Current",IF(E59="Failure",IF(RIGHT(D59,6)="Future","Future",IF(RIGHT(D59,10)="Irrelevant","Irrelevant","Current")),""))</f>
        <v/>
      </c>
      <c r="G59" s="7" t="str">
        <f>IF(OR(ISBLANK(D59),D59="Unclassifiable &gt;"),"",IF(ISNUMBER(SEARCH("Utterance",D59)),"Utterance",IF(ISNUMBER(SEARCH("Response",D59)),"Response",IF(ISNUMBER(SEARCH("Interaction",D59)),"Interaction",IF(ISNUMBER(SEARCH("System",D59)),"System","")))))</f>
        <v/>
      </c>
      <c r="K59" s="7" t="s">
        <v>200</v>
      </c>
      <c r="L59" s="9">
        <v>45015</v>
      </c>
      <c r="M59" s="10">
        <v>0.56836805555555558</v>
      </c>
      <c r="N59" s="11">
        <v>513003370559734</v>
      </c>
      <c r="P59" t="str">
        <f>IF(D59="", "", COUNTIF($D$1:$D$2273, D59))</f>
        <v/>
      </c>
    </row>
    <row r="60" spans="1:16" ht="16" hidden="1" x14ac:dyDescent="0.2">
      <c r="A60" s="36" t="s">
        <v>137</v>
      </c>
      <c r="B60" s="7" t="s">
        <v>299</v>
      </c>
      <c r="C60" s="7" t="s">
        <v>2</v>
      </c>
      <c r="D60" s="7" t="s">
        <v>206</v>
      </c>
      <c r="E60" s="7" t="str">
        <f>IF(OR(D60="", D60="___"),"", LEFT(D60,FIND(" &gt;",D60)-1))</f>
        <v>Success</v>
      </c>
      <c r="F60" s="7" t="str">
        <f>IF(OR(E60="Success",E60="Qualified Success"),"Current",IF(E60="Failure",IF(RIGHT(D60,6)="Future","Future",IF(RIGHT(D60,10)="Irrelevant","Irrelevant","Current")),""))</f>
        <v>Current</v>
      </c>
      <c r="G60" s="7" t="str">
        <f>IF(OR(ISBLANK(D60),D60="Unclassifiable &gt;"),"",IF(ISNUMBER(SEARCH("Utterance",D60)),"Utterance",IF(ISNUMBER(SEARCH("Response",D60)),"Response",IF(ISNUMBER(SEARCH("Interaction",D60)),"Interaction",IF(ISNUMBER(SEARCH("System",D60)),"System","")))))</f>
        <v/>
      </c>
      <c r="H60" s="7" t="str">
        <f>IF(G60="Utterance", IF(ISNUMBER(SEARCH("Unrecognized",D60)), "Unrecognized", IF(ISNUMBER(SEARCH("Mismatched",D60)), "Mismatched", IF(ISNUMBER(SEARCH("False Positive",D60)), "False Positive", "Irrelevant"))), "")</f>
        <v/>
      </c>
      <c r="J60" s="7" t="s">
        <v>329</v>
      </c>
      <c r="K60" s="7" t="s">
        <v>200</v>
      </c>
      <c r="L60" s="9">
        <v>45015</v>
      </c>
      <c r="M60" s="10">
        <v>0.56874999999999998</v>
      </c>
      <c r="N60" s="11">
        <v>513003370559734</v>
      </c>
      <c r="O60" s="7">
        <f>IF(LEN(TRIM($A60))=0,0,LEN($A60)-LEN(SUBSTITUTE($A60," ",""))+1)</f>
        <v>4</v>
      </c>
      <c r="P60">
        <f>IF(D60="", "", COUNTIF($D$1:$D$2273, D60))</f>
        <v>176</v>
      </c>
    </row>
    <row r="61" spans="1:16" ht="96" hidden="1" x14ac:dyDescent="0.2">
      <c r="A61" s="8" t="s">
        <v>394</v>
      </c>
      <c r="C61" s="7" t="s">
        <v>4</v>
      </c>
      <c r="F61" s="7" t="str">
        <f>IF(OR(E61="Success",E61="Qualified Success"),"Current",IF(E61="Failure",IF(RIGHT(D61,6)="Future","Future",IF(RIGHT(D61,10)="Irrelevant","Irrelevant","Current")),""))</f>
        <v/>
      </c>
      <c r="G61" s="7" t="str">
        <f>IF(OR(ISBLANK(D61),D61="Unclassifiable &gt;"),"",IF(ISNUMBER(SEARCH("Utterance",D61)),"Utterance",IF(ISNUMBER(SEARCH("Response",D61)),"Response",IF(ISNUMBER(SEARCH("Interaction",D61)),"Interaction",IF(ISNUMBER(SEARCH("System",D61)),"System","")))))</f>
        <v/>
      </c>
      <c r="K61" s="7" t="s">
        <v>200</v>
      </c>
      <c r="L61" s="9">
        <v>45015</v>
      </c>
      <c r="M61" s="10">
        <v>0.56874999999999998</v>
      </c>
      <c r="N61" s="11">
        <v>513003370559734</v>
      </c>
      <c r="P61" t="str">
        <f>IF(D61="", "", COUNTIF($D$1:$D$2273, D61))</f>
        <v/>
      </c>
    </row>
    <row r="62" spans="1:16" ht="16" hidden="1" x14ac:dyDescent="0.2">
      <c r="A62" s="36" t="s">
        <v>71</v>
      </c>
      <c r="C62" s="7" t="s">
        <v>2</v>
      </c>
      <c r="D62" s="7" t="s">
        <v>206</v>
      </c>
      <c r="E62" s="7" t="str">
        <f>IF(OR(D62="", D62="___"),"", LEFT(D62,FIND(" &gt;",D62)-1))</f>
        <v>Success</v>
      </c>
      <c r="F62" s="7" t="str">
        <f>IF(OR(E62="Success",E62="Qualified Success"),"Current",IF(E62="Failure",IF(RIGHT(D62,6)="Future","Future",IF(RIGHT(D62,10)="Irrelevant","Irrelevant","Current")),""))</f>
        <v>Current</v>
      </c>
      <c r="G62" s="7" t="str">
        <f>IF(OR(ISBLANK(D62),D62="Unclassifiable &gt;"),"",IF(ISNUMBER(SEARCH("Utterance",D62)),"Utterance",IF(ISNUMBER(SEARCH("Response",D62)),"Response",IF(ISNUMBER(SEARCH("Interaction",D62)),"Interaction",IF(ISNUMBER(SEARCH("System",D62)),"System","")))))</f>
        <v/>
      </c>
      <c r="H62" s="7" t="str">
        <f>IF(G62="Utterance", IF(ISNUMBER(SEARCH("Unrecognized",D62)), "Unrecognized", IF(ISNUMBER(SEARCH("Mismatched",D62)), "Mismatched", IF(ISNUMBER(SEARCH("False Positive",D62)), "False Positive", "Irrelevant"))), "")</f>
        <v/>
      </c>
      <c r="J62" s="7" t="s">
        <v>329</v>
      </c>
      <c r="K62" s="7" t="s">
        <v>200</v>
      </c>
      <c r="L62" s="9">
        <v>45015</v>
      </c>
      <c r="M62" s="10">
        <v>0.56931712962962966</v>
      </c>
      <c r="N62" s="11">
        <v>513003370559734</v>
      </c>
      <c r="O62" s="7">
        <f>IF(LEN(TRIM($A62))=0,0,LEN($A62)-LEN(SUBSTITUTE($A62," ",""))+1)</f>
        <v>5</v>
      </c>
      <c r="P62">
        <f>IF(D62="", "", COUNTIF($D$1:$D$2273, D62))</f>
        <v>176</v>
      </c>
    </row>
    <row r="63" spans="1:16" ht="32" hidden="1" x14ac:dyDescent="0.2">
      <c r="A63" s="8" t="s">
        <v>389</v>
      </c>
      <c r="C63" s="7" t="s">
        <v>4</v>
      </c>
      <c r="F63" s="7" t="str">
        <f>IF(OR(E63="Success",E63="Qualified Success"),"Current",IF(E63="Failure",IF(RIGHT(D63,6)="Future","Future",IF(RIGHT(D63,10)="Irrelevant","Irrelevant","Current")),""))</f>
        <v/>
      </c>
      <c r="G63" s="7" t="str">
        <f>IF(OR(ISBLANK(D63),D63="Unclassifiable &gt;"),"",IF(ISNUMBER(SEARCH("Utterance",D63)),"Utterance",IF(ISNUMBER(SEARCH("Response",D63)),"Response",IF(ISNUMBER(SEARCH("Interaction",D63)),"Interaction",IF(ISNUMBER(SEARCH("System",D63)),"System","")))))</f>
        <v/>
      </c>
      <c r="K63" s="7" t="s">
        <v>200</v>
      </c>
      <c r="L63" s="9">
        <v>45015</v>
      </c>
      <c r="M63" s="10">
        <v>0.5693287037037037</v>
      </c>
      <c r="N63" s="11">
        <v>513003370559734</v>
      </c>
      <c r="P63" t="str">
        <f>IF(D63="", "", COUNTIF($D$1:$D$2273, D63))</f>
        <v/>
      </c>
    </row>
    <row r="64" spans="1:16" ht="16" hidden="1" x14ac:dyDescent="0.2">
      <c r="A64" s="36" t="s">
        <v>56</v>
      </c>
      <c r="C64" s="7" t="s">
        <v>2</v>
      </c>
      <c r="D64" s="7" t="s">
        <v>206</v>
      </c>
      <c r="E64" s="7" t="str">
        <f>IF(OR(D64="", D64="___"),"", LEFT(D64,FIND(" &gt;",D64)-1))</f>
        <v>Success</v>
      </c>
      <c r="F64" s="7" t="str">
        <f>IF(OR(E64="Success",E64="Qualified Success"),"Current",IF(E64="Failure",IF(RIGHT(D64,6)="Future","Future",IF(RIGHT(D64,10)="Irrelevant","Irrelevant","Current")),""))</f>
        <v>Current</v>
      </c>
      <c r="G64" s="7" t="str">
        <f>IF(OR(ISBLANK(D64),D64="Unclassifiable &gt;"),"",IF(ISNUMBER(SEARCH("Utterance",D64)),"Utterance",IF(ISNUMBER(SEARCH("Response",D64)),"Response",IF(ISNUMBER(SEARCH("Interaction",D64)),"Interaction",IF(ISNUMBER(SEARCH("System",D64)),"System","")))))</f>
        <v/>
      </c>
      <c r="H64" s="7" t="str">
        <f>IF(G64="Utterance", IF(ISNUMBER(SEARCH("Unrecognized",D64)), "Unrecognized", IF(ISNUMBER(SEARCH("Mismatched",D64)), "Mismatched", IF(ISNUMBER(SEARCH("False Positive",D64)), "False Positive", "Irrelevant"))), "")</f>
        <v/>
      </c>
      <c r="J64" s="7" t="s">
        <v>329</v>
      </c>
      <c r="K64" s="7" t="s">
        <v>200</v>
      </c>
      <c r="L64" s="9">
        <v>45015</v>
      </c>
      <c r="M64" s="10">
        <v>0.57277777777777772</v>
      </c>
      <c r="N64" s="11">
        <v>202000033877882</v>
      </c>
      <c r="O64" s="7">
        <f>IF(LEN(TRIM($A64))=0,0,LEN($A64)-LEN(SUBSTITUTE($A64," ",""))+1)</f>
        <v>6</v>
      </c>
      <c r="P64">
        <f>IF(D64="", "", COUNTIF($D$1:$D$2273, D64))</f>
        <v>176</v>
      </c>
    </row>
    <row r="65" spans="1:16" ht="96" hidden="1" x14ac:dyDescent="0.2">
      <c r="A65" s="8" t="s">
        <v>394</v>
      </c>
      <c r="C65" s="7" t="s">
        <v>4</v>
      </c>
      <c r="F65" s="7" t="str">
        <f>IF(OR(E65="Success",E65="Qualified Success"),"Current",IF(E65="Failure",IF(RIGHT(D65,6)="Future","Future",IF(RIGHT(D65,10)="Irrelevant","Irrelevant","Current")),""))</f>
        <v/>
      </c>
      <c r="G65" s="7" t="str">
        <f>IF(OR(ISBLANK(D65),D65="Unclassifiable &gt;"),"",IF(ISNUMBER(SEARCH("Utterance",D65)),"Utterance",IF(ISNUMBER(SEARCH("Response",D65)),"Response",IF(ISNUMBER(SEARCH("Interaction",D65)),"Interaction",IF(ISNUMBER(SEARCH("System",D65)),"System","")))))</f>
        <v/>
      </c>
      <c r="K65" s="7" t="s">
        <v>200</v>
      </c>
      <c r="L65" s="9">
        <v>45015</v>
      </c>
      <c r="M65" s="10">
        <v>0.57278935185185187</v>
      </c>
      <c r="N65" s="11">
        <v>202000033877882</v>
      </c>
      <c r="P65" t="str">
        <f>IF(D65="", "", COUNTIF($D$1:$D$2273, D65))</f>
        <v/>
      </c>
    </row>
    <row r="66" spans="1:16" ht="16" hidden="1" x14ac:dyDescent="0.2">
      <c r="A66" s="36" t="s">
        <v>155</v>
      </c>
      <c r="C66" s="7" t="s">
        <v>2</v>
      </c>
      <c r="D66" s="7" t="s">
        <v>206</v>
      </c>
      <c r="E66" s="7" t="str">
        <f>IF(OR(D66="", D66="___"),"", LEFT(D66,FIND(" &gt;",D66)-1))</f>
        <v>Success</v>
      </c>
      <c r="F66" s="7" t="str">
        <f>IF(OR(E66="Success",E66="Qualified Success"),"Current",IF(E66="Failure",IF(RIGHT(D66,6)="Future","Future",IF(RIGHT(D66,10)="Irrelevant","Irrelevant","Current")),""))</f>
        <v>Current</v>
      </c>
      <c r="G66" s="7" t="str">
        <f>IF(OR(ISBLANK(D66),D66="Unclassifiable &gt;"),"",IF(ISNUMBER(SEARCH("Utterance",D66)),"Utterance",IF(ISNUMBER(SEARCH("Response",D66)),"Response",IF(ISNUMBER(SEARCH("Interaction",D66)),"Interaction",IF(ISNUMBER(SEARCH("System",D66)),"System","")))))</f>
        <v/>
      </c>
      <c r="H66" s="7" t="str">
        <f>IF(G66="Utterance", IF(ISNUMBER(SEARCH("Unrecognized",D66)), "Unrecognized", IF(ISNUMBER(SEARCH("Mismatched",D66)), "Mismatched", IF(ISNUMBER(SEARCH("False Positive",D66)), "False Positive", "Irrelevant"))), "")</f>
        <v/>
      </c>
      <c r="J66" s="7" t="s">
        <v>245</v>
      </c>
      <c r="K66" s="7" t="s">
        <v>200</v>
      </c>
      <c r="L66" s="9">
        <v>45015</v>
      </c>
      <c r="M66" s="10">
        <v>0.57337962962962963</v>
      </c>
      <c r="N66" s="11">
        <v>202000672721677</v>
      </c>
      <c r="O66" s="7">
        <f>IF(LEN(TRIM($A66))=0,0,LEN($A66)-LEN(SUBSTITUTE($A66," ",""))+1)</f>
        <v>3</v>
      </c>
      <c r="P66">
        <f>IF(D66="", "", COUNTIF($D$1:$D$2273, D66))</f>
        <v>176</v>
      </c>
    </row>
    <row r="67" spans="1:16" ht="80" hidden="1" x14ac:dyDescent="0.2">
      <c r="A67" s="8" t="s">
        <v>396</v>
      </c>
      <c r="C67" s="7" t="s">
        <v>4</v>
      </c>
      <c r="F67" s="7" t="str">
        <f>IF(OR(E67="Success",E67="Qualified Success"),"Current",IF(E67="Failure",IF(RIGHT(D67,6)="Future","Future",IF(RIGHT(D67,10)="Irrelevant","Irrelevant","Current")),""))</f>
        <v/>
      </c>
      <c r="G67" s="7" t="str">
        <f>IF(OR(ISBLANK(D67),D67="Unclassifiable &gt;"),"",IF(ISNUMBER(SEARCH("Utterance",D67)),"Utterance",IF(ISNUMBER(SEARCH("Response",D67)),"Response",IF(ISNUMBER(SEARCH("Interaction",D67)),"Interaction",IF(ISNUMBER(SEARCH("System",D67)),"System","")))))</f>
        <v/>
      </c>
      <c r="K67" s="7" t="s">
        <v>200</v>
      </c>
      <c r="L67" s="9">
        <v>45015</v>
      </c>
      <c r="M67" s="10">
        <v>0.57339120370370367</v>
      </c>
      <c r="N67" s="11">
        <v>202000672721677</v>
      </c>
      <c r="P67" t="str">
        <f>IF(D67="", "", COUNTIF($D$1:$D$2273, D67))</f>
        <v/>
      </c>
    </row>
    <row r="68" spans="1:16" ht="16" hidden="1" x14ac:dyDescent="0.2">
      <c r="A68" s="36" t="s">
        <v>23</v>
      </c>
      <c r="C68" s="7" t="s">
        <v>2</v>
      </c>
      <c r="D68" s="7" t="s">
        <v>206</v>
      </c>
      <c r="E68" s="7" t="str">
        <f>IF(OR(D68="", D68="___"),"", LEFT(D68,FIND(" &gt;",D68)-1))</f>
        <v>Success</v>
      </c>
      <c r="F68" s="7" t="str">
        <f>IF(OR(E68="Success",E68="Qualified Success"),"Current",IF(E68="Failure",IF(RIGHT(D68,6)="Future","Future",IF(RIGHT(D68,10)="Irrelevant","Irrelevant","Current")),""))</f>
        <v>Current</v>
      </c>
      <c r="G68" s="7" t="str">
        <f>IF(OR(ISBLANK(D68),D68="Unclassifiable &gt;"),"",IF(ISNUMBER(SEARCH("Utterance",D68)),"Utterance",IF(ISNUMBER(SEARCH("Response",D68)),"Response",IF(ISNUMBER(SEARCH("Interaction",D68)),"Interaction",IF(ISNUMBER(SEARCH("System",D68)),"System","")))))</f>
        <v/>
      </c>
      <c r="H68" s="7" t="str">
        <f>IF(G68="Utterance", IF(ISNUMBER(SEARCH("Unrecognized",D68)), "Unrecognized", IF(ISNUMBER(SEARCH("Mismatched",D68)), "Mismatched", IF(ISNUMBER(SEARCH("False Positive",D68)), "False Positive", "Irrelevant"))), "")</f>
        <v/>
      </c>
      <c r="J68" s="7" t="s">
        <v>332</v>
      </c>
      <c r="K68" s="7" t="s">
        <v>200</v>
      </c>
      <c r="L68" s="9">
        <v>45015</v>
      </c>
      <c r="M68" s="10">
        <v>0.5742708333333334</v>
      </c>
      <c r="N68" s="11">
        <v>202000033877882</v>
      </c>
      <c r="O68" s="7">
        <f>IF(LEN(TRIM($A68))=0,0,LEN($A68)-LEN(SUBSTITUTE($A68," ",""))+1)</f>
        <v>2</v>
      </c>
      <c r="P68">
        <f>IF(D68="", "", COUNTIF($D$1:$D$2273, D68))</f>
        <v>176</v>
      </c>
    </row>
    <row r="69" spans="1:16" ht="48" hidden="1" x14ac:dyDescent="0.2">
      <c r="A69" s="8" t="s">
        <v>383</v>
      </c>
      <c r="C69" s="7" t="s">
        <v>4</v>
      </c>
      <c r="F69" s="7" t="str">
        <f>IF(OR(E69="Success",E69="Qualified Success"),"Current",IF(E69="Failure",IF(RIGHT(D69,6)="Future","Future",IF(RIGHT(D69,10)="Irrelevant","Irrelevant","Current")),""))</f>
        <v/>
      </c>
      <c r="G69" s="7" t="str">
        <f>IF(OR(ISBLANK(D69),D69="Unclassifiable &gt;"),"",IF(ISNUMBER(SEARCH("Utterance",D69)),"Utterance",IF(ISNUMBER(SEARCH("Response",D69)),"Response",IF(ISNUMBER(SEARCH("Interaction",D69)),"Interaction",IF(ISNUMBER(SEARCH("System",D69)),"System","")))))</f>
        <v/>
      </c>
      <c r="K69" s="7" t="s">
        <v>200</v>
      </c>
      <c r="L69" s="9">
        <v>45015</v>
      </c>
      <c r="M69" s="10">
        <v>0.5742708333333334</v>
      </c>
      <c r="N69" s="11">
        <v>202000033877882</v>
      </c>
      <c r="P69" t="str">
        <f>IF(D69="", "", COUNTIF($D$1:$D$2273, D69))</f>
        <v/>
      </c>
    </row>
    <row r="70" spans="1:16" ht="16" hidden="1" x14ac:dyDescent="0.2">
      <c r="A70" s="36" t="s">
        <v>45</v>
      </c>
      <c r="B70" s="7" t="s">
        <v>296</v>
      </c>
      <c r="C70" s="7" t="s">
        <v>2</v>
      </c>
      <c r="D70" s="7" t="s">
        <v>206</v>
      </c>
      <c r="E70" s="7" t="str">
        <f>IF(OR(D70="", D70="___"),"", LEFT(D70,FIND(" &gt;",D70)-1))</f>
        <v>Success</v>
      </c>
      <c r="F70" s="7" t="str">
        <f>IF(OR(E70="Success",E70="Qualified Success"),"Current",IF(E70="Failure",IF(RIGHT(D70,6)="Future","Future",IF(RIGHT(D70,10)="Irrelevant","Irrelevant","Current")),""))</f>
        <v>Current</v>
      </c>
      <c r="G70" s="7" t="str">
        <f>IF(OR(ISBLANK(D70),D70="Unclassifiable &gt;"),"",IF(ISNUMBER(SEARCH("Utterance",D70)),"Utterance",IF(ISNUMBER(SEARCH("Response",D70)),"Response",IF(ISNUMBER(SEARCH("Interaction",D70)),"Interaction",IF(ISNUMBER(SEARCH("System",D70)),"System","")))))</f>
        <v/>
      </c>
      <c r="H70" s="7" t="str">
        <f>IF(G70="Utterance", IF(ISNUMBER(SEARCH("Unrecognized",D70)), "Unrecognized", IF(ISNUMBER(SEARCH("Mismatched",D70)), "Mismatched", IF(ISNUMBER(SEARCH("False Positive",D70)), "False Positive", "Irrelevant"))), "")</f>
        <v/>
      </c>
      <c r="J70" s="7" t="s">
        <v>243</v>
      </c>
      <c r="K70" s="7" t="s">
        <v>200</v>
      </c>
      <c r="L70" s="9">
        <v>45015</v>
      </c>
      <c r="M70" s="10">
        <v>0.58101851851851849</v>
      </c>
      <c r="N70" s="11">
        <v>204440003490751</v>
      </c>
      <c r="O70" s="7">
        <f>IF(LEN(TRIM($A70))=0,0,LEN($A70)-LEN(SUBSTITUTE($A70," ",""))+1)</f>
        <v>3</v>
      </c>
      <c r="P70">
        <f>IF(D70="", "", COUNTIF($D$1:$D$2273, D70))</f>
        <v>176</v>
      </c>
    </row>
    <row r="71" spans="1:16" ht="32" hidden="1" x14ac:dyDescent="0.2">
      <c r="A71" s="8" t="s">
        <v>376</v>
      </c>
      <c r="C71" s="7" t="s">
        <v>4</v>
      </c>
      <c r="F71" s="7" t="str">
        <f>IF(OR(E71="Success",E71="Qualified Success"),"Current",IF(E71="Failure",IF(RIGHT(D71,6)="Future","Future",IF(RIGHT(D71,10)="Irrelevant","Irrelevant","Current")),""))</f>
        <v/>
      </c>
      <c r="G71" s="7" t="str">
        <f>IF(OR(ISBLANK(D71),D71="Unclassifiable &gt;"),"",IF(ISNUMBER(SEARCH("Utterance",D71)),"Utterance",IF(ISNUMBER(SEARCH("Response",D71)),"Response",IF(ISNUMBER(SEARCH("Interaction",D71)),"Interaction",IF(ISNUMBER(SEARCH("System",D71)),"System","")))))</f>
        <v/>
      </c>
      <c r="K71" s="7" t="s">
        <v>200</v>
      </c>
      <c r="L71" s="9">
        <v>45015</v>
      </c>
      <c r="M71" s="10">
        <v>0.58101851851851849</v>
      </c>
      <c r="N71" s="11">
        <v>204440003490751</v>
      </c>
      <c r="P71" t="str">
        <f>IF(D71="", "", COUNTIF($D$1:$D$2273, D71))</f>
        <v/>
      </c>
    </row>
    <row r="72" spans="1:16" ht="16" hidden="1" x14ac:dyDescent="0.2">
      <c r="A72" s="36" t="s">
        <v>99</v>
      </c>
      <c r="C72" s="7" t="s">
        <v>2</v>
      </c>
      <c r="D72" s="7" t="s">
        <v>208</v>
      </c>
      <c r="E72" s="7" t="str">
        <f>IF(OR(D72="", D72="___"),"", LEFT(D72,FIND(" &gt;",D72)-1))</f>
        <v>Failure</v>
      </c>
      <c r="F72" s="7" t="str">
        <f>IF(OR(E72="Success",E72="Qualified Success"),"Current",IF(E72="Failure",IF(RIGHT(D72,6)="Future","Future",IF(RIGHT(D72,10)="Irrelevant","Irrelevant","Current")),""))</f>
        <v>Current</v>
      </c>
      <c r="G72" s="7" t="str">
        <f>IF(OR(ISBLANK(D72),D72="Unclassifiable &gt;"),"",IF(ISNUMBER(SEARCH("Utterance",D72)),"Utterance",IF(ISNUMBER(SEARCH("Response",D72)),"Response",IF(ISNUMBER(SEARCH("Interaction",D72)),"Interaction",IF(ISNUMBER(SEARCH("System",D72)),"System","")))))</f>
        <v>Utterance</v>
      </c>
      <c r="H72" s="7" t="str">
        <f>IF(G72="Utterance", IF(ISNUMBER(SEARCH("Unrecognized",D72)), "Unrecognized", IF(ISNUMBER(SEARCH("Mismatched",D72)), "Mismatched", IF(ISNUMBER(SEARCH("False Positive",D72)), "False Positive", "Irrelevant"))), "")</f>
        <v>Mismatched</v>
      </c>
      <c r="J72" s="7" t="s">
        <v>329</v>
      </c>
      <c r="K72" s="7" t="s">
        <v>200</v>
      </c>
      <c r="L72" s="9">
        <v>45015</v>
      </c>
      <c r="M72" s="10">
        <v>0.58627314814814813</v>
      </c>
      <c r="N72" s="11">
        <v>204440003506463</v>
      </c>
      <c r="O72" s="7">
        <f>IF(LEN(TRIM($A72))=0,0,LEN($A72)-LEN(SUBSTITUTE($A72," ",""))+1)</f>
        <v>9</v>
      </c>
      <c r="P72">
        <f>IF(D72="", "", COUNTIF($D$1:$D$2273, D72))</f>
        <v>32</v>
      </c>
    </row>
    <row r="73" spans="1:16" ht="64" hidden="1" x14ac:dyDescent="0.2">
      <c r="A73" s="8" t="s">
        <v>393</v>
      </c>
      <c r="C73" s="7" t="s">
        <v>4</v>
      </c>
      <c r="F73" s="7" t="str">
        <f>IF(OR(E73="Success",E73="Qualified Success"),"Current",IF(E73="Failure",IF(RIGHT(D73,6)="Future","Future",IF(RIGHT(D73,10)="Irrelevant","Irrelevant","Current")),""))</f>
        <v/>
      </c>
      <c r="G73" s="7" t="str">
        <f>IF(OR(ISBLANK(D73),D73="Unclassifiable &gt;"),"",IF(ISNUMBER(SEARCH("Utterance",D73)),"Utterance",IF(ISNUMBER(SEARCH("Response",D73)),"Response",IF(ISNUMBER(SEARCH("Interaction",D73)),"Interaction",IF(ISNUMBER(SEARCH("System",D73)),"System","")))))</f>
        <v/>
      </c>
      <c r="K73" s="7" t="s">
        <v>200</v>
      </c>
      <c r="L73" s="9">
        <v>45015</v>
      </c>
      <c r="M73" s="10">
        <v>0.58627314814814813</v>
      </c>
      <c r="N73" s="11">
        <v>204440003506463</v>
      </c>
      <c r="P73" t="str">
        <f>IF(D73="", "", COUNTIF($D$1:$D$2273, D73))</f>
        <v/>
      </c>
    </row>
    <row r="74" spans="1:16" ht="16" hidden="1" x14ac:dyDescent="0.2">
      <c r="A74" s="36" t="s">
        <v>21</v>
      </c>
      <c r="B74" s="7" t="s">
        <v>296</v>
      </c>
      <c r="C74" s="7" t="s">
        <v>2</v>
      </c>
      <c r="D74" s="7" t="s">
        <v>206</v>
      </c>
      <c r="E74" s="7" t="str">
        <f>IF(OR(D74="", D74="___"),"", LEFT(D74,FIND(" &gt;",D74)-1))</f>
        <v>Success</v>
      </c>
      <c r="F74" s="7" t="str">
        <f>IF(OR(E74="Success",E74="Qualified Success"),"Current",IF(E74="Failure",IF(RIGHT(D74,6)="Future","Future",IF(RIGHT(D74,10)="Irrelevant","Irrelevant","Current")),""))</f>
        <v>Current</v>
      </c>
      <c r="G74" s="7" t="str">
        <f>IF(OR(ISBLANK(D74),D74="Unclassifiable &gt;"),"",IF(ISNUMBER(SEARCH("Utterance",D74)),"Utterance",IF(ISNUMBER(SEARCH("Response",D74)),"Response",IF(ISNUMBER(SEARCH("Interaction",D74)),"Interaction",IF(ISNUMBER(SEARCH("System",D74)),"System","")))))</f>
        <v/>
      </c>
      <c r="H74" s="7" t="str">
        <f>IF(G74="Utterance", IF(ISNUMBER(SEARCH("Unrecognized",D74)), "Unrecognized", IF(ISNUMBER(SEARCH("Mismatched",D74)), "Mismatched", IF(ISNUMBER(SEARCH("False Positive",D74)), "False Positive", "Irrelevant"))), "")</f>
        <v/>
      </c>
      <c r="J74" s="7" t="s">
        <v>332</v>
      </c>
      <c r="K74" s="7" t="s">
        <v>200</v>
      </c>
      <c r="L74" s="9">
        <v>45015</v>
      </c>
      <c r="M74" s="10">
        <v>0.58706018518518521</v>
      </c>
      <c r="N74" s="11">
        <v>204440003494499</v>
      </c>
      <c r="O74" s="7">
        <f>IF(LEN(TRIM($A74))=0,0,LEN($A74)-LEN(SUBSTITUTE($A74," ",""))+1)</f>
        <v>4</v>
      </c>
      <c r="P74">
        <f>IF(D74="", "", COUNTIF($D$1:$D$2273, D74))</f>
        <v>176</v>
      </c>
    </row>
    <row r="75" spans="1:16" ht="48" hidden="1" x14ac:dyDescent="0.2">
      <c r="A75" s="8" t="s">
        <v>383</v>
      </c>
      <c r="C75" s="7" t="s">
        <v>4</v>
      </c>
      <c r="F75" s="7" t="str">
        <f>IF(OR(E75="Success",E75="Qualified Success"),"Current",IF(E75="Failure",IF(RIGHT(D75,6)="Future","Future",IF(RIGHT(D75,10)="Irrelevant","Irrelevant","Current")),""))</f>
        <v/>
      </c>
      <c r="G75" s="7" t="str">
        <f>IF(OR(ISBLANK(D75),D75="Unclassifiable &gt;"),"",IF(ISNUMBER(SEARCH("Utterance",D75)),"Utterance",IF(ISNUMBER(SEARCH("Response",D75)),"Response",IF(ISNUMBER(SEARCH("Interaction",D75)),"Interaction",IF(ISNUMBER(SEARCH("System",D75)),"System","")))))</f>
        <v/>
      </c>
      <c r="K75" s="7" t="s">
        <v>200</v>
      </c>
      <c r="L75" s="9">
        <v>45015</v>
      </c>
      <c r="M75" s="10">
        <v>0.58706018518518521</v>
      </c>
      <c r="N75" s="11">
        <v>204440003494499</v>
      </c>
      <c r="P75" t="str">
        <f>IF(D75="", "", COUNTIF($D$1:$D$2273, D75))</f>
        <v/>
      </c>
    </row>
    <row r="76" spans="1:16" ht="16" hidden="1" x14ac:dyDescent="0.2">
      <c r="A76" s="36" t="s">
        <v>98</v>
      </c>
      <c r="C76" s="7" t="s">
        <v>2</v>
      </c>
      <c r="D76" s="7" t="s">
        <v>206</v>
      </c>
      <c r="E76" s="7" t="str">
        <f>IF(OR(D76="", D76="___"),"", LEFT(D76,FIND(" &gt;",D76)-1))</f>
        <v>Success</v>
      </c>
      <c r="F76" s="7" t="str">
        <f>IF(OR(E76="Success",E76="Qualified Success"),"Current",IF(E76="Failure",IF(RIGHT(D76,6)="Future","Future",IF(RIGHT(D76,10)="Irrelevant","Irrelevant","Current")),""))</f>
        <v>Current</v>
      </c>
      <c r="G76" s="7" t="str">
        <f>IF(OR(ISBLANK(D76),D76="Unclassifiable &gt;"),"",IF(ISNUMBER(SEARCH("Utterance",D76)),"Utterance",IF(ISNUMBER(SEARCH("Response",D76)),"Response",IF(ISNUMBER(SEARCH("Interaction",D76)),"Interaction",IF(ISNUMBER(SEARCH("System",D76)),"System","")))))</f>
        <v/>
      </c>
      <c r="H76" s="7" t="str">
        <f>IF(G76="Utterance", IF(ISNUMBER(SEARCH("Unrecognized",D76)), "Unrecognized", IF(ISNUMBER(SEARCH("Mismatched",D76)), "Mismatched", IF(ISNUMBER(SEARCH("False Positive",D76)), "False Positive", "Irrelevant"))), "")</f>
        <v/>
      </c>
      <c r="J76" s="7" t="s">
        <v>25</v>
      </c>
      <c r="K76" s="7" t="s">
        <v>200</v>
      </c>
      <c r="L76" s="9">
        <v>45015</v>
      </c>
      <c r="M76" s="10">
        <v>0.5917013888888889</v>
      </c>
      <c r="N76" s="11">
        <v>204440003506463</v>
      </c>
      <c r="O76" s="7">
        <f>IF(LEN(TRIM($A76))=0,0,LEN($A76)-LEN(SUBSTITUTE($A76," ",""))+1)</f>
        <v>5</v>
      </c>
      <c r="P76">
        <f>IF(D76="", "", COUNTIF($D$1:$D$2273, D76))</f>
        <v>176</v>
      </c>
    </row>
    <row r="77" spans="1:16" ht="80" hidden="1" x14ac:dyDescent="0.2">
      <c r="A77" s="8" t="s">
        <v>404</v>
      </c>
      <c r="C77" s="7" t="s">
        <v>4</v>
      </c>
      <c r="F77" s="7" t="str">
        <f>IF(OR(E77="Success",E77="Qualified Success"),"Current",IF(E77="Failure",IF(RIGHT(D77,6)="Future","Future",IF(RIGHT(D77,10)="Irrelevant","Irrelevant","Current")),""))</f>
        <v/>
      </c>
      <c r="G77" s="7" t="str">
        <f>IF(OR(ISBLANK(D77),D77="Unclassifiable &gt;"),"",IF(ISNUMBER(SEARCH("Utterance",D77)),"Utterance",IF(ISNUMBER(SEARCH("Response",D77)),"Response",IF(ISNUMBER(SEARCH("Interaction",D77)),"Interaction",IF(ISNUMBER(SEARCH("System",D77)),"System","")))))</f>
        <v/>
      </c>
      <c r="K77" s="7" t="s">
        <v>200</v>
      </c>
      <c r="L77" s="9">
        <v>45015</v>
      </c>
      <c r="M77" s="10">
        <v>0.5917013888888889</v>
      </c>
      <c r="N77" s="11">
        <v>204440003506463</v>
      </c>
      <c r="P77" t="str">
        <f>IF(D77="", "", COUNTIF($D$1:$D$2273, D77))</f>
        <v/>
      </c>
    </row>
    <row r="78" spans="1:16" ht="16" hidden="1" x14ac:dyDescent="0.2">
      <c r="A78" s="36" t="s">
        <v>56</v>
      </c>
      <c r="C78" s="7" t="s">
        <v>2</v>
      </c>
      <c r="D78" s="7" t="s">
        <v>206</v>
      </c>
      <c r="E78" s="7" t="str">
        <f>IF(OR(D78="", D78="___"),"", LEFT(D78,FIND(" &gt;",D78)-1))</f>
        <v>Success</v>
      </c>
      <c r="F78" s="7" t="str">
        <f>IF(OR(E78="Success",E78="Qualified Success"),"Current",IF(E78="Failure",IF(RIGHT(D78,6)="Future","Future",IF(RIGHT(D78,10)="Irrelevant","Irrelevant","Current")),""))</f>
        <v>Current</v>
      </c>
      <c r="G78" s="7" t="str">
        <f>IF(OR(ISBLANK(D78),D78="Unclassifiable &gt;"),"",IF(ISNUMBER(SEARCH("Utterance",D78)),"Utterance",IF(ISNUMBER(SEARCH("Response",D78)),"Response",IF(ISNUMBER(SEARCH("Interaction",D78)),"Interaction",IF(ISNUMBER(SEARCH("System",D78)),"System","")))))</f>
        <v/>
      </c>
      <c r="H78" s="7" t="str">
        <f>IF(G78="Utterance", IF(ISNUMBER(SEARCH("Unrecognized",D78)), "Unrecognized", IF(ISNUMBER(SEARCH("Mismatched",D78)), "Mismatched", IF(ISNUMBER(SEARCH("False Positive",D78)), "False Positive", "Irrelevant"))), "")</f>
        <v/>
      </c>
      <c r="J78" s="7" t="s">
        <v>329</v>
      </c>
      <c r="K78" s="7" t="s">
        <v>200</v>
      </c>
      <c r="L78" s="9">
        <v>45015</v>
      </c>
      <c r="M78" s="10">
        <v>0.59366898148148151</v>
      </c>
      <c r="N78" s="11">
        <v>204440003496705</v>
      </c>
      <c r="O78" s="7">
        <f>IF(LEN(TRIM($A78))=0,0,LEN($A78)-LEN(SUBSTITUTE($A78," ",""))+1)</f>
        <v>6</v>
      </c>
      <c r="P78">
        <f>IF(D78="", "", COUNTIF($D$1:$D$2273, D78))</f>
        <v>176</v>
      </c>
    </row>
    <row r="79" spans="1:16" ht="96" hidden="1" x14ac:dyDescent="0.2">
      <c r="A79" s="8" t="s">
        <v>394</v>
      </c>
      <c r="C79" s="7" t="s">
        <v>4</v>
      </c>
      <c r="F79" s="7" t="str">
        <f>IF(OR(E79="Success",E79="Qualified Success"),"Current",IF(E79="Failure",IF(RIGHT(D79,6)="Future","Future",IF(RIGHT(D79,10)="Irrelevant","Irrelevant","Current")),""))</f>
        <v/>
      </c>
      <c r="G79" s="7" t="str">
        <f>IF(OR(ISBLANK(D79),D79="Unclassifiable &gt;"),"",IF(ISNUMBER(SEARCH("Utterance",D79)),"Utterance",IF(ISNUMBER(SEARCH("Response",D79)),"Response",IF(ISNUMBER(SEARCH("Interaction",D79)),"Interaction",IF(ISNUMBER(SEARCH("System",D79)),"System","")))))</f>
        <v/>
      </c>
      <c r="K79" s="7" t="s">
        <v>200</v>
      </c>
      <c r="L79" s="9">
        <v>45015</v>
      </c>
      <c r="M79" s="10">
        <v>0.59392361111111114</v>
      </c>
      <c r="N79" s="11">
        <v>204440003496705</v>
      </c>
      <c r="P79" t="str">
        <f>IF(D79="", "", COUNTIF($D$1:$D$2273, D79))</f>
        <v/>
      </c>
    </row>
    <row r="80" spans="1:16" ht="16" hidden="1" x14ac:dyDescent="0.2">
      <c r="A80" s="36" t="s">
        <v>21</v>
      </c>
      <c r="B80" s="7" t="s">
        <v>296</v>
      </c>
      <c r="C80" s="7" t="s">
        <v>2</v>
      </c>
      <c r="D80" s="7" t="s">
        <v>206</v>
      </c>
      <c r="E80" s="7" t="str">
        <f>IF(OR(D80="", D80="___"),"", LEFT(D80,FIND(" &gt;",D80)-1))</f>
        <v>Success</v>
      </c>
      <c r="F80" s="7" t="str">
        <f>IF(OR(E80="Success",E80="Qualified Success"),"Current",IF(E80="Failure",IF(RIGHT(D80,6)="Future","Future",IF(RIGHT(D80,10)="Irrelevant","Irrelevant","Current")),""))</f>
        <v>Current</v>
      </c>
      <c r="G80" s="7" t="str">
        <f>IF(OR(ISBLANK(D80),D80="Unclassifiable &gt;"),"",IF(ISNUMBER(SEARCH("Utterance",D80)),"Utterance",IF(ISNUMBER(SEARCH("Response",D80)),"Response",IF(ISNUMBER(SEARCH("Interaction",D80)),"Interaction",IF(ISNUMBER(SEARCH("System",D80)),"System","")))))</f>
        <v/>
      </c>
      <c r="H80" s="7" t="str">
        <f>IF(G80="Utterance", IF(ISNUMBER(SEARCH("Unrecognized",D80)), "Unrecognized", IF(ISNUMBER(SEARCH("Mismatched",D80)), "Mismatched", IF(ISNUMBER(SEARCH("False Positive",D80)), "False Positive", "Irrelevant"))), "")</f>
        <v/>
      </c>
      <c r="J80" s="7" t="s">
        <v>332</v>
      </c>
      <c r="K80" s="7" t="s">
        <v>200</v>
      </c>
      <c r="L80" s="9">
        <v>45015</v>
      </c>
      <c r="M80" s="10">
        <v>0.59450231481481486</v>
      </c>
      <c r="N80" s="11">
        <v>204440003511046</v>
      </c>
      <c r="O80" s="7">
        <f>IF(LEN(TRIM($A80))=0,0,LEN($A80)-LEN(SUBSTITUTE($A80," ",""))+1)</f>
        <v>4</v>
      </c>
      <c r="P80">
        <f>IF(D80="", "", COUNTIF($D$1:$D$2273, D80))</f>
        <v>176</v>
      </c>
    </row>
    <row r="81" spans="1:16" ht="48" hidden="1" x14ac:dyDescent="0.2">
      <c r="A81" s="8" t="s">
        <v>383</v>
      </c>
      <c r="C81" s="7" t="s">
        <v>4</v>
      </c>
      <c r="F81" s="7" t="str">
        <f>IF(OR(E81="Success",E81="Qualified Success"),"Current",IF(E81="Failure",IF(RIGHT(D81,6)="Future","Future",IF(RIGHT(D81,10)="Irrelevant","Irrelevant","Current")),""))</f>
        <v/>
      </c>
      <c r="G81" s="7" t="str">
        <f>IF(OR(ISBLANK(D81),D81="Unclassifiable &gt;"),"",IF(ISNUMBER(SEARCH("Utterance",D81)),"Utterance",IF(ISNUMBER(SEARCH("Response",D81)),"Response",IF(ISNUMBER(SEARCH("Interaction",D81)),"Interaction",IF(ISNUMBER(SEARCH("System",D81)),"System","")))))</f>
        <v/>
      </c>
      <c r="K81" s="7" t="s">
        <v>200</v>
      </c>
      <c r="L81" s="9">
        <v>45015</v>
      </c>
      <c r="M81" s="10">
        <v>0.59450231481481486</v>
      </c>
      <c r="N81" s="11">
        <v>204440003511046</v>
      </c>
      <c r="P81" t="str">
        <f>IF(D81="", "", COUNTIF($D$1:$D$2273, D81))</f>
        <v/>
      </c>
    </row>
    <row r="82" spans="1:16" ht="16" hidden="1" x14ac:dyDescent="0.2">
      <c r="A82" s="36" t="s">
        <v>142</v>
      </c>
      <c r="C82" s="7" t="s">
        <v>2</v>
      </c>
      <c r="D82" s="7" t="s">
        <v>208</v>
      </c>
      <c r="E82" s="7" t="str">
        <f>IF(OR(D82="", D82="___"),"", LEFT(D82,FIND(" &gt;",D82)-1))</f>
        <v>Failure</v>
      </c>
      <c r="F82" s="7" t="str">
        <f>IF(OR(E82="Success",E82="Qualified Success"),"Current",IF(E82="Failure",IF(RIGHT(D82,6)="Future","Future",IF(RIGHT(D82,10)="Irrelevant","Irrelevant","Current")),""))</f>
        <v>Current</v>
      </c>
      <c r="G82" s="7" t="str">
        <f>IF(OR(ISBLANK(D82),D82="Unclassifiable &gt;"),"",IF(ISNUMBER(SEARCH("Utterance",D82)),"Utterance",IF(ISNUMBER(SEARCH("Response",D82)),"Response",IF(ISNUMBER(SEARCH("Interaction",D82)),"Interaction",IF(ISNUMBER(SEARCH("System",D82)),"System","")))))</f>
        <v>Utterance</v>
      </c>
      <c r="H82" s="7" t="str">
        <f>IF(G82="Utterance", IF(ISNUMBER(SEARCH("Unrecognized",D82)), "Unrecognized", IF(ISNUMBER(SEARCH("Mismatched",D82)), "Mismatched", IF(ISNUMBER(SEARCH("False Positive",D82)), "False Positive", "Irrelevant"))), "")</f>
        <v>Mismatched</v>
      </c>
      <c r="J82" s="7" t="s">
        <v>329</v>
      </c>
      <c r="K82" s="7" t="s">
        <v>200</v>
      </c>
      <c r="L82" s="9">
        <v>45015</v>
      </c>
      <c r="M82" s="10">
        <v>0.59690972222222227</v>
      </c>
      <c r="N82" s="11">
        <v>202000426123599</v>
      </c>
      <c r="O82" s="7">
        <f>IF(LEN(TRIM($A82))=0,0,LEN($A82)-LEN(SUBSTITUTE($A82," ",""))+1)</f>
        <v>19</v>
      </c>
      <c r="P82">
        <f>IF(D82="", "", COUNTIF($D$1:$D$2273, D82))</f>
        <v>32</v>
      </c>
    </row>
    <row r="83" spans="1:16" ht="144" hidden="1" x14ac:dyDescent="0.2">
      <c r="A83" s="8" t="s">
        <v>384</v>
      </c>
      <c r="C83" s="7" t="s">
        <v>4</v>
      </c>
      <c r="F83" s="7" t="str">
        <f>IF(OR(E83="Success",E83="Qualified Success"),"Current",IF(E83="Failure",IF(RIGHT(D83,6)="Future","Future",IF(RIGHT(D83,10)="Irrelevant","Irrelevant","Current")),""))</f>
        <v/>
      </c>
      <c r="G83" s="7" t="str">
        <f>IF(OR(ISBLANK(D83),D83="Unclassifiable &gt;"),"",IF(ISNUMBER(SEARCH("Utterance",D83)),"Utterance",IF(ISNUMBER(SEARCH("Response",D83)),"Response",IF(ISNUMBER(SEARCH("Interaction",D83)),"Interaction",IF(ISNUMBER(SEARCH("System",D83)),"System","")))))</f>
        <v/>
      </c>
      <c r="K83" s="7" t="s">
        <v>200</v>
      </c>
      <c r="L83" s="9">
        <v>45015</v>
      </c>
      <c r="M83" s="10">
        <v>0.59692129629629631</v>
      </c>
      <c r="N83" s="11">
        <v>202000426123599</v>
      </c>
      <c r="P83" t="str">
        <f>IF(D83="", "", COUNTIF($D$1:$D$2273, D83))</f>
        <v/>
      </c>
    </row>
    <row r="84" spans="1:16" ht="48" hidden="1" x14ac:dyDescent="0.2">
      <c r="A84" s="36" t="s">
        <v>120</v>
      </c>
      <c r="C84" s="7" t="s">
        <v>2</v>
      </c>
      <c r="D84" s="7" t="s">
        <v>217</v>
      </c>
      <c r="E84" s="7" t="str">
        <f>IF(OR(D84="", D84="___"),"", LEFT(D84,FIND(" &gt;",D84)-1))</f>
        <v>Failure</v>
      </c>
      <c r="F84" s="7" t="str">
        <f>IF(OR(E84="Success",E84="Qualified Success"),"Current",IF(E84="Failure",IF(RIGHT(D84,6)="Future","Future",IF(RIGHT(D84,10)="Irrelevant","Irrelevant","Current")),""))</f>
        <v>Current</v>
      </c>
      <c r="G84" s="7" t="str">
        <f>IF(OR(ISBLANK(D84),D84="Unclassifiable &gt;"),"",IF(ISNUMBER(SEARCH("Utterance",D84)),"Utterance",IF(ISNUMBER(SEARCH("Response",D84)),"Response",IF(ISNUMBER(SEARCH("Interaction",D84)),"Interaction",IF(ISNUMBER(SEARCH("System",D84)),"System","")))))</f>
        <v>Interaction</v>
      </c>
      <c r="H84" s="7" t="str">
        <f>IF(G84="Utterance", IF(ISNUMBER(SEARCH("Unrecognized",D84)), "Unrecognized", IF(ISNUMBER(SEARCH("Mismatched",D84)), "Mismatched", IF(ISNUMBER(SEARCH("False Positive",D84)), "False Positive", "Irrelevant"))), "")</f>
        <v/>
      </c>
      <c r="J84" s="7" t="s">
        <v>247</v>
      </c>
      <c r="K84" s="7" t="s">
        <v>200</v>
      </c>
      <c r="L84" s="9">
        <v>45015</v>
      </c>
      <c r="M84" s="10">
        <v>0.60553240740740744</v>
      </c>
      <c r="N84" s="11">
        <v>204440003541134</v>
      </c>
      <c r="O84" s="7">
        <f>IF(LEN(TRIM($A84))=0,0,LEN($A84)-LEN(SUBSTITUTE($A84," ",""))+1)</f>
        <v>36</v>
      </c>
      <c r="P84">
        <f>IF(D84="", "", COUNTIF($D$1:$D$2273, D84))</f>
        <v>29</v>
      </c>
    </row>
    <row r="85" spans="1:16" ht="32" hidden="1" x14ac:dyDescent="0.2">
      <c r="A85" s="8" t="s">
        <v>405</v>
      </c>
      <c r="C85" s="7" t="s">
        <v>4</v>
      </c>
      <c r="F85" s="7" t="str">
        <f>IF(OR(E85="Success",E85="Qualified Success"),"Current",IF(E85="Failure",IF(RIGHT(D85,6)="Future","Future",IF(RIGHT(D85,10)="Irrelevant","Irrelevant","Current")),""))</f>
        <v/>
      </c>
      <c r="G85" s="7" t="str">
        <f>IF(OR(ISBLANK(D85),D85="Unclassifiable &gt;"),"",IF(ISNUMBER(SEARCH("Utterance",D85)),"Utterance",IF(ISNUMBER(SEARCH("Response",D85)),"Response",IF(ISNUMBER(SEARCH("Interaction",D85)),"Interaction",IF(ISNUMBER(SEARCH("System",D85)),"System","")))))</f>
        <v/>
      </c>
      <c r="K85" s="7" t="s">
        <v>200</v>
      </c>
      <c r="L85" s="9">
        <v>45015</v>
      </c>
      <c r="M85" s="10">
        <v>0.60553240740740744</v>
      </c>
      <c r="N85" s="11">
        <v>204440003541134</v>
      </c>
      <c r="P85" t="str">
        <f>IF(D85="", "", COUNTIF($D$1:$D$2273, D85))</f>
        <v/>
      </c>
    </row>
    <row r="86" spans="1:16" ht="16" hidden="1" x14ac:dyDescent="0.2">
      <c r="A86" s="36" t="s">
        <v>119</v>
      </c>
      <c r="C86" s="7" t="s">
        <v>2</v>
      </c>
      <c r="D86" s="7" t="s">
        <v>217</v>
      </c>
      <c r="E86" s="7" t="str">
        <f>IF(OR(D86="", D86="___"),"", LEFT(D86,FIND(" &gt;",D86)-1))</f>
        <v>Failure</v>
      </c>
      <c r="F86" s="7" t="str">
        <f>IF(OR(E86="Success",E86="Qualified Success"),"Current",IF(E86="Failure",IF(RIGHT(D86,6)="Future","Future",IF(RIGHT(D86,10)="Irrelevant","Irrelevant","Current")),""))</f>
        <v>Current</v>
      </c>
      <c r="G86" s="7" t="str">
        <f>IF(OR(ISBLANK(D86),D86="Unclassifiable &gt;"),"",IF(ISNUMBER(SEARCH("Utterance",D86)),"Utterance",IF(ISNUMBER(SEARCH("Response",D86)),"Response",IF(ISNUMBER(SEARCH("Interaction",D86)),"Interaction",IF(ISNUMBER(SEARCH("System",D86)),"System","")))))</f>
        <v>Interaction</v>
      </c>
      <c r="H86" s="7" t="str">
        <f>IF(G86="Utterance", IF(ISNUMBER(SEARCH("Unrecognized",D86)), "Unrecognized", IF(ISNUMBER(SEARCH("Mismatched",D86)), "Mismatched", IF(ISNUMBER(SEARCH("False Positive",D86)), "False Positive", "Irrelevant"))), "")</f>
        <v/>
      </c>
      <c r="J86" s="7" t="s">
        <v>247</v>
      </c>
      <c r="K86" s="7" t="s">
        <v>200</v>
      </c>
      <c r="L86" s="9">
        <v>45015</v>
      </c>
      <c r="M86" s="10">
        <v>0.60572916666666665</v>
      </c>
      <c r="N86" s="11">
        <v>204440003541134</v>
      </c>
      <c r="O86" s="7">
        <f>IF(LEN(TRIM($A86))=0,0,LEN($A86)-LEN(SUBSTITUTE($A86," ",""))+1)</f>
        <v>6</v>
      </c>
      <c r="P86">
        <f>IF(D86="", "", COUNTIF($D$1:$D$2273, D86))</f>
        <v>29</v>
      </c>
    </row>
    <row r="87" spans="1:16" ht="32" hidden="1" x14ac:dyDescent="0.2">
      <c r="A87" s="8" t="s">
        <v>405</v>
      </c>
      <c r="C87" s="7" t="s">
        <v>4</v>
      </c>
      <c r="F87" s="7" t="str">
        <f>IF(OR(E87="Success",E87="Qualified Success"),"Current",IF(E87="Failure",IF(RIGHT(D87,6)="Future","Future",IF(RIGHT(D87,10)="Irrelevant","Irrelevant","Current")),""))</f>
        <v/>
      </c>
      <c r="G87" s="7" t="str">
        <f>IF(OR(ISBLANK(D87),D87="Unclassifiable &gt;"),"",IF(ISNUMBER(SEARCH("Utterance",D87)),"Utterance",IF(ISNUMBER(SEARCH("Response",D87)),"Response",IF(ISNUMBER(SEARCH("Interaction",D87)),"Interaction",IF(ISNUMBER(SEARCH("System",D87)),"System","")))))</f>
        <v/>
      </c>
      <c r="K87" s="7" t="s">
        <v>200</v>
      </c>
      <c r="L87" s="9">
        <v>45015</v>
      </c>
      <c r="M87" s="10">
        <v>0.60572916666666665</v>
      </c>
      <c r="N87" s="11">
        <v>204440003541134</v>
      </c>
      <c r="P87" t="str">
        <f>IF(D87="", "", COUNTIF($D$1:$D$2273, D87))</f>
        <v/>
      </c>
    </row>
    <row r="88" spans="1:16" ht="16" hidden="1" x14ac:dyDescent="0.2">
      <c r="A88" s="36" t="s">
        <v>119</v>
      </c>
      <c r="C88" s="7" t="s">
        <v>2</v>
      </c>
      <c r="D88" s="7" t="s">
        <v>208</v>
      </c>
      <c r="E88" s="7" t="str">
        <f>IF(OR(D88="", D88="___"),"", LEFT(D88,FIND(" &gt;",D88)-1))</f>
        <v>Failure</v>
      </c>
      <c r="F88" s="7" t="str">
        <f>IF(OR(E88="Success",E88="Qualified Success"),"Current",IF(E88="Failure",IF(RIGHT(D88,6)="Future","Future",IF(RIGHT(D88,10)="Irrelevant","Irrelevant","Current")),""))</f>
        <v>Current</v>
      </c>
      <c r="G88" s="7" t="str">
        <f>IF(OR(ISBLANK(D88),D88="Unclassifiable &gt;"),"",IF(ISNUMBER(SEARCH("Utterance",D88)),"Utterance",IF(ISNUMBER(SEARCH("Response",D88)),"Response",IF(ISNUMBER(SEARCH("Interaction",D88)),"Interaction",IF(ISNUMBER(SEARCH("System",D88)),"System","")))))</f>
        <v>Utterance</v>
      </c>
      <c r="H88" s="7" t="str">
        <f>IF(G88="Utterance", IF(ISNUMBER(SEARCH("Unrecognized",D88)), "Unrecognized", IF(ISNUMBER(SEARCH("Mismatched",D88)), "Mismatched", IF(ISNUMBER(SEARCH("False Positive",D88)), "False Positive", "Irrelevant"))), "")</f>
        <v>Mismatched</v>
      </c>
      <c r="J88" s="7" t="s">
        <v>247</v>
      </c>
      <c r="K88" s="7" t="s">
        <v>200</v>
      </c>
      <c r="L88" s="9">
        <v>45015</v>
      </c>
      <c r="M88" s="10">
        <v>0.60601851851851851</v>
      </c>
      <c r="N88" s="11">
        <v>204440003541134</v>
      </c>
      <c r="O88" s="7">
        <f>IF(LEN(TRIM($A88))=0,0,LEN($A88)-LEN(SUBSTITUTE($A88," ",""))+1)</f>
        <v>6</v>
      </c>
      <c r="P88">
        <f>IF(D88="", "", COUNTIF($D$1:$D$2273, D88))</f>
        <v>32</v>
      </c>
    </row>
    <row r="89" spans="1:16" ht="32" hidden="1" x14ac:dyDescent="0.2">
      <c r="A89" s="8" t="s">
        <v>405</v>
      </c>
      <c r="C89" s="7" t="s">
        <v>4</v>
      </c>
      <c r="F89" s="7" t="str">
        <f>IF(OR(E89="Success",E89="Qualified Success"),"Current",IF(E89="Failure",IF(RIGHT(D89,6)="Future","Future",IF(RIGHT(D89,10)="Irrelevant","Irrelevant","Current")),""))</f>
        <v/>
      </c>
      <c r="G89" s="7" t="str">
        <f>IF(OR(ISBLANK(D89),D89="Unclassifiable &gt;"),"",IF(ISNUMBER(SEARCH("Utterance",D89)),"Utterance",IF(ISNUMBER(SEARCH("Response",D89)),"Response",IF(ISNUMBER(SEARCH("Interaction",D89)),"Interaction",IF(ISNUMBER(SEARCH("System",D89)),"System","")))))</f>
        <v/>
      </c>
      <c r="K89" s="7" t="s">
        <v>200</v>
      </c>
      <c r="L89" s="9">
        <v>45015</v>
      </c>
      <c r="M89" s="10">
        <v>0.60601851851851851</v>
      </c>
      <c r="N89" s="11">
        <v>204440003541134</v>
      </c>
      <c r="P89" t="str">
        <f>IF(D89="", "", COUNTIF($D$1:$D$2273, D89))</f>
        <v/>
      </c>
    </row>
    <row r="90" spans="1:16" ht="16" hidden="1" x14ac:dyDescent="0.2">
      <c r="A90" s="36" t="s">
        <v>36</v>
      </c>
      <c r="B90" s="7" t="s">
        <v>296</v>
      </c>
      <c r="C90" s="7" t="s">
        <v>2</v>
      </c>
      <c r="D90" s="7" t="s">
        <v>206</v>
      </c>
      <c r="E90" s="7" t="str">
        <f>IF(OR(D90="", D90="___"),"", LEFT(D90,FIND(" &gt;",D90)-1))</f>
        <v>Success</v>
      </c>
      <c r="F90" s="7" t="str">
        <f>IF(OR(E90="Success",E90="Qualified Success"),"Current",IF(E90="Failure",IF(RIGHT(D90,6)="Future","Future",IF(RIGHT(D90,10)="Irrelevant","Irrelevant","Current")),""))</f>
        <v>Current</v>
      </c>
      <c r="G90" s="7" t="str">
        <f>IF(OR(ISBLANK(D90),D90="Unclassifiable &gt;"),"",IF(ISNUMBER(SEARCH("Utterance",D90)),"Utterance",IF(ISNUMBER(SEARCH("Response",D90)),"Response",IF(ISNUMBER(SEARCH("Interaction",D90)),"Interaction",IF(ISNUMBER(SEARCH("System",D90)),"System","")))))</f>
        <v/>
      </c>
      <c r="H90" s="7" t="str">
        <f>IF(G90="Utterance", IF(ISNUMBER(SEARCH("Unrecognized",D90)), "Unrecognized", IF(ISNUMBER(SEARCH("Mismatched",D90)), "Mismatched", IF(ISNUMBER(SEARCH("False Positive",D90)), "False Positive", "Irrelevant"))), "")</f>
        <v/>
      </c>
      <c r="J90" s="7" t="s">
        <v>243</v>
      </c>
      <c r="K90" s="7" t="s">
        <v>200</v>
      </c>
      <c r="L90" s="9">
        <v>45015</v>
      </c>
      <c r="M90" s="10">
        <v>0.6098958333333333</v>
      </c>
      <c r="N90" s="11">
        <v>204440003487454</v>
      </c>
      <c r="O90" s="7">
        <f>IF(LEN(TRIM($A90))=0,0,LEN($A90)-LEN(SUBSTITUTE($A90," ",""))+1)</f>
        <v>3</v>
      </c>
      <c r="P90">
        <f>IF(D90="", "", COUNTIF($D$1:$D$2273, D90))</f>
        <v>176</v>
      </c>
    </row>
    <row r="91" spans="1:16" ht="32" hidden="1" x14ac:dyDescent="0.2">
      <c r="A91" s="8" t="s">
        <v>381</v>
      </c>
      <c r="C91" s="7" t="s">
        <v>4</v>
      </c>
      <c r="F91" s="7" t="str">
        <f>IF(OR(E91="Success",E91="Qualified Success"),"Current",IF(E91="Failure",IF(RIGHT(D91,6)="Future","Future",IF(RIGHT(D91,10)="Irrelevant","Irrelevant","Current")),""))</f>
        <v/>
      </c>
      <c r="G91" s="7" t="str">
        <f>IF(OR(ISBLANK(D91),D91="Unclassifiable &gt;"),"",IF(ISNUMBER(SEARCH("Utterance",D91)),"Utterance",IF(ISNUMBER(SEARCH("Response",D91)),"Response",IF(ISNUMBER(SEARCH("Interaction",D91)),"Interaction",IF(ISNUMBER(SEARCH("System",D91)),"System","")))))</f>
        <v/>
      </c>
      <c r="K91" s="7" t="s">
        <v>200</v>
      </c>
      <c r="L91" s="9">
        <v>45015</v>
      </c>
      <c r="M91" s="10">
        <v>0.6098958333333333</v>
      </c>
      <c r="N91" s="11">
        <v>204440003487454</v>
      </c>
      <c r="P91" t="str">
        <f>IF(D91="", "", COUNTIF($D$1:$D$2273, D91))</f>
        <v/>
      </c>
    </row>
    <row r="92" spans="1:16" ht="16" x14ac:dyDescent="0.2">
      <c r="A92" s="36" t="s">
        <v>67</v>
      </c>
      <c r="B92" s="7" t="s">
        <v>296</v>
      </c>
      <c r="C92" s="7" t="s">
        <v>2</v>
      </c>
      <c r="D92" s="7" t="s">
        <v>206</v>
      </c>
      <c r="E92" s="7" t="str">
        <f>IF(OR(D92="", D92="___"),"", LEFT(D92,FIND(" &gt;",D92)-1))</f>
        <v>Success</v>
      </c>
      <c r="F92" s="7" t="str">
        <f>IF(OR(E92="Success",E92="Qualified Success"),"Current",IF(E92="Failure",IF(RIGHT(D92,6)="Future","Future",IF(RIGHT(D92,10)="Irrelevant","Irrelevant","Current")),""))</f>
        <v>Current</v>
      </c>
      <c r="G92" s="7" t="str">
        <f>IF(OR(ISBLANK(D92),D92="Unclassifiable &gt;"),"",IF(ISNUMBER(SEARCH("Utterance",D92)),"Utterance",IF(ISNUMBER(SEARCH("Response",D92)),"Response",IF(ISNUMBER(SEARCH("Interaction",D92)),"Interaction",IF(ISNUMBER(SEARCH("System",D92)),"System","")))))</f>
        <v/>
      </c>
      <c r="H92" s="7" t="str">
        <f>IF(G92="Utterance", IF(ISNUMBER(SEARCH("Unrecognized",D92)), "Unrecognized", IF(ISNUMBER(SEARCH("Mismatched",D92)), "Mismatched", IF(ISNUMBER(SEARCH("False Positive",D92)), "False Positive", "Irrelevant"))), "")</f>
        <v/>
      </c>
      <c r="J92" s="7" t="s">
        <v>331</v>
      </c>
      <c r="K92" s="7" t="s">
        <v>200</v>
      </c>
      <c r="L92" s="9">
        <v>45015</v>
      </c>
      <c r="M92" s="10">
        <v>0.61084490740740738</v>
      </c>
      <c r="N92" s="11">
        <v>204440003507830</v>
      </c>
      <c r="O92" s="7">
        <f>IF(LEN(TRIM($A92))=0,0,LEN($A92)-LEN(SUBSTITUTE($A92," ",""))+1)</f>
        <v>4</v>
      </c>
      <c r="P92">
        <f>IF(D92="", "", COUNTIF($D$1:$D$2273, D92))</f>
        <v>176</v>
      </c>
    </row>
    <row r="93" spans="1:16" ht="96" hidden="1" x14ac:dyDescent="0.2">
      <c r="A93" s="8" t="s">
        <v>394</v>
      </c>
      <c r="C93" s="7" t="s">
        <v>4</v>
      </c>
      <c r="F93" s="7" t="str">
        <f>IF(OR(E93="Success",E93="Qualified Success"),"Current",IF(E93="Failure",IF(RIGHT(D93,6)="Future","Future",IF(RIGHT(D93,10)="Irrelevant","Irrelevant","Current")),""))</f>
        <v/>
      </c>
      <c r="G93" s="7" t="str">
        <f>IF(OR(ISBLANK(D93),D93="Unclassifiable &gt;"),"",IF(ISNUMBER(SEARCH("Utterance",D93)),"Utterance",IF(ISNUMBER(SEARCH("Response",D93)),"Response",IF(ISNUMBER(SEARCH("Interaction",D93)),"Interaction",IF(ISNUMBER(SEARCH("System",D93)),"System","")))))</f>
        <v/>
      </c>
      <c r="K93" s="7" t="s">
        <v>200</v>
      </c>
      <c r="L93" s="9">
        <v>45015</v>
      </c>
      <c r="M93" s="10">
        <v>0.61085648148148153</v>
      </c>
      <c r="N93" s="11">
        <v>204440003507830</v>
      </c>
      <c r="P93" t="str">
        <f>IF(D93="", "", COUNTIF($D$1:$D$2273, D93))</f>
        <v/>
      </c>
    </row>
    <row r="94" spans="1:16" ht="16" hidden="1" x14ac:dyDescent="0.2">
      <c r="A94" s="36" t="s">
        <v>108</v>
      </c>
      <c r="C94" s="7" t="s">
        <v>2</v>
      </c>
      <c r="D94" s="7" t="s">
        <v>206</v>
      </c>
      <c r="E94" s="7" t="str">
        <f>IF(OR(D94="", D94="___"),"", LEFT(D94,FIND(" &gt;",D94)-1))</f>
        <v>Success</v>
      </c>
      <c r="F94" s="7" t="str">
        <f>IF(OR(E94="Success",E94="Qualified Success"),"Current",IF(E94="Failure",IF(RIGHT(D94,6)="Future","Future",IF(RIGHT(D94,10)="Irrelevant","Irrelevant","Current")),""))</f>
        <v>Current</v>
      </c>
      <c r="G94" s="7" t="str">
        <f>IF(OR(ISBLANK(D94),D94="Unclassifiable &gt;"),"",IF(ISNUMBER(SEARCH("Utterance",D94)),"Utterance",IF(ISNUMBER(SEARCH("Response",D94)),"Response",IF(ISNUMBER(SEARCH("Interaction",D94)),"Interaction",IF(ISNUMBER(SEARCH("System",D94)),"System","")))))</f>
        <v/>
      </c>
      <c r="H94" s="7" t="str">
        <f>IF(G94="Utterance", IF(ISNUMBER(SEARCH("Unrecognized",D94)), "Unrecognized", IF(ISNUMBER(SEARCH("Mismatched",D94)), "Mismatched", IF(ISNUMBER(SEARCH("False Positive",D94)), "False Positive", "Irrelevant"))), "")</f>
        <v/>
      </c>
      <c r="J94" s="7" t="s">
        <v>335</v>
      </c>
      <c r="K94" s="7" t="s">
        <v>200</v>
      </c>
      <c r="L94" s="9">
        <v>45015</v>
      </c>
      <c r="M94" s="10">
        <v>0.61157407407407405</v>
      </c>
      <c r="N94" s="11">
        <v>204440003507830</v>
      </c>
      <c r="O94" s="7">
        <f>IF(LEN(TRIM($A94))=0,0,LEN($A94)-LEN(SUBSTITUTE($A94," ",""))+1)</f>
        <v>20</v>
      </c>
      <c r="P94">
        <f>IF(D94="", "", COUNTIF($D$1:$D$2273, D94))</f>
        <v>176</v>
      </c>
    </row>
    <row r="95" spans="1:16" ht="144" hidden="1" x14ac:dyDescent="0.2">
      <c r="A95" s="8" t="s">
        <v>385</v>
      </c>
      <c r="C95" s="7" t="s">
        <v>4</v>
      </c>
      <c r="F95" s="7" t="str">
        <f>IF(OR(E95="Success",E95="Qualified Success"),"Current",IF(E95="Failure",IF(RIGHT(D95,6)="Future","Future",IF(RIGHT(D95,10)="Irrelevant","Irrelevant","Current")),""))</f>
        <v/>
      </c>
      <c r="G95" s="7" t="str">
        <f>IF(OR(ISBLANK(D95),D95="Unclassifiable &gt;"),"",IF(ISNUMBER(SEARCH("Utterance",D95)),"Utterance",IF(ISNUMBER(SEARCH("Response",D95)),"Response",IF(ISNUMBER(SEARCH("Interaction",D95)),"Interaction",IF(ISNUMBER(SEARCH("System",D95)),"System","")))))</f>
        <v/>
      </c>
      <c r="K95" s="7" t="s">
        <v>200</v>
      </c>
      <c r="L95" s="9">
        <v>45015</v>
      </c>
      <c r="M95" s="10">
        <v>0.61157407407407405</v>
      </c>
      <c r="N95" s="11">
        <v>204440003507830</v>
      </c>
      <c r="P95" t="str">
        <f>IF(D95="", "", COUNTIF($D$1:$D$2273, D95))</f>
        <v/>
      </c>
    </row>
    <row r="96" spans="1:16" ht="16" hidden="1" x14ac:dyDescent="0.2">
      <c r="A96" s="36" t="s">
        <v>143</v>
      </c>
      <c r="C96" s="7" t="s">
        <v>2</v>
      </c>
      <c r="D96" s="7" t="s">
        <v>217</v>
      </c>
      <c r="E96" s="7" t="str">
        <f>IF(OR(D96="", D96="___"),"", LEFT(D96,FIND(" &gt;",D96)-1))</f>
        <v>Failure</v>
      </c>
      <c r="F96" s="7" t="str">
        <f>IF(OR(E96="Success",E96="Qualified Success"),"Current",IF(E96="Failure",IF(RIGHT(D96,6)="Future","Future",IF(RIGHT(D96,10)="Irrelevant","Irrelevant","Current")),""))</f>
        <v>Current</v>
      </c>
      <c r="G96" s="7" t="str">
        <f>IF(OR(ISBLANK(D96),D96="Unclassifiable &gt;"),"",IF(ISNUMBER(SEARCH("Utterance",D96)),"Utterance",IF(ISNUMBER(SEARCH("Response",D96)),"Response",IF(ISNUMBER(SEARCH("Interaction",D96)),"Interaction",IF(ISNUMBER(SEARCH("System",D96)),"System","")))))</f>
        <v>Interaction</v>
      </c>
      <c r="H96" s="7" t="str">
        <f>IF(G96="Utterance", IF(ISNUMBER(SEARCH("Unrecognized",D96)), "Unrecognized", IF(ISNUMBER(SEARCH("Mismatched",D96)), "Mismatched", IF(ISNUMBER(SEARCH("False Positive",D96)), "False Positive", "Irrelevant"))), "")</f>
        <v/>
      </c>
      <c r="J96" s="7" t="s">
        <v>329</v>
      </c>
      <c r="K96" s="7" t="s">
        <v>200</v>
      </c>
      <c r="L96" s="9">
        <v>45015</v>
      </c>
      <c r="M96" s="10">
        <v>0.61222222222222222</v>
      </c>
      <c r="N96" s="11">
        <v>202000426123599</v>
      </c>
      <c r="O96" s="7">
        <f>IF(LEN(TRIM($A96))=0,0,LEN($A96)-LEN(SUBSTITUTE($A96," ",""))+1)</f>
        <v>16</v>
      </c>
      <c r="P96">
        <f>IF(D96="", "", COUNTIF($D$1:$D$2273, D96))</f>
        <v>29</v>
      </c>
    </row>
    <row r="97" spans="1:16" ht="144" hidden="1" x14ac:dyDescent="0.2">
      <c r="A97" s="8" t="s">
        <v>385</v>
      </c>
      <c r="C97" s="7" t="s">
        <v>4</v>
      </c>
      <c r="F97" s="7" t="str">
        <f>IF(OR(E97="Success",E97="Qualified Success"),"Current",IF(E97="Failure",IF(RIGHT(D97,6)="Future","Future",IF(RIGHT(D97,10)="Irrelevant","Irrelevant","Current")),""))</f>
        <v/>
      </c>
      <c r="G97" s="7" t="str">
        <f>IF(OR(ISBLANK(D97),D97="Unclassifiable &gt;"),"",IF(ISNUMBER(SEARCH("Utterance",D97)),"Utterance",IF(ISNUMBER(SEARCH("Response",D97)),"Response",IF(ISNUMBER(SEARCH("Interaction",D97)),"Interaction",IF(ISNUMBER(SEARCH("System",D97)),"System","")))))</f>
        <v/>
      </c>
      <c r="K97" s="7" t="s">
        <v>200</v>
      </c>
      <c r="L97" s="9">
        <v>45015</v>
      </c>
      <c r="M97" s="10">
        <v>0.61222222222222222</v>
      </c>
      <c r="N97" s="11">
        <v>202000426123599</v>
      </c>
      <c r="P97" t="str">
        <f>IF(D97="", "", COUNTIF($D$1:$D$2273, D97))</f>
        <v/>
      </c>
    </row>
    <row r="98" spans="1:16" ht="16" hidden="1" x14ac:dyDescent="0.2">
      <c r="A98" s="36" t="s">
        <v>48</v>
      </c>
      <c r="B98" s="7" t="s">
        <v>296</v>
      </c>
      <c r="C98" s="7" t="s">
        <v>2</v>
      </c>
      <c r="D98" s="7" t="s">
        <v>206</v>
      </c>
      <c r="E98" s="7" t="str">
        <f>IF(OR(D98="", D98="___"),"", LEFT(D98,FIND(" &gt;",D98)-1))</f>
        <v>Success</v>
      </c>
      <c r="F98" s="7" t="str">
        <f>IF(OR(E98="Success",E98="Qualified Success"),"Current",IF(E98="Failure",IF(RIGHT(D98,6)="Future","Future",IF(RIGHT(D98,10)="Irrelevant","Irrelevant","Current")),""))</f>
        <v>Current</v>
      </c>
      <c r="G98" s="7" t="str">
        <f>IF(OR(ISBLANK(D98),D98="Unclassifiable &gt;"),"",IF(ISNUMBER(SEARCH("Utterance",D98)),"Utterance",IF(ISNUMBER(SEARCH("Response",D98)),"Response",IF(ISNUMBER(SEARCH("Interaction",D98)),"Interaction",IF(ISNUMBER(SEARCH("System",D98)),"System","")))))</f>
        <v/>
      </c>
      <c r="H98" s="7" t="str">
        <f>IF(G98="Utterance", IF(ISNUMBER(SEARCH("Unrecognized",D98)), "Unrecognized", IF(ISNUMBER(SEARCH("Mismatched",D98)), "Mismatched", IF(ISNUMBER(SEARCH("False Positive",D98)), "False Positive", "Irrelevant"))), "")</f>
        <v/>
      </c>
      <c r="J98" s="7" t="s">
        <v>342</v>
      </c>
      <c r="K98" s="7" t="s">
        <v>200</v>
      </c>
      <c r="L98" s="9">
        <v>45015</v>
      </c>
      <c r="M98" s="10">
        <v>0.61299768518518516</v>
      </c>
      <c r="N98" s="11">
        <v>513003515969602</v>
      </c>
      <c r="O98" s="7">
        <f>IF(LEN(TRIM($A98))=0,0,LEN($A98)-LEN(SUBSTITUTE($A98," ",""))+1)</f>
        <v>4</v>
      </c>
      <c r="P98">
        <f>IF(D98="", "", COUNTIF($D$1:$D$2273, D98))</f>
        <v>176</v>
      </c>
    </row>
    <row r="99" spans="1:16" ht="16" hidden="1" x14ac:dyDescent="0.2">
      <c r="A99" s="8" t="s">
        <v>205</v>
      </c>
      <c r="C99" s="7" t="s">
        <v>4</v>
      </c>
      <c r="F99" s="7" t="str">
        <f>IF(OR(E99="Success",E99="Qualified Success"),"Current",IF(E99="Failure",IF(RIGHT(D99,6)="Future","Future",IF(RIGHT(D99,10)="Irrelevant","Irrelevant","Current")),""))</f>
        <v/>
      </c>
      <c r="G99" s="7" t="str">
        <f>IF(OR(ISBLANK(D99),D99="Unclassifiable &gt;"),"",IF(ISNUMBER(SEARCH("Utterance",D99)),"Utterance",IF(ISNUMBER(SEARCH("Response",D99)),"Response",IF(ISNUMBER(SEARCH("Interaction",D99)),"Interaction",IF(ISNUMBER(SEARCH("System",D99)),"System","")))))</f>
        <v/>
      </c>
      <c r="K99" s="7" t="s">
        <v>200</v>
      </c>
      <c r="L99" s="9">
        <v>45015</v>
      </c>
      <c r="M99" s="10">
        <v>0.61302083333333335</v>
      </c>
      <c r="N99" s="11">
        <v>513003515969602</v>
      </c>
      <c r="P99" t="str">
        <f>IF(D99="", "", COUNTIF($D$1:$D$2273, D99))</f>
        <v/>
      </c>
    </row>
    <row r="100" spans="1:16" ht="16" hidden="1" x14ac:dyDescent="0.2">
      <c r="A100" s="8" t="s">
        <v>406</v>
      </c>
      <c r="C100" s="7" t="s">
        <v>4</v>
      </c>
      <c r="F100" s="7" t="str">
        <f>IF(OR(E100="Success",E100="Qualified Success"),"Current",IF(E100="Failure",IF(RIGHT(D100,6)="Future","Future",IF(RIGHT(D100,10)="Irrelevant","Irrelevant","Current")),""))</f>
        <v/>
      </c>
      <c r="G100" s="7" t="str">
        <f>IF(OR(ISBLANK(D100),D100="Unclassifiable &gt;"),"",IF(ISNUMBER(SEARCH("Utterance",D100)),"Utterance",IF(ISNUMBER(SEARCH("Response",D100)),"Response",IF(ISNUMBER(SEARCH("Interaction",D100)),"Interaction",IF(ISNUMBER(SEARCH("System",D100)),"System","")))))</f>
        <v/>
      </c>
      <c r="K100" s="7" t="s">
        <v>200</v>
      </c>
      <c r="L100" s="9">
        <v>45015</v>
      </c>
      <c r="M100" s="10">
        <v>0.61302083333333335</v>
      </c>
      <c r="N100" s="11">
        <v>513003515969602</v>
      </c>
      <c r="P100" t="str">
        <f>IF(D100="", "", COUNTIF($D$1:$D$2273, D100))</f>
        <v/>
      </c>
    </row>
    <row r="101" spans="1:16" ht="16" hidden="1" x14ac:dyDescent="0.2">
      <c r="A101" s="36" t="s">
        <v>36</v>
      </c>
      <c r="B101" s="7" t="s">
        <v>296</v>
      </c>
      <c r="C101" s="7" t="s">
        <v>2</v>
      </c>
      <c r="D101" s="7" t="s">
        <v>206</v>
      </c>
      <c r="E101" s="7" t="str">
        <f>IF(OR(D101="", D101="___"),"", LEFT(D101,FIND(" &gt;",D101)-1))</f>
        <v>Success</v>
      </c>
      <c r="F101" s="7" t="str">
        <f>IF(OR(E101="Success",E101="Qualified Success"),"Current",IF(E101="Failure",IF(RIGHT(D101,6)="Future","Future",IF(RIGHT(D101,10)="Irrelevant","Irrelevant","Current")),""))</f>
        <v>Current</v>
      </c>
      <c r="G101" s="7" t="str">
        <f>IF(OR(ISBLANK(D101),D101="Unclassifiable &gt;"),"",IF(ISNUMBER(SEARCH("Utterance",D101)),"Utterance",IF(ISNUMBER(SEARCH("Response",D101)),"Response",IF(ISNUMBER(SEARCH("Interaction",D101)),"Interaction",IF(ISNUMBER(SEARCH("System",D101)),"System","")))))</f>
        <v/>
      </c>
      <c r="H101" s="7" t="str">
        <f>IF(G101="Utterance", IF(ISNUMBER(SEARCH("Unrecognized",D101)), "Unrecognized", IF(ISNUMBER(SEARCH("Mismatched",D101)), "Mismatched", IF(ISNUMBER(SEARCH("False Positive",D101)), "False Positive", "Irrelevant"))), "")</f>
        <v/>
      </c>
      <c r="J101" s="7" t="s">
        <v>243</v>
      </c>
      <c r="K101" s="7" t="s">
        <v>200</v>
      </c>
      <c r="L101" s="9">
        <v>45015</v>
      </c>
      <c r="M101" s="10">
        <v>0.61326388888888894</v>
      </c>
      <c r="N101" s="11">
        <v>513003515969602</v>
      </c>
      <c r="O101" s="7">
        <f>IF(LEN(TRIM($A101))=0,0,LEN($A101)-LEN(SUBSTITUTE($A101," ",""))+1)</f>
        <v>3</v>
      </c>
      <c r="P101">
        <f>IF(D101="", "", COUNTIF($D$1:$D$2273, D101))</f>
        <v>176</v>
      </c>
    </row>
    <row r="102" spans="1:16" ht="32" hidden="1" x14ac:dyDescent="0.2">
      <c r="A102" s="8" t="s">
        <v>381</v>
      </c>
      <c r="C102" s="7" t="s">
        <v>4</v>
      </c>
      <c r="F102" s="7" t="str">
        <f>IF(OR(E102="Success",E102="Qualified Success"),"Current",IF(E102="Failure",IF(RIGHT(D102,6)="Future","Future",IF(RIGHT(D102,10)="Irrelevant","Irrelevant","Current")),""))</f>
        <v/>
      </c>
      <c r="G102" s="7" t="str">
        <f>IF(OR(ISBLANK(D102),D102="Unclassifiable &gt;"),"",IF(ISNUMBER(SEARCH("Utterance",D102)),"Utterance",IF(ISNUMBER(SEARCH("Response",D102)),"Response",IF(ISNUMBER(SEARCH("Interaction",D102)),"Interaction",IF(ISNUMBER(SEARCH("System",D102)),"System","")))))</f>
        <v/>
      </c>
      <c r="K102" s="7" t="s">
        <v>200</v>
      </c>
      <c r="L102" s="9">
        <v>45015</v>
      </c>
      <c r="M102" s="10">
        <v>0.61326388888888894</v>
      </c>
      <c r="N102" s="11">
        <v>513003515969602</v>
      </c>
      <c r="P102" t="str">
        <f>IF(D102="", "", COUNTIF($D$1:$D$2273, D102))</f>
        <v/>
      </c>
    </row>
    <row r="103" spans="1:16" ht="16" hidden="1" x14ac:dyDescent="0.2">
      <c r="A103" s="36" t="s">
        <v>45</v>
      </c>
      <c r="B103" s="7" t="s">
        <v>296</v>
      </c>
      <c r="C103" s="7" t="s">
        <v>2</v>
      </c>
      <c r="D103" s="7" t="s">
        <v>206</v>
      </c>
      <c r="E103" s="7" t="str">
        <f>IF(OR(D103="", D103="___"),"", LEFT(D103,FIND(" &gt;",D103)-1))</f>
        <v>Success</v>
      </c>
      <c r="F103" s="7" t="str">
        <f>IF(OR(E103="Success",E103="Qualified Success"),"Current",IF(E103="Failure",IF(RIGHT(D103,6)="Future","Future",IF(RIGHT(D103,10)="Irrelevant","Irrelevant","Current")),""))</f>
        <v>Current</v>
      </c>
      <c r="G103" s="7" t="str">
        <f>IF(OR(ISBLANK(D103),D103="Unclassifiable &gt;"),"",IF(ISNUMBER(SEARCH("Utterance",D103)),"Utterance",IF(ISNUMBER(SEARCH("Response",D103)),"Response",IF(ISNUMBER(SEARCH("Interaction",D103)),"Interaction",IF(ISNUMBER(SEARCH("System",D103)),"System","")))))</f>
        <v/>
      </c>
      <c r="H103" s="7" t="str">
        <f>IF(G103="Utterance", IF(ISNUMBER(SEARCH("Unrecognized",D103)), "Unrecognized", IF(ISNUMBER(SEARCH("Mismatched",D103)), "Mismatched", IF(ISNUMBER(SEARCH("False Positive",D103)), "False Positive", "Irrelevant"))), "")</f>
        <v/>
      </c>
      <c r="J103" s="7" t="s">
        <v>243</v>
      </c>
      <c r="K103" s="7" t="s">
        <v>200</v>
      </c>
      <c r="L103" s="9">
        <v>45015</v>
      </c>
      <c r="M103" s="10">
        <v>0.61414351851851856</v>
      </c>
      <c r="N103" s="11">
        <v>513003515969602</v>
      </c>
      <c r="O103" s="7">
        <f>IF(LEN(TRIM($A103))=0,0,LEN($A103)-LEN(SUBSTITUTE($A103," ",""))+1)</f>
        <v>3</v>
      </c>
      <c r="P103">
        <f>IF(D103="", "", COUNTIF($D$1:$D$2273, D103))</f>
        <v>176</v>
      </c>
    </row>
    <row r="104" spans="1:16" ht="32" hidden="1" x14ac:dyDescent="0.2">
      <c r="A104" s="8" t="s">
        <v>389</v>
      </c>
      <c r="C104" s="7" t="s">
        <v>4</v>
      </c>
      <c r="F104" s="7" t="str">
        <f>IF(OR(E104="Success",E104="Qualified Success"),"Current",IF(E104="Failure",IF(RIGHT(D104,6)="Future","Future",IF(RIGHT(D104,10)="Irrelevant","Irrelevant","Current")),""))</f>
        <v/>
      </c>
      <c r="G104" s="7" t="str">
        <f>IF(OR(ISBLANK(D104),D104="Unclassifiable &gt;"),"",IF(ISNUMBER(SEARCH("Utterance",D104)),"Utterance",IF(ISNUMBER(SEARCH("Response",D104)),"Response",IF(ISNUMBER(SEARCH("Interaction",D104)),"Interaction",IF(ISNUMBER(SEARCH("System",D104)),"System","")))))</f>
        <v/>
      </c>
      <c r="K104" s="7" t="s">
        <v>200</v>
      </c>
      <c r="L104" s="9">
        <v>45015</v>
      </c>
      <c r="M104" s="10">
        <v>0.6141550925925926</v>
      </c>
      <c r="N104" s="11">
        <v>513003515969602</v>
      </c>
      <c r="P104" t="str">
        <f>IF(D104="", "", COUNTIF($D$1:$D$2273, D104))</f>
        <v/>
      </c>
    </row>
    <row r="105" spans="1:16" ht="16" hidden="1" x14ac:dyDescent="0.2">
      <c r="A105" s="36" t="s">
        <v>26</v>
      </c>
      <c r="B105" s="7" t="s">
        <v>296</v>
      </c>
      <c r="C105" s="7" t="s">
        <v>2</v>
      </c>
      <c r="D105" s="7" t="s">
        <v>206</v>
      </c>
      <c r="E105" s="7" t="str">
        <f>IF(OR(D105="", D105="___"),"", LEFT(D105,FIND(" &gt;",D105)-1))</f>
        <v>Success</v>
      </c>
      <c r="F105" s="7" t="str">
        <f>IF(OR(E105="Success",E105="Qualified Success"),"Current",IF(E105="Failure",IF(RIGHT(D105,6)="Future","Future",IF(RIGHT(D105,10)="Irrelevant","Irrelevant","Current")),""))</f>
        <v>Current</v>
      </c>
      <c r="G105" s="7" t="str">
        <f>IF(OR(ISBLANK(D105),D105="Unclassifiable &gt;"),"",IF(ISNUMBER(SEARCH("Utterance",D105)),"Utterance",IF(ISNUMBER(SEARCH("Response",D105)),"Response",IF(ISNUMBER(SEARCH("Interaction",D105)),"Interaction",IF(ISNUMBER(SEARCH("System",D105)),"System","")))))</f>
        <v/>
      </c>
      <c r="H105" s="7" t="str">
        <f>IF(G105="Utterance", IF(ISNUMBER(SEARCH("Unrecognized",D105)), "Unrecognized", IF(ISNUMBER(SEARCH("Mismatched",D105)), "Mismatched", IF(ISNUMBER(SEARCH("False Positive",D105)), "False Positive", "Irrelevant"))), "")</f>
        <v/>
      </c>
      <c r="J105" s="7" t="s">
        <v>332</v>
      </c>
      <c r="K105" s="7" t="s">
        <v>200</v>
      </c>
      <c r="L105" s="9">
        <v>45015</v>
      </c>
      <c r="M105" s="10">
        <v>0.62201388888888887</v>
      </c>
      <c r="N105" s="11">
        <v>513003515969602</v>
      </c>
      <c r="O105" s="7">
        <f>IF(LEN(TRIM($A105))=0,0,LEN($A105)-LEN(SUBSTITUTE($A105," ",""))+1)</f>
        <v>3</v>
      </c>
      <c r="P105">
        <f>IF(D105="", "", COUNTIF($D$1:$D$2273, D105))</f>
        <v>176</v>
      </c>
    </row>
    <row r="106" spans="1:16" ht="48" hidden="1" x14ac:dyDescent="0.2">
      <c r="A106" s="8" t="s">
        <v>383</v>
      </c>
      <c r="C106" s="7" t="s">
        <v>4</v>
      </c>
      <c r="F106" s="7" t="str">
        <f>IF(OR(E106="Success",E106="Qualified Success"),"Current",IF(E106="Failure",IF(RIGHT(D106,6)="Future","Future",IF(RIGHT(D106,10)="Irrelevant","Irrelevant","Current")),""))</f>
        <v/>
      </c>
      <c r="G106" s="7" t="str">
        <f>IF(OR(ISBLANK(D106),D106="Unclassifiable &gt;"),"",IF(ISNUMBER(SEARCH("Utterance",D106)),"Utterance",IF(ISNUMBER(SEARCH("Response",D106)),"Response",IF(ISNUMBER(SEARCH("Interaction",D106)),"Interaction",IF(ISNUMBER(SEARCH("System",D106)),"System","")))))</f>
        <v/>
      </c>
      <c r="K106" s="7" t="s">
        <v>200</v>
      </c>
      <c r="L106" s="9">
        <v>45015</v>
      </c>
      <c r="M106" s="10">
        <v>0.62201388888888887</v>
      </c>
      <c r="N106" s="11">
        <v>513003515969602</v>
      </c>
      <c r="P106" t="str">
        <f>IF(D106="", "", COUNTIF($D$1:$D$2273, D106))</f>
        <v/>
      </c>
    </row>
    <row r="107" spans="1:16" ht="16" hidden="1" x14ac:dyDescent="0.2">
      <c r="A107" s="36" t="s">
        <v>55</v>
      </c>
      <c r="C107" s="7" t="s">
        <v>2</v>
      </c>
      <c r="D107" s="7" t="s">
        <v>206</v>
      </c>
      <c r="E107" s="7" t="str">
        <f>IF(OR(D107="", D107="___"),"", LEFT(D107,FIND(" &gt;",D107)-1))</f>
        <v>Success</v>
      </c>
      <c r="F107" s="7" t="str">
        <f>IF(OR(E107="Success",E107="Qualified Success"),"Current",IF(E107="Failure",IF(RIGHT(D107,6)="Future","Future",IF(RIGHT(D107,10)="Irrelevant","Irrelevant","Current")),""))</f>
        <v>Current</v>
      </c>
      <c r="G107" s="7" t="str">
        <f>IF(OR(ISBLANK(D107),D107="Unclassifiable &gt;"),"",IF(ISNUMBER(SEARCH("Utterance",D107)),"Utterance",IF(ISNUMBER(SEARCH("Response",D107)),"Response",IF(ISNUMBER(SEARCH("Interaction",D107)),"Interaction",IF(ISNUMBER(SEARCH("System",D107)),"System","")))))</f>
        <v/>
      </c>
      <c r="H107" s="7" t="str">
        <f>IF(G107="Utterance", IF(ISNUMBER(SEARCH("Unrecognized",D107)), "Unrecognized", IF(ISNUMBER(SEARCH("Mismatched",D107)), "Mismatched", IF(ISNUMBER(SEARCH("False Positive",D107)), "False Positive", "Irrelevant"))), "")</f>
        <v/>
      </c>
      <c r="J107" s="7" t="s">
        <v>246</v>
      </c>
      <c r="K107" s="7" t="s">
        <v>200</v>
      </c>
      <c r="L107" s="9">
        <v>45015</v>
      </c>
      <c r="M107" s="10">
        <v>0.6272106481481482</v>
      </c>
      <c r="N107" s="11">
        <v>513002036806709</v>
      </c>
      <c r="O107" s="7">
        <f>IF(LEN(TRIM($A107))=0,0,LEN($A107)-LEN(SUBSTITUTE($A107," ",""))+1)</f>
        <v>1</v>
      </c>
      <c r="P107">
        <f>IF(D107="", "", COUNTIF($D$1:$D$2273, D107))</f>
        <v>176</v>
      </c>
    </row>
    <row r="108" spans="1:16" ht="80" hidden="1" x14ac:dyDescent="0.2">
      <c r="A108" s="8" t="s">
        <v>409</v>
      </c>
      <c r="C108" s="7" t="s">
        <v>4</v>
      </c>
      <c r="F108" s="7" t="str">
        <f>IF(OR(E108="Success",E108="Qualified Success"),"Current",IF(E108="Failure",IF(RIGHT(D108,6)="Future","Future",IF(RIGHT(D108,10)="Irrelevant","Irrelevant","Current")),""))</f>
        <v/>
      </c>
      <c r="G108" s="7" t="str">
        <f>IF(OR(ISBLANK(D108),D108="Unclassifiable &gt;"),"",IF(ISNUMBER(SEARCH("Utterance",D108)),"Utterance",IF(ISNUMBER(SEARCH("Response",D108)),"Response",IF(ISNUMBER(SEARCH("Interaction",D108)),"Interaction",IF(ISNUMBER(SEARCH("System",D108)),"System","")))))</f>
        <v/>
      </c>
      <c r="K108" s="7" t="s">
        <v>200</v>
      </c>
      <c r="L108" s="9">
        <v>45015</v>
      </c>
      <c r="M108" s="10">
        <v>0.6272106481481482</v>
      </c>
      <c r="N108" s="11">
        <v>513002036806709</v>
      </c>
      <c r="P108" t="str">
        <f>IF(D108="", "", COUNTIF($D$1:$D$2273, D108))</f>
        <v/>
      </c>
    </row>
    <row r="109" spans="1:16" ht="16" hidden="1" x14ac:dyDescent="0.2">
      <c r="A109" s="36" t="s">
        <v>167</v>
      </c>
      <c r="C109" s="7" t="s">
        <v>2</v>
      </c>
      <c r="D109" s="7" t="s">
        <v>208</v>
      </c>
      <c r="E109" s="7" t="str">
        <f>IF(OR(D109="", D109="___"),"", LEFT(D109,FIND(" &gt;",D109)-1))</f>
        <v>Failure</v>
      </c>
      <c r="F109" s="7" t="str">
        <f>IF(OR(E109="Success",E109="Qualified Success"),"Current",IF(E109="Failure",IF(RIGHT(D109,6)="Future","Future",IF(RIGHT(D109,10)="Irrelevant","Irrelevant","Current")),""))</f>
        <v>Current</v>
      </c>
      <c r="G109" s="7" t="str">
        <f>IF(OR(ISBLANK(D109),D109="Unclassifiable &gt;"),"",IF(ISNUMBER(SEARCH("Utterance",D109)),"Utterance",IF(ISNUMBER(SEARCH("Response",D109)),"Response",IF(ISNUMBER(SEARCH("Interaction",D109)),"Interaction",IF(ISNUMBER(SEARCH("System",D109)),"System","")))))</f>
        <v>Utterance</v>
      </c>
      <c r="H109" s="7" t="str">
        <f>IF(G109="Utterance", IF(ISNUMBER(SEARCH("Unrecognized",D109)), "Unrecognized", IF(ISNUMBER(SEARCH("Mismatched",D109)), "Mismatched", IF(ISNUMBER(SEARCH("False Positive",D109)), "False Positive", "Irrelevant"))), "")</f>
        <v>Mismatched</v>
      </c>
      <c r="J109" s="7" t="s">
        <v>253</v>
      </c>
      <c r="K109" s="7" t="s">
        <v>200</v>
      </c>
      <c r="L109" s="9">
        <v>45015</v>
      </c>
      <c r="M109" s="10">
        <v>0.62756944444444451</v>
      </c>
      <c r="N109" s="11">
        <v>513002036806709</v>
      </c>
      <c r="O109" s="7">
        <f>IF(LEN(TRIM($A109))=0,0,LEN($A109)-LEN(SUBSTITUTE($A109," ",""))+1)</f>
        <v>3</v>
      </c>
      <c r="P109">
        <f>IF(D109="", "", COUNTIF($D$1:$D$2273, D109))</f>
        <v>32</v>
      </c>
    </row>
    <row r="110" spans="1:16" ht="96" hidden="1" x14ac:dyDescent="0.2">
      <c r="A110" s="8" t="s">
        <v>410</v>
      </c>
      <c r="C110" s="7" t="s">
        <v>4</v>
      </c>
      <c r="F110" s="7" t="str">
        <f>IF(OR(E110="Success",E110="Qualified Success"),"Current",IF(E110="Failure",IF(RIGHT(D110,6)="Future","Future",IF(RIGHT(D110,10)="Irrelevant","Irrelevant","Current")),""))</f>
        <v/>
      </c>
      <c r="G110" s="7" t="str">
        <f>IF(OR(ISBLANK(D110),D110="Unclassifiable &gt;"),"",IF(ISNUMBER(SEARCH("Utterance",D110)),"Utterance",IF(ISNUMBER(SEARCH("Response",D110)),"Response",IF(ISNUMBER(SEARCH("Interaction",D110)),"Interaction",IF(ISNUMBER(SEARCH("System",D110)),"System","")))))</f>
        <v/>
      </c>
      <c r="K110" s="7" t="s">
        <v>200</v>
      </c>
      <c r="L110" s="9">
        <v>45015</v>
      </c>
      <c r="M110" s="10">
        <v>0.62756944444444451</v>
      </c>
      <c r="N110" s="11">
        <v>513002036806709</v>
      </c>
      <c r="P110" t="str">
        <f>IF(D110="", "", COUNTIF($D$1:$D$2273, D110))</f>
        <v/>
      </c>
    </row>
    <row r="111" spans="1:16" ht="16" hidden="1" x14ac:dyDescent="0.2">
      <c r="A111" s="36" t="s">
        <v>106</v>
      </c>
      <c r="C111" s="7" t="s">
        <v>2</v>
      </c>
      <c r="D111" s="7" t="s">
        <v>217</v>
      </c>
      <c r="E111" s="7" t="str">
        <f>IF(OR(D111="", D111="___"),"", LEFT(D111,FIND(" &gt;",D111)-1))</f>
        <v>Failure</v>
      </c>
      <c r="F111" s="7" t="str">
        <f>IF(OR(E111="Success",E111="Qualified Success"),"Current",IF(E111="Failure",IF(RIGHT(D111,6)="Future","Future",IF(RIGHT(D111,10)="Irrelevant","Irrelevant","Current")),""))</f>
        <v>Current</v>
      </c>
      <c r="G111" s="7" t="str">
        <f>IF(OR(ISBLANK(D111),D111="Unclassifiable &gt;"),"",IF(ISNUMBER(SEARCH("Utterance",D111)),"Utterance",IF(ISNUMBER(SEARCH("Response",D111)),"Response",IF(ISNUMBER(SEARCH("Interaction",D111)),"Interaction",IF(ISNUMBER(SEARCH("System",D111)),"System","")))))</f>
        <v>Interaction</v>
      </c>
      <c r="H111" s="7" t="str">
        <f>IF(G111="Utterance", IF(ISNUMBER(SEARCH("Unrecognized",D111)), "Unrecognized", IF(ISNUMBER(SEARCH("Mismatched",D111)), "Mismatched", IF(ISNUMBER(SEARCH("False Positive",D111)), "False Positive", "Irrelevant"))), "")</f>
        <v/>
      </c>
      <c r="J111" s="7" t="s">
        <v>329</v>
      </c>
      <c r="K111" s="7" t="s">
        <v>200</v>
      </c>
      <c r="L111" s="9">
        <v>45015</v>
      </c>
      <c r="M111" s="10">
        <v>0.62898148148148147</v>
      </c>
      <c r="N111" s="11">
        <v>204440003507830</v>
      </c>
      <c r="O111" s="7">
        <f>IF(LEN(TRIM($A111))=0,0,LEN($A111)-LEN(SUBSTITUTE($A111," ",""))+1)</f>
        <v>3</v>
      </c>
      <c r="P111">
        <f>IF(D111="", "", COUNTIF($D$1:$D$2273, D111))</f>
        <v>29</v>
      </c>
    </row>
    <row r="112" spans="1:16" ht="80" hidden="1" x14ac:dyDescent="0.2">
      <c r="A112" s="8" t="s">
        <v>412</v>
      </c>
      <c r="C112" s="7" t="s">
        <v>4</v>
      </c>
      <c r="F112" s="7" t="str">
        <f>IF(OR(E112="Success",E112="Qualified Success"),"Current",IF(E112="Failure",IF(RIGHT(D112,6)="Future","Future",IF(RIGHT(D112,10)="Irrelevant","Irrelevant","Current")),""))</f>
        <v/>
      </c>
      <c r="G112" s="7" t="str">
        <f>IF(OR(ISBLANK(D112),D112="Unclassifiable &gt;"),"",IF(ISNUMBER(SEARCH("Utterance",D112)),"Utterance",IF(ISNUMBER(SEARCH("Response",D112)),"Response",IF(ISNUMBER(SEARCH("Interaction",D112)),"Interaction",IF(ISNUMBER(SEARCH("System",D112)),"System","")))))</f>
        <v/>
      </c>
      <c r="K112" s="7" t="s">
        <v>200</v>
      </c>
      <c r="L112" s="9">
        <v>45015</v>
      </c>
      <c r="M112" s="10">
        <v>0.62898148148148147</v>
      </c>
      <c r="N112" s="11">
        <v>204440003507830</v>
      </c>
      <c r="P112" t="str">
        <f>IF(D112="", "", COUNTIF($D$1:$D$2273, D112))</f>
        <v/>
      </c>
    </row>
    <row r="113" spans="1:16" ht="16" hidden="1" x14ac:dyDescent="0.2">
      <c r="A113" s="36" t="s">
        <v>105</v>
      </c>
      <c r="C113" s="7" t="s">
        <v>2</v>
      </c>
      <c r="D113" s="7" t="s">
        <v>217</v>
      </c>
      <c r="E113" s="7" t="str">
        <f>IF(OR(D113="", D113="___"),"", LEFT(D113,FIND(" &gt;",D113)-1))</f>
        <v>Failure</v>
      </c>
      <c r="F113" s="7" t="str">
        <f>IF(OR(E113="Success",E113="Qualified Success"),"Current",IF(E113="Failure",IF(RIGHT(D113,6)="Future","Future",IF(RIGHT(D113,10)="Irrelevant","Irrelevant","Current")),""))</f>
        <v>Current</v>
      </c>
      <c r="G113" s="7" t="str">
        <f>IF(OR(ISBLANK(D113),D113="Unclassifiable &gt;"),"",IF(ISNUMBER(SEARCH("Utterance",D113)),"Utterance",IF(ISNUMBER(SEARCH("Response",D113)),"Response",IF(ISNUMBER(SEARCH("Interaction",D113)),"Interaction",IF(ISNUMBER(SEARCH("System",D113)),"System","")))))</f>
        <v>Interaction</v>
      </c>
      <c r="H113" s="7" t="str">
        <f>IF(G113="Utterance", IF(ISNUMBER(SEARCH("Unrecognized",D113)), "Unrecognized", IF(ISNUMBER(SEARCH("Mismatched",D113)), "Mismatched", IF(ISNUMBER(SEARCH("False Positive",D113)), "False Positive", "Irrelevant"))), "")</f>
        <v/>
      </c>
      <c r="J113" s="7" t="s">
        <v>329</v>
      </c>
      <c r="K113" s="7" t="s">
        <v>200</v>
      </c>
      <c r="L113" s="9">
        <v>45015</v>
      </c>
      <c r="M113" s="10">
        <v>0.63101851851851853</v>
      </c>
      <c r="N113" s="11">
        <v>204440003507830</v>
      </c>
      <c r="O113" s="7">
        <f>IF(LEN(TRIM($A113))=0,0,LEN($A113)-LEN(SUBSTITUTE($A113," ",""))+1)</f>
        <v>5</v>
      </c>
      <c r="P113">
        <f>IF(D113="", "", COUNTIF($D$1:$D$2273, D113))</f>
        <v>29</v>
      </c>
    </row>
    <row r="114" spans="1:16" ht="48" hidden="1" x14ac:dyDescent="0.2">
      <c r="A114" s="8" t="s">
        <v>382</v>
      </c>
      <c r="C114" s="7" t="s">
        <v>4</v>
      </c>
      <c r="F114" s="7" t="str">
        <f>IF(OR(E114="Success",E114="Qualified Success"),"Current",IF(E114="Failure",IF(RIGHT(D114,6)="Future","Future",IF(RIGHT(D114,10)="Irrelevant","Irrelevant","Current")),""))</f>
        <v/>
      </c>
      <c r="G114" s="7" t="str">
        <f>IF(OR(ISBLANK(D114),D114="Unclassifiable &gt;"),"",IF(ISNUMBER(SEARCH("Utterance",D114)),"Utterance",IF(ISNUMBER(SEARCH("Response",D114)),"Response",IF(ISNUMBER(SEARCH("Interaction",D114)),"Interaction",IF(ISNUMBER(SEARCH("System",D114)),"System","")))))</f>
        <v/>
      </c>
      <c r="K114" s="7" t="s">
        <v>200</v>
      </c>
      <c r="L114" s="9">
        <v>45015</v>
      </c>
      <c r="M114" s="10">
        <v>0.63101851851851853</v>
      </c>
      <c r="N114" s="11">
        <v>204440003507830</v>
      </c>
      <c r="P114" t="str">
        <f>IF(D114="", "", COUNTIF($D$1:$D$2273, D114))</f>
        <v/>
      </c>
    </row>
    <row r="115" spans="1:16" ht="16" hidden="1" x14ac:dyDescent="0.2">
      <c r="A115" s="36" t="s">
        <v>107</v>
      </c>
      <c r="C115" s="7" t="s">
        <v>2</v>
      </c>
      <c r="D115" s="7" t="s">
        <v>206</v>
      </c>
      <c r="E115" s="7" t="str">
        <f>IF(OR(D115="", D115="___"),"", LEFT(D115,FIND(" &gt;",D115)-1))</f>
        <v>Success</v>
      </c>
      <c r="F115" s="7" t="str">
        <f>IF(OR(E115="Success",E115="Qualified Success"),"Current",IF(E115="Failure",IF(RIGHT(D115,6)="Future","Future",IF(RIGHT(D115,10)="Irrelevant","Irrelevant","Current")),""))</f>
        <v>Current</v>
      </c>
      <c r="G115" s="7" t="str">
        <f>IF(OR(ISBLANK(D115),D115="Unclassifiable &gt;"),"",IF(ISNUMBER(SEARCH("Utterance",D115)),"Utterance",IF(ISNUMBER(SEARCH("Response",D115)),"Response",IF(ISNUMBER(SEARCH("Interaction",D115)),"Interaction",IF(ISNUMBER(SEARCH("System",D115)),"System","")))))</f>
        <v/>
      </c>
      <c r="H115" s="7" t="str">
        <f>IF(G115="Utterance", IF(ISNUMBER(SEARCH("Unrecognized",D115)), "Unrecognized", IF(ISNUMBER(SEARCH("Mismatched",D115)), "Mismatched", IF(ISNUMBER(SEARCH("False Positive",D115)), "False Positive", "Irrelevant"))), "")</f>
        <v/>
      </c>
      <c r="J115" s="7" t="s">
        <v>329</v>
      </c>
      <c r="K115" s="7" t="s">
        <v>200</v>
      </c>
      <c r="L115" s="9">
        <v>45015</v>
      </c>
      <c r="M115" s="10">
        <v>0.63124999999999998</v>
      </c>
      <c r="N115" s="11">
        <v>204440003507830</v>
      </c>
      <c r="O115" s="7">
        <f>IF(LEN(TRIM($A115))=0,0,LEN($A115)-LEN(SUBSTITUTE($A115," ",""))+1)</f>
        <v>2</v>
      </c>
      <c r="P115">
        <f>IF(D115="", "", COUNTIF($D$1:$D$2273, D115))</f>
        <v>176</v>
      </c>
    </row>
    <row r="116" spans="1:16" ht="80" hidden="1" x14ac:dyDescent="0.2">
      <c r="A116" s="8" t="s">
        <v>412</v>
      </c>
      <c r="C116" s="7" t="s">
        <v>4</v>
      </c>
      <c r="F116" s="7" t="str">
        <f>IF(OR(E116="Success",E116="Qualified Success"),"Current",IF(E116="Failure",IF(RIGHT(D116,6)="Future","Future",IF(RIGHT(D116,10)="Irrelevant","Irrelevant","Current")),""))</f>
        <v/>
      </c>
      <c r="G116" s="7" t="str">
        <f>IF(OR(ISBLANK(D116),D116="Unclassifiable &gt;"),"",IF(ISNUMBER(SEARCH("Utterance",D116)),"Utterance",IF(ISNUMBER(SEARCH("Response",D116)),"Response",IF(ISNUMBER(SEARCH("Interaction",D116)),"Interaction",IF(ISNUMBER(SEARCH("System",D116)),"System","")))))</f>
        <v/>
      </c>
      <c r="K116" s="7" t="s">
        <v>200</v>
      </c>
      <c r="L116" s="9">
        <v>45015</v>
      </c>
      <c r="M116" s="10">
        <v>0.63124999999999998</v>
      </c>
      <c r="N116" s="11">
        <v>204440003507830</v>
      </c>
      <c r="P116" t="str">
        <f>IF(D116="", "", COUNTIF($D$1:$D$2273, D116))</f>
        <v/>
      </c>
    </row>
    <row r="117" spans="1:16" ht="16" hidden="1" x14ac:dyDescent="0.2">
      <c r="A117" s="36" t="s">
        <v>26</v>
      </c>
      <c r="B117" s="7" t="s">
        <v>296</v>
      </c>
      <c r="C117" s="7" t="s">
        <v>2</v>
      </c>
      <c r="D117" s="7" t="s">
        <v>206</v>
      </c>
      <c r="E117" s="7" t="str">
        <f>IF(OR(D117="", D117="___"),"", LEFT(D117,FIND(" &gt;",D117)-1))</f>
        <v>Success</v>
      </c>
      <c r="F117" s="7" t="str">
        <f>IF(OR(E117="Success",E117="Qualified Success"),"Current",IF(E117="Failure",IF(RIGHT(D117,6)="Future","Future",IF(RIGHT(D117,10)="Irrelevant","Irrelevant","Current")),""))</f>
        <v>Current</v>
      </c>
      <c r="G117" s="7" t="str">
        <f>IF(OR(ISBLANK(D117),D117="Unclassifiable &gt;"),"",IF(ISNUMBER(SEARCH("Utterance",D117)),"Utterance",IF(ISNUMBER(SEARCH("Response",D117)),"Response",IF(ISNUMBER(SEARCH("Interaction",D117)),"Interaction",IF(ISNUMBER(SEARCH("System",D117)),"System","")))))</f>
        <v/>
      </c>
      <c r="H117" s="7" t="str">
        <f>IF(G117="Utterance", IF(ISNUMBER(SEARCH("Unrecognized",D117)), "Unrecognized", IF(ISNUMBER(SEARCH("Mismatched",D117)), "Mismatched", IF(ISNUMBER(SEARCH("False Positive",D117)), "False Positive", "Irrelevant"))), "")</f>
        <v/>
      </c>
      <c r="J117" s="7" t="s">
        <v>332</v>
      </c>
      <c r="K117" s="7" t="s">
        <v>200</v>
      </c>
      <c r="L117" s="9">
        <v>45015</v>
      </c>
      <c r="M117" s="10">
        <v>0.63192129629629623</v>
      </c>
      <c r="N117" s="11">
        <v>513003515969602</v>
      </c>
      <c r="O117" s="7">
        <f>IF(LEN(TRIM($A117))=0,0,LEN($A117)-LEN(SUBSTITUTE($A117," ",""))+1)</f>
        <v>3</v>
      </c>
      <c r="P117">
        <f>IF(D117="", "", COUNTIF($D$1:$D$2273, D117))</f>
        <v>176</v>
      </c>
    </row>
    <row r="118" spans="1:16" ht="48" hidden="1" x14ac:dyDescent="0.2">
      <c r="A118" s="8" t="s">
        <v>383</v>
      </c>
      <c r="C118" s="7" t="s">
        <v>4</v>
      </c>
      <c r="F118" s="7" t="str">
        <f>IF(OR(E118="Success",E118="Qualified Success"),"Current",IF(E118="Failure",IF(RIGHT(D118,6)="Future","Future",IF(RIGHT(D118,10)="Irrelevant","Irrelevant","Current")),""))</f>
        <v/>
      </c>
      <c r="G118" s="7" t="str">
        <f>IF(OR(ISBLANK(D118),D118="Unclassifiable &gt;"),"",IF(ISNUMBER(SEARCH("Utterance",D118)),"Utterance",IF(ISNUMBER(SEARCH("Response",D118)),"Response",IF(ISNUMBER(SEARCH("Interaction",D118)),"Interaction",IF(ISNUMBER(SEARCH("System",D118)),"System","")))))</f>
        <v/>
      </c>
      <c r="K118" s="7" t="s">
        <v>200</v>
      </c>
      <c r="L118" s="9">
        <v>45015</v>
      </c>
      <c r="M118" s="10">
        <v>0.63192129629629623</v>
      </c>
      <c r="N118" s="11">
        <v>513003515969602</v>
      </c>
      <c r="P118" t="str">
        <f>IF(D118="", "", COUNTIF($D$1:$D$2273, D118))</f>
        <v/>
      </c>
    </row>
    <row r="119" spans="1:16" ht="16" hidden="1" x14ac:dyDescent="0.2">
      <c r="A119" s="36" t="s">
        <v>36</v>
      </c>
      <c r="B119" s="7" t="s">
        <v>296</v>
      </c>
      <c r="C119" s="7" t="s">
        <v>2</v>
      </c>
      <c r="D119" s="7" t="s">
        <v>206</v>
      </c>
      <c r="E119" s="7" t="str">
        <f>IF(OR(D119="", D119="___"),"", LEFT(D119,FIND(" &gt;",D119)-1))</f>
        <v>Success</v>
      </c>
      <c r="F119" s="7" t="str">
        <f>IF(OR(E119="Success",E119="Qualified Success"),"Current",IF(E119="Failure",IF(RIGHT(D119,6)="Future","Future",IF(RIGHT(D119,10)="Irrelevant","Irrelevant","Current")),""))</f>
        <v>Current</v>
      </c>
      <c r="G119" s="7" t="str">
        <f>IF(OR(ISBLANK(D119),D119="Unclassifiable &gt;"),"",IF(ISNUMBER(SEARCH("Utterance",D119)),"Utterance",IF(ISNUMBER(SEARCH("Response",D119)),"Response",IF(ISNUMBER(SEARCH("Interaction",D119)),"Interaction",IF(ISNUMBER(SEARCH("System",D119)),"System","")))))</f>
        <v/>
      </c>
      <c r="H119" s="7" t="str">
        <f>IF(G119="Utterance", IF(ISNUMBER(SEARCH("Unrecognized",D119)), "Unrecognized", IF(ISNUMBER(SEARCH("Mismatched",D119)), "Mismatched", IF(ISNUMBER(SEARCH("False Positive",D119)), "False Positive", "Irrelevant"))), "")</f>
        <v/>
      </c>
      <c r="J119" s="7" t="s">
        <v>243</v>
      </c>
      <c r="K119" s="7" t="s">
        <v>200</v>
      </c>
      <c r="L119" s="9">
        <v>45015</v>
      </c>
      <c r="M119" s="10">
        <v>0.63415509259259262</v>
      </c>
      <c r="N119" s="11">
        <v>513003497148146</v>
      </c>
      <c r="O119" s="7">
        <f>IF(LEN(TRIM($A119))=0,0,LEN($A119)-LEN(SUBSTITUTE($A119," ",""))+1)</f>
        <v>3</v>
      </c>
      <c r="P119">
        <f>IF(D119="", "", COUNTIF($D$1:$D$2273, D119))</f>
        <v>176</v>
      </c>
    </row>
    <row r="120" spans="1:16" ht="32" hidden="1" x14ac:dyDescent="0.2">
      <c r="A120" s="8" t="s">
        <v>381</v>
      </c>
      <c r="C120" s="7" t="s">
        <v>4</v>
      </c>
      <c r="F120" s="7" t="str">
        <f>IF(OR(E120="Success",E120="Qualified Success"),"Current",IF(E120="Failure",IF(RIGHT(D120,6)="Future","Future",IF(RIGHT(D120,10)="Irrelevant","Irrelevant","Current")),""))</f>
        <v/>
      </c>
      <c r="G120" s="7" t="str">
        <f>IF(OR(ISBLANK(D120),D120="Unclassifiable &gt;"),"",IF(ISNUMBER(SEARCH("Utterance",D120)),"Utterance",IF(ISNUMBER(SEARCH("Response",D120)),"Response",IF(ISNUMBER(SEARCH("Interaction",D120)),"Interaction",IF(ISNUMBER(SEARCH("System",D120)),"System","")))))</f>
        <v/>
      </c>
      <c r="K120" s="7" t="s">
        <v>200</v>
      </c>
      <c r="L120" s="9">
        <v>45015</v>
      </c>
      <c r="M120" s="10">
        <v>0.63415509259259262</v>
      </c>
      <c r="N120" s="11">
        <v>513003497148146</v>
      </c>
      <c r="P120" t="str">
        <f>IF(D120="", "", COUNTIF($D$1:$D$2273, D120))</f>
        <v/>
      </c>
    </row>
    <row r="121" spans="1:16" ht="16" hidden="1" x14ac:dyDescent="0.2">
      <c r="A121" s="36" t="s">
        <v>21</v>
      </c>
      <c r="B121" s="7" t="s">
        <v>296</v>
      </c>
      <c r="C121" s="7" t="s">
        <v>2</v>
      </c>
      <c r="D121" s="7" t="s">
        <v>206</v>
      </c>
      <c r="E121" s="7" t="str">
        <f>IF(OR(D121="", D121="___"),"", LEFT(D121,FIND(" &gt;",D121)-1))</f>
        <v>Success</v>
      </c>
      <c r="F121" s="7" t="str">
        <f>IF(OR(E121="Success",E121="Qualified Success"),"Current",IF(E121="Failure",IF(RIGHT(D121,6)="Future","Future",IF(RIGHT(D121,10)="Irrelevant","Irrelevant","Current")),""))</f>
        <v>Current</v>
      </c>
      <c r="G121" s="7" t="str">
        <f>IF(OR(ISBLANK(D121),D121="Unclassifiable &gt;"),"",IF(ISNUMBER(SEARCH("Utterance",D121)),"Utterance",IF(ISNUMBER(SEARCH("Response",D121)),"Response",IF(ISNUMBER(SEARCH("Interaction",D121)),"Interaction",IF(ISNUMBER(SEARCH("System",D121)),"System","")))))</f>
        <v/>
      </c>
      <c r="H121" s="7" t="str">
        <f>IF(G121="Utterance", IF(ISNUMBER(SEARCH("Unrecognized",D121)), "Unrecognized", IF(ISNUMBER(SEARCH("Mismatched",D121)), "Mismatched", IF(ISNUMBER(SEARCH("False Positive",D121)), "False Positive", "Irrelevant"))), "")</f>
        <v/>
      </c>
      <c r="J121" s="7" t="s">
        <v>332</v>
      </c>
      <c r="K121" s="7" t="s">
        <v>200</v>
      </c>
      <c r="L121" s="9">
        <v>45015</v>
      </c>
      <c r="M121" s="10">
        <v>0.63457175925925924</v>
      </c>
      <c r="N121" s="11">
        <v>513003497148146</v>
      </c>
      <c r="O121" s="7">
        <f>IF(LEN(TRIM($A121))=0,0,LEN($A121)-LEN(SUBSTITUTE($A121," ",""))+1)</f>
        <v>4</v>
      </c>
      <c r="P121">
        <f>IF(D121="", "", COUNTIF($D$1:$D$2273, D121))</f>
        <v>176</v>
      </c>
    </row>
    <row r="122" spans="1:16" ht="48" hidden="1" x14ac:dyDescent="0.2">
      <c r="A122" s="8" t="s">
        <v>383</v>
      </c>
      <c r="C122" s="7" t="s">
        <v>4</v>
      </c>
      <c r="F122" s="7" t="str">
        <f>IF(OR(E122="Success",E122="Qualified Success"),"Current",IF(E122="Failure",IF(RIGHT(D122,6)="Future","Future",IF(RIGHT(D122,10)="Irrelevant","Irrelevant","Current")),""))</f>
        <v/>
      </c>
      <c r="G122" s="7" t="str">
        <f>IF(OR(ISBLANK(D122),D122="Unclassifiable &gt;"),"",IF(ISNUMBER(SEARCH("Utterance",D122)),"Utterance",IF(ISNUMBER(SEARCH("Response",D122)),"Response",IF(ISNUMBER(SEARCH("Interaction",D122)),"Interaction",IF(ISNUMBER(SEARCH("System",D122)),"System","")))))</f>
        <v/>
      </c>
      <c r="K122" s="7" t="s">
        <v>200</v>
      </c>
      <c r="L122" s="9">
        <v>45015</v>
      </c>
      <c r="M122" s="10">
        <v>0.63457175925925924</v>
      </c>
      <c r="N122" s="11">
        <v>513003497148146</v>
      </c>
      <c r="P122" t="str">
        <f>IF(D122="", "", COUNTIF($D$1:$D$2273, D122))</f>
        <v/>
      </c>
    </row>
    <row r="123" spans="1:16" ht="16" hidden="1" x14ac:dyDescent="0.2">
      <c r="A123" s="36" t="s">
        <v>109</v>
      </c>
      <c r="C123" s="7" t="s">
        <v>2</v>
      </c>
      <c r="D123" s="7" t="s">
        <v>206</v>
      </c>
      <c r="E123" s="7" t="str">
        <f>IF(OR(D123="", D123="___"),"", LEFT(D123,FIND(" &gt;",D123)-1))</f>
        <v>Success</v>
      </c>
      <c r="F123" s="7" t="str">
        <f>IF(OR(E123="Success",E123="Qualified Success"),"Current",IF(E123="Failure",IF(RIGHT(D123,6)="Future","Future",IF(RIGHT(D123,10)="Irrelevant","Irrelevant","Current")),""))</f>
        <v>Current</v>
      </c>
      <c r="G123" s="7" t="str">
        <f>IF(OR(ISBLANK(D123),D123="Unclassifiable &gt;"),"",IF(ISNUMBER(SEARCH("Utterance",D123)),"Utterance",IF(ISNUMBER(SEARCH("Response",D123)),"Response",IF(ISNUMBER(SEARCH("Interaction",D123)),"Interaction",IF(ISNUMBER(SEARCH("System",D123)),"System","")))))</f>
        <v/>
      </c>
      <c r="H123" s="7" t="str">
        <f>IF(G123="Utterance", IF(ISNUMBER(SEARCH("Unrecognized",D123)), "Unrecognized", IF(ISNUMBER(SEARCH("Mismatched",D123)), "Mismatched", IF(ISNUMBER(SEARCH("False Positive",D123)), "False Positive", "Irrelevant"))), "")</f>
        <v/>
      </c>
      <c r="J123" s="7" t="s">
        <v>329</v>
      </c>
      <c r="K123" s="7" t="s">
        <v>200</v>
      </c>
      <c r="L123" s="9">
        <v>45015</v>
      </c>
      <c r="M123" s="10">
        <v>0.64518518518518519</v>
      </c>
      <c r="N123" s="11">
        <v>204440003508371</v>
      </c>
      <c r="O123" s="7">
        <f>IF(LEN(TRIM($A123))=0,0,LEN($A123)-LEN(SUBSTITUTE($A123," ",""))+1)</f>
        <v>2</v>
      </c>
      <c r="P123">
        <f>IF(D123="", "", COUNTIF($D$1:$D$2273, D123))</f>
        <v>176</v>
      </c>
    </row>
    <row r="124" spans="1:16" ht="48" hidden="1" x14ac:dyDescent="0.2">
      <c r="A124" s="8" t="s">
        <v>445</v>
      </c>
      <c r="C124" s="7" t="s">
        <v>4</v>
      </c>
      <c r="F124" s="7" t="str">
        <f>IF(OR(E124="Success",E124="Qualified Success"),"Current",IF(E124="Failure",IF(RIGHT(D124,6)="Future","Future",IF(RIGHT(D124,10)="Irrelevant","Irrelevant","Current")),""))</f>
        <v/>
      </c>
      <c r="G124" s="7" t="str">
        <f>IF(OR(ISBLANK(D124),D124="Unclassifiable &gt;"),"",IF(ISNUMBER(SEARCH("Utterance",D124)),"Utterance",IF(ISNUMBER(SEARCH("Response",D124)),"Response",IF(ISNUMBER(SEARCH("Interaction",D124)),"Interaction",IF(ISNUMBER(SEARCH("System",D124)),"System","")))))</f>
        <v/>
      </c>
      <c r="K124" s="7" t="s">
        <v>200</v>
      </c>
      <c r="L124" s="9">
        <v>45015</v>
      </c>
      <c r="M124" s="10">
        <v>0.64518518518518519</v>
      </c>
      <c r="N124" s="11">
        <v>204440003508371</v>
      </c>
      <c r="P124" t="str">
        <f>IF(D124="", "", COUNTIF($D$1:$D$2273, D124))</f>
        <v/>
      </c>
    </row>
    <row r="125" spans="1:16" ht="16" hidden="1" x14ac:dyDescent="0.2">
      <c r="A125" s="36" t="s">
        <v>8</v>
      </c>
      <c r="B125" s="7" t="s">
        <v>296</v>
      </c>
      <c r="C125" s="7" t="s">
        <v>2</v>
      </c>
      <c r="D125" s="7" t="s">
        <v>206</v>
      </c>
      <c r="E125" s="7" t="str">
        <f>IF(OR(D125="", D125="___"),"", LEFT(D125,FIND(" &gt;",D125)-1))</f>
        <v>Success</v>
      </c>
      <c r="F125" s="7" t="str">
        <f>IF(OR(E125="Success",E125="Qualified Success"),"Current",IF(E125="Failure",IF(RIGHT(D125,6)="Future","Future",IF(RIGHT(D125,10)="Irrelevant","Irrelevant","Current")),""))</f>
        <v>Current</v>
      </c>
      <c r="G125" s="7" t="str">
        <f>IF(OR(ISBLANK(D125),D125="Unclassifiable &gt;"),"",IF(ISNUMBER(SEARCH("Utterance",D125)),"Utterance",IF(ISNUMBER(SEARCH("Response",D125)),"Response",IF(ISNUMBER(SEARCH("Interaction",D125)),"Interaction",IF(ISNUMBER(SEARCH("System",D125)),"System","")))))</f>
        <v/>
      </c>
      <c r="H125" s="7" t="str">
        <f>IF(G125="Utterance", IF(ISNUMBER(SEARCH("Unrecognized",D125)), "Unrecognized", IF(ISNUMBER(SEARCH("Mismatched",D125)), "Mismatched", IF(ISNUMBER(SEARCH("False Positive",D125)), "False Positive", "Irrelevant"))), "")</f>
        <v/>
      </c>
      <c r="J125" s="7" t="s">
        <v>259</v>
      </c>
      <c r="K125" s="7" t="s">
        <v>200</v>
      </c>
      <c r="L125" s="9">
        <v>45015</v>
      </c>
      <c r="M125" s="10">
        <v>0.65062500000000001</v>
      </c>
      <c r="N125" s="11">
        <v>513003218912266</v>
      </c>
      <c r="O125" s="7">
        <f>IF(LEN(TRIM($A125))=0,0,LEN($A125)-LEN(SUBSTITUTE($A125," ",""))+1)</f>
        <v>6</v>
      </c>
      <c r="P125">
        <f>IF(D125="", "", COUNTIF($D$1:$D$2273, D125))</f>
        <v>176</v>
      </c>
    </row>
    <row r="126" spans="1:16" ht="16" hidden="1" x14ac:dyDescent="0.2">
      <c r="A126" s="8" t="s">
        <v>16</v>
      </c>
      <c r="C126" s="7" t="s">
        <v>4</v>
      </c>
      <c r="F126" s="7" t="str">
        <f>IF(OR(E126="Success",E126="Qualified Success"),"Current",IF(E126="Failure",IF(RIGHT(D126,6)="Future","Future",IF(RIGHT(D126,10)="Irrelevant","Irrelevant","Current")),""))</f>
        <v/>
      </c>
      <c r="G126" s="7" t="str">
        <f>IF(OR(ISBLANK(D126),D126="Unclassifiable &gt;"),"",IF(ISNUMBER(SEARCH("Utterance",D126)),"Utterance",IF(ISNUMBER(SEARCH("Response",D126)),"Response",IF(ISNUMBER(SEARCH("Interaction",D126)),"Interaction",IF(ISNUMBER(SEARCH("System",D126)),"System","")))))</f>
        <v/>
      </c>
      <c r="K126" s="7" t="s">
        <v>200</v>
      </c>
      <c r="L126" s="9">
        <v>45015</v>
      </c>
      <c r="M126" s="10">
        <v>0.6506481481481482</v>
      </c>
      <c r="N126" s="11">
        <v>513003218912266</v>
      </c>
      <c r="P126" t="str">
        <f>IF(D126="", "", COUNTIF($D$1:$D$2273, D126))</f>
        <v/>
      </c>
    </row>
    <row r="127" spans="1:16" ht="16" x14ac:dyDescent="0.2">
      <c r="A127" s="36" t="s">
        <v>33</v>
      </c>
      <c r="B127" s="7" t="s">
        <v>296</v>
      </c>
      <c r="C127" s="7" t="s">
        <v>2</v>
      </c>
      <c r="D127" s="7" t="s">
        <v>206</v>
      </c>
      <c r="E127" s="7" t="str">
        <f>IF(OR(D127="", D127="___"),"", LEFT(D127,FIND(" &gt;",D127)-1))</f>
        <v>Success</v>
      </c>
      <c r="F127" s="7" t="str">
        <f>IF(OR(E127="Success",E127="Qualified Success"),"Current",IF(E127="Failure",IF(RIGHT(D127,6)="Future","Future",IF(RIGHT(D127,10)="Irrelevant","Irrelevant","Current")),""))</f>
        <v>Current</v>
      </c>
      <c r="G127" s="7" t="str">
        <f>IF(OR(ISBLANK(D127),D127="Unclassifiable &gt;"),"",IF(ISNUMBER(SEARCH("Utterance",D127)),"Utterance",IF(ISNUMBER(SEARCH("Response",D127)),"Response",IF(ISNUMBER(SEARCH("Interaction",D127)),"Interaction",IF(ISNUMBER(SEARCH("System",D127)),"System","")))))</f>
        <v/>
      </c>
      <c r="H127" s="7" t="str">
        <f>IF(G127="Utterance", IF(ISNUMBER(SEARCH("Unrecognized",D127)), "Unrecognized", IF(ISNUMBER(SEARCH("Mismatched",D127)), "Mismatched", IF(ISNUMBER(SEARCH("False Positive",D127)), "False Positive", "Irrelevant"))), "")</f>
        <v/>
      </c>
      <c r="J127" s="7" t="s">
        <v>331</v>
      </c>
      <c r="K127" s="7" t="s">
        <v>200</v>
      </c>
      <c r="L127" s="9">
        <v>45015</v>
      </c>
      <c r="M127" s="10">
        <v>0.65143518518518517</v>
      </c>
      <c r="N127" s="11">
        <v>513003188598187</v>
      </c>
      <c r="O127" s="7">
        <f>IF(LEN(TRIM($A127))=0,0,LEN($A127)-LEN(SUBSTITUTE($A127," ",""))+1)</f>
        <v>4</v>
      </c>
      <c r="P127">
        <f>IF(D127="", "", COUNTIF($D$1:$D$2273, D127))</f>
        <v>176</v>
      </c>
    </row>
    <row r="128" spans="1:16" ht="224" hidden="1" x14ac:dyDescent="0.2">
      <c r="A128" s="8" t="s">
        <v>365</v>
      </c>
      <c r="C128" s="7" t="s">
        <v>4</v>
      </c>
      <c r="F128" s="7" t="str">
        <f>IF(OR(E128="Success",E128="Qualified Success"),"Current",IF(E128="Failure",IF(RIGHT(D128,6)="Future","Future",IF(RIGHT(D128,10)="Irrelevant","Irrelevant","Current")),""))</f>
        <v/>
      </c>
      <c r="G128" s="7" t="str">
        <f>IF(OR(ISBLANK(D128),D128="Unclassifiable &gt;"),"",IF(ISNUMBER(SEARCH("Utterance",D128)),"Utterance",IF(ISNUMBER(SEARCH("Response",D128)),"Response",IF(ISNUMBER(SEARCH("Interaction",D128)),"Interaction",IF(ISNUMBER(SEARCH("System",D128)),"System","")))))</f>
        <v/>
      </c>
      <c r="K128" s="7" t="s">
        <v>200</v>
      </c>
      <c r="L128" s="9">
        <v>45015</v>
      </c>
      <c r="M128" s="10">
        <v>0.65173611111111118</v>
      </c>
      <c r="N128" s="11">
        <v>513003188598187</v>
      </c>
      <c r="P128" t="str">
        <f>IF(D128="", "", COUNTIF($D$1:$D$2273, D128))</f>
        <v/>
      </c>
    </row>
    <row r="129" spans="1:16" ht="16" x14ac:dyDescent="0.2">
      <c r="A129" s="36" t="s">
        <v>38</v>
      </c>
      <c r="C129" s="7" t="s">
        <v>2</v>
      </c>
      <c r="D129" s="7" t="s">
        <v>206</v>
      </c>
      <c r="E129" s="7" t="str">
        <f>IF(OR(D129="", D129="___"),"", LEFT(D129,FIND(" &gt;",D129)-1))</f>
        <v>Success</v>
      </c>
      <c r="F129" s="7" t="str">
        <f>IF(OR(E129="Success",E129="Qualified Success"),"Current",IF(E129="Failure",IF(RIGHT(D129,6)="Future","Future",IF(RIGHT(D129,10)="Irrelevant","Irrelevant","Current")),""))</f>
        <v>Current</v>
      </c>
      <c r="G129" s="7" t="str">
        <f>IF(OR(ISBLANK(D129),D129="Unclassifiable &gt;"),"",IF(ISNUMBER(SEARCH("Utterance",D129)),"Utterance",IF(ISNUMBER(SEARCH("Response",D129)),"Response",IF(ISNUMBER(SEARCH("Interaction",D129)),"Interaction",IF(ISNUMBER(SEARCH("System",D129)),"System","")))))</f>
        <v/>
      </c>
      <c r="H129" s="7" t="str">
        <f>IF(G129="Utterance", IF(ISNUMBER(SEARCH("Unrecognized",D129)), "Unrecognized", IF(ISNUMBER(SEARCH("Mismatched",D129)), "Mismatched", IF(ISNUMBER(SEARCH("False Positive",D129)), "False Positive", "Irrelevant"))), "")</f>
        <v/>
      </c>
      <c r="J129" s="7" t="s">
        <v>331</v>
      </c>
      <c r="K129" s="7" t="s">
        <v>200</v>
      </c>
      <c r="L129" s="9">
        <v>45015</v>
      </c>
      <c r="M129" s="10">
        <v>0.65188657407407413</v>
      </c>
      <c r="N129" s="11">
        <v>513003188598187</v>
      </c>
      <c r="O129" s="7">
        <f>IF(LEN(TRIM($A129))=0,0,LEN($A129)-LEN(SUBSTITUTE($A129," ",""))+1)</f>
        <v>3</v>
      </c>
      <c r="P129">
        <f>IF(D129="", "", COUNTIF($D$1:$D$2273, D129))</f>
        <v>176</v>
      </c>
    </row>
    <row r="130" spans="1:16" ht="192" hidden="1" x14ac:dyDescent="0.2">
      <c r="A130" s="8" t="s">
        <v>366</v>
      </c>
      <c r="C130" s="7" t="s">
        <v>4</v>
      </c>
      <c r="F130" s="7" t="str">
        <f>IF(OR(E130="Success",E130="Qualified Success"),"Current",IF(E130="Failure",IF(RIGHT(D130,6)="Future","Future",IF(RIGHT(D130,10)="Irrelevant","Irrelevant","Current")),""))</f>
        <v/>
      </c>
      <c r="G130" s="7" t="str">
        <f>IF(OR(ISBLANK(D130),D130="Unclassifiable &gt;"),"",IF(ISNUMBER(SEARCH("Utterance",D130)),"Utterance",IF(ISNUMBER(SEARCH("Response",D130)),"Response",IF(ISNUMBER(SEARCH("Interaction",D130)),"Interaction",IF(ISNUMBER(SEARCH("System",D130)),"System","")))))</f>
        <v/>
      </c>
      <c r="K130" s="7" t="s">
        <v>200</v>
      </c>
      <c r="L130" s="9">
        <v>45015</v>
      </c>
      <c r="M130" s="10">
        <v>0.65189814814814817</v>
      </c>
      <c r="N130" s="11">
        <v>513003188598187</v>
      </c>
      <c r="P130" t="str">
        <f>IF(D130="", "", COUNTIF($D$1:$D$2273, D130))</f>
        <v/>
      </c>
    </row>
    <row r="131" spans="1:16" ht="16" hidden="1" x14ac:dyDescent="0.2">
      <c r="A131" s="36" t="s">
        <v>129</v>
      </c>
      <c r="C131" s="7" t="s">
        <v>2</v>
      </c>
      <c r="D131" s="7" t="s">
        <v>217</v>
      </c>
      <c r="E131" s="7" t="str">
        <f>IF(OR(D131="", D131="___"),"", LEFT(D131,FIND(" &gt;",D131)-1))</f>
        <v>Failure</v>
      </c>
      <c r="F131" s="7" t="str">
        <f>IF(OR(E131="Success",E131="Qualified Success"),"Current",IF(E131="Failure",IF(RIGHT(D131,6)="Future","Future",IF(RIGHT(D131,10)="Irrelevant","Irrelevant","Current")),""))</f>
        <v>Current</v>
      </c>
      <c r="G131" s="7" t="str">
        <f>IF(OR(ISBLANK(D131),D131="Unclassifiable &gt;"),"",IF(ISNUMBER(SEARCH("Utterance",D131)),"Utterance",IF(ISNUMBER(SEARCH("Response",D131)),"Response",IF(ISNUMBER(SEARCH("Interaction",D131)),"Interaction",IF(ISNUMBER(SEARCH("System",D131)),"System","")))))</f>
        <v>Interaction</v>
      </c>
      <c r="H131" s="7" t="str">
        <f>IF(G131="Utterance", IF(ISNUMBER(SEARCH("Unrecognized",D131)), "Unrecognized", IF(ISNUMBER(SEARCH("Mismatched",D131)), "Mismatched", IF(ISNUMBER(SEARCH("False Positive",D131)), "False Positive", "Irrelevant"))), "")</f>
        <v/>
      </c>
      <c r="J131" s="7" t="s">
        <v>25</v>
      </c>
      <c r="K131" s="7" t="s">
        <v>200</v>
      </c>
      <c r="L131" s="9">
        <v>45015</v>
      </c>
      <c r="M131" s="10">
        <v>0.65208333333333335</v>
      </c>
      <c r="N131" s="11">
        <v>202000229560909</v>
      </c>
      <c r="O131" s="7">
        <f>IF(LEN(TRIM($A131))=0,0,LEN($A131)-LEN(SUBSTITUTE($A131," ",""))+1)</f>
        <v>6</v>
      </c>
      <c r="P131">
        <f>IF(D131="", "", COUNTIF($D$1:$D$2273, D131))</f>
        <v>29</v>
      </c>
    </row>
    <row r="132" spans="1:16" ht="32" hidden="1" x14ac:dyDescent="0.2">
      <c r="A132" s="8" t="s">
        <v>446</v>
      </c>
      <c r="C132" s="7" t="s">
        <v>4</v>
      </c>
      <c r="F132" s="7" t="str">
        <f>IF(OR(E132="Success",E132="Qualified Success"),"Current",IF(E132="Failure",IF(RIGHT(D132,6)="Future","Future",IF(RIGHT(D132,10)="Irrelevant","Irrelevant","Current")),""))</f>
        <v/>
      </c>
      <c r="G132" s="7" t="str">
        <f>IF(OR(ISBLANK(D132),D132="Unclassifiable &gt;"),"",IF(ISNUMBER(SEARCH("Utterance",D132)),"Utterance",IF(ISNUMBER(SEARCH("Response",D132)),"Response",IF(ISNUMBER(SEARCH("Interaction",D132)),"Interaction",IF(ISNUMBER(SEARCH("System",D132)),"System","")))))</f>
        <v/>
      </c>
      <c r="K132" s="7" t="s">
        <v>200</v>
      </c>
      <c r="L132" s="9">
        <v>45015</v>
      </c>
      <c r="M132" s="10">
        <v>0.65208333333333335</v>
      </c>
      <c r="N132" s="11">
        <v>202000229560909</v>
      </c>
      <c r="P132" t="str">
        <f>IF(D132="", "", COUNTIF($D$1:$D$2273, D132))</f>
        <v/>
      </c>
    </row>
    <row r="133" spans="1:16" ht="16" hidden="1" x14ac:dyDescent="0.2">
      <c r="A133" s="36" t="s">
        <v>74</v>
      </c>
      <c r="C133" s="7" t="s">
        <v>2</v>
      </c>
      <c r="D133" s="7" t="s">
        <v>206</v>
      </c>
      <c r="E133" s="7" t="str">
        <f>IF(OR(D133="", D133="___"),"", LEFT(D133,FIND(" &gt;",D133)-1))</f>
        <v>Success</v>
      </c>
      <c r="F133" s="7" t="str">
        <f>IF(OR(E133="Success",E133="Qualified Success"),"Current",IF(E133="Failure",IF(RIGHT(D133,6)="Future","Future",IF(RIGHT(D133,10)="Irrelevant","Irrelevant","Current")),""))</f>
        <v>Current</v>
      </c>
      <c r="G133" s="7" t="str">
        <f>IF(OR(ISBLANK(D133),D133="Unclassifiable &gt;"),"",IF(ISNUMBER(SEARCH("Utterance",D133)),"Utterance",IF(ISNUMBER(SEARCH("Response",D133)),"Response",IF(ISNUMBER(SEARCH("Interaction",D133)),"Interaction",IF(ISNUMBER(SEARCH("System",D133)),"System","")))))</f>
        <v/>
      </c>
      <c r="H133" s="7" t="str">
        <f>IF(G133="Utterance", IF(ISNUMBER(SEARCH("Unrecognized",D133)), "Unrecognized", IF(ISNUMBER(SEARCH("Mismatched",D133)), "Mismatched", IF(ISNUMBER(SEARCH("False Positive",D133)), "False Positive", "Irrelevant"))), "")</f>
        <v/>
      </c>
      <c r="J133" s="7" t="s">
        <v>329</v>
      </c>
      <c r="K133" s="7" t="s">
        <v>200</v>
      </c>
      <c r="L133" s="9">
        <v>45015</v>
      </c>
      <c r="M133" s="10">
        <v>0.65337962962962959</v>
      </c>
      <c r="N133" s="11">
        <v>204440003497464</v>
      </c>
      <c r="O133" s="7">
        <f>IF(LEN(TRIM($A133))=0,0,LEN($A133)-LEN(SUBSTITUTE($A133," ",""))+1)</f>
        <v>2</v>
      </c>
      <c r="P133">
        <f>IF(D133="", "", COUNTIF($D$1:$D$2273, D133))</f>
        <v>176</v>
      </c>
    </row>
    <row r="134" spans="1:16" ht="96" hidden="1" x14ac:dyDescent="0.2">
      <c r="A134" s="8" t="s">
        <v>394</v>
      </c>
      <c r="C134" s="7" t="s">
        <v>4</v>
      </c>
      <c r="F134" s="7" t="str">
        <f>IF(OR(E134="Success",E134="Qualified Success"),"Current",IF(E134="Failure",IF(RIGHT(D134,6)="Future","Future",IF(RIGHT(D134,10)="Irrelevant","Irrelevant","Current")),""))</f>
        <v/>
      </c>
      <c r="G134" s="7" t="str">
        <f>IF(OR(ISBLANK(D134),D134="Unclassifiable &gt;"),"",IF(ISNUMBER(SEARCH("Utterance",D134)),"Utterance",IF(ISNUMBER(SEARCH("Response",D134)),"Response",IF(ISNUMBER(SEARCH("Interaction",D134)),"Interaction",IF(ISNUMBER(SEARCH("System",D134)),"System","")))))</f>
        <v/>
      </c>
      <c r="K134" s="7" t="s">
        <v>200</v>
      </c>
      <c r="L134" s="9">
        <v>45015</v>
      </c>
      <c r="M134" s="10">
        <v>0.65339120370370374</v>
      </c>
      <c r="N134" s="11">
        <v>204440003497464</v>
      </c>
      <c r="P134" t="str">
        <f>IF(D134="", "", COUNTIF($D$1:$D$2273, D134))</f>
        <v/>
      </c>
    </row>
    <row r="135" spans="1:16" ht="16" hidden="1" x14ac:dyDescent="0.2">
      <c r="A135" s="36" t="s">
        <v>182</v>
      </c>
      <c r="C135" s="7" t="s">
        <v>2</v>
      </c>
      <c r="D135" s="7" t="s">
        <v>222</v>
      </c>
      <c r="E135" s="7" t="str">
        <f>IF(OR(D135="", D135="___"),"", LEFT(D135,FIND(" &gt;",D135)-1))</f>
        <v>Failure</v>
      </c>
      <c r="F135" s="7" t="str">
        <f>IF(OR(E135="Success",E135="Qualified Success"),"Current",IF(E135="Failure",IF(RIGHT(D135,6)="Future","Future",IF(RIGHT(D135,10)="Irrelevant","Irrelevant","Current")),""))</f>
        <v>Current</v>
      </c>
      <c r="G135" s="7" t="str">
        <f>IF(OR(ISBLANK(D135),D135="Unclassifiable &gt;"),"",IF(ISNUMBER(SEARCH("Utterance",D135)),"Utterance",IF(ISNUMBER(SEARCH("Response",D135)),"Response",IF(ISNUMBER(SEARCH("Interaction",D135)),"Interaction",IF(ISNUMBER(SEARCH("System",D135)),"System","")))))</f>
        <v>System</v>
      </c>
      <c r="H135" s="7" t="str">
        <f>IF(G135="Utterance", IF(ISNUMBER(SEARCH("Unrecognized",D135)), "Unrecognized", IF(ISNUMBER(SEARCH("Mismatched",D135)), "Mismatched", IF(ISNUMBER(SEARCH("False Positive",D135)), "False Positive", "Irrelevant"))), "")</f>
        <v/>
      </c>
      <c r="I135" s="7" t="s">
        <v>460</v>
      </c>
      <c r="J135" s="7" t="s">
        <v>329</v>
      </c>
      <c r="K135" s="7" t="s">
        <v>200</v>
      </c>
      <c r="L135" s="9">
        <v>45015</v>
      </c>
      <c r="M135" s="10">
        <v>0.65368055555555549</v>
      </c>
      <c r="N135" s="11">
        <v>513003188598187</v>
      </c>
      <c r="O135" s="7">
        <f>IF(LEN(TRIM($A135))=0,0,LEN($A135)-LEN(SUBSTITUTE($A135," ",""))+1)</f>
        <v>10</v>
      </c>
      <c r="P135">
        <f>IF(D135="", "", COUNTIF($D$1:$D$2273, D135))</f>
        <v>10</v>
      </c>
    </row>
    <row r="136" spans="1:16" ht="16" hidden="1" x14ac:dyDescent="0.2">
      <c r="A136" s="36" t="s">
        <v>183</v>
      </c>
      <c r="C136" s="7" t="s">
        <v>2</v>
      </c>
      <c r="D136" s="7" t="s">
        <v>206</v>
      </c>
      <c r="E136" s="7" t="str">
        <f>IF(OR(D136="", D136="___"),"", LEFT(D136,FIND(" &gt;",D136)-1))</f>
        <v>Success</v>
      </c>
      <c r="F136" s="7" t="str">
        <f>IF(OR(E136="Success",E136="Qualified Success"),"Current",IF(E136="Failure",IF(RIGHT(D136,6)="Future","Future",IF(RIGHT(D136,10)="Irrelevant","Irrelevant","Current")),""))</f>
        <v>Current</v>
      </c>
      <c r="G136" s="7" t="str">
        <f>IF(OR(ISBLANK(D136),D136="Unclassifiable &gt;"),"",IF(ISNUMBER(SEARCH("Utterance",D136)),"Utterance",IF(ISNUMBER(SEARCH("Response",D136)),"Response",IF(ISNUMBER(SEARCH("Interaction",D136)),"Interaction",IF(ISNUMBER(SEARCH("System",D136)),"System","")))))</f>
        <v/>
      </c>
      <c r="H136" s="7" t="str">
        <f>IF(G136="Utterance", IF(ISNUMBER(SEARCH("Unrecognized",D136)), "Unrecognized", IF(ISNUMBER(SEARCH("Mismatched",D136)), "Mismatched", IF(ISNUMBER(SEARCH("False Positive",D136)), "False Positive", "Irrelevant"))), "")</f>
        <v/>
      </c>
      <c r="J136" s="7" t="s">
        <v>330</v>
      </c>
      <c r="K136" s="7" t="s">
        <v>200</v>
      </c>
      <c r="L136" s="9">
        <v>45015</v>
      </c>
      <c r="M136" s="10">
        <v>0.65368055555555549</v>
      </c>
      <c r="N136" s="11">
        <v>513003188598187</v>
      </c>
      <c r="O136" s="7">
        <f>IF(LEN(TRIM($A136))=0,0,LEN($A136)-LEN(SUBSTITUTE($A136," ",""))+1)</f>
        <v>10</v>
      </c>
      <c r="P136">
        <f>IF(D136="", "", COUNTIF($D$1:$D$2273, D136))</f>
        <v>176</v>
      </c>
    </row>
    <row r="137" spans="1:16" ht="16" hidden="1" x14ac:dyDescent="0.2">
      <c r="A137" s="8" t="s">
        <v>460</v>
      </c>
      <c r="C137" s="7" t="s">
        <v>4</v>
      </c>
      <c r="F137" s="7" t="str">
        <f>IF(OR(E137="Success",E137="Qualified Success"),"Current",IF(E137="Failure",IF(RIGHT(D137,6)="Future","Future",IF(RIGHT(D137,10)="Irrelevant","Irrelevant","Current")),""))</f>
        <v/>
      </c>
      <c r="G137" s="7" t="str">
        <f>IF(OR(ISBLANK(D137),D137="Unclassifiable &gt;"),"",IF(ISNUMBER(SEARCH("Utterance",D137)),"Utterance",IF(ISNUMBER(SEARCH("Response",D137)),"Response",IF(ISNUMBER(SEARCH("Interaction",D137)),"Interaction",IF(ISNUMBER(SEARCH("System",D137)),"System","")))))</f>
        <v/>
      </c>
      <c r="K137" s="7" t="s">
        <v>200</v>
      </c>
      <c r="L137" s="9">
        <v>45015</v>
      </c>
      <c r="M137" s="10">
        <v>0.65368055555555549</v>
      </c>
      <c r="N137" s="11">
        <v>513003188598187</v>
      </c>
      <c r="P137" t="str">
        <f>IF(D137="", "", COUNTIF($D$1:$D$2273, D137))</f>
        <v/>
      </c>
    </row>
    <row r="138" spans="1:16" ht="80" hidden="1" x14ac:dyDescent="0.2">
      <c r="A138" s="8" t="s">
        <v>414</v>
      </c>
      <c r="C138" s="7" t="s">
        <v>4</v>
      </c>
      <c r="F138" s="7" t="str">
        <f>IF(OR(E138="Success",E138="Qualified Success"),"Current",IF(E138="Failure",IF(RIGHT(D138,6)="Future","Future",IF(RIGHT(D138,10)="Irrelevant","Irrelevant","Current")),""))</f>
        <v/>
      </c>
      <c r="G138" s="7" t="str">
        <f>IF(OR(ISBLANK(D138),D138="Unclassifiable &gt;"),"",IF(ISNUMBER(SEARCH("Utterance",D138)),"Utterance",IF(ISNUMBER(SEARCH("Response",D138)),"Response",IF(ISNUMBER(SEARCH("Interaction",D138)),"Interaction",IF(ISNUMBER(SEARCH("System",D138)),"System","")))))</f>
        <v/>
      </c>
      <c r="K138" s="7" t="s">
        <v>200</v>
      </c>
      <c r="L138" s="9">
        <v>45015</v>
      </c>
      <c r="M138" s="10">
        <v>0.65368055555555549</v>
      </c>
      <c r="N138" s="11">
        <v>513003188598187</v>
      </c>
      <c r="P138" t="str">
        <f>IF(D138="", "", COUNTIF($D$1:$D$2273, D138))</f>
        <v/>
      </c>
    </row>
    <row r="139" spans="1:16" ht="16" hidden="1" x14ac:dyDescent="0.2">
      <c r="A139" s="36" t="s">
        <v>45</v>
      </c>
      <c r="B139" s="7" t="s">
        <v>296</v>
      </c>
      <c r="C139" s="7" t="s">
        <v>2</v>
      </c>
      <c r="D139" s="7" t="s">
        <v>206</v>
      </c>
      <c r="E139" s="7" t="str">
        <f>IF(OR(D139="", D139="___"),"", LEFT(D139,FIND(" &gt;",D139)-1))</f>
        <v>Success</v>
      </c>
      <c r="F139" s="7" t="str">
        <f>IF(OR(E139="Success",E139="Qualified Success"),"Current",IF(E139="Failure",IF(RIGHT(D139,6)="Future","Future",IF(RIGHT(D139,10)="Irrelevant","Irrelevant","Current")),""))</f>
        <v>Current</v>
      </c>
      <c r="G139" s="7" t="str">
        <f>IF(OR(ISBLANK(D139),D139="Unclassifiable &gt;"),"",IF(ISNUMBER(SEARCH("Utterance",D139)),"Utterance",IF(ISNUMBER(SEARCH("Response",D139)),"Response",IF(ISNUMBER(SEARCH("Interaction",D139)),"Interaction",IF(ISNUMBER(SEARCH("System",D139)),"System","")))))</f>
        <v/>
      </c>
      <c r="H139" s="7" t="str">
        <f>IF(G139="Utterance", IF(ISNUMBER(SEARCH("Unrecognized",D139)), "Unrecognized", IF(ISNUMBER(SEARCH("Mismatched",D139)), "Mismatched", IF(ISNUMBER(SEARCH("False Positive",D139)), "False Positive", "Irrelevant"))), "")</f>
        <v/>
      </c>
      <c r="J139" s="7" t="s">
        <v>243</v>
      </c>
      <c r="K139" s="7" t="s">
        <v>200</v>
      </c>
      <c r="L139" s="9">
        <v>45015</v>
      </c>
      <c r="M139" s="10">
        <v>0.66275462962962961</v>
      </c>
      <c r="N139" s="11">
        <v>204440003538846</v>
      </c>
      <c r="O139" s="7">
        <f>IF(LEN(TRIM($A139))=0,0,LEN($A139)-LEN(SUBSTITUTE($A139," ",""))+1)</f>
        <v>3</v>
      </c>
      <c r="P139">
        <f>IF(D139="", "", COUNTIF($D$1:$D$2273, D139))</f>
        <v>176</v>
      </c>
    </row>
    <row r="140" spans="1:16" ht="32" hidden="1" x14ac:dyDescent="0.2">
      <c r="A140" s="8" t="s">
        <v>389</v>
      </c>
      <c r="C140" s="7" t="s">
        <v>4</v>
      </c>
      <c r="F140" s="7" t="str">
        <f>IF(OR(E140="Success",E140="Qualified Success"),"Current",IF(E140="Failure",IF(RIGHT(D140,6)="Future","Future",IF(RIGHT(D140,10)="Irrelevant","Irrelevant","Current")),""))</f>
        <v/>
      </c>
      <c r="G140" s="7" t="str">
        <f>IF(OR(ISBLANK(D140),D140="Unclassifiable &gt;"),"",IF(ISNUMBER(SEARCH("Utterance",D140)),"Utterance",IF(ISNUMBER(SEARCH("Response",D140)),"Response",IF(ISNUMBER(SEARCH("Interaction",D140)),"Interaction",IF(ISNUMBER(SEARCH("System",D140)),"System","")))))</f>
        <v/>
      </c>
      <c r="K140" s="7" t="s">
        <v>200</v>
      </c>
      <c r="L140" s="9">
        <v>45015</v>
      </c>
      <c r="M140" s="10">
        <v>0.66275462962962961</v>
      </c>
      <c r="N140" s="11">
        <v>204440003538846</v>
      </c>
      <c r="P140" t="str">
        <f>IF(D140="", "", COUNTIF($D$1:$D$2273, D140))</f>
        <v/>
      </c>
    </row>
    <row r="141" spans="1:16" ht="16" hidden="1" x14ac:dyDescent="0.2">
      <c r="A141" s="36" t="s">
        <v>117</v>
      </c>
      <c r="C141" s="7" t="s">
        <v>2</v>
      </c>
      <c r="D141" s="7" t="s">
        <v>206</v>
      </c>
      <c r="E141" s="7" t="str">
        <f>IF(OR(D141="", D141="___"),"", LEFT(D141,FIND(" &gt;",D141)-1))</f>
        <v>Success</v>
      </c>
      <c r="F141" s="7" t="str">
        <f>IF(OR(E141="Success",E141="Qualified Success"),"Current",IF(E141="Failure",IF(RIGHT(D141,6)="Future","Future",IF(RIGHT(D141,10)="Irrelevant","Irrelevant","Current")),""))</f>
        <v>Current</v>
      </c>
      <c r="G141" s="7" t="str">
        <f>IF(OR(ISBLANK(D141),D141="Unclassifiable &gt;"),"",IF(ISNUMBER(SEARCH("Utterance",D141)),"Utterance",IF(ISNUMBER(SEARCH("Response",D141)),"Response",IF(ISNUMBER(SEARCH("Interaction",D141)),"Interaction",IF(ISNUMBER(SEARCH("System",D141)),"System","")))))</f>
        <v/>
      </c>
      <c r="H141" s="7" t="str">
        <f>IF(G141="Utterance", IF(ISNUMBER(SEARCH("Unrecognized",D141)), "Unrecognized", IF(ISNUMBER(SEARCH("Mismatched",D141)), "Mismatched", IF(ISNUMBER(SEARCH("False Positive",D141)), "False Positive", "Irrelevant"))), "")</f>
        <v/>
      </c>
      <c r="J141" s="7" t="s">
        <v>329</v>
      </c>
      <c r="K141" s="7" t="s">
        <v>200</v>
      </c>
      <c r="L141" s="9">
        <v>45015</v>
      </c>
      <c r="M141" s="10">
        <v>0.66366898148148146</v>
      </c>
      <c r="N141" s="11">
        <v>204440003538846</v>
      </c>
      <c r="O141" s="7">
        <f>IF(LEN(TRIM($A141))=0,0,LEN($A141)-LEN(SUBSTITUTE($A141," ",""))+1)</f>
        <v>4</v>
      </c>
      <c r="P141">
        <f>IF(D141="", "", COUNTIF($D$1:$D$2273, D141))</f>
        <v>176</v>
      </c>
    </row>
    <row r="142" spans="1:16" ht="64" hidden="1" x14ac:dyDescent="0.2">
      <c r="A142" s="8" t="s">
        <v>415</v>
      </c>
      <c r="C142" s="7" t="s">
        <v>4</v>
      </c>
      <c r="F142" s="7" t="str">
        <f>IF(OR(E142="Success",E142="Qualified Success"),"Current",IF(E142="Failure",IF(RIGHT(D142,6)="Future","Future",IF(RIGHT(D142,10)="Irrelevant","Irrelevant","Current")),""))</f>
        <v/>
      </c>
      <c r="G142" s="7" t="str">
        <f>IF(OR(ISBLANK(D142),D142="Unclassifiable &gt;"),"",IF(ISNUMBER(SEARCH("Utterance",D142)),"Utterance",IF(ISNUMBER(SEARCH("Response",D142)),"Response",IF(ISNUMBER(SEARCH("Interaction",D142)),"Interaction",IF(ISNUMBER(SEARCH("System",D142)),"System","")))))</f>
        <v/>
      </c>
      <c r="K142" s="7" t="s">
        <v>200</v>
      </c>
      <c r="L142" s="9">
        <v>45015</v>
      </c>
      <c r="M142" s="10">
        <v>0.66366898148148146</v>
      </c>
      <c r="N142" s="11">
        <v>204440003538846</v>
      </c>
      <c r="P142" t="str">
        <f>IF(D142="", "", COUNTIF($D$1:$D$2273, D142))</f>
        <v/>
      </c>
    </row>
    <row r="143" spans="1:16" ht="16" hidden="1" x14ac:dyDescent="0.2">
      <c r="A143" s="36" t="s">
        <v>350</v>
      </c>
      <c r="C143" s="7" t="s">
        <v>2</v>
      </c>
      <c r="D143" s="7" t="s">
        <v>217</v>
      </c>
      <c r="E143" s="7" t="str">
        <f>IF(OR(D143="", D143="___"),"", LEFT(D143,FIND(" &gt;",D143)-1))</f>
        <v>Failure</v>
      </c>
      <c r="F143" s="7" t="str">
        <f>IF(OR(E143="Success",E143="Qualified Success"),"Current",IF(E143="Failure",IF(RIGHT(D143,6)="Future","Future",IF(RIGHT(D143,10)="Irrelevant","Irrelevant","Current")),""))</f>
        <v>Current</v>
      </c>
      <c r="G143" s="7" t="str">
        <f>IF(OR(ISBLANK(D143),D143="Unclassifiable &gt;"),"",IF(ISNUMBER(SEARCH("Utterance",D143)),"Utterance",IF(ISNUMBER(SEARCH("Response",D143)),"Response",IF(ISNUMBER(SEARCH("Interaction",D143)),"Interaction",IF(ISNUMBER(SEARCH("System",D143)),"System","")))))</f>
        <v>Interaction</v>
      </c>
      <c r="H143" s="7" t="str">
        <f>IF(G143="Utterance", IF(ISNUMBER(SEARCH("Unrecognized",D143)), "Unrecognized", IF(ISNUMBER(SEARCH("Mismatched",D143)), "Mismatched", IF(ISNUMBER(SEARCH("False Positive",D143)), "False Positive", "Irrelevant"))), "")</f>
        <v/>
      </c>
      <c r="J143" s="7" t="s">
        <v>329</v>
      </c>
      <c r="K143" s="7" t="s">
        <v>200</v>
      </c>
      <c r="L143" s="9">
        <v>45015</v>
      </c>
      <c r="M143" s="10">
        <v>0.66418981481481476</v>
      </c>
      <c r="N143" s="11">
        <v>204440003488818</v>
      </c>
      <c r="O143" s="7">
        <f>IF(LEN(TRIM($A143))=0,0,LEN($A143)-LEN(SUBSTITUTE($A143," ",""))+1)</f>
        <v>8</v>
      </c>
      <c r="P143">
        <f>IF(D143="", "", COUNTIF($D$1:$D$2273, D143))</f>
        <v>29</v>
      </c>
    </row>
    <row r="144" spans="1:16" ht="80" hidden="1" x14ac:dyDescent="0.2">
      <c r="A144" s="8" t="s">
        <v>414</v>
      </c>
      <c r="C144" s="7" t="s">
        <v>4</v>
      </c>
      <c r="F144" s="7" t="str">
        <f>IF(OR(E144="Success",E144="Qualified Success"),"Current",IF(E144="Failure",IF(RIGHT(D144,6)="Future","Future",IF(RIGHT(D144,10)="Irrelevant","Irrelevant","Current")),""))</f>
        <v/>
      </c>
      <c r="G144" s="7" t="str">
        <f>IF(OR(ISBLANK(D144),D144="Unclassifiable &gt;"),"",IF(ISNUMBER(SEARCH("Utterance",D144)),"Utterance",IF(ISNUMBER(SEARCH("Response",D144)),"Response",IF(ISNUMBER(SEARCH("Interaction",D144)),"Interaction",IF(ISNUMBER(SEARCH("System",D144)),"System","")))))</f>
        <v/>
      </c>
      <c r="K144" s="7" t="s">
        <v>200</v>
      </c>
      <c r="L144" s="9">
        <v>45015</v>
      </c>
      <c r="M144" s="10">
        <v>0.66418981481481476</v>
      </c>
      <c r="N144" s="11">
        <v>204440003488818</v>
      </c>
      <c r="P144" t="str">
        <f>IF(D144="", "", COUNTIF($D$1:$D$2273, D144))</f>
        <v/>
      </c>
    </row>
    <row r="145" spans="1:16" ht="16" hidden="1" x14ac:dyDescent="0.2">
      <c r="A145" s="36" t="s">
        <v>118</v>
      </c>
      <c r="C145" s="7" t="s">
        <v>2</v>
      </c>
      <c r="D145" s="7" t="s">
        <v>206</v>
      </c>
      <c r="E145" s="7" t="str">
        <f>IF(OR(D145="", D145="___"),"", LEFT(D145,FIND(" &gt;",D145)-1))</f>
        <v>Success</v>
      </c>
      <c r="F145" s="7" t="str">
        <f>IF(OR(E145="Success",E145="Qualified Success"),"Current",IF(E145="Failure",IF(RIGHT(D145,6)="Future","Future",IF(RIGHT(D145,10)="Irrelevant","Irrelevant","Current")),""))</f>
        <v>Current</v>
      </c>
      <c r="G145" s="7" t="str">
        <f>IF(OR(ISBLANK(D145),D145="Unclassifiable &gt;"),"",IF(ISNUMBER(SEARCH("Utterance",D145)),"Utterance",IF(ISNUMBER(SEARCH("Response",D145)),"Response",IF(ISNUMBER(SEARCH("Interaction",D145)),"Interaction",IF(ISNUMBER(SEARCH("System",D145)),"System","")))))</f>
        <v/>
      </c>
      <c r="H145" s="7" t="str">
        <f>IF(G145="Utterance", IF(ISNUMBER(SEARCH("Unrecognized",D145)), "Unrecognized", IF(ISNUMBER(SEARCH("Mismatched",D145)), "Mismatched", IF(ISNUMBER(SEARCH("False Positive",D145)), "False Positive", "Irrelevant"))), "")</f>
        <v/>
      </c>
      <c r="J145" s="7" t="s">
        <v>329</v>
      </c>
      <c r="K145" s="7" t="s">
        <v>200</v>
      </c>
      <c r="L145" s="9">
        <v>45015</v>
      </c>
      <c r="M145" s="10">
        <v>0.66899305555555555</v>
      </c>
      <c r="N145" s="11">
        <v>204440003538846</v>
      </c>
      <c r="O145" s="7">
        <f>IF(LEN(TRIM($A145))=0,0,LEN($A145)-LEN(SUBSTITUTE($A145," ",""))+1)</f>
        <v>2</v>
      </c>
      <c r="P145">
        <f>IF(D145="", "", COUNTIF($D$1:$D$2273, D145))</f>
        <v>176</v>
      </c>
    </row>
    <row r="146" spans="1:16" ht="64" hidden="1" x14ac:dyDescent="0.2">
      <c r="A146" s="8" t="s">
        <v>415</v>
      </c>
      <c r="C146" s="7" t="s">
        <v>4</v>
      </c>
      <c r="F146" s="7" t="str">
        <f>IF(OR(E146="Success",E146="Qualified Success"),"Current",IF(E146="Failure",IF(RIGHT(D146,6)="Future","Future",IF(RIGHT(D146,10)="Irrelevant","Irrelevant","Current")),""))</f>
        <v/>
      </c>
      <c r="G146" s="7" t="str">
        <f>IF(OR(ISBLANK(D146),D146="Unclassifiable &gt;"),"",IF(ISNUMBER(SEARCH("Utterance",D146)),"Utterance",IF(ISNUMBER(SEARCH("Response",D146)),"Response",IF(ISNUMBER(SEARCH("Interaction",D146)),"Interaction",IF(ISNUMBER(SEARCH("System",D146)),"System","")))))</f>
        <v/>
      </c>
      <c r="K146" s="7" t="s">
        <v>200</v>
      </c>
      <c r="L146" s="9">
        <v>45015</v>
      </c>
      <c r="M146" s="10">
        <v>0.66899305555555555</v>
      </c>
      <c r="N146" s="11">
        <v>204440003538846</v>
      </c>
      <c r="P146" t="str">
        <f>IF(D146="", "", COUNTIF($D$1:$D$2273, D146))</f>
        <v/>
      </c>
    </row>
    <row r="147" spans="1:16" ht="16" hidden="1" x14ac:dyDescent="0.2">
      <c r="A147" s="36" t="s">
        <v>136</v>
      </c>
      <c r="C147" s="7" t="s">
        <v>2</v>
      </c>
      <c r="D147" s="7" t="s">
        <v>206</v>
      </c>
      <c r="E147" s="7" t="str">
        <f>IF(OR(D147="", D147="___"),"", LEFT(D147,FIND(" &gt;",D147)-1))</f>
        <v>Success</v>
      </c>
      <c r="F147" s="7" t="str">
        <f>IF(OR(E147="Success",E147="Qualified Success"),"Current",IF(E147="Failure",IF(RIGHT(D147,6)="Future","Future",IF(RIGHT(D147,10)="Irrelevant","Irrelevant","Current")),""))</f>
        <v>Current</v>
      </c>
      <c r="G147" s="7" t="str">
        <f>IF(OR(ISBLANK(D147),D147="Unclassifiable &gt;"),"",IF(ISNUMBER(SEARCH("Utterance",D147)),"Utterance",IF(ISNUMBER(SEARCH("Response",D147)),"Response",IF(ISNUMBER(SEARCH("Interaction",D147)),"Interaction",IF(ISNUMBER(SEARCH("System",D147)),"System","")))))</f>
        <v/>
      </c>
      <c r="H147" s="7" t="str">
        <f>IF(G147="Utterance", IF(ISNUMBER(SEARCH("Unrecognized",D147)), "Unrecognized", IF(ISNUMBER(SEARCH("Mismatched",D147)), "Mismatched", IF(ISNUMBER(SEARCH("False Positive",D147)), "False Positive", "Irrelevant"))), "")</f>
        <v/>
      </c>
      <c r="J147" s="7" t="s">
        <v>339</v>
      </c>
      <c r="K147" s="7" t="s">
        <v>200</v>
      </c>
      <c r="L147" s="9">
        <v>45015</v>
      </c>
      <c r="M147" s="10">
        <v>0.6810532407407407</v>
      </c>
      <c r="N147" s="11">
        <v>202000347578032</v>
      </c>
      <c r="O147" s="7">
        <f>IF(LEN(TRIM($A147))=0,0,LEN($A147)-LEN(SUBSTITUTE($A147," ",""))+1)</f>
        <v>6</v>
      </c>
      <c r="P147">
        <f>IF(D147="", "", COUNTIF($D$1:$D$2273, D147))</f>
        <v>176</v>
      </c>
    </row>
    <row r="148" spans="1:16" ht="96" hidden="1" x14ac:dyDescent="0.2">
      <c r="A148" s="8" t="s">
        <v>402</v>
      </c>
      <c r="C148" s="7" t="s">
        <v>4</v>
      </c>
      <c r="F148" s="7" t="str">
        <f>IF(OR(E148="Success",E148="Qualified Success"),"Current",IF(E148="Failure",IF(RIGHT(D148,6)="Future","Future",IF(RIGHT(D148,10)="Irrelevant","Irrelevant","Current")),""))</f>
        <v/>
      </c>
      <c r="G148" s="7" t="str">
        <f>IF(OR(ISBLANK(D148),D148="Unclassifiable &gt;"),"",IF(ISNUMBER(SEARCH("Utterance",D148)),"Utterance",IF(ISNUMBER(SEARCH("Response",D148)),"Response",IF(ISNUMBER(SEARCH("Interaction",D148)),"Interaction",IF(ISNUMBER(SEARCH("System",D148)),"System","")))))</f>
        <v/>
      </c>
      <c r="K148" s="7" t="s">
        <v>200</v>
      </c>
      <c r="L148" s="9">
        <v>45015</v>
      </c>
      <c r="M148" s="10">
        <v>0.6810532407407407</v>
      </c>
      <c r="N148" s="11">
        <v>202000347578032</v>
      </c>
      <c r="P148" t="str">
        <f>IF(D148="", "", COUNTIF($D$1:$D$2273, D148))</f>
        <v/>
      </c>
    </row>
    <row r="149" spans="1:16" ht="16" x14ac:dyDescent="0.2">
      <c r="A149" s="36" t="s">
        <v>27</v>
      </c>
      <c r="C149" s="7" t="s">
        <v>2</v>
      </c>
      <c r="D149" s="7" t="s">
        <v>208</v>
      </c>
      <c r="E149" s="7" t="str">
        <f>IF(OR(D149="", D149="___"),"", LEFT(D149,FIND(" &gt;",D149)-1))</f>
        <v>Failure</v>
      </c>
      <c r="F149" s="7" t="str">
        <f>IF(OR(E149="Success",E149="Qualified Success"),"Current",IF(E149="Failure",IF(RIGHT(D149,6)="Future","Future",IF(RIGHT(D149,10)="Irrelevant","Irrelevant","Current")),""))</f>
        <v>Current</v>
      </c>
      <c r="G149" s="7" t="str">
        <f>IF(OR(ISBLANK(D149),D149="Unclassifiable &gt;"),"",IF(ISNUMBER(SEARCH("Utterance",D149)),"Utterance",IF(ISNUMBER(SEARCH("Response",D149)),"Response",IF(ISNUMBER(SEARCH("Interaction",D149)),"Interaction",IF(ISNUMBER(SEARCH("System",D149)),"System","")))))</f>
        <v>Utterance</v>
      </c>
      <c r="H149" s="7" t="str">
        <f>IF(G149="Utterance", IF(ISNUMBER(SEARCH("Unrecognized",D149)), "Unrecognized", IF(ISNUMBER(SEARCH("Mismatched",D149)), "Mismatched", IF(ISNUMBER(SEARCH("False Positive",D149)), "False Positive", "Irrelevant"))), "")</f>
        <v>Mismatched</v>
      </c>
      <c r="J149" s="7" t="s">
        <v>331</v>
      </c>
      <c r="K149" s="7" t="s">
        <v>200</v>
      </c>
      <c r="L149" s="9">
        <v>45015</v>
      </c>
      <c r="M149" s="10">
        <v>0.69627314814814811</v>
      </c>
      <c r="N149" s="11">
        <v>204440003486752</v>
      </c>
      <c r="O149" s="7">
        <f>IF(LEN(TRIM($A149))=0,0,LEN($A149)-LEN(SUBSTITUTE($A149," ",""))+1)</f>
        <v>2</v>
      </c>
      <c r="P149">
        <f>IF(D149="", "", COUNTIF($D$1:$D$2273, D149))</f>
        <v>32</v>
      </c>
    </row>
    <row r="150" spans="1:16" ht="99" hidden="1" customHeight="1" x14ac:dyDescent="0.2">
      <c r="A150" s="8" t="s">
        <v>416</v>
      </c>
      <c r="C150" s="7" t="s">
        <v>4</v>
      </c>
      <c r="F150" s="7" t="str">
        <f>IF(OR(E150="Success",E150="Qualified Success"),"Current",IF(E150="Failure",IF(RIGHT(D150,6)="Future","Future",IF(RIGHT(D150,10)="Irrelevant","Irrelevant","Current")),""))</f>
        <v/>
      </c>
      <c r="G150" s="7" t="str">
        <f>IF(OR(ISBLANK(D150),D150="Unclassifiable &gt;"),"",IF(ISNUMBER(SEARCH("Utterance",D150)),"Utterance",IF(ISNUMBER(SEARCH("Response",D150)),"Response",IF(ISNUMBER(SEARCH("Interaction",D150)),"Interaction",IF(ISNUMBER(SEARCH("System",D150)),"System","")))))</f>
        <v/>
      </c>
      <c r="K150" s="7" t="s">
        <v>200</v>
      </c>
      <c r="L150" s="9">
        <v>45015</v>
      </c>
      <c r="M150" s="10">
        <v>0.69627314814814811</v>
      </c>
      <c r="N150" s="11">
        <v>204440003486752</v>
      </c>
      <c r="P150" t="str">
        <f>IF(D150="", "", COUNTIF($D$1:$D$2273, D150))</f>
        <v/>
      </c>
    </row>
    <row r="151" spans="1:16" ht="16" x14ac:dyDescent="0.2">
      <c r="A151" s="36" t="s">
        <v>27</v>
      </c>
      <c r="C151" s="7" t="s">
        <v>2</v>
      </c>
      <c r="D151" s="7" t="s">
        <v>208</v>
      </c>
      <c r="E151" s="7" t="str">
        <f>IF(OR(D151="", D151="___"),"", LEFT(D151,FIND(" &gt;",D151)-1))</f>
        <v>Failure</v>
      </c>
      <c r="F151" s="7" t="str">
        <f>IF(OR(E151="Success",E151="Qualified Success"),"Current",IF(E151="Failure",IF(RIGHT(D151,6)="Future","Future",IF(RIGHT(D151,10)="Irrelevant","Irrelevant","Current")),""))</f>
        <v>Current</v>
      </c>
      <c r="G151" s="7" t="str">
        <f>IF(OR(ISBLANK(D151),D151="Unclassifiable &gt;"),"",IF(ISNUMBER(SEARCH("Utterance",D151)),"Utterance",IF(ISNUMBER(SEARCH("Response",D151)),"Response",IF(ISNUMBER(SEARCH("Interaction",D151)),"Interaction",IF(ISNUMBER(SEARCH("System",D151)),"System","")))))</f>
        <v>Utterance</v>
      </c>
      <c r="H151" s="7" t="str">
        <f>IF(G151="Utterance", IF(ISNUMBER(SEARCH("Unrecognized",D151)), "Unrecognized", IF(ISNUMBER(SEARCH("Mismatched",D151)), "Mismatched", IF(ISNUMBER(SEARCH("False Positive",D151)), "False Positive", "Irrelevant"))), "")</f>
        <v>Mismatched</v>
      </c>
      <c r="J151" s="7" t="s">
        <v>331</v>
      </c>
      <c r="K151" s="7" t="s">
        <v>200</v>
      </c>
      <c r="L151" s="9">
        <v>45015</v>
      </c>
      <c r="M151" s="10">
        <v>0.69649305555555552</v>
      </c>
      <c r="N151" s="11">
        <v>204440003486752</v>
      </c>
      <c r="O151" s="7">
        <f>IF(LEN(TRIM($A151))=0,0,LEN($A151)-LEN(SUBSTITUTE($A151," ",""))+1)</f>
        <v>2</v>
      </c>
      <c r="P151">
        <f>IF(D151="", "", COUNTIF($D$1:$D$2273, D151))</f>
        <v>32</v>
      </c>
    </row>
    <row r="152" spans="1:16" ht="100" hidden="1" customHeight="1" x14ac:dyDescent="0.2">
      <c r="A152" s="8" t="s">
        <v>416</v>
      </c>
      <c r="C152" s="7" t="s">
        <v>4</v>
      </c>
      <c r="F152" s="7" t="str">
        <f>IF(OR(E152="Success",E152="Qualified Success"),"Current",IF(E152="Failure",IF(RIGHT(D152,6)="Future","Future",IF(RIGHT(D152,10)="Irrelevant","Irrelevant","Current")),""))</f>
        <v/>
      </c>
      <c r="G152" s="7" t="str">
        <f>IF(OR(ISBLANK(D152),D152="Unclassifiable &gt;"),"",IF(ISNUMBER(SEARCH("Utterance",D152)),"Utterance",IF(ISNUMBER(SEARCH("Response",D152)),"Response",IF(ISNUMBER(SEARCH("Interaction",D152)),"Interaction",IF(ISNUMBER(SEARCH("System",D152)),"System","")))))</f>
        <v/>
      </c>
      <c r="K152" s="7" t="s">
        <v>200</v>
      </c>
      <c r="L152" s="9">
        <v>45015</v>
      </c>
      <c r="M152" s="10">
        <v>0.69649305555555552</v>
      </c>
      <c r="N152" s="11">
        <v>204440003486752</v>
      </c>
      <c r="P152" t="str">
        <f>IF(D152="", "", COUNTIF($D$1:$D$2273, D152))</f>
        <v/>
      </c>
    </row>
    <row r="153" spans="1:16" ht="16" x14ac:dyDescent="0.2">
      <c r="A153" s="36" t="s">
        <v>22</v>
      </c>
      <c r="C153" s="7" t="s">
        <v>2</v>
      </c>
      <c r="D153" s="7" t="s">
        <v>208</v>
      </c>
      <c r="E153" s="7" t="str">
        <f>IF(OR(D153="", D153="___"),"", LEFT(D153,FIND(" &gt;",D153)-1))</f>
        <v>Failure</v>
      </c>
      <c r="F153" s="7" t="str">
        <f>IF(OR(E153="Success",E153="Qualified Success"),"Current",IF(E153="Failure",IF(RIGHT(D153,6)="Future","Future",IF(RIGHT(D153,10)="Irrelevant","Irrelevant","Current")),""))</f>
        <v>Current</v>
      </c>
      <c r="G153" s="7" t="str">
        <f>IF(OR(ISBLANK(D153),D153="Unclassifiable &gt;"),"",IF(ISNUMBER(SEARCH("Utterance",D153)),"Utterance",IF(ISNUMBER(SEARCH("Response",D153)),"Response",IF(ISNUMBER(SEARCH("Interaction",D153)),"Interaction",IF(ISNUMBER(SEARCH("System",D153)),"System","")))))</f>
        <v>Utterance</v>
      </c>
      <c r="H153" s="7" t="str">
        <f>IF(G153="Utterance", IF(ISNUMBER(SEARCH("Unrecognized",D153)), "Unrecognized", IF(ISNUMBER(SEARCH("Mismatched",D153)), "Mismatched", IF(ISNUMBER(SEARCH("False Positive",D153)), "False Positive", "Irrelevant"))), "")</f>
        <v>Mismatched</v>
      </c>
      <c r="J153" s="7" t="s">
        <v>331</v>
      </c>
      <c r="K153" s="7" t="s">
        <v>200</v>
      </c>
      <c r="L153" s="9">
        <v>45015</v>
      </c>
      <c r="M153" s="10">
        <v>0.69668981481481485</v>
      </c>
      <c r="N153" s="11">
        <v>204440003486752</v>
      </c>
      <c r="O153" s="7">
        <f>IF(LEN(TRIM($A153))=0,0,LEN($A153)-LEN(SUBSTITUTE($A153," ",""))+1)</f>
        <v>1</v>
      </c>
      <c r="P153">
        <f>IF(D153="", "", COUNTIF($D$1:$D$2273, D153))</f>
        <v>32</v>
      </c>
    </row>
    <row r="154" spans="1:16" ht="48" hidden="1" x14ac:dyDescent="0.2">
      <c r="A154" s="8" t="s">
        <v>444</v>
      </c>
      <c r="C154" s="7" t="s">
        <v>4</v>
      </c>
      <c r="F154" s="7" t="str">
        <f>IF(OR(E154="Success",E154="Qualified Success"),"Current",IF(E154="Failure",IF(RIGHT(D154,6)="Future","Future",IF(RIGHT(D154,10)="Irrelevant","Irrelevant","Current")),""))</f>
        <v/>
      </c>
      <c r="G154" s="7" t="str">
        <f>IF(OR(ISBLANK(D154),D154="Unclassifiable &gt;"),"",IF(ISNUMBER(SEARCH("Utterance",D154)),"Utterance",IF(ISNUMBER(SEARCH("Response",D154)),"Response",IF(ISNUMBER(SEARCH("Interaction",D154)),"Interaction",IF(ISNUMBER(SEARCH("System",D154)),"System","")))))</f>
        <v/>
      </c>
      <c r="K154" s="7" t="s">
        <v>200</v>
      </c>
      <c r="L154" s="9">
        <v>45015</v>
      </c>
      <c r="M154" s="10">
        <v>0.69668981481481485</v>
      </c>
      <c r="N154" s="11">
        <v>204440003486752</v>
      </c>
      <c r="P154" t="str">
        <f>IF(D154="", "", COUNTIF($D$1:$D$2273, D154))</f>
        <v/>
      </c>
    </row>
    <row r="155" spans="1:16" ht="16" hidden="1" x14ac:dyDescent="0.2">
      <c r="A155" s="36" t="s">
        <v>30</v>
      </c>
      <c r="C155" s="7" t="s">
        <v>2</v>
      </c>
      <c r="D155" s="7" t="s">
        <v>208</v>
      </c>
      <c r="E155" s="7" t="str">
        <f>IF(OR(D155="", D155="___"),"", LEFT(D155,FIND(" &gt;",D155)-1))</f>
        <v>Failure</v>
      </c>
      <c r="F155" s="7" t="str">
        <f>IF(OR(E155="Success",E155="Qualified Success"),"Current",IF(E155="Failure",IF(RIGHT(D155,6)="Future","Future",IF(RIGHT(D155,10)="Irrelevant","Irrelevant","Current")),""))</f>
        <v>Current</v>
      </c>
      <c r="G155" s="7" t="str">
        <f>IF(OR(ISBLANK(D155),D155="Unclassifiable &gt;"),"",IF(ISNUMBER(SEARCH("Utterance",D155)),"Utterance",IF(ISNUMBER(SEARCH("Response",D155)),"Response",IF(ISNUMBER(SEARCH("Interaction",D155)),"Interaction",IF(ISNUMBER(SEARCH("System",D155)),"System","")))))</f>
        <v>Utterance</v>
      </c>
      <c r="H155" s="7" t="str">
        <f>IF(G155="Utterance", IF(ISNUMBER(SEARCH("Unrecognized",D155)), "Unrecognized", IF(ISNUMBER(SEARCH("Mismatched",D155)), "Mismatched", IF(ISNUMBER(SEARCH("False Positive",D155)), "False Positive", "Irrelevant"))), "")</f>
        <v>Mismatched</v>
      </c>
      <c r="J155" s="7" t="s">
        <v>329</v>
      </c>
      <c r="K155" s="7" t="s">
        <v>200</v>
      </c>
      <c r="L155" s="9">
        <v>45015</v>
      </c>
      <c r="M155" s="10">
        <v>0.69682870370370376</v>
      </c>
      <c r="N155" s="11">
        <v>204440003486752</v>
      </c>
      <c r="O155" s="7">
        <f>IF(LEN(TRIM($A155))=0,0,LEN($A155)-LEN(SUBSTITUTE($A155," ",""))+1)</f>
        <v>2</v>
      </c>
      <c r="P155">
        <f>IF(D155="", "", COUNTIF($D$1:$D$2273, D155))</f>
        <v>32</v>
      </c>
    </row>
    <row r="156" spans="1:16" ht="112" hidden="1" x14ac:dyDescent="0.2">
      <c r="A156" s="8" t="s">
        <v>443</v>
      </c>
      <c r="C156" s="7" t="s">
        <v>4</v>
      </c>
      <c r="F156" s="7" t="str">
        <f>IF(OR(E156="Success",E156="Qualified Success"),"Current",IF(E156="Failure",IF(RIGHT(D156,6)="Future","Future",IF(RIGHT(D156,10)="Irrelevant","Irrelevant","Current")),""))</f>
        <v/>
      </c>
      <c r="G156" s="7" t="str">
        <f>IF(OR(ISBLANK(D156),D156="Unclassifiable &gt;"),"",IF(ISNUMBER(SEARCH("Utterance",D156)),"Utterance",IF(ISNUMBER(SEARCH("Response",D156)),"Response",IF(ISNUMBER(SEARCH("Interaction",D156)),"Interaction",IF(ISNUMBER(SEARCH("System",D156)),"System","")))))</f>
        <v/>
      </c>
      <c r="K156" s="7" t="s">
        <v>200</v>
      </c>
      <c r="L156" s="9">
        <v>45015</v>
      </c>
      <c r="M156" s="10">
        <v>0.69682870370370376</v>
      </c>
      <c r="N156" s="11">
        <v>204440003486752</v>
      </c>
      <c r="P156" t="str">
        <f>IF(D156="", "", COUNTIF($D$1:$D$2273, D156))</f>
        <v/>
      </c>
    </row>
    <row r="157" spans="1:16" ht="16" hidden="1" x14ac:dyDescent="0.2">
      <c r="A157" s="36" t="s">
        <v>29</v>
      </c>
      <c r="C157" s="7" t="s">
        <v>2</v>
      </c>
      <c r="D157" s="7" t="s">
        <v>208</v>
      </c>
      <c r="E157" s="7" t="str">
        <f>IF(OR(D157="", D157="___"),"", LEFT(D157,FIND(" &gt;",D157)-1))</f>
        <v>Failure</v>
      </c>
      <c r="F157" s="7" t="str">
        <f>IF(OR(E157="Success",E157="Qualified Success"),"Current",IF(E157="Failure",IF(RIGHT(D157,6)="Future","Future",IF(RIGHT(D157,10)="Irrelevant","Irrelevant","Current")),""))</f>
        <v>Current</v>
      </c>
      <c r="G157" s="7" t="str">
        <f>IF(OR(ISBLANK(D157),D157="Unclassifiable &gt;"),"",IF(ISNUMBER(SEARCH("Utterance",D157)),"Utterance",IF(ISNUMBER(SEARCH("Response",D157)),"Response",IF(ISNUMBER(SEARCH("Interaction",D157)),"Interaction",IF(ISNUMBER(SEARCH("System",D157)),"System","")))))</f>
        <v>Utterance</v>
      </c>
      <c r="H157" s="7" t="str">
        <f>IF(G157="Utterance", IF(ISNUMBER(SEARCH("Unrecognized",D157)), "Unrecognized", IF(ISNUMBER(SEARCH("Mismatched",D157)), "Mismatched", IF(ISNUMBER(SEARCH("False Positive",D157)), "False Positive", "Irrelevant"))), "")</f>
        <v>Mismatched</v>
      </c>
      <c r="J157" s="7" t="s">
        <v>329</v>
      </c>
      <c r="K157" s="7" t="s">
        <v>200</v>
      </c>
      <c r="L157" s="9">
        <v>45015</v>
      </c>
      <c r="M157" s="10">
        <v>0.69693287037037033</v>
      </c>
      <c r="N157" s="11">
        <v>204440003486752</v>
      </c>
      <c r="O157" s="7">
        <f>IF(LEN(TRIM($A157))=0,0,LEN($A157)-LEN(SUBSTITUTE($A157," ",""))+1)</f>
        <v>2</v>
      </c>
      <c r="P157">
        <f>IF(D157="", "", COUNTIF($D$1:$D$2273, D157))</f>
        <v>32</v>
      </c>
    </row>
    <row r="158" spans="1:16" ht="48" hidden="1" x14ac:dyDescent="0.2">
      <c r="A158" s="8" t="s">
        <v>408</v>
      </c>
      <c r="C158" s="7" t="s">
        <v>4</v>
      </c>
      <c r="F158" s="7" t="str">
        <f>IF(OR(E158="Success",E158="Qualified Success"),"Current",IF(E158="Failure",IF(RIGHT(D158,6)="Future","Future",IF(RIGHT(D158,10)="Irrelevant","Irrelevant","Current")),""))</f>
        <v/>
      </c>
      <c r="G158" s="7" t="str">
        <f>IF(OR(ISBLANK(D158),D158="Unclassifiable &gt;"),"",IF(ISNUMBER(SEARCH("Utterance",D158)),"Utterance",IF(ISNUMBER(SEARCH("Response",D158)),"Response",IF(ISNUMBER(SEARCH("Interaction",D158)),"Interaction",IF(ISNUMBER(SEARCH("System",D158)),"System","")))))</f>
        <v/>
      </c>
      <c r="K158" s="7" t="s">
        <v>200</v>
      </c>
      <c r="L158" s="9">
        <v>45015</v>
      </c>
      <c r="M158" s="10">
        <v>0.69693287037037033</v>
      </c>
      <c r="N158" s="11">
        <v>204440003486752</v>
      </c>
      <c r="P158" t="str">
        <f>IF(D158="", "", COUNTIF($D$1:$D$2273, D158))</f>
        <v/>
      </c>
    </row>
    <row r="159" spans="1:16" ht="16" hidden="1" x14ac:dyDescent="0.2">
      <c r="A159" s="36" t="s">
        <v>130</v>
      </c>
      <c r="C159" s="7" t="s">
        <v>2</v>
      </c>
      <c r="D159" s="7" t="s">
        <v>217</v>
      </c>
      <c r="E159" s="7" t="str">
        <f>IF(OR(D159="", D159="___"),"", LEFT(D159,FIND(" &gt;",D159)-1))</f>
        <v>Failure</v>
      </c>
      <c r="F159" s="7" t="str">
        <f>IF(OR(E159="Success",E159="Qualified Success"),"Current",IF(E159="Failure",IF(RIGHT(D159,6)="Future","Future",IF(RIGHT(D159,10)="Irrelevant","Irrelevant","Current")),""))</f>
        <v>Current</v>
      </c>
      <c r="G159" s="7" t="str">
        <f>IF(OR(ISBLANK(D159),D159="Unclassifiable &gt;"),"",IF(ISNUMBER(SEARCH("Utterance",D159)),"Utterance",IF(ISNUMBER(SEARCH("Response",D159)),"Response",IF(ISNUMBER(SEARCH("Interaction",D159)),"Interaction",IF(ISNUMBER(SEARCH("System",D159)),"System","")))))</f>
        <v>Interaction</v>
      </c>
      <c r="H159" s="7" t="str">
        <f>IF(G159="Utterance", IF(ISNUMBER(SEARCH("Unrecognized",D159)), "Unrecognized", IF(ISNUMBER(SEARCH("Mismatched",D159)), "Mismatched", IF(ISNUMBER(SEARCH("False Positive",D159)), "False Positive", "Irrelevant"))), "")</f>
        <v/>
      </c>
      <c r="J159" s="7" t="s">
        <v>336</v>
      </c>
      <c r="K159" s="7" t="s">
        <v>200</v>
      </c>
      <c r="L159" s="9">
        <v>45015</v>
      </c>
      <c r="M159" s="10">
        <v>0.69916666666666671</v>
      </c>
      <c r="N159" s="11">
        <v>202000248538560</v>
      </c>
      <c r="O159" s="7">
        <f>IF(LEN(TRIM($A159))=0,0,LEN($A159)-LEN(SUBSTITUTE($A159," ",""))+1)</f>
        <v>10</v>
      </c>
      <c r="P159">
        <f>IF(D159="", "", COUNTIF($D$1:$D$2273, D159))</f>
        <v>29</v>
      </c>
    </row>
    <row r="160" spans="1:16" ht="32" hidden="1" x14ac:dyDescent="0.2">
      <c r="A160" s="8" t="s">
        <v>413</v>
      </c>
      <c r="C160" s="7" t="s">
        <v>4</v>
      </c>
      <c r="F160" s="7" t="str">
        <f>IF(OR(E160="Success",E160="Qualified Success"),"Current",IF(E160="Failure",IF(RIGHT(D160,6)="Future","Future",IF(RIGHT(D160,10)="Irrelevant","Irrelevant","Current")),""))</f>
        <v/>
      </c>
      <c r="G160" s="7" t="str">
        <f>IF(OR(ISBLANK(D160),D160="Unclassifiable &gt;"),"",IF(ISNUMBER(SEARCH("Utterance",D160)),"Utterance",IF(ISNUMBER(SEARCH("Response",D160)),"Response",IF(ISNUMBER(SEARCH("Interaction",D160)),"Interaction",IF(ISNUMBER(SEARCH("System",D160)),"System","")))))</f>
        <v/>
      </c>
      <c r="K160" s="7" t="s">
        <v>200</v>
      </c>
      <c r="L160" s="9">
        <v>45015</v>
      </c>
      <c r="M160" s="10">
        <v>0.69917824074074064</v>
      </c>
      <c r="N160" s="11">
        <v>202000248538560</v>
      </c>
      <c r="P160" t="str">
        <f>IF(D160="", "", COUNTIF($D$1:$D$2273, D160))</f>
        <v/>
      </c>
    </row>
    <row r="161" spans="1:16" ht="16" hidden="1" x14ac:dyDescent="0.2">
      <c r="A161" s="36" t="s">
        <v>28</v>
      </c>
      <c r="C161" s="7" t="s">
        <v>2</v>
      </c>
      <c r="D161" s="7" t="s">
        <v>206</v>
      </c>
      <c r="E161" s="7" t="str">
        <f>IF(OR(D161="", D161="___"),"", LEFT(D161,FIND(" &gt;",D161)-1))</f>
        <v>Success</v>
      </c>
      <c r="F161" s="7" t="str">
        <f>IF(OR(E161="Success",E161="Qualified Success"),"Current",IF(E161="Failure",IF(RIGHT(D161,6)="Future","Future",IF(RIGHT(D161,10)="Irrelevant","Irrelevant","Current")),""))</f>
        <v>Current</v>
      </c>
      <c r="G161" s="7" t="str">
        <f>IF(OR(ISBLANK(D161),D161="Unclassifiable &gt;"),"",IF(ISNUMBER(SEARCH("Utterance",D161)),"Utterance",IF(ISNUMBER(SEARCH("Response",D161)),"Response",IF(ISNUMBER(SEARCH("Interaction",D161)),"Interaction",IF(ISNUMBER(SEARCH("System",D161)),"System","")))))</f>
        <v/>
      </c>
      <c r="H161" s="7" t="str">
        <f>IF(G161="Utterance", IF(ISNUMBER(SEARCH("Unrecognized",D161)), "Unrecognized", IF(ISNUMBER(SEARCH("Mismatched",D161)), "Mismatched", IF(ISNUMBER(SEARCH("False Positive",D161)), "False Positive", "Irrelevant"))), "")</f>
        <v/>
      </c>
      <c r="J161" s="7" t="s">
        <v>243</v>
      </c>
      <c r="K161" s="7" t="s">
        <v>200</v>
      </c>
      <c r="L161" s="9">
        <v>45015</v>
      </c>
      <c r="M161" s="10">
        <v>0.7009953703703703</v>
      </c>
      <c r="N161" s="11">
        <v>204440003486752</v>
      </c>
      <c r="O161" s="7">
        <f>IF(LEN(TRIM($A161))=0,0,LEN($A161)-LEN(SUBSTITUTE($A161," ",""))+1)</f>
        <v>3</v>
      </c>
      <c r="P161">
        <f>IF(D161="", "", COUNTIF($D$1:$D$2273, D161))</f>
        <v>176</v>
      </c>
    </row>
    <row r="162" spans="1:16" ht="32" hidden="1" x14ac:dyDescent="0.2">
      <c r="A162" s="8" t="s">
        <v>389</v>
      </c>
      <c r="C162" s="7" t="s">
        <v>4</v>
      </c>
      <c r="F162" s="7" t="str">
        <f>IF(OR(E162="Success",E162="Qualified Success"),"Current",IF(E162="Failure",IF(RIGHT(D162,6)="Future","Future",IF(RIGHT(D162,10)="Irrelevant","Irrelevant","Current")),""))</f>
        <v/>
      </c>
      <c r="G162" s="7" t="str">
        <f>IF(OR(ISBLANK(D162),D162="Unclassifiable &gt;"),"",IF(ISNUMBER(SEARCH("Utterance",D162)),"Utterance",IF(ISNUMBER(SEARCH("Response",D162)),"Response",IF(ISNUMBER(SEARCH("Interaction",D162)),"Interaction",IF(ISNUMBER(SEARCH("System",D162)),"System","")))))</f>
        <v/>
      </c>
      <c r="K162" s="7" t="s">
        <v>200</v>
      </c>
      <c r="L162" s="9">
        <v>45015</v>
      </c>
      <c r="M162" s="10">
        <v>0.7009953703703703</v>
      </c>
      <c r="N162" s="11">
        <v>204440003486752</v>
      </c>
      <c r="P162" t="str">
        <f>IF(D162="", "", COUNTIF($D$1:$D$2273, D162))</f>
        <v/>
      </c>
    </row>
    <row r="163" spans="1:16" ht="16" hidden="1" x14ac:dyDescent="0.2">
      <c r="A163" s="36" t="s">
        <v>184</v>
      </c>
      <c r="C163" s="7" t="s">
        <v>2</v>
      </c>
      <c r="D163" s="7" t="s">
        <v>206</v>
      </c>
      <c r="E163" s="7" t="str">
        <f>IF(OR(D163="", D163="___"),"", LEFT(D163,FIND(" &gt;",D163)-1))</f>
        <v>Success</v>
      </c>
      <c r="F163" s="7" t="str">
        <f>IF(OR(E163="Success",E163="Qualified Success"),"Current",IF(E163="Failure",IF(RIGHT(D163,6)="Future","Future",IF(RIGHT(D163,10)="Irrelevant","Irrelevant","Current")),""))</f>
        <v>Current</v>
      </c>
      <c r="G163" s="7" t="str">
        <f>IF(OR(ISBLANK(D163),D163="Unclassifiable &gt;"),"",IF(ISNUMBER(SEARCH("Utterance",D163)),"Utterance",IF(ISNUMBER(SEARCH("Response",D163)),"Response",IF(ISNUMBER(SEARCH("Interaction",D163)),"Interaction",IF(ISNUMBER(SEARCH("System",D163)),"System","")))))</f>
        <v/>
      </c>
      <c r="H163" s="7" t="str">
        <f>IF(G163="Utterance", IF(ISNUMBER(SEARCH("Unrecognized",D163)), "Unrecognized", IF(ISNUMBER(SEARCH("Mismatched",D163)), "Mismatched", IF(ISNUMBER(SEARCH("False Positive",D163)), "False Positive", "Irrelevant"))), "")</f>
        <v/>
      </c>
      <c r="J163" s="7" t="s">
        <v>330</v>
      </c>
      <c r="K163" s="7" t="s">
        <v>200</v>
      </c>
      <c r="L163" s="9">
        <v>45015</v>
      </c>
      <c r="M163" s="10">
        <v>0.74954861111111104</v>
      </c>
      <c r="N163" s="11">
        <v>513003218912266</v>
      </c>
      <c r="O163" s="7">
        <f>IF(LEN(TRIM($A163))=0,0,LEN($A163)-LEN(SUBSTITUTE($A163," ",""))+1)</f>
        <v>4</v>
      </c>
      <c r="P163">
        <f>IF(D163="", "", COUNTIF($D$1:$D$2273, D163))</f>
        <v>176</v>
      </c>
    </row>
    <row r="164" spans="1:16" ht="48" hidden="1" x14ac:dyDescent="0.2">
      <c r="A164" s="8" t="s">
        <v>40</v>
      </c>
      <c r="C164" s="7" t="s">
        <v>4</v>
      </c>
      <c r="F164" s="7" t="str">
        <f>IF(OR(E164="Success",E164="Qualified Success"),"Current",IF(E164="Failure",IF(RIGHT(D164,6)="Future","Future",IF(RIGHT(D164,10)="Irrelevant","Irrelevant","Current")),""))</f>
        <v/>
      </c>
      <c r="G164" s="7" t="str">
        <f>IF(OR(ISBLANK(D164),D164="Unclassifiable &gt;"),"",IF(ISNUMBER(SEARCH("Utterance",D164)),"Utterance",IF(ISNUMBER(SEARCH("Response",D164)),"Response",IF(ISNUMBER(SEARCH("Interaction",D164)),"Interaction",IF(ISNUMBER(SEARCH("System",D164)),"System","")))))</f>
        <v/>
      </c>
      <c r="K164" s="7" t="s">
        <v>200</v>
      </c>
      <c r="L164" s="9">
        <v>45015</v>
      </c>
      <c r="M164" s="10">
        <v>0.74954861111111104</v>
      </c>
      <c r="N164" s="11">
        <v>513003218912266</v>
      </c>
      <c r="P164" t="str">
        <f>IF(D164="", "", COUNTIF($D$1:$D$2273, D164))</f>
        <v/>
      </c>
    </row>
    <row r="165" spans="1:16" ht="16" hidden="1" x14ac:dyDescent="0.2">
      <c r="A165" s="36" t="s">
        <v>185</v>
      </c>
      <c r="C165" s="7" t="s">
        <v>2</v>
      </c>
      <c r="D165" s="7" t="s">
        <v>217</v>
      </c>
      <c r="E165" s="7" t="str">
        <f>IF(OR(D165="", D165="___"),"", LEFT(D165,FIND(" &gt;",D165)-1))</f>
        <v>Failure</v>
      </c>
      <c r="F165" s="7" t="str">
        <f>IF(OR(E165="Success",E165="Qualified Success"),"Current",IF(E165="Failure",IF(RIGHT(D165,6)="Future","Future",IF(RIGHT(D165,10)="Irrelevant","Irrelevant","Current")),""))</f>
        <v>Current</v>
      </c>
      <c r="G165" s="7" t="str">
        <f>IF(OR(ISBLANK(D165),D165="Unclassifiable &gt;"),"",IF(ISNUMBER(SEARCH("Utterance",D165)),"Utterance",IF(ISNUMBER(SEARCH("Response",D165)),"Response",IF(ISNUMBER(SEARCH("Interaction",D165)),"Interaction",IF(ISNUMBER(SEARCH("System",D165)),"System","")))))</f>
        <v>Interaction</v>
      </c>
      <c r="H165" s="7" t="str">
        <f>IF(G165="Utterance", IF(ISNUMBER(SEARCH("Unrecognized",D165)), "Unrecognized", IF(ISNUMBER(SEARCH("Mismatched",D165)), "Mismatched", IF(ISNUMBER(SEARCH("False Positive",D165)), "False Positive", "Irrelevant"))), "")</f>
        <v/>
      </c>
      <c r="J165" s="7" t="s">
        <v>25</v>
      </c>
      <c r="K165" s="7" t="s">
        <v>200</v>
      </c>
      <c r="L165" s="9">
        <v>45015</v>
      </c>
      <c r="M165" s="10">
        <v>0.74982638888888886</v>
      </c>
      <c r="N165" s="11">
        <v>513003218912266</v>
      </c>
      <c r="O165" s="7">
        <f>IF(LEN(TRIM($A165))=0,0,LEN($A165)-LEN(SUBSTITUTE($A165," ",""))+1)</f>
        <v>10</v>
      </c>
      <c r="P165">
        <f>IF(D165="", "", COUNTIF($D$1:$D$2273, D165))</f>
        <v>29</v>
      </c>
    </row>
    <row r="166" spans="1:16" ht="32" hidden="1" x14ac:dyDescent="0.2">
      <c r="A166" s="8" t="s">
        <v>82</v>
      </c>
      <c r="C166" s="7" t="s">
        <v>4</v>
      </c>
      <c r="F166" s="7" t="str">
        <f>IF(OR(E166="Success",E166="Qualified Success"),"Current",IF(E166="Failure",IF(RIGHT(D166,6)="Future","Future",IF(RIGHT(D166,10)="Irrelevant","Irrelevant","Current")),""))</f>
        <v/>
      </c>
      <c r="G166" s="7" t="str">
        <f>IF(OR(ISBLANK(D166),D166="Unclassifiable &gt;"),"",IF(ISNUMBER(SEARCH("Utterance",D166)),"Utterance",IF(ISNUMBER(SEARCH("Response",D166)),"Response",IF(ISNUMBER(SEARCH("Interaction",D166)),"Interaction",IF(ISNUMBER(SEARCH("System",D166)),"System","")))))</f>
        <v/>
      </c>
      <c r="K166" s="7" t="s">
        <v>200</v>
      </c>
      <c r="L166" s="9">
        <v>45015</v>
      </c>
      <c r="M166" s="10">
        <v>0.74982638888888886</v>
      </c>
      <c r="N166" s="11">
        <v>513003218912266</v>
      </c>
      <c r="P166" t="str">
        <f>IF(D166="", "", COUNTIF($D$1:$D$2273, D166))</f>
        <v/>
      </c>
    </row>
    <row r="167" spans="1:16" ht="16" hidden="1" x14ac:dyDescent="0.2">
      <c r="A167" s="36" t="s">
        <v>186</v>
      </c>
      <c r="C167" s="7" t="s">
        <v>2</v>
      </c>
      <c r="D167" s="7" t="s">
        <v>217</v>
      </c>
      <c r="E167" s="7" t="str">
        <f>IF(OR(D167="", D167="___"),"", LEFT(D167,FIND(" &gt;",D167)-1))</f>
        <v>Failure</v>
      </c>
      <c r="F167" s="7" t="str">
        <f>IF(OR(E167="Success",E167="Qualified Success"),"Current",IF(E167="Failure",IF(RIGHT(D167,6)="Future","Future",IF(RIGHT(D167,10)="Irrelevant","Irrelevant","Current")),""))</f>
        <v>Current</v>
      </c>
      <c r="G167" s="7" t="str">
        <f>IF(OR(ISBLANK(D167),D167="Unclassifiable &gt;"),"",IF(ISNUMBER(SEARCH("Utterance",D167)),"Utterance",IF(ISNUMBER(SEARCH("Response",D167)),"Response",IF(ISNUMBER(SEARCH("Interaction",D167)),"Interaction",IF(ISNUMBER(SEARCH("System",D167)),"System","")))))</f>
        <v>Interaction</v>
      </c>
      <c r="H167" s="7" t="str">
        <f>IF(G167="Utterance", IF(ISNUMBER(SEARCH("Unrecognized",D167)), "Unrecognized", IF(ISNUMBER(SEARCH("Mismatched",D167)), "Mismatched", IF(ISNUMBER(SEARCH("False Positive",D167)), "False Positive", "Irrelevant"))), "")</f>
        <v/>
      </c>
      <c r="J167" s="7" t="s">
        <v>330</v>
      </c>
      <c r="K167" s="7" t="s">
        <v>200</v>
      </c>
      <c r="L167" s="9">
        <v>45015</v>
      </c>
      <c r="M167" s="10">
        <v>0.75109953703703702</v>
      </c>
      <c r="N167" s="11">
        <v>513003218912266</v>
      </c>
      <c r="O167" s="7">
        <f>IF(LEN(TRIM($A167))=0,0,LEN($A167)-LEN(SUBSTITUTE($A167," ",""))+1)</f>
        <v>13</v>
      </c>
      <c r="P167">
        <f>IF(D167="", "", COUNTIF($D$1:$D$2273, D167))</f>
        <v>29</v>
      </c>
    </row>
    <row r="168" spans="1:16" ht="32" hidden="1" x14ac:dyDescent="0.2">
      <c r="A168" s="8" t="s">
        <v>82</v>
      </c>
      <c r="C168" s="7" t="s">
        <v>4</v>
      </c>
      <c r="F168" s="7" t="str">
        <f>IF(OR(E168="Success",E168="Qualified Success"),"Current",IF(E168="Failure",IF(RIGHT(D168,6)="Future","Future",IF(RIGHT(D168,10)="Irrelevant","Irrelevant","Current")),""))</f>
        <v/>
      </c>
      <c r="G168" s="7" t="str">
        <f>IF(OR(ISBLANK(D168),D168="Unclassifiable &gt;"),"",IF(ISNUMBER(SEARCH("Utterance",D168)),"Utterance",IF(ISNUMBER(SEARCH("Response",D168)),"Response",IF(ISNUMBER(SEARCH("Interaction",D168)),"Interaction",IF(ISNUMBER(SEARCH("System",D168)),"System","")))))</f>
        <v/>
      </c>
      <c r="K168" s="7" t="s">
        <v>200</v>
      </c>
      <c r="L168" s="9">
        <v>45015</v>
      </c>
      <c r="M168" s="10">
        <v>0.75109953703703702</v>
      </c>
      <c r="N168" s="11">
        <v>513003218912266</v>
      </c>
      <c r="P168" t="str">
        <f>IF(D168="", "", COUNTIF($D$1:$D$2273, D168))</f>
        <v/>
      </c>
    </row>
    <row r="169" spans="1:16" ht="16" hidden="1" x14ac:dyDescent="0.2">
      <c r="A169" s="36" t="s">
        <v>26</v>
      </c>
      <c r="B169" s="7" t="s">
        <v>296</v>
      </c>
      <c r="C169" s="7" t="s">
        <v>2</v>
      </c>
      <c r="D169" s="7" t="s">
        <v>206</v>
      </c>
      <c r="E169" s="7" t="str">
        <f>IF(OR(D169="", D169="___"),"", LEFT(D169,FIND(" &gt;",D169)-1))</f>
        <v>Success</v>
      </c>
      <c r="F169" s="7" t="str">
        <f>IF(OR(E169="Success",E169="Qualified Success"),"Current",IF(E169="Failure",IF(RIGHT(D169,6)="Future","Future",IF(RIGHT(D169,10)="Irrelevant","Irrelevant","Current")),""))</f>
        <v>Current</v>
      </c>
      <c r="G169" s="7" t="str">
        <f>IF(OR(ISBLANK(D169),D169="Unclassifiable &gt;"),"",IF(ISNUMBER(SEARCH("Utterance",D169)),"Utterance",IF(ISNUMBER(SEARCH("Response",D169)),"Response",IF(ISNUMBER(SEARCH("Interaction",D169)),"Interaction",IF(ISNUMBER(SEARCH("System",D169)),"System","")))))</f>
        <v/>
      </c>
      <c r="H169" s="7" t="str">
        <f>IF(G169="Utterance", IF(ISNUMBER(SEARCH("Unrecognized",D169)), "Unrecognized", IF(ISNUMBER(SEARCH("Mismatched",D169)), "Mismatched", IF(ISNUMBER(SEARCH("False Positive",D169)), "False Positive", "Irrelevant"))), "")</f>
        <v/>
      </c>
      <c r="J169" s="7" t="s">
        <v>332</v>
      </c>
      <c r="K169" s="7" t="s">
        <v>200</v>
      </c>
      <c r="L169" s="9">
        <v>45015</v>
      </c>
      <c r="M169" s="10">
        <v>0.85837962962962966</v>
      </c>
      <c r="N169" s="11">
        <v>513003519534544</v>
      </c>
      <c r="O169" s="7">
        <f>IF(LEN(TRIM($A169))=0,0,LEN($A169)-LEN(SUBSTITUTE($A169," ",""))+1)</f>
        <v>3</v>
      </c>
      <c r="P169">
        <f>IF(D169="", "", COUNTIF($D$1:$D$2273, D169))</f>
        <v>176</v>
      </c>
    </row>
    <row r="170" spans="1:16" ht="48" hidden="1" x14ac:dyDescent="0.2">
      <c r="A170" s="8" t="s">
        <v>383</v>
      </c>
      <c r="C170" s="7" t="s">
        <v>4</v>
      </c>
      <c r="F170" s="7" t="str">
        <f>IF(OR(E170="Success",E170="Qualified Success"),"Current",IF(E170="Failure",IF(RIGHT(D170,6)="Future","Future",IF(RIGHT(D170,10)="Irrelevant","Irrelevant","Current")),""))</f>
        <v/>
      </c>
      <c r="G170" s="7" t="str">
        <f>IF(OR(ISBLANK(D170),D170="Unclassifiable &gt;"),"",IF(ISNUMBER(SEARCH("Utterance",D170)),"Utterance",IF(ISNUMBER(SEARCH("Response",D170)),"Response",IF(ISNUMBER(SEARCH("Interaction",D170)),"Interaction",IF(ISNUMBER(SEARCH("System",D170)),"System","")))))</f>
        <v/>
      </c>
      <c r="K170" s="7" t="s">
        <v>200</v>
      </c>
      <c r="L170" s="9">
        <v>45015</v>
      </c>
      <c r="M170" s="10">
        <v>0.85837962962962966</v>
      </c>
      <c r="N170" s="11">
        <v>513003519534544</v>
      </c>
      <c r="P170" t="str">
        <f>IF(D170="", "", COUNTIF($D$1:$D$2273, D170))</f>
        <v/>
      </c>
    </row>
    <row r="171" spans="1:16" ht="16" hidden="1" x14ac:dyDescent="0.2">
      <c r="A171" s="36" t="s">
        <v>87</v>
      </c>
      <c r="C171" s="7" t="s">
        <v>2</v>
      </c>
      <c r="D171" s="7" t="s">
        <v>217</v>
      </c>
      <c r="E171" s="7" t="str">
        <f>IF(OR(D171="", D171="___"),"", LEFT(D171,FIND(" &gt;",D171)-1))</f>
        <v>Failure</v>
      </c>
      <c r="F171" s="7" t="str">
        <f>IF(OR(E171="Success",E171="Qualified Success"),"Current",IF(E171="Failure",IF(RIGHT(D171,6)="Future","Future",IF(RIGHT(D171,10)="Irrelevant","Irrelevant","Current")),""))</f>
        <v>Current</v>
      </c>
      <c r="G171" s="7" t="str">
        <f>IF(OR(ISBLANK(D171),D171="Unclassifiable &gt;"),"",IF(ISNUMBER(SEARCH("Utterance",D171)),"Utterance",IF(ISNUMBER(SEARCH("Response",D171)),"Response",IF(ISNUMBER(SEARCH("Interaction",D171)),"Interaction",IF(ISNUMBER(SEARCH("System",D171)),"System","")))))</f>
        <v>Interaction</v>
      </c>
      <c r="H171" s="7" t="str">
        <f>IF(G171="Utterance", IF(ISNUMBER(SEARCH("Unrecognized",D171)), "Unrecognized", IF(ISNUMBER(SEARCH("Mismatched",D171)), "Mismatched", IF(ISNUMBER(SEARCH("False Positive",D171)), "False Positive", "Irrelevant"))), "")</f>
        <v/>
      </c>
      <c r="J171" s="7" t="s">
        <v>330</v>
      </c>
      <c r="K171" s="7" t="s">
        <v>198</v>
      </c>
      <c r="L171" s="9">
        <v>45016</v>
      </c>
      <c r="M171" s="10">
        <v>0.26915509259259257</v>
      </c>
      <c r="N171" s="11">
        <v>204440003503694</v>
      </c>
      <c r="O171" s="7">
        <f>IF(LEN(TRIM($A171))=0,0,LEN($A171)-LEN(SUBSTITUTE($A171," ",""))+1)</f>
        <v>4</v>
      </c>
      <c r="P171">
        <f>IF(D171="", "", COUNTIF($D$1:$D$2273, D171))</f>
        <v>29</v>
      </c>
    </row>
    <row r="172" spans="1:16" ht="48" hidden="1" x14ac:dyDescent="0.2">
      <c r="A172" s="8" t="s">
        <v>408</v>
      </c>
      <c r="C172" s="7" t="s">
        <v>4</v>
      </c>
      <c r="F172" s="7" t="str">
        <f>IF(OR(E172="Success",E172="Qualified Success"),"Current",IF(E172="Failure",IF(RIGHT(D172,6)="Future","Future",IF(RIGHT(D172,10)="Irrelevant","Irrelevant","Current")),""))</f>
        <v/>
      </c>
      <c r="G172" s="7" t="str">
        <f>IF(OR(ISBLANK(D172),D172="Unclassifiable &gt;"),"",IF(ISNUMBER(SEARCH("Utterance",D172)),"Utterance",IF(ISNUMBER(SEARCH("Response",D172)),"Response",IF(ISNUMBER(SEARCH("Interaction",D172)),"Interaction",IF(ISNUMBER(SEARCH("System",D172)),"System","")))))</f>
        <v/>
      </c>
      <c r="K172" s="7" t="s">
        <v>198</v>
      </c>
      <c r="L172" s="9">
        <v>45016</v>
      </c>
      <c r="M172" s="10">
        <v>0.26915509259259257</v>
      </c>
      <c r="N172" s="11">
        <v>204440003503694</v>
      </c>
      <c r="P172" t="str">
        <f>IF(D172="", "", COUNTIF($D$1:$D$2273, D172))</f>
        <v/>
      </c>
    </row>
    <row r="173" spans="1:16" ht="16" x14ac:dyDescent="0.2">
      <c r="A173" s="36" t="s">
        <v>141</v>
      </c>
      <c r="C173" s="7" t="s">
        <v>2</v>
      </c>
      <c r="D173" s="7" t="s">
        <v>208</v>
      </c>
      <c r="E173" s="7" t="str">
        <f>IF(OR(D173="", D173="___"),"", LEFT(D173,FIND(" &gt;",D173)-1))</f>
        <v>Failure</v>
      </c>
      <c r="F173" s="7" t="str">
        <f>IF(OR(E173="Success",E173="Qualified Success"),"Current",IF(E173="Failure",IF(RIGHT(D173,6)="Future","Future",IF(RIGHT(D173,10)="Irrelevant","Irrelevant","Current")),""))</f>
        <v>Current</v>
      </c>
      <c r="G173" s="7" t="str">
        <f>IF(OR(ISBLANK(D173),D173="Unclassifiable &gt;"),"",IF(ISNUMBER(SEARCH("Utterance",D173)),"Utterance",IF(ISNUMBER(SEARCH("Response",D173)),"Response",IF(ISNUMBER(SEARCH("Interaction",D173)),"Interaction",IF(ISNUMBER(SEARCH("System",D173)),"System","")))))</f>
        <v>Utterance</v>
      </c>
      <c r="H173" s="7" t="str">
        <f>IF(G173="Utterance", IF(ISNUMBER(SEARCH("Unrecognized",D173)), "Unrecognized", IF(ISNUMBER(SEARCH("Mismatched",D173)), "Mismatched", IF(ISNUMBER(SEARCH("False Positive",D173)), "False Positive", "Irrelevant"))), "")</f>
        <v>Mismatched</v>
      </c>
      <c r="J173" s="7" t="s">
        <v>331</v>
      </c>
      <c r="K173" s="7" t="s">
        <v>198</v>
      </c>
      <c r="L173" s="9">
        <v>45016</v>
      </c>
      <c r="M173" s="10">
        <v>0.28748842592592594</v>
      </c>
      <c r="N173" s="11">
        <v>202000407995284</v>
      </c>
      <c r="O173" s="7">
        <f>IF(LEN(TRIM($A173))=0,0,LEN($A173)-LEN(SUBSTITUTE($A173," ",""))+1)</f>
        <v>6</v>
      </c>
      <c r="P173">
        <f>IF(D173="", "", COUNTIF($D$1:$D$2273, D173))</f>
        <v>32</v>
      </c>
    </row>
    <row r="174" spans="1:16" ht="96" hidden="1" x14ac:dyDescent="0.2">
      <c r="A174" s="8" t="s">
        <v>367</v>
      </c>
      <c r="C174" s="7" t="s">
        <v>4</v>
      </c>
      <c r="F174" s="7" t="str">
        <f>IF(OR(E174="Success",E174="Qualified Success"),"Current",IF(E174="Failure",IF(RIGHT(D174,6)="Future","Future",IF(RIGHT(D174,10)="Irrelevant","Irrelevant","Current")),""))</f>
        <v/>
      </c>
      <c r="G174" s="7" t="str">
        <f>IF(OR(ISBLANK(D174),D174="Unclassifiable &gt;"),"",IF(ISNUMBER(SEARCH("Utterance",D174)),"Utterance",IF(ISNUMBER(SEARCH("Response",D174)),"Response",IF(ISNUMBER(SEARCH("Interaction",D174)),"Interaction",IF(ISNUMBER(SEARCH("System",D174)),"System","")))))</f>
        <v/>
      </c>
      <c r="K174" s="7" t="s">
        <v>198</v>
      </c>
      <c r="L174" s="9">
        <v>45016</v>
      </c>
      <c r="M174" s="10">
        <v>0.28775462962962961</v>
      </c>
      <c r="N174" s="11">
        <v>202000407995284</v>
      </c>
      <c r="P174" t="str">
        <f>IF(D174="", "", COUNTIF($D$1:$D$2273, D174))</f>
        <v/>
      </c>
    </row>
    <row r="175" spans="1:16" ht="16" x14ac:dyDescent="0.2">
      <c r="A175" s="36" t="s">
        <v>63</v>
      </c>
      <c r="C175" s="7" t="s">
        <v>2</v>
      </c>
      <c r="D175" s="7" t="s">
        <v>206</v>
      </c>
      <c r="E175" s="7" t="str">
        <f>IF(OR(D175="", D175="___"),"", LEFT(D175,FIND(" &gt;",D175)-1))</f>
        <v>Success</v>
      </c>
      <c r="F175" s="7" t="str">
        <f>IF(OR(E175="Success",E175="Qualified Success"),"Current",IF(E175="Failure",IF(RIGHT(D175,6)="Future","Future",IF(RIGHT(D175,10)="Irrelevant","Irrelevant","Current")),""))</f>
        <v>Current</v>
      </c>
      <c r="G175" s="7" t="str">
        <f>IF(OR(ISBLANK(D175),D175="Unclassifiable &gt;"),"",IF(ISNUMBER(SEARCH("Utterance",D175)),"Utterance",IF(ISNUMBER(SEARCH("Response",D175)),"Response",IF(ISNUMBER(SEARCH("Interaction",D175)),"Interaction",IF(ISNUMBER(SEARCH("System",D175)),"System","")))))</f>
        <v/>
      </c>
      <c r="H175" s="7" t="str">
        <f>IF(G175="Utterance", IF(ISNUMBER(SEARCH("Unrecognized",D175)), "Unrecognized", IF(ISNUMBER(SEARCH("Mismatched",D175)), "Mismatched", IF(ISNUMBER(SEARCH("False Positive",D175)), "False Positive", "Irrelevant"))), "")</f>
        <v/>
      </c>
      <c r="J175" s="7" t="s">
        <v>331</v>
      </c>
      <c r="K175" s="7" t="s">
        <v>198</v>
      </c>
      <c r="L175" s="9">
        <v>45016</v>
      </c>
      <c r="M175" s="10">
        <v>0.28797453703703701</v>
      </c>
      <c r="N175" s="11">
        <v>202000407995284</v>
      </c>
      <c r="O175" s="7">
        <f>IF(LEN(TRIM($A175))=0,0,LEN($A175)-LEN(SUBSTITUTE($A175," ",""))+1)</f>
        <v>6</v>
      </c>
      <c r="P175">
        <f>IF(D175="", "", COUNTIF($D$1:$D$2273, D175))</f>
        <v>176</v>
      </c>
    </row>
    <row r="176" spans="1:16" ht="224" hidden="1" x14ac:dyDescent="0.2">
      <c r="A176" s="8" t="s">
        <v>368</v>
      </c>
      <c r="C176" s="7" t="s">
        <v>4</v>
      </c>
      <c r="F176" s="7" t="str">
        <f>IF(OR(E176="Success",E176="Qualified Success"),"Current",IF(E176="Failure",IF(RIGHT(D176,6)="Future","Future",IF(RIGHT(D176,10)="Irrelevant","Irrelevant","Current")),""))</f>
        <v/>
      </c>
      <c r="G176" s="7" t="str">
        <f>IF(OR(ISBLANK(D176),D176="Unclassifiable &gt;"),"",IF(ISNUMBER(SEARCH("Utterance",D176)),"Utterance",IF(ISNUMBER(SEARCH("Response",D176)),"Response",IF(ISNUMBER(SEARCH("Interaction",D176)),"Interaction",IF(ISNUMBER(SEARCH("System",D176)),"System","")))))</f>
        <v/>
      </c>
      <c r="K176" s="7" t="s">
        <v>198</v>
      </c>
      <c r="L176" s="9">
        <v>45016</v>
      </c>
      <c r="M176" s="10">
        <v>0.28798611111111111</v>
      </c>
      <c r="N176" s="11">
        <v>202000407995284</v>
      </c>
      <c r="P176" t="str">
        <f>IF(D176="", "", COUNTIF($D$1:$D$2273, D176))</f>
        <v/>
      </c>
    </row>
    <row r="177" spans="1:16" ht="16" x14ac:dyDescent="0.2">
      <c r="A177" s="36" t="s">
        <v>34</v>
      </c>
      <c r="C177" s="7" t="s">
        <v>2</v>
      </c>
      <c r="D177" s="7" t="s">
        <v>206</v>
      </c>
      <c r="E177" s="7" t="str">
        <f>IF(OR(D177="", D177="___"),"", LEFT(D177,FIND(" &gt;",D177)-1))</f>
        <v>Success</v>
      </c>
      <c r="F177" s="7" t="str">
        <f>IF(OR(E177="Success",E177="Qualified Success"),"Current",IF(E177="Failure",IF(RIGHT(D177,6)="Future","Future",IF(RIGHT(D177,10)="Irrelevant","Irrelevant","Current")),""))</f>
        <v>Current</v>
      </c>
      <c r="G177" s="7" t="str">
        <f>IF(OR(ISBLANK(D177),D177="Unclassifiable &gt;"),"",IF(ISNUMBER(SEARCH("Utterance",D177)),"Utterance",IF(ISNUMBER(SEARCH("Response",D177)),"Response",IF(ISNUMBER(SEARCH("Interaction",D177)),"Interaction",IF(ISNUMBER(SEARCH("System",D177)),"System","")))))</f>
        <v/>
      </c>
      <c r="H177" s="7" t="str">
        <f>IF(G177="Utterance", IF(ISNUMBER(SEARCH("Unrecognized",D177)), "Unrecognized", IF(ISNUMBER(SEARCH("Mismatched",D177)), "Mismatched", IF(ISNUMBER(SEARCH("False Positive",D177)), "False Positive", "Irrelevant"))), "")</f>
        <v/>
      </c>
      <c r="J177" s="7" t="s">
        <v>331</v>
      </c>
      <c r="K177" s="7" t="s">
        <v>198</v>
      </c>
      <c r="L177" s="9">
        <v>45016</v>
      </c>
      <c r="M177" s="10">
        <v>0.2885300925925926</v>
      </c>
      <c r="N177" s="11">
        <v>202000407995284</v>
      </c>
      <c r="O177" s="7">
        <f>IF(LEN(TRIM($A177))=0,0,LEN($A177)-LEN(SUBSTITUTE($A177," ",""))+1)</f>
        <v>6</v>
      </c>
      <c r="P177">
        <f>IF(D177="", "", COUNTIF($D$1:$D$2273, D177))</f>
        <v>176</v>
      </c>
    </row>
    <row r="178" spans="1:16" ht="48" hidden="1" x14ac:dyDescent="0.2">
      <c r="A178" s="8" t="s">
        <v>35</v>
      </c>
      <c r="C178" s="7" t="s">
        <v>4</v>
      </c>
      <c r="F178" s="7" t="str">
        <f>IF(OR(E178="Success",E178="Qualified Success"),"Current",IF(E178="Failure",IF(RIGHT(D178,6)="Future","Future",IF(RIGHT(D178,10)="Irrelevant","Irrelevant","Current")),""))</f>
        <v/>
      </c>
      <c r="G178" s="7" t="str">
        <f>IF(OR(ISBLANK(D178),D178="Unclassifiable &gt;"),"",IF(ISNUMBER(SEARCH("Utterance",D178)),"Utterance",IF(ISNUMBER(SEARCH("Response",D178)),"Response",IF(ISNUMBER(SEARCH("Interaction",D178)),"Interaction",IF(ISNUMBER(SEARCH("System",D178)),"System","")))))</f>
        <v/>
      </c>
      <c r="K178" s="7" t="s">
        <v>198</v>
      </c>
      <c r="L178" s="9">
        <v>45016</v>
      </c>
      <c r="M178" s="10">
        <v>0.2885300925925926</v>
      </c>
      <c r="N178" s="11">
        <v>202000407995284</v>
      </c>
      <c r="P178" t="str">
        <f>IF(D178="", "", COUNTIF($D$1:$D$2273, D178))</f>
        <v/>
      </c>
    </row>
    <row r="179" spans="1:16" ht="16" hidden="1" x14ac:dyDescent="0.2">
      <c r="A179" s="36" t="s">
        <v>79</v>
      </c>
      <c r="C179" s="7" t="s">
        <v>2</v>
      </c>
      <c r="D179" s="7" t="s">
        <v>206</v>
      </c>
      <c r="E179" s="7" t="str">
        <f>IF(OR(D179="", D179="___"),"", LEFT(D179,FIND(" &gt;",D179)-1))</f>
        <v>Success</v>
      </c>
      <c r="F179" s="7" t="str">
        <f>IF(OR(E179="Success",E179="Qualified Success"),"Current",IF(E179="Failure",IF(RIGHT(D179,6)="Future","Future",IF(RIGHT(D179,10)="Irrelevant","Irrelevant","Current")),""))</f>
        <v>Current</v>
      </c>
      <c r="G179" s="7" t="str">
        <f>IF(OR(ISBLANK(D179),D179="Unclassifiable &gt;"),"",IF(ISNUMBER(SEARCH("Utterance",D179)),"Utterance",IF(ISNUMBER(SEARCH("Response",D179)),"Response",IF(ISNUMBER(SEARCH("Interaction",D179)),"Interaction",IF(ISNUMBER(SEARCH("System",D179)),"System","")))))</f>
        <v/>
      </c>
      <c r="H179" s="7" t="str">
        <f>IF(G179="Utterance", IF(ISNUMBER(SEARCH("Unrecognized",D179)), "Unrecognized", IF(ISNUMBER(SEARCH("Mismatched",D179)), "Mismatched", IF(ISNUMBER(SEARCH("False Positive",D179)), "False Positive", "Irrelevant"))), "")</f>
        <v/>
      </c>
      <c r="J179" s="7" t="s">
        <v>335</v>
      </c>
      <c r="K179" s="7" t="s">
        <v>198</v>
      </c>
      <c r="L179" s="9">
        <v>45016</v>
      </c>
      <c r="M179" s="10">
        <v>0.2986111111111111</v>
      </c>
      <c r="N179" s="11">
        <v>204440003499609</v>
      </c>
      <c r="O179" s="7">
        <f>IF(LEN(TRIM($A179))=0,0,LEN($A179)-LEN(SUBSTITUTE($A179," ",""))+1)</f>
        <v>3</v>
      </c>
      <c r="P179">
        <f>IF(D179="", "", COUNTIF($D$1:$D$2273, D179))</f>
        <v>176</v>
      </c>
    </row>
    <row r="180" spans="1:16" ht="96" hidden="1" x14ac:dyDescent="0.2">
      <c r="A180" s="8" t="s">
        <v>379</v>
      </c>
      <c r="C180" s="7" t="s">
        <v>4</v>
      </c>
      <c r="F180" s="7" t="str">
        <f>IF(OR(E180="Success",E180="Qualified Success"),"Current",IF(E180="Failure",IF(RIGHT(D180,6)="Future","Future",IF(RIGHT(D180,10)="Irrelevant","Irrelevant","Current")),""))</f>
        <v/>
      </c>
      <c r="G180" s="7" t="str">
        <f>IF(OR(ISBLANK(D180),D180="Unclassifiable &gt;"),"",IF(ISNUMBER(SEARCH("Utterance",D180)),"Utterance",IF(ISNUMBER(SEARCH("Response",D180)),"Response",IF(ISNUMBER(SEARCH("Interaction",D180)),"Interaction",IF(ISNUMBER(SEARCH("System",D180)),"System","")))))</f>
        <v/>
      </c>
      <c r="K180" s="7" t="s">
        <v>198</v>
      </c>
      <c r="L180" s="9">
        <v>45016</v>
      </c>
      <c r="M180" s="10">
        <v>0.29863425925925929</v>
      </c>
      <c r="N180" s="11">
        <v>204440003499609</v>
      </c>
      <c r="P180" t="str">
        <f>IF(D180="", "", COUNTIF($D$1:$D$2273, D180))</f>
        <v/>
      </c>
    </row>
    <row r="181" spans="1:16" ht="16" x14ac:dyDescent="0.2">
      <c r="A181" s="36" t="s">
        <v>101</v>
      </c>
      <c r="C181" s="7" t="s">
        <v>2</v>
      </c>
      <c r="D181" s="7" t="s">
        <v>217</v>
      </c>
      <c r="E181" s="7" t="str">
        <f>IF(OR(D181="", D181="___"),"", LEFT(D181,FIND(" &gt;",D181)-1))</f>
        <v>Failure</v>
      </c>
      <c r="F181" s="7" t="str">
        <f>IF(OR(E181="Success",E181="Qualified Success"),"Current",IF(E181="Failure",IF(RIGHT(D181,6)="Future","Future",IF(RIGHT(D181,10)="Irrelevant","Irrelevant","Current")),""))</f>
        <v>Current</v>
      </c>
      <c r="G181" s="7" t="str">
        <f>IF(OR(ISBLANK(D181),D181="Unclassifiable &gt;"),"",IF(ISNUMBER(SEARCH("Utterance",D181)),"Utterance",IF(ISNUMBER(SEARCH("Response",D181)),"Response",IF(ISNUMBER(SEARCH("Interaction",D181)),"Interaction",IF(ISNUMBER(SEARCH("System",D181)),"System","")))))</f>
        <v>Interaction</v>
      </c>
      <c r="H181" s="7" t="str">
        <f>IF(G181="Utterance", IF(ISNUMBER(SEARCH("Unrecognized",D181)), "Unrecognized", IF(ISNUMBER(SEARCH("Mismatched",D181)), "Mismatched", IF(ISNUMBER(SEARCH("False Positive",D181)), "False Positive", "Irrelevant"))), "")</f>
        <v/>
      </c>
      <c r="J181" s="7" t="s">
        <v>331</v>
      </c>
      <c r="K181" s="7" t="s">
        <v>198</v>
      </c>
      <c r="L181" s="9">
        <v>45016</v>
      </c>
      <c r="M181" s="10">
        <v>0.32067129629629632</v>
      </c>
      <c r="N181" s="11">
        <v>204440003506621</v>
      </c>
      <c r="O181" s="7">
        <f>IF(LEN(TRIM($A181))=0,0,LEN($A181)-LEN(SUBSTITUTE($A181," ",""))+1)</f>
        <v>7</v>
      </c>
      <c r="P181">
        <f>IF(D181="", "", COUNTIF($D$1:$D$2273, D181))</f>
        <v>29</v>
      </c>
    </row>
    <row r="182" spans="1:16" ht="80" hidden="1" x14ac:dyDescent="0.2">
      <c r="A182" s="8" t="s">
        <v>417</v>
      </c>
      <c r="C182" s="7" t="s">
        <v>4</v>
      </c>
      <c r="F182" s="7" t="str">
        <f>IF(OR(E182="Success",E182="Qualified Success"),"Current",IF(E182="Failure",IF(RIGHT(D182,6)="Future","Future",IF(RIGHT(D182,10)="Irrelevant","Irrelevant","Current")),""))</f>
        <v/>
      </c>
      <c r="G182" s="7" t="str">
        <f>IF(OR(ISBLANK(D182),D182="Unclassifiable &gt;"),"",IF(ISNUMBER(SEARCH("Utterance",D182)),"Utterance",IF(ISNUMBER(SEARCH("Response",D182)),"Response",IF(ISNUMBER(SEARCH("Interaction",D182)),"Interaction",IF(ISNUMBER(SEARCH("System",D182)),"System","")))))</f>
        <v/>
      </c>
      <c r="K182" s="7" t="s">
        <v>198</v>
      </c>
      <c r="L182" s="9">
        <v>45016</v>
      </c>
      <c r="M182" s="10">
        <v>0.32067129629629632</v>
      </c>
      <c r="N182" s="11">
        <v>204440003506621</v>
      </c>
      <c r="P182" t="str">
        <f>IF(D182="", "", COUNTIF($D$1:$D$2273, D182))</f>
        <v/>
      </c>
    </row>
    <row r="183" spans="1:16" ht="16" hidden="1" x14ac:dyDescent="0.2">
      <c r="A183" s="36" t="s">
        <v>73</v>
      </c>
      <c r="C183" s="7" t="s">
        <v>2</v>
      </c>
      <c r="D183" s="7" t="s">
        <v>228</v>
      </c>
      <c r="E183" s="7" t="str">
        <f>IF(OR(D183="", D183="___"),"", LEFT(D183,FIND(" &gt;",D183)-1))</f>
        <v>Qualified Success</v>
      </c>
      <c r="F183" s="7" t="str">
        <f>IF(OR(E183="Success",E183="Qualified Success"),"Current",IF(E183="Failure",IF(RIGHT(D183,6)="Future","Future",IF(RIGHT(D183,10)="Irrelevant","Irrelevant","Current")),""))</f>
        <v>Current</v>
      </c>
      <c r="G183" s="7" t="str">
        <f>IF(OR(ISBLANK(D183),D183="Unclassifiable &gt;"),"",IF(ISNUMBER(SEARCH("Utterance",D183)),"Utterance",IF(ISNUMBER(SEARCH("Response",D183)),"Response",IF(ISNUMBER(SEARCH("Interaction",D183)),"Interaction",IF(ISNUMBER(SEARCH("System",D183)),"System","")))))</f>
        <v>Response</v>
      </c>
      <c r="H183" s="7" t="str">
        <f>IF(G183="Utterance", IF(ISNUMBER(SEARCH("Unrecognized",D183)), "Unrecognized", IF(ISNUMBER(SEARCH("Mismatched",D183)), "Mismatched", IF(ISNUMBER(SEARCH("False Positive",D183)), "False Positive", "Irrelevant"))), "")</f>
        <v/>
      </c>
      <c r="J183" s="7" t="s">
        <v>329</v>
      </c>
      <c r="K183" s="7" t="s">
        <v>198</v>
      </c>
      <c r="L183" s="9">
        <v>45016</v>
      </c>
      <c r="M183" s="10">
        <v>0.32225694444444447</v>
      </c>
      <c r="N183" s="11">
        <v>204440003496303</v>
      </c>
      <c r="O183" s="7">
        <f>IF(LEN(TRIM($A183))=0,0,LEN($A183)-LEN(SUBSTITUTE($A183," ",""))+1)</f>
        <v>1</v>
      </c>
      <c r="P183">
        <f>IF(D183="", "", COUNTIF($D$1:$D$2273, D183))</f>
        <v>10</v>
      </c>
    </row>
    <row r="184" spans="1:16" ht="112" hidden="1" x14ac:dyDescent="0.2">
      <c r="A184" s="8" t="s">
        <v>386</v>
      </c>
      <c r="C184" s="7" t="s">
        <v>4</v>
      </c>
      <c r="F184" s="7" t="str">
        <f>IF(OR(E184="Success",E184="Qualified Success"),"Current",IF(E184="Failure",IF(RIGHT(D184,6)="Future","Future",IF(RIGHT(D184,10)="Irrelevant","Irrelevant","Current")),""))</f>
        <v/>
      </c>
      <c r="G184" s="7" t="str">
        <f>IF(OR(ISBLANK(D184),D184="Unclassifiable &gt;"),"",IF(ISNUMBER(SEARCH("Utterance",D184)),"Utterance",IF(ISNUMBER(SEARCH("Response",D184)),"Response",IF(ISNUMBER(SEARCH("Interaction",D184)),"Interaction",IF(ISNUMBER(SEARCH("System",D184)),"System","")))))</f>
        <v/>
      </c>
      <c r="K184" s="7" t="s">
        <v>198</v>
      </c>
      <c r="L184" s="9">
        <v>45016</v>
      </c>
      <c r="M184" s="10">
        <v>0.32254629629629633</v>
      </c>
      <c r="N184" s="11">
        <v>204440003496303</v>
      </c>
      <c r="P184" t="str">
        <f>IF(D184="", "", COUNTIF($D$1:$D$2273, D184))</f>
        <v/>
      </c>
    </row>
    <row r="185" spans="1:16" ht="16" x14ac:dyDescent="0.2">
      <c r="A185" s="36" t="s">
        <v>33</v>
      </c>
      <c r="B185" s="7" t="s">
        <v>296</v>
      </c>
      <c r="C185" s="7" t="s">
        <v>2</v>
      </c>
      <c r="D185" s="7" t="s">
        <v>206</v>
      </c>
      <c r="E185" s="7" t="str">
        <f>IF(OR(D185="", D185="___"),"", LEFT(D185,FIND(" &gt;",D185)-1))</f>
        <v>Success</v>
      </c>
      <c r="F185" s="7" t="str">
        <f>IF(OR(E185="Success",E185="Qualified Success"),"Current",IF(E185="Failure",IF(RIGHT(D185,6)="Future","Future",IF(RIGHT(D185,10)="Irrelevant","Irrelevant","Current")),""))</f>
        <v>Current</v>
      </c>
      <c r="G185" s="7" t="str">
        <f>IF(OR(ISBLANK(D185),D185="Unclassifiable &gt;"),"",IF(ISNUMBER(SEARCH("Utterance",D185)),"Utterance",IF(ISNUMBER(SEARCH("Response",D185)),"Response",IF(ISNUMBER(SEARCH("Interaction",D185)),"Interaction",IF(ISNUMBER(SEARCH("System",D185)),"System","")))))</f>
        <v/>
      </c>
      <c r="H185" s="7" t="str">
        <f>IF(G185="Utterance", IF(ISNUMBER(SEARCH("Unrecognized",D185)), "Unrecognized", IF(ISNUMBER(SEARCH("Mismatched",D185)), "Mismatched", IF(ISNUMBER(SEARCH("False Positive",D185)), "False Positive", "Irrelevant"))), "")</f>
        <v/>
      </c>
      <c r="J185" s="7" t="s">
        <v>331</v>
      </c>
      <c r="K185" s="7" t="s">
        <v>198</v>
      </c>
      <c r="L185" s="9">
        <v>45016</v>
      </c>
      <c r="M185" s="10">
        <v>0.32418981481481485</v>
      </c>
      <c r="N185" s="11">
        <v>204440003510222</v>
      </c>
      <c r="O185" s="7">
        <f>IF(LEN(TRIM($A185))=0,0,LEN($A185)-LEN(SUBSTITUTE($A185," ",""))+1)</f>
        <v>4</v>
      </c>
      <c r="P185">
        <f>IF(D185="", "", COUNTIF($D$1:$D$2273, D185))</f>
        <v>176</v>
      </c>
    </row>
    <row r="186" spans="1:16" ht="224" hidden="1" x14ac:dyDescent="0.2">
      <c r="A186" s="8" t="s">
        <v>369</v>
      </c>
      <c r="C186" s="7" t="s">
        <v>4</v>
      </c>
      <c r="F186" s="7" t="str">
        <f>IF(OR(E186="Success",E186="Qualified Success"),"Current",IF(E186="Failure",IF(RIGHT(D186,6)="Future","Future",IF(RIGHT(D186,10)="Irrelevant","Irrelevant","Current")),""))</f>
        <v/>
      </c>
      <c r="G186" s="7" t="str">
        <f>IF(OR(ISBLANK(D186),D186="Unclassifiable &gt;"),"",IF(ISNUMBER(SEARCH("Utterance",D186)),"Utterance",IF(ISNUMBER(SEARCH("Response",D186)),"Response",IF(ISNUMBER(SEARCH("Interaction",D186)),"Interaction",IF(ISNUMBER(SEARCH("System",D186)),"System","")))))</f>
        <v/>
      </c>
      <c r="K186" s="7" t="s">
        <v>198</v>
      </c>
      <c r="L186" s="9">
        <v>45016</v>
      </c>
      <c r="M186" s="10">
        <v>0.32421296296296293</v>
      </c>
      <c r="N186" s="11">
        <v>204440003510222</v>
      </c>
      <c r="P186" t="str">
        <f>IF(D186="", "", COUNTIF($D$1:$D$2273, D186))</f>
        <v/>
      </c>
    </row>
    <row r="187" spans="1:16" ht="16" hidden="1" x14ac:dyDescent="0.2">
      <c r="A187" s="36" t="s">
        <v>58</v>
      </c>
      <c r="C187" s="7" t="s">
        <v>2</v>
      </c>
      <c r="D187" s="7" t="s">
        <v>206</v>
      </c>
      <c r="E187" s="7" t="str">
        <f>IF(OR(D187="", D187="___"),"", LEFT(D187,FIND(" &gt;",D187)-1))</f>
        <v>Success</v>
      </c>
      <c r="F187" s="7" t="str">
        <f>IF(OR(E187="Success",E187="Qualified Success"),"Current",IF(E187="Failure",IF(RIGHT(D187,6)="Future","Future",IF(RIGHT(D187,10)="Irrelevant","Irrelevant","Current")),""))</f>
        <v>Current</v>
      </c>
      <c r="G187" s="7" t="str">
        <f>IF(OR(ISBLANK(D187),D187="Unclassifiable &gt;"),"",IF(ISNUMBER(SEARCH("Utterance",D187)),"Utterance",IF(ISNUMBER(SEARCH("Response",D187)),"Response",IF(ISNUMBER(SEARCH("Interaction",D187)),"Interaction",IF(ISNUMBER(SEARCH("System",D187)),"System","")))))</f>
        <v/>
      </c>
      <c r="H187" s="7" t="str">
        <f>IF(G187="Utterance", IF(ISNUMBER(SEARCH("Unrecognized",D187)), "Unrecognized", IF(ISNUMBER(SEARCH("Mismatched",D187)), "Mismatched", IF(ISNUMBER(SEARCH("False Positive",D187)), "False Positive", "Irrelevant"))), "")</f>
        <v/>
      </c>
      <c r="J187" s="7" t="s">
        <v>330</v>
      </c>
      <c r="K187" s="7" t="s">
        <v>198</v>
      </c>
      <c r="L187" s="9">
        <v>45016</v>
      </c>
      <c r="M187" s="10">
        <v>0.32891203703703703</v>
      </c>
      <c r="N187" s="11">
        <v>204440003491508</v>
      </c>
      <c r="O187" s="7">
        <f>IF(LEN(TRIM($A187))=0,0,LEN($A187)-LEN(SUBSTITUTE($A187," ",""))+1)</f>
        <v>9</v>
      </c>
      <c r="P187">
        <f>IF(D187="", "", COUNTIF($D$1:$D$2273, D187))</f>
        <v>176</v>
      </c>
    </row>
    <row r="188" spans="1:16" ht="16" hidden="1" x14ac:dyDescent="0.2">
      <c r="A188" s="8" t="s">
        <v>418</v>
      </c>
      <c r="C188" s="7" t="s">
        <v>4</v>
      </c>
      <c r="F188" s="7" t="str">
        <f>IF(OR(E188="Success",E188="Qualified Success"),"Current",IF(E188="Failure",IF(RIGHT(D188,6)="Future","Future",IF(RIGHT(D188,10)="Irrelevant","Irrelevant","Current")),""))</f>
        <v/>
      </c>
      <c r="G188" s="7" t="str">
        <f>IF(OR(ISBLANK(D188),D188="Unclassifiable &gt;"),"",IF(ISNUMBER(SEARCH("Utterance",D188)),"Utterance",IF(ISNUMBER(SEARCH("Response",D188)),"Response",IF(ISNUMBER(SEARCH("Interaction",D188)),"Interaction",IF(ISNUMBER(SEARCH("System",D188)),"System","")))))</f>
        <v/>
      </c>
      <c r="K188" s="7" t="s">
        <v>198</v>
      </c>
      <c r="L188" s="9">
        <v>45016</v>
      </c>
      <c r="M188" s="10">
        <v>0.32891203703703703</v>
      </c>
      <c r="N188" s="11">
        <v>204440003491508</v>
      </c>
      <c r="P188" t="str">
        <f>IF(D188="", "", COUNTIF($D$1:$D$2273, D188))</f>
        <v/>
      </c>
    </row>
    <row r="189" spans="1:16" ht="16" hidden="1" x14ac:dyDescent="0.2">
      <c r="A189" s="36" t="s">
        <v>59</v>
      </c>
      <c r="C189" s="7" t="s">
        <v>2</v>
      </c>
      <c r="D189" s="7" t="s">
        <v>206</v>
      </c>
      <c r="E189" s="7" t="str">
        <f>IF(OR(D189="", D189="___"),"", LEFT(D189,FIND(" &gt;",D189)-1))</f>
        <v>Success</v>
      </c>
      <c r="F189" s="7" t="str">
        <f>IF(OR(E189="Success",E189="Qualified Success"),"Current",IF(E189="Failure",IF(RIGHT(D189,6)="Future","Future",IF(RIGHT(D189,10)="Irrelevant","Irrelevant","Current")),""))</f>
        <v>Current</v>
      </c>
      <c r="G189" s="7" t="str">
        <f>IF(OR(ISBLANK(D189),D189="Unclassifiable &gt;"),"",IF(ISNUMBER(SEARCH("Utterance",D189)),"Utterance",IF(ISNUMBER(SEARCH("Response",D189)),"Response",IF(ISNUMBER(SEARCH("Interaction",D189)),"Interaction",IF(ISNUMBER(SEARCH("System",D189)),"System","")))))</f>
        <v/>
      </c>
      <c r="H189" s="7" t="str">
        <f>IF(G189="Utterance", IF(ISNUMBER(SEARCH("Unrecognized",D189)), "Unrecognized", IF(ISNUMBER(SEARCH("Mismatched",D189)), "Mismatched", IF(ISNUMBER(SEARCH("False Positive",D189)), "False Positive", "Irrelevant"))), "")</f>
        <v/>
      </c>
      <c r="J189" s="7" t="s">
        <v>334</v>
      </c>
      <c r="K189" s="7" t="s">
        <v>198</v>
      </c>
      <c r="L189" s="9">
        <v>45016</v>
      </c>
      <c r="M189" s="10">
        <v>0.32958333333333334</v>
      </c>
      <c r="N189" s="11">
        <v>204440003491508</v>
      </c>
      <c r="O189" s="7">
        <f>IF(LEN(TRIM($A189))=0,0,LEN($A189)-LEN(SUBSTITUTE($A189," ",""))+1)</f>
        <v>13</v>
      </c>
      <c r="P189">
        <f>IF(D189="", "", COUNTIF($D$1:$D$2273, D189))</f>
        <v>176</v>
      </c>
    </row>
    <row r="190" spans="1:16" ht="64" hidden="1" x14ac:dyDescent="0.2">
      <c r="A190" s="8" t="s">
        <v>419</v>
      </c>
      <c r="C190" s="7" t="s">
        <v>4</v>
      </c>
      <c r="F190" s="7" t="str">
        <f>IF(OR(E190="Success",E190="Qualified Success"),"Current",IF(E190="Failure",IF(RIGHT(D190,6)="Future","Future",IF(RIGHT(D190,10)="Irrelevant","Irrelevant","Current")),""))</f>
        <v/>
      </c>
      <c r="G190" s="7" t="str">
        <f>IF(OR(ISBLANK(D190),D190="Unclassifiable &gt;"),"",IF(ISNUMBER(SEARCH("Utterance",D190)),"Utterance",IF(ISNUMBER(SEARCH("Response",D190)),"Response",IF(ISNUMBER(SEARCH("Interaction",D190)),"Interaction",IF(ISNUMBER(SEARCH("System",D190)),"System","")))))</f>
        <v/>
      </c>
      <c r="K190" s="7" t="s">
        <v>198</v>
      </c>
      <c r="L190" s="9">
        <v>45016</v>
      </c>
      <c r="M190" s="10">
        <v>0.32958333333333334</v>
      </c>
      <c r="N190" s="11">
        <v>204440003491508</v>
      </c>
      <c r="P190" t="str">
        <f>IF(D190="", "", COUNTIF($D$1:$D$2273, D190))</f>
        <v/>
      </c>
    </row>
    <row r="191" spans="1:16" ht="16" hidden="1" x14ac:dyDescent="0.2">
      <c r="A191" s="36" t="s">
        <v>36</v>
      </c>
      <c r="B191" s="7" t="s">
        <v>296</v>
      </c>
      <c r="C191" s="7" t="s">
        <v>2</v>
      </c>
      <c r="D191" s="7" t="s">
        <v>206</v>
      </c>
      <c r="E191" s="7" t="str">
        <f>IF(OR(D191="", D191="___"),"", LEFT(D191,FIND(" &gt;",D191)-1))</f>
        <v>Success</v>
      </c>
      <c r="F191" s="7" t="str">
        <f>IF(OR(E191="Success",E191="Qualified Success"),"Current",IF(E191="Failure",IF(RIGHT(D191,6)="Future","Future",IF(RIGHT(D191,10)="Irrelevant","Irrelevant","Current")),""))</f>
        <v>Current</v>
      </c>
      <c r="G191" s="7" t="str">
        <f>IF(OR(ISBLANK(D191),D191="Unclassifiable &gt;"),"",IF(ISNUMBER(SEARCH("Utterance",D191)),"Utterance",IF(ISNUMBER(SEARCH("Response",D191)),"Response",IF(ISNUMBER(SEARCH("Interaction",D191)),"Interaction",IF(ISNUMBER(SEARCH("System",D191)),"System","")))))</f>
        <v/>
      </c>
      <c r="H191" s="7" t="str">
        <f>IF(G191="Utterance", IF(ISNUMBER(SEARCH("Unrecognized",D191)), "Unrecognized", IF(ISNUMBER(SEARCH("Mismatched",D191)), "Mismatched", IF(ISNUMBER(SEARCH("False Positive",D191)), "False Positive", "Irrelevant"))), "")</f>
        <v/>
      </c>
      <c r="J191" s="7" t="s">
        <v>243</v>
      </c>
      <c r="K191" s="7" t="s">
        <v>198</v>
      </c>
      <c r="L191" s="9">
        <v>45016</v>
      </c>
      <c r="M191" s="10">
        <v>0.32984953703703707</v>
      </c>
      <c r="N191" s="11">
        <v>204440003510244</v>
      </c>
      <c r="O191" s="7">
        <f>IF(LEN(TRIM($A191))=0,0,LEN($A191)-LEN(SUBSTITUTE($A191," ",""))+1)</f>
        <v>3</v>
      </c>
      <c r="P191">
        <f>IF(D191="", "", COUNTIF($D$1:$D$2273, D191))</f>
        <v>176</v>
      </c>
    </row>
    <row r="192" spans="1:16" ht="32" hidden="1" x14ac:dyDescent="0.2">
      <c r="A192" s="8" t="s">
        <v>381</v>
      </c>
      <c r="C192" s="7" t="s">
        <v>4</v>
      </c>
      <c r="F192" s="7" t="str">
        <f>IF(OR(E192="Success",E192="Qualified Success"),"Current",IF(E192="Failure",IF(RIGHT(D192,6)="Future","Future",IF(RIGHT(D192,10)="Irrelevant","Irrelevant","Current")),""))</f>
        <v/>
      </c>
      <c r="G192" s="7" t="str">
        <f>IF(OR(ISBLANK(D192),D192="Unclassifiable &gt;"),"",IF(ISNUMBER(SEARCH("Utterance",D192)),"Utterance",IF(ISNUMBER(SEARCH("Response",D192)),"Response",IF(ISNUMBER(SEARCH("Interaction",D192)),"Interaction",IF(ISNUMBER(SEARCH("System",D192)),"System","")))))</f>
        <v/>
      </c>
      <c r="K192" s="7" t="s">
        <v>198</v>
      </c>
      <c r="L192" s="9">
        <v>45016</v>
      </c>
      <c r="M192" s="10">
        <v>0.32984953703703707</v>
      </c>
      <c r="N192" s="11">
        <v>204440003510244</v>
      </c>
      <c r="P192" t="str">
        <f>IF(D192="", "", COUNTIF($D$1:$D$2273, D192))</f>
        <v/>
      </c>
    </row>
    <row r="193" spans="1:16" ht="16" hidden="1" x14ac:dyDescent="0.2">
      <c r="A193" s="36" t="s">
        <v>21</v>
      </c>
      <c r="B193" s="7" t="s">
        <v>296</v>
      </c>
      <c r="C193" s="7" t="s">
        <v>2</v>
      </c>
      <c r="D193" s="7" t="s">
        <v>206</v>
      </c>
      <c r="E193" s="7" t="str">
        <f>IF(OR(D193="", D193="___"),"", LEFT(D193,FIND(" &gt;",D193)-1))</f>
        <v>Success</v>
      </c>
      <c r="F193" s="7" t="str">
        <f>IF(OR(E193="Success",E193="Qualified Success"),"Current",IF(E193="Failure",IF(RIGHT(D193,6)="Future","Future",IF(RIGHT(D193,10)="Irrelevant","Irrelevant","Current")),""))</f>
        <v>Current</v>
      </c>
      <c r="G193" s="7" t="str">
        <f>IF(OR(ISBLANK(D193),D193="Unclassifiable &gt;"),"",IF(ISNUMBER(SEARCH("Utterance",D193)),"Utterance",IF(ISNUMBER(SEARCH("Response",D193)),"Response",IF(ISNUMBER(SEARCH("Interaction",D193)),"Interaction",IF(ISNUMBER(SEARCH("System",D193)),"System","")))))</f>
        <v/>
      </c>
      <c r="H193" s="7" t="str">
        <f>IF(G193="Utterance", IF(ISNUMBER(SEARCH("Unrecognized",D193)), "Unrecognized", IF(ISNUMBER(SEARCH("Mismatched",D193)), "Mismatched", IF(ISNUMBER(SEARCH("False Positive",D193)), "False Positive", "Irrelevant"))), "")</f>
        <v/>
      </c>
      <c r="J193" s="7" t="s">
        <v>332</v>
      </c>
      <c r="K193" s="7" t="s">
        <v>198</v>
      </c>
      <c r="L193" s="9">
        <v>45016</v>
      </c>
      <c r="M193" s="10">
        <v>0.33097222222222222</v>
      </c>
      <c r="N193" s="11">
        <v>202000129810280</v>
      </c>
      <c r="O193" s="7">
        <f>IF(LEN(TRIM($A193))=0,0,LEN($A193)-LEN(SUBSTITUTE($A193," ",""))+1)</f>
        <v>4</v>
      </c>
      <c r="P193">
        <f>IF(D193="", "", COUNTIF($D$1:$D$2273, D193))</f>
        <v>176</v>
      </c>
    </row>
    <row r="194" spans="1:16" ht="48" hidden="1" x14ac:dyDescent="0.2">
      <c r="A194" s="8" t="s">
        <v>383</v>
      </c>
      <c r="C194" s="7" t="s">
        <v>4</v>
      </c>
      <c r="F194" s="7" t="str">
        <f>IF(OR(E194="Success",E194="Qualified Success"),"Current",IF(E194="Failure",IF(RIGHT(D194,6)="Future","Future",IF(RIGHT(D194,10)="Irrelevant","Irrelevant","Current")),""))</f>
        <v/>
      </c>
      <c r="G194" s="7" t="str">
        <f>IF(OR(ISBLANK(D194),D194="Unclassifiable &gt;"),"",IF(ISNUMBER(SEARCH("Utterance",D194)),"Utterance",IF(ISNUMBER(SEARCH("Response",D194)),"Response",IF(ISNUMBER(SEARCH("Interaction",D194)),"Interaction",IF(ISNUMBER(SEARCH("System",D194)),"System","")))))</f>
        <v/>
      </c>
      <c r="K194" s="7" t="s">
        <v>198</v>
      </c>
      <c r="L194" s="9">
        <v>45016</v>
      </c>
      <c r="M194" s="10">
        <v>0.33097222222222222</v>
      </c>
      <c r="N194" s="11">
        <v>202000129810280</v>
      </c>
      <c r="P194" t="str">
        <f>IF(D194="", "", COUNTIF($D$1:$D$2273, D194))</f>
        <v/>
      </c>
    </row>
    <row r="195" spans="1:16" ht="16" hidden="1" x14ac:dyDescent="0.2">
      <c r="A195" s="36" t="s">
        <v>188</v>
      </c>
      <c r="C195" s="7" t="s">
        <v>2</v>
      </c>
      <c r="D195" s="7" t="s">
        <v>206</v>
      </c>
      <c r="E195" s="7" t="str">
        <f>IF(OR(D195="", D195="___"),"", LEFT(D195,FIND(" &gt;",D195)-1))</f>
        <v>Success</v>
      </c>
      <c r="F195" s="7" t="str">
        <f>IF(OR(E195="Success",E195="Qualified Success"),"Current",IF(E195="Failure",IF(RIGHT(D195,6)="Future","Future",IF(RIGHT(D195,10)="Irrelevant","Irrelevant","Current")),""))</f>
        <v>Current</v>
      </c>
      <c r="G195" s="7" t="str">
        <f>IF(OR(ISBLANK(D195),D195="Unclassifiable &gt;"),"",IF(ISNUMBER(SEARCH("Utterance",D195)),"Utterance",IF(ISNUMBER(SEARCH("Response",D195)),"Response",IF(ISNUMBER(SEARCH("Interaction",D195)),"Interaction",IF(ISNUMBER(SEARCH("System",D195)),"System","")))))</f>
        <v/>
      </c>
      <c r="H195" s="7" t="str">
        <f>IF(G195="Utterance", IF(ISNUMBER(SEARCH("Unrecognized",D195)), "Unrecognized", IF(ISNUMBER(SEARCH("Mismatched",D195)), "Mismatched", IF(ISNUMBER(SEARCH("False Positive",D195)), "False Positive", "Irrelevant"))), "")</f>
        <v/>
      </c>
      <c r="J195" s="7" t="s">
        <v>245</v>
      </c>
      <c r="K195" s="7" t="s">
        <v>198</v>
      </c>
      <c r="L195" s="9">
        <v>45016</v>
      </c>
      <c r="M195" s="10">
        <v>0.33103009259259258</v>
      </c>
      <c r="N195" s="11">
        <v>513003260791719</v>
      </c>
      <c r="O195" s="7">
        <f>IF(LEN(TRIM($A195))=0,0,LEN($A195)-LEN(SUBSTITUTE($A195," ",""))+1)</f>
        <v>11</v>
      </c>
      <c r="P195">
        <f>IF(D195="", "", COUNTIF($D$1:$D$2273, D195))</f>
        <v>176</v>
      </c>
    </row>
    <row r="196" spans="1:16" ht="64" hidden="1" x14ac:dyDescent="0.2">
      <c r="A196" s="8" t="s">
        <v>423</v>
      </c>
      <c r="C196" s="7" t="s">
        <v>4</v>
      </c>
      <c r="F196" s="7" t="str">
        <f>IF(OR(E196="Success",E196="Qualified Success"),"Current",IF(E196="Failure",IF(RIGHT(D196,6)="Future","Future",IF(RIGHT(D196,10)="Irrelevant","Irrelevant","Current")),""))</f>
        <v/>
      </c>
      <c r="G196" s="7" t="str">
        <f>IF(OR(ISBLANK(D196),D196="Unclassifiable &gt;"),"",IF(ISNUMBER(SEARCH("Utterance",D196)),"Utterance",IF(ISNUMBER(SEARCH("Response",D196)),"Response",IF(ISNUMBER(SEARCH("Interaction",D196)),"Interaction",IF(ISNUMBER(SEARCH("System",D196)),"System","")))))</f>
        <v/>
      </c>
      <c r="K196" s="7" t="s">
        <v>198</v>
      </c>
      <c r="L196" s="9">
        <v>45016</v>
      </c>
      <c r="M196" s="10">
        <v>0.33105324074074077</v>
      </c>
      <c r="N196" s="11">
        <v>513003260791719</v>
      </c>
      <c r="P196" t="str">
        <f>IF(D196="", "", COUNTIF($D$1:$D$2273, D196))</f>
        <v/>
      </c>
    </row>
    <row r="197" spans="1:16" ht="16" hidden="1" x14ac:dyDescent="0.2">
      <c r="A197" s="36" t="s">
        <v>189</v>
      </c>
      <c r="C197" s="7" t="s">
        <v>2</v>
      </c>
      <c r="D197" s="7" t="s">
        <v>206</v>
      </c>
      <c r="E197" s="7" t="str">
        <f>IF(OR(D197="", D197="___"),"", LEFT(D197,FIND(" &gt;",D197)-1))</f>
        <v>Success</v>
      </c>
      <c r="F197" s="7" t="str">
        <f>IF(OR(E197="Success",E197="Qualified Success"),"Current",IF(E197="Failure",IF(RIGHT(D197,6)="Future","Future",IF(RIGHT(D197,10)="Irrelevant","Irrelevant","Current")),""))</f>
        <v>Current</v>
      </c>
      <c r="G197" s="7" t="str">
        <f>IF(OR(ISBLANK(D197),D197="Unclassifiable &gt;"),"",IF(ISNUMBER(SEARCH("Utterance",D197)),"Utterance",IF(ISNUMBER(SEARCH("Response",D197)),"Response",IF(ISNUMBER(SEARCH("Interaction",D197)),"Interaction",IF(ISNUMBER(SEARCH("System",D197)),"System","")))))</f>
        <v/>
      </c>
      <c r="H197" s="7" t="str">
        <f>IF(G197="Utterance", IF(ISNUMBER(SEARCH("Unrecognized",D197)), "Unrecognized", IF(ISNUMBER(SEARCH("Mismatched",D197)), "Mismatched", IF(ISNUMBER(SEARCH("False Positive",D197)), "False Positive", "Irrelevant"))), "")</f>
        <v/>
      </c>
      <c r="J197" s="7" t="s">
        <v>339</v>
      </c>
      <c r="K197" s="7" t="s">
        <v>198</v>
      </c>
      <c r="L197" s="9">
        <v>45016</v>
      </c>
      <c r="M197" s="10">
        <v>0.33195601851851853</v>
      </c>
      <c r="N197" s="11">
        <v>513003260791719</v>
      </c>
      <c r="O197" s="7">
        <f>IF(LEN(TRIM($A197))=0,0,LEN($A197)-LEN(SUBSTITUTE($A197," ",""))+1)</f>
        <v>14</v>
      </c>
      <c r="P197">
        <f>IF(D197="", "", COUNTIF($D$1:$D$2273, D197))</f>
        <v>176</v>
      </c>
    </row>
    <row r="198" spans="1:16" ht="112" hidden="1" x14ac:dyDescent="0.2">
      <c r="A198" s="8" t="s">
        <v>454</v>
      </c>
      <c r="C198" s="7" t="s">
        <v>4</v>
      </c>
      <c r="F198" s="7" t="str">
        <f>IF(OR(E198="Success",E198="Qualified Success"),"Current",IF(E198="Failure",IF(RIGHT(D198,6)="Future","Future",IF(RIGHT(D198,10)="Irrelevant","Irrelevant","Current")),""))</f>
        <v/>
      </c>
      <c r="G198" s="7" t="str">
        <f>IF(OR(ISBLANK(D198),D198="Unclassifiable &gt;"),"",IF(ISNUMBER(SEARCH("Utterance",D198)),"Utterance",IF(ISNUMBER(SEARCH("Response",D198)),"Response",IF(ISNUMBER(SEARCH("Interaction",D198)),"Interaction",IF(ISNUMBER(SEARCH("System",D198)),"System","")))))</f>
        <v/>
      </c>
      <c r="K198" s="7" t="s">
        <v>198</v>
      </c>
      <c r="L198" s="9">
        <v>45016</v>
      </c>
      <c r="M198" s="10">
        <v>0.33196759259259262</v>
      </c>
      <c r="N198" s="11">
        <v>513003260791719</v>
      </c>
      <c r="P198" t="str">
        <f>IF(D198="", "", COUNTIF($D$1:$D$2273, D198))</f>
        <v/>
      </c>
    </row>
    <row r="199" spans="1:16" ht="16" hidden="1" x14ac:dyDescent="0.2">
      <c r="A199" s="36" t="s">
        <v>57</v>
      </c>
      <c r="C199" s="7" t="s">
        <v>2</v>
      </c>
      <c r="D199" s="7" t="s">
        <v>217</v>
      </c>
      <c r="E199" s="7" t="str">
        <f>IF(OR(D199="", D199="___"),"", LEFT(D199,FIND(" &gt;",D199)-1))</f>
        <v>Failure</v>
      </c>
      <c r="F199" s="7" t="str">
        <f>IF(OR(E199="Success",E199="Qualified Success"),"Current",IF(E199="Failure",IF(RIGHT(D199,6)="Future","Future",IF(RIGHT(D199,10)="Irrelevant","Irrelevant","Current")),""))</f>
        <v>Current</v>
      </c>
      <c r="G199" s="7" t="str">
        <f>IF(OR(ISBLANK(D199),D199="Unclassifiable &gt;"),"",IF(ISNUMBER(SEARCH("Utterance",D199)),"Utterance",IF(ISNUMBER(SEARCH("Response",D199)),"Response",IF(ISNUMBER(SEARCH("Interaction",D199)),"Interaction",IF(ISNUMBER(SEARCH("System",D199)),"System","")))))</f>
        <v>Interaction</v>
      </c>
      <c r="H199" s="7" t="str">
        <f>IF(G199="Utterance", IF(ISNUMBER(SEARCH("Unrecognized",D199)), "Unrecognized", IF(ISNUMBER(SEARCH("Mismatched",D199)), "Mismatched", IF(ISNUMBER(SEARCH("False Positive",D199)), "False Positive", "Irrelevant"))), "")</f>
        <v/>
      </c>
      <c r="J199" s="7" t="s">
        <v>249</v>
      </c>
      <c r="K199" s="7" t="s">
        <v>198</v>
      </c>
      <c r="L199" s="9">
        <v>45016</v>
      </c>
      <c r="M199" s="10">
        <v>0.33238425925925924</v>
      </c>
      <c r="N199" s="11">
        <v>204440003491508</v>
      </c>
      <c r="O199" s="7">
        <f>IF(LEN(TRIM($A199))=0,0,LEN($A199)-LEN(SUBSTITUTE($A199," ",""))+1)</f>
        <v>15</v>
      </c>
      <c r="P199">
        <f>IF(D199="", "", COUNTIF($D$1:$D$2273, D199))</f>
        <v>29</v>
      </c>
    </row>
    <row r="200" spans="1:16" ht="16" hidden="1" x14ac:dyDescent="0.2">
      <c r="A200" s="8" t="s">
        <v>418</v>
      </c>
      <c r="C200" s="7" t="s">
        <v>4</v>
      </c>
      <c r="F200" s="7" t="str">
        <f>IF(OR(E200="Success",E200="Qualified Success"),"Current",IF(E200="Failure",IF(RIGHT(D200,6)="Future","Future",IF(RIGHT(D200,10)="Irrelevant","Irrelevant","Current")),""))</f>
        <v/>
      </c>
      <c r="G200" s="7" t="str">
        <f>IF(OR(ISBLANK(D200),D200="Unclassifiable &gt;"),"",IF(ISNUMBER(SEARCH("Utterance",D200)),"Utterance",IF(ISNUMBER(SEARCH("Response",D200)),"Response",IF(ISNUMBER(SEARCH("Interaction",D200)),"Interaction",IF(ISNUMBER(SEARCH("System",D200)),"System","")))))</f>
        <v/>
      </c>
      <c r="K200" s="7" t="s">
        <v>198</v>
      </c>
      <c r="L200" s="9">
        <v>45016</v>
      </c>
      <c r="M200" s="10">
        <v>0.33238425925925924</v>
      </c>
      <c r="N200" s="11">
        <v>204440003491508</v>
      </c>
      <c r="P200" t="str">
        <f>IF(D200="", "", COUNTIF($D$1:$D$2273, D200))</f>
        <v/>
      </c>
    </row>
    <row r="201" spans="1:16" ht="16" hidden="1" x14ac:dyDescent="0.2">
      <c r="A201" s="36" t="s">
        <v>110</v>
      </c>
      <c r="C201" s="7" t="s">
        <v>2</v>
      </c>
      <c r="D201" s="7" t="s">
        <v>228</v>
      </c>
      <c r="E201" s="7" t="str">
        <f>IF(OR(D201="", D201="___"),"", LEFT(D201,FIND(" &gt;",D201)-1))</f>
        <v>Qualified Success</v>
      </c>
      <c r="F201" s="7" t="str">
        <f>IF(OR(E201="Success",E201="Qualified Success"),"Current",IF(E201="Failure",IF(RIGHT(D201,6)="Future","Future",IF(RIGHT(D201,10)="Irrelevant","Irrelevant","Current")),""))</f>
        <v>Current</v>
      </c>
      <c r="G201" s="7" t="str">
        <f>IF(OR(ISBLANK(D201),D201="Unclassifiable &gt;"),"",IF(ISNUMBER(SEARCH("Utterance",D201)),"Utterance",IF(ISNUMBER(SEARCH("Response",D201)),"Response",IF(ISNUMBER(SEARCH("Interaction",D201)),"Interaction",IF(ISNUMBER(SEARCH("System",D201)),"System","")))))</f>
        <v>Response</v>
      </c>
      <c r="H201" s="7" t="str">
        <f>IF(G201="Utterance", IF(ISNUMBER(SEARCH("Unrecognized",D201)), "Unrecognized", IF(ISNUMBER(SEARCH("Mismatched",D201)), "Mismatched", IF(ISNUMBER(SEARCH("False Positive",D201)), "False Positive", "Irrelevant"))), "")</f>
        <v/>
      </c>
      <c r="J201" s="7" t="s">
        <v>336</v>
      </c>
      <c r="K201" s="7" t="s">
        <v>198</v>
      </c>
      <c r="L201" s="9">
        <v>45016</v>
      </c>
      <c r="M201" s="10">
        <v>0.3364699074074074</v>
      </c>
      <c r="N201" s="11">
        <v>204440003509092</v>
      </c>
      <c r="O201" s="7">
        <f>IF(LEN(TRIM($A201))=0,0,LEN($A201)-LEN(SUBSTITUTE($A201," ",""))+1)</f>
        <v>2</v>
      </c>
      <c r="P201">
        <f>IF(D201="", "", COUNTIF($D$1:$D$2273, D201))</f>
        <v>10</v>
      </c>
    </row>
    <row r="202" spans="1:16" ht="80" hidden="1" x14ac:dyDescent="0.2">
      <c r="A202" s="8" t="s">
        <v>420</v>
      </c>
      <c r="C202" s="7" t="s">
        <v>4</v>
      </c>
      <c r="F202" s="7" t="str">
        <f>IF(OR(E202="Success",E202="Qualified Success"),"Current",IF(E202="Failure",IF(RIGHT(D202,6)="Future","Future",IF(RIGHT(D202,10)="Irrelevant","Irrelevant","Current")),""))</f>
        <v/>
      </c>
      <c r="G202" s="7" t="str">
        <f>IF(OR(ISBLANK(D202),D202="Unclassifiable &gt;"),"",IF(ISNUMBER(SEARCH("Utterance",D202)),"Utterance",IF(ISNUMBER(SEARCH("Response",D202)),"Response",IF(ISNUMBER(SEARCH("Interaction",D202)),"Interaction",IF(ISNUMBER(SEARCH("System",D202)),"System","")))))</f>
        <v/>
      </c>
      <c r="K202" s="7" t="s">
        <v>198</v>
      </c>
      <c r="L202" s="9">
        <v>45016</v>
      </c>
      <c r="M202" s="10">
        <v>0.33648148148148144</v>
      </c>
      <c r="N202" s="11">
        <v>204440003509092</v>
      </c>
      <c r="P202" t="str">
        <f>IF(D202="", "", COUNTIF($D$1:$D$2273, D202))</f>
        <v/>
      </c>
    </row>
    <row r="203" spans="1:16" ht="16" hidden="1" x14ac:dyDescent="0.2">
      <c r="A203" s="36" t="s">
        <v>191</v>
      </c>
      <c r="C203" s="7" t="s">
        <v>2</v>
      </c>
      <c r="D203" s="7" t="s">
        <v>206</v>
      </c>
      <c r="E203" s="7" t="str">
        <f>IF(OR(D203="", D203="___"),"", LEFT(D203,FIND(" &gt;",D203)-1))</f>
        <v>Success</v>
      </c>
      <c r="F203" s="7" t="str">
        <f>IF(OR(E203="Success",E203="Qualified Success"),"Current",IF(E203="Failure",IF(RIGHT(D203,6)="Future","Future",IF(RIGHT(D203,10)="Irrelevant","Irrelevant","Current")),""))</f>
        <v>Current</v>
      </c>
      <c r="G203" s="7" t="str">
        <f>IF(OR(ISBLANK(D203),D203="Unclassifiable &gt;"),"",IF(ISNUMBER(SEARCH("Utterance",D203)),"Utterance",IF(ISNUMBER(SEARCH("Response",D203)),"Response",IF(ISNUMBER(SEARCH("Interaction",D203)),"Interaction",IF(ISNUMBER(SEARCH("System",D203)),"System","")))))</f>
        <v/>
      </c>
      <c r="H203" s="7" t="str">
        <f>IF(G203="Utterance", IF(ISNUMBER(SEARCH("Unrecognized",D203)), "Unrecognized", IF(ISNUMBER(SEARCH("Mismatched",D203)), "Mismatched", IF(ISNUMBER(SEARCH("False Positive",D203)), "False Positive", "Irrelevant"))), "")</f>
        <v/>
      </c>
      <c r="J203" s="7" t="s">
        <v>246</v>
      </c>
      <c r="K203" s="7" t="s">
        <v>198</v>
      </c>
      <c r="L203" s="9">
        <v>45016</v>
      </c>
      <c r="M203" s="10">
        <v>0.34538194444444442</v>
      </c>
      <c r="N203" s="11">
        <v>513003370559734</v>
      </c>
      <c r="O203" s="7">
        <f>IF(LEN(TRIM($A203))=0,0,LEN($A203)-LEN(SUBSTITUTE($A203," ",""))+1)</f>
        <v>5</v>
      </c>
      <c r="P203">
        <f>IF(D203="", "", COUNTIF($D$1:$D$2273, D203))</f>
        <v>176</v>
      </c>
    </row>
    <row r="204" spans="1:16" ht="80" hidden="1" x14ac:dyDescent="0.2">
      <c r="A204" s="8" t="s">
        <v>409</v>
      </c>
      <c r="C204" s="7" t="s">
        <v>4</v>
      </c>
      <c r="F204" s="7" t="str">
        <f>IF(OR(E204="Success",E204="Qualified Success"),"Current",IF(E204="Failure",IF(RIGHT(D204,6)="Future","Future",IF(RIGHT(D204,10)="Irrelevant","Irrelevant","Current")),""))</f>
        <v/>
      </c>
      <c r="G204" s="7" t="str">
        <f>IF(OR(ISBLANK(D204),D204="Unclassifiable &gt;"),"",IF(ISNUMBER(SEARCH("Utterance",D204)),"Utterance",IF(ISNUMBER(SEARCH("Response",D204)),"Response",IF(ISNUMBER(SEARCH("Interaction",D204)),"Interaction",IF(ISNUMBER(SEARCH("System",D204)),"System","")))))</f>
        <v/>
      </c>
      <c r="K204" s="7" t="s">
        <v>198</v>
      </c>
      <c r="L204" s="9">
        <v>45016</v>
      </c>
      <c r="M204" s="10">
        <v>0.34539351851851857</v>
      </c>
      <c r="N204" s="11">
        <v>513003370559734</v>
      </c>
      <c r="P204" t="str">
        <f>IF(D204="", "", COUNTIF($D$1:$D$2273, D204))</f>
        <v/>
      </c>
    </row>
    <row r="205" spans="1:16" ht="16" hidden="1" x14ac:dyDescent="0.2">
      <c r="A205" s="36" t="s">
        <v>36</v>
      </c>
      <c r="B205" s="7" t="s">
        <v>296</v>
      </c>
      <c r="C205" s="7" t="s">
        <v>2</v>
      </c>
      <c r="D205" s="7" t="s">
        <v>206</v>
      </c>
      <c r="E205" s="7" t="str">
        <f>IF(OR(D205="", D205="___"),"", LEFT(D205,FIND(" &gt;",D205)-1))</f>
        <v>Success</v>
      </c>
      <c r="F205" s="7" t="str">
        <f>IF(OR(E205="Success",E205="Qualified Success"),"Current",IF(E205="Failure",IF(RIGHT(D205,6)="Future","Future",IF(RIGHT(D205,10)="Irrelevant","Irrelevant","Current")),""))</f>
        <v>Current</v>
      </c>
      <c r="G205" s="7" t="str">
        <f>IF(OR(ISBLANK(D205),D205="Unclassifiable &gt;"),"",IF(ISNUMBER(SEARCH("Utterance",D205)),"Utterance",IF(ISNUMBER(SEARCH("Response",D205)),"Response",IF(ISNUMBER(SEARCH("Interaction",D205)),"Interaction",IF(ISNUMBER(SEARCH("System",D205)),"System","")))))</f>
        <v/>
      </c>
      <c r="H205" s="7" t="str">
        <f>IF(G205="Utterance", IF(ISNUMBER(SEARCH("Unrecognized",D205)), "Unrecognized", IF(ISNUMBER(SEARCH("Mismatched",D205)), "Mismatched", IF(ISNUMBER(SEARCH("False Positive",D205)), "False Positive", "Irrelevant"))), "")</f>
        <v/>
      </c>
      <c r="J205" s="7" t="s">
        <v>243</v>
      </c>
      <c r="K205" s="7" t="s">
        <v>198</v>
      </c>
      <c r="L205" s="9">
        <v>45016</v>
      </c>
      <c r="M205" s="10">
        <v>0.35603009259259261</v>
      </c>
      <c r="N205" s="11">
        <v>202000363393533</v>
      </c>
      <c r="O205" s="7">
        <f>IF(LEN(TRIM($A205))=0,0,LEN($A205)-LEN(SUBSTITUTE($A205," ",""))+1)</f>
        <v>3</v>
      </c>
      <c r="P205">
        <f>IF(D205="", "", COUNTIF($D$1:$D$2273, D205))</f>
        <v>176</v>
      </c>
    </row>
    <row r="206" spans="1:16" ht="32" hidden="1" x14ac:dyDescent="0.2">
      <c r="A206" s="8" t="s">
        <v>381</v>
      </c>
      <c r="C206" s="7" t="s">
        <v>4</v>
      </c>
      <c r="F206" s="7" t="str">
        <f>IF(OR(E206="Success",E206="Qualified Success"),"Current",IF(E206="Failure",IF(RIGHT(D206,6)="Future","Future",IF(RIGHT(D206,10)="Irrelevant","Irrelevant","Current")),""))</f>
        <v/>
      </c>
      <c r="G206" s="7" t="str">
        <f>IF(OR(ISBLANK(D206),D206="Unclassifiable &gt;"),"",IF(ISNUMBER(SEARCH("Utterance",D206)),"Utterance",IF(ISNUMBER(SEARCH("Response",D206)),"Response",IF(ISNUMBER(SEARCH("Interaction",D206)),"Interaction",IF(ISNUMBER(SEARCH("System",D206)),"System","")))))</f>
        <v/>
      </c>
      <c r="K206" s="7" t="s">
        <v>198</v>
      </c>
      <c r="L206" s="9">
        <v>45016</v>
      </c>
      <c r="M206" s="10">
        <v>0.35603009259259261</v>
      </c>
      <c r="N206" s="11">
        <v>202000363393533</v>
      </c>
      <c r="P206" t="str">
        <f>IF(D206="", "", COUNTIF($D$1:$D$2273, D206))</f>
        <v/>
      </c>
    </row>
    <row r="207" spans="1:16" ht="16" hidden="1" x14ac:dyDescent="0.2">
      <c r="A207" s="36" t="s">
        <v>21</v>
      </c>
      <c r="B207" s="7" t="s">
        <v>296</v>
      </c>
      <c r="C207" s="7" t="s">
        <v>2</v>
      </c>
      <c r="D207" s="7" t="s">
        <v>206</v>
      </c>
      <c r="E207" s="7" t="str">
        <f>IF(OR(D207="", D207="___"),"", LEFT(D207,FIND(" &gt;",D207)-1))</f>
        <v>Success</v>
      </c>
      <c r="F207" s="7" t="str">
        <f>IF(OR(E207="Success",E207="Qualified Success"),"Current",IF(E207="Failure",IF(RIGHT(D207,6)="Future","Future",IF(RIGHT(D207,10)="Irrelevant","Irrelevant","Current")),""))</f>
        <v>Current</v>
      </c>
      <c r="G207" s="7" t="str">
        <f>IF(OR(ISBLANK(D207),D207="Unclassifiable &gt;"),"",IF(ISNUMBER(SEARCH("Utterance",D207)),"Utterance",IF(ISNUMBER(SEARCH("Response",D207)),"Response",IF(ISNUMBER(SEARCH("Interaction",D207)),"Interaction",IF(ISNUMBER(SEARCH("System",D207)),"System","")))))</f>
        <v/>
      </c>
      <c r="H207" s="7" t="str">
        <f>IF(G207="Utterance", IF(ISNUMBER(SEARCH("Unrecognized",D207)), "Unrecognized", IF(ISNUMBER(SEARCH("Mismatched",D207)), "Mismatched", IF(ISNUMBER(SEARCH("False Positive",D207)), "False Positive", "Irrelevant"))), "")</f>
        <v/>
      </c>
      <c r="J207" s="7" t="s">
        <v>332</v>
      </c>
      <c r="K207" s="7" t="s">
        <v>198</v>
      </c>
      <c r="L207" s="9">
        <v>45016</v>
      </c>
      <c r="M207" s="10">
        <v>0.35618055555555556</v>
      </c>
      <c r="N207" s="11">
        <v>202000363393533</v>
      </c>
      <c r="O207" s="7">
        <f>IF(LEN(TRIM($A207))=0,0,LEN($A207)-LEN(SUBSTITUTE($A207," ",""))+1)</f>
        <v>4</v>
      </c>
      <c r="P207">
        <f>IF(D207="", "", COUNTIF($D$1:$D$2273, D207))</f>
        <v>176</v>
      </c>
    </row>
    <row r="208" spans="1:16" ht="48" hidden="1" x14ac:dyDescent="0.2">
      <c r="A208" s="8" t="s">
        <v>383</v>
      </c>
      <c r="C208" s="7" t="s">
        <v>4</v>
      </c>
      <c r="F208" s="7" t="str">
        <f>IF(OR(E208="Success",E208="Qualified Success"),"Current",IF(E208="Failure",IF(RIGHT(D208,6)="Future","Future",IF(RIGHT(D208,10)="Irrelevant","Irrelevant","Current")),""))</f>
        <v/>
      </c>
      <c r="G208" s="7" t="str">
        <f>IF(OR(ISBLANK(D208),D208="Unclassifiable &gt;"),"",IF(ISNUMBER(SEARCH("Utterance",D208)),"Utterance",IF(ISNUMBER(SEARCH("Response",D208)),"Response",IF(ISNUMBER(SEARCH("Interaction",D208)),"Interaction",IF(ISNUMBER(SEARCH("System",D208)),"System","")))))</f>
        <v/>
      </c>
      <c r="K208" s="7" t="s">
        <v>198</v>
      </c>
      <c r="L208" s="9">
        <v>45016</v>
      </c>
      <c r="M208" s="10">
        <v>0.35618055555555556</v>
      </c>
      <c r="N208" s="11">
        <v>202000363393533</v>
      </c>
      <c r="P208" t="str">
        <f>IF(D208="", "", COUNTIF($D$1:$D$2273, D208))</f>
        <v/>
      </c>
    </row>
    <row r="209" spans="1:16" ht="16" hidden="1" x14ac:dyDescent="0.2">
      <c r="A209" s="36" t="s">
        <v>168</v>
      </c>
      <c r="C209" s="7" t="s">
        <v>2</v>
      </c>
      <c r="D209" s="7" t="s">
        <v>206</v>
      </c>
      <c r="E209" s="7" t="str">
        <f>IF(OR(D209="", D209="___"),"", LEFT(D209,FIND(" &gt;",D209)-1))</f>
        <v>Success</v>
      </c>
      <c r="F209" s="7" t="str">
        <f>IF(OR(E209="Success",E209="Qualified Success"),"Current",IF(E209="Failure",IF(RIGHT(D209,6)="Future","Future",IF(RIGHT(D209,10)="Irrelevant","Irrelevant","Current")),""))</f>
        <v>Current</v>
      </c>
      <c r="G209" s="7" t="str">
        <f>IF(OR(ISBLANK(D209),D209="Unclassifiable &gt;"),"",IF(ISNUMBER(SEARCH("Utterance",D209)),"Utterance",IF(ISNUMBER(SEARCH("Response",D209)),"Response",IF(ISNUMBER(SEARCH("Interaction",D209)),"Interaction",IF(ISNUMBER(SEARCH("System",D209)),"System","")))))</f>
        <v/>
      </c>
      <c r="H209" s="7" t="str">
        <f>IF(G209="Utterance", IF(ISNUMBER(SEARCH("Unrecognized",D209)), "Unrecognized", IF(ISNUMBER(SEARCH("Mismatched",D209)), "Mismatched", IF(ISNUMBER(SEARCH("False Positive",D209)), "False Positive", "Irrelevant"))), "")</f>
        <v/>
      </c>
      <c r="J209" s="7" t="s">
        <v>333</v>
      </c>
      <c r="K209" s="7" t="s">
        <v>198</v>
      </c>
      <c r="L209" s="9">
        <v>45016</v>
      </c>
      <c r="M209" s="10">
        <v>0.3564930555555556</v>
      </c>
      <c r="N209" s="11">
        <v>513002466211425</v>
      </c>
      <c r="O209" s="7">
        <f>IF(LEN(TRIM($A209))=0,0,LEN($A209)-LEN(SUBSTITUTE($A209," ",""))+1)</f>
        <v>6</v>
      </c>
      <c r="P209">
        <f>IF(D209="", "", COUNTIF($D$1:$D$2273, D209))</f>
        <v>176</v>
      </c>
    </row>
    <row r="210" spans="1:16" ht="64" hidden="1" x14ac:dyDescent="0.2">
      <c r="A210" s="8" t="s">
        <v>422</v>
      </c>
      <c r="C210" s="7" t="s">
        <v>4</v>
      </c>
      <c r="F210" s="7" t="str">
        <f>IF(OR(E210="Success",E210="Qualified Success"),"Current",IF(E210="Failure",IF(RIGHT(D210,6)="Future","Future",IF(RIGHT(D210,10)="Irrelevant","Irrelevant","Current")),""))</f>
        <v/>
      </c>
      <c r="G210" s="7" t="str">
        <f>IF(OR(ISBLANK(D210),D210="Unclassifiable &gt;"),"",IF(ISNUMBER(SEARCH("Utterance",D210)),"Utterance",IF(ISNUMBER(SEARCH("Response",D210)),"Response",IF(ISNUMBER(SEARCH("Interaction",D210)),"Interaction",IF(ISNUMBER(SEARCH("System",D210)),"System","")))))</f>
        <v/>
      </c>
      <c r="K210" s="7" t="s">
        <v>198</v>
      </c>
      <c r="L210" s="9">
        <v>45016</v>
      </c>
      <c r="M210" s="10">
        <v>0.35674768518518518</v>
      </c>
      <c r="N210" s="11">
        <v>513002466211425</v>
      </c>
      <c r="P210" t="str">
        <f>IF(D210="", "", COUNTIF($D$1:$D$2273, D210))</f>
        <v/>
      </c>
    </row>
    <row r="211" spans="1:16" ht="16" hidden="1" x14ac:dyDescent="0.2">
      <c r="A211" s="36" t="s">
        <v>111</v>
      </c>
      <c r="B211" s="7" t="s">
        <v>299</v>
      </c>
      <c r="C211" s="7" t="s">
        <v>2</v>
      </c>
      <c r="D211" s="7" t="s">
        <v>206</v>
      </c>
      <c r="E211" s="7" t="str">
        <f>IF(OR(D211="", D211="___"),"", LEFT(D211,FIND(" &gt;",D211)-1))</f>
        <v>Success</v>
      </c>
      <c r="F211" s="7" t="str">
        <f>IF(OR(E211="Success",E211="Qualified Success"),"Current",IF(E211="Failure",IF(RIGHT(D211,6)="Future","Future",IF(RIGHT(D211,10)="Irrelevant","Irrelevant","Current")),""))</f>
        <v>Current</v>
      </c>
      <c r="G211" s="7" t="str">
        <f>IF(OR(ISBLANK(D211),D211="Unclassifiable &gt;"),"",IF(ISNUMBER(SEARCH("Utterance",D211)),"Utterance",IF(ISNUMBER(SEARCH("Response",D211)),"Response",IF(ISNUMBER(SEARCH("Interaction",D211)),"Interaction",IF(ISNUMBER(SEARCH("System",D211)),"System","")))))</f>
        <v/>
      </c>
      <c r="H211" s="7" t="str">
        <f>IF(G211="Utterance", IF(ISNUMBER(SEARCH("Unrecognized",D211)), "Unrecognized", IF(ISNUMBER(SEARCH("Mismatched",D211)), "Mismatched", IF(ISNUMBER(SEARCH("False Positive",D211)), "False Positive", "Irrelevant"))), "")</f>
        <v/>
      </c>
      <c r="J211" s="7" t="s">
        <v>329</v>
      </c>
      <c r="K211" s="7" t="s">
        <v>198</v>
      </c>
      <c r="L211" s="9">
        <v>45016</v>
      </c>
      <c r="M211" s="10">
        <v>0.35798611111111112</v>
      </c>
      <c r="N211" s="11">
        <v>204440003509379</v>
      </c>
      <c r="O211" s="7">
        <f>IF(LEN(TRIM($A211))=0,0,LEN($A211)-LEN(SUBSTITUTE($A211," ",""))+1)</f>
        <v>4</v>
      </c>
      <c r="P211">
        <f>IF(D211="", "", COUNTIF($D$1:$D$2273, D211))</f>
        <v>176</v>
      </c>
    </row>
    <row r="212" spans="1:16" ht="96" hidden="1" x14ac:dyDescent="0.2">
      <c r="A212" s="8" t="s">
        <v>394</v>
      </c>
      <c r="C212" s="7" t="s">
        <v>4</v>
      </c>
      <c r="F212" s="7" t="str">
        <f>IF(OR(E212="Success",E212="Qualified Success"),"Current",IF(E212="Failure",IF(RIGHT(D212,6)="Future","Future",IF(RIGHT(D212,10)="Irrelevant","Irrelevant","Current")),""))</f>
        <v/>
      </c>
      <c r="G212" s="7" t="str">
        <f>IF(OR(ISBLANK(D212),D212="Unclassifiable &gt;"),"",IF(ISNUMBER(SEARCH("Utterance",D212)),"Utterance",IF(ISNUMBER(SEARCH("Response",D212)),"Response",IF(ISNUMBER(SEARCH("Interaction",D212)),"Interaction",IF(ISNUMBER(SEARCH("System",D212)),"System","")))))</f>
        <v/>
      </c>
      <c r="K212" s="7" t="s">
        <v>198</v>
      </c>
      <c r="L212" s="9">
        <v>45016</v>
      </c>
      <c r="M212" s="10">
        <v>0.35799768518518515</v>
      </c>
      <c r="N212" s="11">
        <v>204440003509379</v>
      </c>
      <c r="P212" t="str">
        <f>IF(D212="", "", COUNTIF($D$1:$D$2273, D212))</f>
        <v/>
      </c>
    </row>
    <row r="213" spans="1:16" ht="16" hidden="1" x14ac:dyDescent="0.2">
      <c r="A213" s="36" t="s">
        <v>91</v>
      </c>
      <c r="C213" s="7" t="s">
        <v>2</v>
      </c>
      <c r="D213" s="7" t="s">
        <v>206</v>
      </c>
      <c r="E213" s="7" t="str">
        <f>IF(OR(D213="", D213="___"),"", LEFT(D213,FIND(" &gt;",D213)-1))</f>
        <v>Success</v>
      </c>
      <c r="F213" s="7" t="str">
        <f>IF(OR(E213="Success",E213="Qualified Success"),"Current",IF(E213="Failure",IF(RIGHT(D213,6)="Future","Future",IF(RIGHT(D213,10)="Irrelevant","Irrelevant","Current")),""))</f>
        <v>Current</v>
      </c>
      <c r="G213" s="7" t="str">
        <f>IF(OR(ISBLANK(D213),D213="Unclassifiable &gt;"),"",IF(ISNUMBER(SEARCH("Utterance",D213)),"Utterance",IF(ISNUMBER(SEARCH("Response",D213)),"Response",IF(ISNUMBER(SEARCH("Interaction",D213)),"Interaction",IF(ISNUMBER(SEARCH("System",D213)),"System","")))))</f>
        <v/>
      </c>
      <c r="H213" s="7" t="str">
        <f>IF(G213="Utterance", IF(ISNUMBER(SEARCH("Unrecognized",D213)), "Unrecognized", IF(ISNUMBER(SEARCH("Mismatched",D213)), "Mismatched", IF(ISNUMBER(SEARCH("False Positive",D213)), "False Positive", "Irrelevant"))), "")</f>
        <v/>
      </c>
      <c r="J213" s="7" t="s">
        <v>335</v>
      </c>
      <c r="K213" s="7" t="s">
        <v>198</v>
      </c>
      <c r="L213" s="9">
        <v>45016</v>
      </c>
      <c r="M213" s="10">
        <v>0.35934027777777783</v>
      </c>
      <c r="N213" s="11">
        <v>204440003503936</v>
      </c>
      <c r="O213" s="7">
        <f>IF(LEN(TRIM($A213))=0,0,LEN($A213)-LEN(SUBSTITUTE($A213," ",""))+1)</f>
        <v>7</v>
      </c>
      <c r="P213">
        <f>IF(D213="", "", COUNTIF($D$1:$D$2273, D213))</f>
        <v>176</v>
      </c>
    </row>
    <row r="214" spans="1:16" ht="144" hidden="1" x14ac:dyDescent="0.2">
      <c r="A214" s="8" t="s">
        <v>385</v>
      </c>
      <c r="C214" s="7" t="s">
        <v>4</v>
      </c>
      <c r="F214" s="7" t="str">
        <f>IF(OR(E214="Success",E214="Qualified Success"),"Current",IF(E214="Failure",IF(RIGHT(D214,6)="Future","Future",IF(RIGHT(D214,10)="Irrelevant","Irrelevant","Current")),""))</f>
        <v/>
      </c>
      <c r="G214" s="7" t="str">
        <f>IF(OR(ISBLANK(D214),D214="Unclassifiable &gt;"),"",IF(ISNUMBER(SEARCH("Utterance",D214)),"Utterance",IF(ISNUMBER(SEARCH("Response",D214)),"Response",IF(ISNUMBER(SEARCH("Interaction",D214)),"Interaction",IF(ISNUMBER(SEARCH("System",D214)),"System","")))))</f>
        <v/>
      </c>
      <c r="K214" s="7" t="s">
        <v>198</v>
      </c>
      <c r="L214" s="9">
        <v>45016</v>
      </c>
      <c r="M214" s="10">
        <v>0.35935185185185187</v>
      </c>
      <c r="N214" s="11">
        <v>204440003503936</v>
      </c>
      <c r="P214" t="str">
        <f>IF(D214="", "", COUNTIF($D$1:$D$2273, D214))</f>
        <v/>
      </c>
    </row>
    <row r="215" spans="1:16" ht="16" hidden="1" x14ac:dyDescent="0.2">
      <c r="A215" s="36" t="s">
        <v>31</v>
      </c>
      <c r="C215" s="7" t="s">
        <v>2</v>
      </c>
      <c r="D215" s="7" t="s">
        <v>206</v>
      </c>
      <c r="E215" s="7" t="str">
        <f>IF(OR(D215="", D215="___"),"", LEFT(D215,FIND(" &gt;",D215)-1))</f>
        <v>Success</v>
      </c>
      <c r="F215" s="7" t="str">
        <f>IF(OR(E215="Success",E215="Qualified Success"),"Current",IF(E215="Failure",IF(RIGHT(D215,6)="Future","Future",IF(RIGHT(D215,10)="Irrelevant","Irrelevant","Current")),""))</f>
        <v>Current</v>
      </c>
      <c r="G215" s="7" t="str">
        <f>IF(OR(ISBLANK(D215),D215="Unclassifiable &gt;"),"",IF(ISNUMBER(SEARCH("Utterance",D215)),"Utterance",IF(ISNUMBER(SEARCH("Response",D215)),"Response",IF(ISNUMBER(SEARCH("Interaction",D215)),"Interaction",IF(ISNUMBER(SEARCH("System",D215)),"System","")))))</f>
        <v/>
      </c>
      <c r="H215" s="7" t="str">
        <f>IF(G215="Utterance", IF(ISNUMBER(SEARCH("Unrecognized",D215)), "Unrecognized", IF(ISNUMBER(SEARCH("Mismatched",D215)), "Mismatched", IF(ISNUMBER(SEARCH("False Positive",D215)), "False Positive", "Irrelevant"))), "")</f>
        <v/>
      </c>
      <c r="J215" s="7" t="s">
        <v>329</v>
      </c>
      <c r="K215" s="7" t="s">
        <v>198</v>
      </c>
      <c r="L215" s="9">
        <v>45016</v>
      </c>
      <c r="M215" s="10">
        <v>0.35936342592592596</v>
      </c>
      <c r="N215" s="11">
        <v>204440003509379</v>
      </c>
      <c r="O215" s="7">
        <f>IF(LEN(TRIM($A215))=0,0,LEN($A215)-LEN(SUBSTITUTE($A215," ",""))+1)</f>
        <v>2</v>
      </c>
      <c r="P215">
        <f>IF(D215="", "", COUNTIF($D$1:$D$2273, D215))</f>
        <v>176</v>
      </c>
    </row>
    <row r="216" spans="1:16" ht="80" hidden="1" x14ac:dyDescent="0.2">
      <c r="A216" s="8" t="s">
        <v>377</v>
      </c>
      <c r="C216" s="7" t="s">
        <v>4</v>
      </c>
      <c r="F216" s="7" t="str">
        <f>IF(OR(E216="Success",E216="Qualified Success"),"Current",IF(E216="Failure",IF(RIGHT(D216,6)="Future","Future",IF(RIGHT(D216,10)="Irrelevant","Irrelevant","Current")),""))</f>
        <v/>
      </c>
      <c r="G216" s="7" t="str">
        <f>IF(OR(ISBLANK(D216),D216="Unclassifiable &gt;"),"",IF(ISNUMBER(SEARCH("Utterance",D216)),"Utterance",IF(ISNUMBER(SEARCH("Response",D216)),"Response",IF(ISNUMBER(SEARCH("Interaction",D216)),"Interaction",IF(ISNUMBER(SEARCH("System",D216)),"System","")))))</f>
        <v/>
      </c>
      <c r="K216" s="7" t="s">
        <v>198</v>
      </c>
      <c r="L216" s="9">
        <v>45016</v>
      </c>
      <c r="M216" s="10">
        <v>0.35936342592592596</v>
      </c>
      <c r="N216" s="11">
        <v>204440003509379</v>
      </c>
      <c r="P216" t="str">
        <f>IF(D216="", "", COUNTIF($D$1:$D$2273, D216))</f>
        <v/>
      </c>
    </row>
    <row r="217" spans="1:16" ht="16" hidden="1" x14ac:dyDescent="0.2">
      <c r="A217" s="36" t="s">
        <v>374</v>
      </c>
      <c r="C217" s="7" t="s">
        <v>2</v>
      </c>
      <c r="D217" s="7" t="s">
        <v>206</v>
      </c>
      <c r="E217" s="7" t="str">
        <f>IF(OR(D217="", D217="___"),"", LEFT(D217,FIND(" &gt;",D217)-1))</f>
        <v>Success</v>
      </c>
      <c r="F217" s="7" t="str">
        <f>IF(OR(E217="Success",E217="Qualified Success"),"Current",IF(E217="Failure",IF(RIGHT(D217,6)="Future","Future",IF(RIGHT(D217,10)="Irrelevant","Irrelevant","Current")),""))</f>
        <v>Current</v>
      </c>
      <c r="G217" s="7" t="str">
        <f>IF(OR(ISBLANK(D217),D217="Unclassifiable &gt;"),"",IF(ISNUMBER(SEARCH("Utterance",D217)),"Utterance",IF(ISNUMBER(SEARCH("Response",D217)),"Response",IF(ISNUMBER(SEARCH("Interaction",D217)),"Interaction",IF(ISNUMBER(SEARCH("System",D217)),"System","")))))</f>
        <v/>
      </c>
      <c r="H217" s="7" t="str">
        <f>IF(G217="Utterance", IF(ISNUMBER(SEARCH("Unrecognized",D217)), "Unrecognized", IF(ISNUMBER(SEARCH("Mismatched",D217)), "Mismatched", IF(ISNUMBER(SEARCH("False Positive",D217)), "False Positive", "Irrelevant"))), "")</f>
        <v/>
      </c>
      <c r="J217" s="7" t="s">
        <v>334</v>
      </c>
      <c r="K217" s="7" t="s">
        <v>198</v>
      </c>
      <c r="L217" s="9">
        <v>45016</v>
      </c>
      <c r="M217" s="10">
        <v>0.36024305555555558</v>
      </c>
      <c r="N217" s="11">
        <v>202000557992513</v>
      </c>
      <c r="O217" s="7">
        <f>IF(LEN(TRIM($A217))=0,0,LEN($A217)-LEN(SUBSTITUTE($A217," ",""))+1)</f>
        <v>13</v>
      </c>
      <c r="P217">
        <f>IF(D217="", "", COUNTIF($D$1:$D$2273, D217))</f>
        <v>176</v>
      </c>
    </row>
    <row r="218" spans="1:16" ht="64" hidden="1" x14ac:dyDescent="0.2">
      <c r="A218" s="8" t="s">
        <v>419</v>
      </c>
      <c r="C218" s="7" t="s">
        <v>4</v>
      </c>
      <c r="F218" s="7" t="str">
        <f>IF(OR(E218="Success",E218="Qualified Success"),"Current",IF(E218="Failure",IF(RIGHT(D218,6)="Future","Future",IF(RIGHT(D218,10)="Irrelevant","Irrelevant","Current")),""))</f>
        <v/>
      </c>
      <c r="G218" s="7" t="str">
        <f>IF(OR(ISBLANK(D218),D218="Unclassifiable &gt;"),"",IF(ISNUMBER(SEARCH("Utterance",D218)),"Utterance",IF(ISNUMBER(SEARCH("Response",D218)),"Response",IF(ISNUMBER(SEARCH("Interaction",D218)),"Interaction",IF(ISNUMBER(SEARCH("System",D218)),"System","")))))</f>
        <v/>
      </c>
      <c r="K218" s="7" t="s">
        <v>198</v>
      </c>
      <c r="L218" s="9">
        <v>45016</v>
      </c>
      <c r="M218" s="10">
        <v>0.36024305555555558</v>
      </c>
      <c r="N218" s="11">
        <v>202000557992513</v>
      </c>
      <c r="P218" t="str">
        <f>IF(D218="", "", COUNTIF($D$1:$D$2273, D218))</f>
        <v/>
      </c>
    </row>
    <row r="219" spans="1:16" ht="16" hidden="1" x14ac:dyDescent="0.2">
      <c r="A219" s="36" t="s">
        <v>60</v>
      </c>
      <c r="C219" s="7" t="s">
        <v>2</v>
      </c>
      <c r="D219" s="7" t="s">
        <v>206</v>
      </c>
      <c r="E219" s="7" t="str">
        <f>IF(OR(D219="", D219="___"),"", LEFT(D219,FIND(" &gt;",D219)-1))</f>
        <v>Success</v>
      </c>
      <c r="F219" s="7" t="str">
        <f>IF(OR(E219="Success",E219="Qualified Success"),"Current",IF(E219="Failure",IF(RIGHT(D219,6)="Future","Future",IF(RIGHT(D219,10)="Irrelevant","Irrelevant","Current")),""))</f>
        <v>Current</v>
      </c>
      <c r="G219" s="7" t="str">
        <f>IF(OR(ISBLANK(D219),D219="Unclassifiable &gt;"),"",IF(ISNUMBER(SEARCH("Utterance",D219)),"Utterance",IF(ISNUMBER(SEARCH("Response",D219)),"Response",IF(ISNUMBER(SEARCH("Interaction",D219)),"Interaction",IF(ISNUMBER(SEARCH("System",D219)),"System","")))))</f>
        <v/>
      </c>
      <c r="H219" s="7" t="str">
        <f>IF(G219="Utterance", IF(ISNUMBER(SEARCH("Unrecognized",D219)), "Unrecognized", IF(ISNUMBER(SEARCH("Mismatched",D219)), "Mismatched", IF(ISNUMBER(SEARCH("False Positive",D219)), "False Positive", "Irrelevant"))), "")</f>
        <v/>
      </c>
      <c r="J219" s="7" t="s">
        <v>329</v>
      </c>
      <c r="K219" s="7" t="s">
        <v>198</v>
      </c>
      <c r="L219" s="9">
        <v>45016</v>
      </c>
      <c r="M219" s="10">
        <v>0.3605902777777778</v>
      </c>
      <c r="N219" s="11">
        <v>204440003491685</v>
      </c>
      <c r="O219" s="7">
        <f>IF(LEN(TRIM($A219))=0,0,LEN($A219)-LEN(SUBSTITUTE($A219," ",""))+1)</f>
        <v>10</v>
      </c>
      <c r="P219">
        <f>IF(D219="", "", COUNTIF($D$1:$D$2273, D219))</f>
        <v>176</v>
      </c>
    </row>
    <row r="220" spans="1:16" ht="64" hidden="1" x14ac:dyDescent="0.2">
      <c r="A220" s="8" t="s">
        <v>425</v>
      </c>
      <c r="C220" s="7" t="s">
        <v>4</v>
      </c>
      <c r="F220" s="7" t="str">
        <f>IF(OR(E220="Success",E220="Qualified Success"),"Current",IF(E220="Failure",IF(RIGHT(D220,6)="Future","Future",IF(RIGHT(D220,10)="Irrelevant","Irrelevant","Current")),""))</f>
        <v/>
      </c>
      <c r="G220" s="7" t="str">
        <f>IF(OR(ISBLANK(D220),D220="Unclassifiable &gt;"),"",IF(ISNUMBER(SEARCH("Utterance",D220)),"Utterance",IF(ISNUMBER(SEARCH("Response",D220)),"Response",IF(ISNUMBER(SEARCH("Interaction",D220)),"Interaction",IF(ISNUMBER(SEARCH("System",D220)),"System","")))))</f>
        <v/>
      </c>
      <c r="K220" s="7" t="s">
        <v>198</v>
      </c>
      <c r="L220" s="9">
        <v>45016</v>
      </c>
      <c r="M220" s="10">
        <v>0.3605902777777778</v>
      </c>
      <c r="N220" s="11">
        <v>204440003491685</v>
      </c>
      <c r="P220" t="str">
        <f>IF(D220="", "", COUNTIF($D$1:$D$2273, D220))</f>
        <v/>
      </c>
    </row>
    <row r="221" spans="1:16" ht="16" hidden="1" x14ac:dyDescent="0.2">
      <c r="A221" s="36" t="s">
        <v>21</v>
      </c>
      <c r="B221" s="7" t="s">
        <v>296</v>
      </c>
      <c r="C221" s="7" t="s">
        <v>2</v>
      </c>
      <c r="D221" s="7" t="s">
        <v>206</v>
      </c>
      <c r="E221" s="7" t="str">
        <f>IF(OR(D221="", D221="___"),"", LEFT(D221,FIND(" &gt;",D221)-1))</f>
        <v>Success</v>
      </c>
      <c r="F221" s="7" t="str">
        <f>IF(OR(E221="Success",E221="Qualified Success"),"Current",IF(E221="Failure",IF(RIGHT(D221,6)="Future","Future",IF(RIGHT(D221,10)="Irrelevant","Irrelevant","Current")),""))</f>
        <v>Current</v>
      </c>
      <c r="G221" s="7" t="str">
        <f>IF(OR(ISBLANK(D221),D221="Unclassifiable &gt;"),"",IF(ISNUMBER(SEARCH("Utterance",D221)),"Utterance",IF(ISNUMBER(SEARCH("Response",D221)),"Response",IF(ISNUMBER(SEARCH("Interaction",D221)),"Interaction",IF(ISNUMBER(SEARCH("System",D221)),"System","")))))</f>
        <v/>
      </c>
      <c r="H221" s="7" t="str">
        <f>IF(G221="Utterance", IF(ISNUMBER(SEARCH("Unrecognized",D221)), "Unrecognized", IF(ISNUMBER(SEARCH("Mismatched",D221)), "Mismatched", IF(ISNUMBER(SEARCH("False Positive",D221)), "False Positive", "Irrelevant"))), "")</f>
        <v/>
      </c>
      <c r="J221" s="7" t="s">
        <v>332</v>
      </c>
      <c r="K221" s="7" t="s">
        <v>198</v>
      </c>
      <c r="L221" s="9">
        <v>45016</v>
      </c>
      <c r="M221" s="10">
        <v>0.36065972222222226</v>
      </c>
      <c r="N221" s="11">
        <v>202000274865941</v>
      </c>
      <c r="O221" s="7">
        <f>IF(LEN(TRIM($A221))=0,0,LEN($A221)-LEN(SUBSTITUTE($A221," ",""))+1)</f>
        <v>4</v>
      </c>
      <c r="P221">
        <f>IF(D221="", "", COUNTIF($D$1:$D$2273, D221))</f>
        <v>176</v>
      </c>
    </row>
    <row r="222" spans="1:16" ht="48" hidden="1" x14ac:dyDescent="0.2">
      <c r="A222" s="8" t="s">
        <v>383</v>
      </c>
      <c r="C222" s="7" t="s">
        <v>4</v>
      </c>
      <c r="F222" s="7" t="str">
        <f>IF(OR(E222="Success",E222="Qualified Success"),"Current",IF(E222="Failure",IF(RIGHT(D222,6)="Future","Future",IF(RIGHT(D222,10)="Irrelevant","Irrelevant","Current")),""))</f>
        <v/>
      </c>
      <c r="G222" s="7" t="str">
        <f>IF(OR(ISBLANK(D222),D222="Unclassifiable &gt;"),"",IF(ISNUMBER(SEARCH("Utterance",D222)),"Utterance",IF(ISNUMBER(SEARCH("Response",D222)),"Response",IF(ISNUMBER(SEARCH("Interaction",D222)),"Interaction",IF(ISNUMBER(SEARCH("System",D222)),"System","")))))</f>
        <v/>
      </c>
      <c r="K222" s="7" t="s">
        <v>198</v>
      </c>
      <c r="L222" s="9">
        <v>45016</v>
      </c>
      <c r="M222" s="10">
        <v>0.36065972222222226</v>
      </c>
      <c r="N222" s="11">
        <v>202000274865941</v>
      </c>
      <c r="P222" t="str">
        <f>IF(D222="", "", COUNTIF($D$1:$D$2273, D222))</f>
        <v/>
      </c>
    </row>
    <row r="223" spans="1:16" ht="16" hidden="1" x14ac:dyDescent="0.2">
      <c r="A223" s="36" t="s">
        <v>56</v>
      </c>
      <c r="C223" s="7" t="s">
        <v>2</v>
      </c>
      <c r="D223" s="7" t="s">
        <v>206</v>
      </c>
      <c r="E223" s="7" t="str">
        <f>IF(OR(D223="", D223="___"),"", LEFT(D223,FIND(" &gt;",D223)-1))</f>
        <v>Success</v>
      </c>
      <c r="F223" s="7" t="str">
        <f>IF(OR(E223="Success",E223="Qualified Success"),"Current",IF(E223="Failure",IF(RIGHT(D223,6)="Future","Future",IF(RIGHT(D223,10)="Irrelevant","Irrelevant","Current")),""))</f>
        <v>Current</v>
      </c>
      <c r="G223" s="7" t="str">
        <f>IF(OR(ISBLANK(D223),D223="Unclassifiable &gt;"),"",IF(ISNUMBER(SEARCH("Utterance",D223)),"Utterance",IF(ISNUMBER(SEARCH("Response",D223)),"Response",IF(ISNUMBER(SEARCH("Interaction",D223)),"Interaction",IF(ISNUMBER(SEARCH("System",D223)),"System","")))))</f>
        <v/>
      </c>
      <c r="H223" s="7" t="str">
        <f>IF(G223="Utterance", IF(ISNUMBER(SEARCH("Unrecognized",D223)), "Unrecognized", IF(ISNUMBER(SEARCH("Mismatched",D223)), "Mismatched", IF(ISNUMBER(SEARCH("False Positive",D223)), "False Positive", "Irrelevant"))), "")</f>
        <v/>
      </c>
      <c r="J223" s="7" t="s">
        <v>329</v>
      </c>
      <c r="K223" s="7" t="s">
        <v>198</v>
      </c>
      <c r="L223" s="9">
        <v>45016</v>
      </c>
      <c r="M223" s="10">
        <v>0.36202546296296295</v>
      </c>
      <c r="N223" s="11">
        <v>204440003491182</v>
      </c>
      <c r="O223" s="7">
        <f>IF(LEN(TRIM($A223))=0,0,LEN($A223)-LEN(SUBSTITUTE($A223," ",""))+1)</f>
        <v>6</v>
      </c>
      <c r="P223">
        <f>IF(D223="", "", COUNTIF($D$1:$D$2273, D223))</f>
        <v>176</v>
      </c>
    </row>
    <row r="224" spans="1:16" ht="96" hidden="1" x14ac:dyDescent="0.2">
      <c r="A224" s="8" t="s">
        <v>394</v>
      </c>
      <c r="C224" s="7" t="s">
        <v>4</v>
      </c>
      <c r="F224" s="7" t="str">
        <f>IF(OR(E224="Success",E224="Qualified Success"),"Current",IF(E224="Failure",IF(RIGHT(D224,6)="Future","Future",IF(RIGHT(D224,10)="Irrelevant","Irrelevant","Current")),""))</f>
        <v/>
      </c>
      <c r="G224" s="7" t="str">
        <f>IF(OR(ISBLANK(D224),D224="Unclassifiable &gt;"),"",IF(ISNUMBER(SEARCH("Utterance",D224)),"Utterance",IF(ISNUMBER(SEARCH("Response",D224)),"Response",IF(ISNUMBER(SEARCH("Interaction",D224)),"Interaction",IF(ISNUMBER(SEARCH("System",D224)),"System","")))))</f>
        <v/>
      </c>
      <c r="K224" s="7" t="s">
        <v>198</v>
      </c>
      <c r="L224" s="9">
        <v>45016</v>
      </c>
      <c r="M224" s="10">
        <v>0.36203703703703699</v>
      </c>
      <c r="N224" s="11">
        <v>204440003491182</v>
      </c>
      <c r="P224" t="str">
        <f>IF(D224="", "", COUNTIF($D$1:$D$2273, D224))</f>
        <v/>
      </c>
    </row>
    <row r="225" spans="1:16" ht="48" hidden="1" x14ac:dyDescent="0.2">
      <c r="A225" s="36" t="s">
        <v>131</v>
      </c>
      <c r="C225" s="7" t="s">
        <v>2</v>
      </c>
      <c r="D225" s="7" t="s">
        <v>206</v>
      </c>
      <c r="E225" s="7" t="str">
        <f>IF(OR(D225="", D225="___"),"", LEFT(D225,FIND(" &gt;",D225)-1))</f>
        <v>Success</v>
      </c>
      <c r="F225" s="7" t="str">
        <f>IF(OR(E225="Success",E225="Qualified Success"),"Current",IF(E225="Failure",IF(RIGHT(D225,6)="Future","Future",IF(RIGHT(D225,10)="Irrelevant","Irrelevant","Current")),""))</f>
        <v>Current</v>
      </c>
      <c r="G225" s="7" t="str">
        <f>IF(OR(ISBLANK(D225),D225="Unclassifiable &gt;"),"",IF(ISNUMBER(SEARCH("Utterance",D225)),"Utterance",IF(ISNUMBER(SEARCH("Response",D225)),"Response",IF(ISNUMBER(SEARCH("Interaction",D225)),"Interaction",IF(ISNUMBER(SEARCH("System",D225)),"System","")))))</f>
        <v/>
      </c>
      <c r="H225" s="7" t="str">
        <f>IF(G225="Utterance", IF(ISNUMBER(SEARCH("Unrecognized",D225)), "Unrecognized", IF(ISNUMBER(SEARCH("Mismatched",D225)), "Mismatched", IF(ISNUMBER(SEARCH("False Positive",D225)), "False Positive", "Irrelevant"))), "")</f>
        <v/>
      </c>
      <c r="J225" s="7" t="s">
        <v>339</v>
      </c>
      <c r="K225" s="7" t="s">
        <v>198</v>
      </c>
      <c r="L225" s="9">
        <v>45016</v>
      </c>
      <c r="M225" s="10">
        <v>0.36297453703703703</v>
      </c>
      <c r="N225" s="11">
        <v>202000274865941</v>
      </c>
      <c r="O225" s="7">
        <f>IF(LEN(TRIM($A225))=0,0,LEN($A225)-LEN(SUBSTITUTE($A225," ",""))+1)</f>
        <v>78</v>
      </c>
      <c r="P225">
        <f>IF(D225="", "", COUNTIF($D$1:$D$2273, D225))</f>
        <v>176</v>
      </c>
    </row>
    <row r="226" spans="1:16" ht="64" hidden="1" x14ac:dyDescent="0.2">
      <c r="A226" s="8" t="s">
        <v>419</v>
      </c>
      <c r="C226" s="7" t="s">
        <v>4</v>
      </c>
      <c r="F226" s="7" t="str">
        <f>IF(OR(E226="Success",E226="Qualified Success"),"Current",IF(E226="Failure",IF(RIGHT(D226,6)="Future","Future",IF(RIGHT(D226,10)="Irrelevant","Irrelevant","Current")),""))</f>
        <v/>
      </c>
      <c r="G226" s="7" t="str">
        <f>IF(OR(ISBLANK(D226),D226="Unclassifiable &gt;"),"",IF(ISNUMBER(SEARCH("Utterance",D226)),"Utterance",IF(ISNUMBER(SEARCH("Response",D226)),"Response",IF(ISNUMBER(SEARCH("Interaction",D226)),"Interaction",IF(ISNUMBER(SEARCH("System",D226)),"System","")))))</f>
        <v/>
      </c>
      <c r="K226" s="7" t="s">
        <v>198</v>
      </c>
      <c r="L226" s="9">
        <v>45016</v>
      </c>
      <c r="M226" s="10">
        <v>0.36298611111111106</v>
      </c>
      <c r="N226" s="11">
        <v>202000274865941</v>
      </c>
      <c r="P226" t="str">
        <f>IF(D226="", "", COUNTIF($D$1:$D$2273, D226))</f>
        <v/>
      </c>
    </row>
    <row r="227" spans="1:16" ht="16" hidden="1" x14ac:dyDescent="0.2">
      <c r="A227" s="36" t="s">
        <v>21</v>
      </c>
      <c r="B227" s="7" t="s">
        <v>296</v>
      </c>
      <c r="C227" s="7" t="s">
        <v>2</v>
      </c>
      <c r="D227" s="7" t="s">
        <v>206</v>
      </c>
      <c r="E227" s="7" t="str">
        <f>IF(OR(D227="", D227="___"),"", LEFT(D227,FIND(" &gt;",D227)-1))</f>
        <v>Success</v>
      </c>
      <c r="F227" s="7" t="str">
        <f>IF(OR(E227="Success",E227="Qualified Success"),"Current",IF(E227="Failure",IF(RIGHT(D227,6)="Future","Future",IF(RIGHT(D227,10)="Irrelevant","Irrelevant","Current")),""))</f>
        <v>Current</v>
      </c>
      <c r="G227" s="7" t="str">
        <f>IF(OR(ISBLANK(D227),D227="Unclassifiable &gt;"),"",IF(ISNUMBER(SEARCH("Utterance",D227)),"Utterance",IF(ISNUMBER(SEARCH("Response",D227)),"Response",IF(ISNUMBER(SEARCH("Interaction",D227)),"Interaction",IF(ISNUMBER(SEARCH("System",D227)),"System","")))))</f>
        <v/>
      </c>
      <c r="H227" s="7" t="str">
        <f>IF(G227="Utterance", IF(ISNUMBER(SEARCH("Unrecognized",D227)), "Unrecognized", IF(ISNUMBER(SEARCH("Mismatched",D227)), "Mismatched", IF(ISNUMBER(SEARCH("False Positive",D227)), "False Positive", "Irrelevant"))), "")</f>
        <v/>
      </c>
      <c r="J227" s="7" t="s">
        <v>332</v>
      </c>
      <c r="K227" s="7" t="s">
        <v>198</v>
      </c>
      <c r="L227" s="9">
        <v>45016</v>
      </c>
      <c r="M227" s="10">
        <v>0.36435185185185182</v>
      </c>
      <c r="N227" s="11">
        <v>204440003506582</v>
      </c>
      <c r="O227" s="7">
        <f>IF(LEN(TRIM($A227))=0,0,LEN($A227)-LEN(SUBSTITUTE($A227," ",""))+1)</f>
        <v>4</v>
      </c>
      <c r="P227">
        <f>IF(D227="", "", COUNTIF($D$1:$D$2273, D227))</f>
        <v>176</v>
      </c>
    </row>
    <row r="228" spans="1:16" ht="48" hidden="1" x14ac:dyDescent="0.2">
      <c r="A228" s="8" t="s">
        <v>383</v>
      </c>
      <c r="C228" s="7" t="s">
        <v>4</v>
      </c>
      <c r="F228" s="7" t="str">
        <f>IF(OR(E228="Success",E228="Qualified Success"),"Current",IF(E228="Failure",IF(RIGHT(D228,6)="Future","Future",IF(RIGHT(D228,10)="Irrelevant","Irrelevant","Current")),""))</f>
        <v/>
      </c>
      <c r="G228" s="7" t="str">
        <f>IF(OR(ISBLANK(D228),D228="Unclassifiable &gt;"),"",IF(ISNUMBER(SEARCH("Utterance",D228)),"Utterance",IF(ISNUMBER(SEARCH("Response",D228)),"Response",IF(ISNUMBER(SEARCH("Interaction",D228)),"Interaction",IF(ISNUMBER(SEARCH("System",D228)),"System","")))))</f>
        <v/>
      </c>
      <c r="K228" s="7" t="s">
        <v>198</v>
      </c>
      <c r="L228" s="9">
        <v>45016</v>
      </c>
      <c r="M228" s="10">
        <v>0.36435185185185182</v>
      </c>
      <c r="N228" s="11">
        <v>204440003506582</v>
      </c>
      <c r="P228" t="str">
        <f>IF(D228="", "", COUNTIF($D$1:$D$2273, D228))</f>
        <v/>
      </c>
    </row>
    <row r="229" spans="1:16" ht="16" hidden="1" x14ac:dyDescent="0.2">
      <c r="A229" s="36" t="s">
        <v>126</v>
      </c>
      <c r="C229" s="7" t="s">
        <v>2</v>
      </c>
      <c r="D229" s="7" t="s">
        <v>206</v>
      </c>
      <c r="E229" s="7" t="str">
        <f>IF(OR(D229="", D229="___"),"", LEFT(D229,FIND(" &gt;",D229)-1))</f>
        <v>Success</v>
      </c>
      <c r="F229" s="7" t="str">
        <f>IF(OR(E229="Success",E229="Qualified Success"),"Current",IF(E229="Failure",IF(RIGHT(D229,6)="Future","Future",IF(RIGHT(D229,10)="Irrelevant","Irrelevant","Current")),""))</f>
        <v>Current</v>
      </c>
      <c r="G229" s="7" t="str">
        <f>IF(OR(ISBLANK(D229),D229="Unclassifiable &gt;"),"",IF(ISNUMBER(SEARCH("Utterance",D229)),"Utterance",IF(ISNUMBER(SEARCH("Response",D229)),"Response",IF(ISNUMBER(SEARCH("Interaction",D229)),"Interaction",IF(ISNUMBER(SEARCH("System",D229)),"System","")))))</f>
        <v/>
      </c>
      <c r="H229" s="7" t="str">
        <f>IF(G229="Utterance", IF(ISNUMBER(SEARCH("Unrecognized",D229)), "Unrecognized", IF(ISNUMBER(SEARCH("Mismatched",D229)), "Mismatched", IF(ISNUMBER(SEARCH("False Positive",D229)), "False Positive", "Irrelevant"))), "")</f>
        <v/>
      </c>
      <c r="J229" s="7" t="s">
        <v>334</v>
      </c>
      <c r="K229" s="7" t="s">
        <v>198</v>
      </c>
      <c r="L229" s="9">
        <v>45016</v>
      </c>
      <c r="M229" s="10">
        <v>0.36442129629629627</v>
      </c>
      <c r="N229" s="11">
        <v>202000204876712</v>
      </c>
      <c r="O229" s="7">
        <f>IF(LEN(TRIM($A229))=0,0,LEN($A229)-LEN(SUBSTITUTE($A229," ",""))+1)</f>
        <v>2</v>
      </c>
      <c r="P229">
        <f>IF(D229="", "", COUNTIF($D$1:$D$2273, D229))</f>
        <v>176</v>
      </c>
    </row>
    <row r="230" spans="1:16" ht="64" hidden="1" x14ac:dyDescent="0.2">
      <c r="A230" s="8" t="s">
        <v>419</v>
      </c>
      <c r="C230" s="7" t="s">
        <v>4</v>
      </c>
      <c r="F230" s="7" t="str">
        <f>IF(OR(E230="Success",E230="Qualified Success"),"Current",IF(E230="Failure",IF(RIGHT(D230,6)="Future","Future",IF(RIGHT(D230,10)="Irrelevant","Irrelevant","Current")),""))</f>
        <v/>
      </c>
      <c r="G230" s="7" t="str">
        <f>IF(OR(ISBLANK(D230),D230="Unclassifiable &gt;"),"",IF(ISNUMBER(SEARCH("Utterance",D230)),"Utterance",IF(ISNUMBER(SEARCH("Response",D230)),"Response",IF(ISNUMBER(SEARCH("Interaction",D230)),"Interaction",IF(ISNUMBER(SEARCH("System",D230)),"System","")))))</f>
        <v/>
      </c>
      <c r="K230" s="7" t="s">
        <v>198</v>
      </c>
      <c r="L230" s="9">
        <v>45016</v>
      </c>
      <c r="M230" s="10">
        <v>0.36442129629629627</v>
      </c>
      <c r="N230" s="11">
        <v>202000204876712</v>
      </c>
      <c r="P230" t="str">
        <f>IF(D230="", "", COUNTIF($D$1:$D$2273, D230))</f>
        <v/>
      </c>
    </row>
    <row r="231" spans="1:16" ht="16" hidden="1" x14ac:dyDescent="0.2">
      <c r="A231" s="36" t="s">
        <v>37</v>
      </c>
      <c r="C231" s="7" t="s">
        <v>2</v>
      </c>
      <c r="D231" s="7" t="s">
        <v>206</v>
      </c>
      <c r="E231" s="7" t="str">
        <f>IF(OR(D231="", D231="___"),"", LEFT(D231,FIND(" &gt;",D231)-1))</f>
        <v>Success</v>
      </c>
      <c r="F231" s="7" t="str">
        <f>IF(OR(E231="Success",E231="Qualified Success"),"Current",IF(E231="Failure",IF(RIGHT(D231,6)="Future","Future",IF(RIGHT(D231,10)="Irrelevant","Irrelevant","Current")),""))</f>
        <v>Current</v>
      </c>
      <c r="G231" s="7" t="str">
        <f>IF(OR(ISBLANK(D231),D231="Unclassifiable &gt;"),"",IF(ISNUMBER(SEARCH("Utterance",D231)),"Utterance",IF(ISNUMBER(SEARCH("Response",D231)),"Response",IF(ISNUMBER(SEARCH("Interaction",D231)),"Interaction",IF(ISNUMBER(SEARCH("System",D231)),"System","")))))</f>
        <v/>
      </c>
      <c r="H231" s="7" t="str">
        <f>IF(G231="Utterance", IF(ISNUMBER(SEARCH("Unrecognized",D231)), "Unrecognized", IF(ISNUMBER(SEARCH("Mismatched",D231)), "Mismatched", IF(ISNUMBER(SEARCH("False Positive",D231)), "False Positive", "Irrelevant"))), "")</f>
        <v/>
      </c>
      <c r="J231" s="7" t="s">
        <v>204</v>
      </c>
      <c r="K231" s="7" t="s">
        <v>198</v>
      </c>
      <c r="L231" s="9">
        <v>45016</v>
      </c>
      <c r="M231" s="10">
        <v>0.37719907407407405</v>
      </c>
      <c r="N231" s="11">
        <v>204440003487010</v>
      </c>
      <c r="O231" s="7">
        <f>IF(LEN(TRIM($A231))=0,0,LEN($A231)-LEN(SUBSTITUTE($A231," ",""))+1)</f>
        <v>2</v>
      </c>
      <c r="P231">
        <f>IF(D231="", "", COUNTIF($D$1:$D$2273, D231))</f>
        <v>176</v>
      </c>
    </row>
    <row r="232" spans="1:16" ht="61" hidden="1" customHeight="1" x14ac:dyDescent="0.2">
      <c r="A232" s="8" t="s">
        <v>351</v>
      </c>
      <c r="C232" s="7" t="s">
        <v>4</v>
      </c>
      <c r="F232" s="7" t="str">
        <f>IF(OR(E232="Success",E232="Qualified Success"),"Current",IF(E232="Failure",IF(RIGHT(D232,6)="Future","Future",IF(RIGHT(D232,10)="Irrelevant","Irrelevant","Current")),""))</f>
        <v/>
      </c>
      <c r="G232" s="7" t="str">
        <f>IF(OR(ISBLANK(D232),D232="Unclassifiable &gt;"),"",IF(ISNUMBER(SEARCH("Utterance",D232)),"Utterance",IF(ISNUMBER(SEARCH("Response",D232)),"Response",IF(ISNUMBER(SEARCH("Interaction",D232)),"Interaction",IF(ISNUMBER(SEARCH("System",D232)),"System","")))))</f>
        <v/>
      </c>
      <c r="K232" s="7" t="s">
        <v>198</v>
      </c>
      <c r="L232" s="9">
        <v>45016</v>
      </c>
      <c r="M232" s="10">
        <v>0.37719907407407405</v>
      </c>
      <c r="N232" s="11">
        <v>204440003487010</v>
      </c>
      <c r="P232" t="str">
        <f>IF(D232="", "", COUNTIF($D$1:$D$2273, D232))</f>
        <v/>
      </c>
    </row>
    <row r="233" spans="1:16" ht="16" hidden="1" x14ac:dyDescent="0.2">
      <c r="A233" s="36" t="s">
        <v>161</v>
      </c>
      <c r="C233" s="7" t="s">
        <v>2</v>
      </c>
      <c r="D233" s="7" t="s">
        <v>217</v>
      </c>
      <c r="E233" s="7" t="str">
        <f>IF(OR(D233="", D233="___"),"", LEFT(D233,FIND(" &gt;",D233)-1))</f>
        <v>Failure</v>
      </c>
      <c r="F233" s="7" t="str">
        <f>IF(OR(E233="Success",E233="Qualified Success"),"Current",IF(E233="Failure",IF(RIGHT(D233,6)="Future","Future",IF(RIGHT(D233,10)="Irrelevant","Irrelevant","Current")),""))</f>
        <v>Current</v>
      </c>
      <c r="G233" s="7" t="str">
        <f>IF(OR(ISBLANK(D233),D233="Unclassifiable &gt;"),"",IF(ISNUMBER(SEARCH("Utterance",D233)),"Utterance",IF(ISNUMBER(SEARCH("Response",D233)),"Response",IF(ISNUMBER(SEARCH("Interaction",D233)),"Interaction",IF(ISNUMBER(SEARCH("System",D233)),"System","")))))</f>
        <v>Interaction</v>
      </c>
      <c r="H233" s="7" t="str">
        <f>IF(G233="Utterance", IF(ISNUMBER(SEARCH("Unrecognized",D233)), "Unrecognized", IF(ISNUMBER(SEARCH("Mismatched",D233)), "Mismatched", IF(ISNUMBER(SEARCH("False Positive",D233)), "False Positive", "Irrelevant"))), "")</f>
        <v/>
      </c>
      <c r="J233" s="7" t="s">
        <v>335</v>
      </c>
      <c r="K233" s="7" t="s">
        <v>198</v>
      </c>
      <c r="L233" s="9">
        <v>45016</v>
      </c>
      <c r="M233" s="10">
        <v>0.37812499999999999</v>
      </c>
      <c r="N233" s="11">
        <v>202000810760969</v>
      </c>
      <c r="O233" s="7">
        <f>IF(LEN(TRIM($A233))=0,0,LEN($A233)-LEN(SUBSTITUTE($A233," ",""))+1)</f>
        <v>17</v>
      </c>
      <c r="P233">
        <f>IF(D233="", "", COUNTIF($D$1:$D$2273, D233))</f>
        <v>29</v>
      </c>
    </row>
    <row r="234" spans="1:16" ht="80" hidden="1" x14ac:dyDescent="0.2">
      <c r="A234" s="8" t="s">
        <v>404</v>
      </c>
      <c r="C234" s="7" t="s">
        <v>4</v>
      </c>
      <c r="F234" s="7" t="str">
        <f>IF(OR(E234="Success",E234="Qualified Success"),"Current",IF(E234="Failure",IF(RIGHT(D234,6)="Future","Future",IF(RIGHT(D234,10)="Irrelevant","Irrelevant","Current")),""))</f>
        <v/>
      </c>
      <c r="G234" s="7" t="str">
        <f>IF(OR(ISBLANK(D234),D234="Unclassifiable &gt;"),"",IF(ISNUMBER(SEARCH("Utterance",D234)),"Utterance",IF(ISNUMBER(SEARCH("Response",D234)),"Response",IF(ISNUMBER(SEARCH("Interaction",D234)),"Interaction",IF(ISNUMBER(SEARCH("System",D234)),"System","")))))</f>
        <v/>
      </c>
      <c r="K234" s="7" t="s">
        <v>198</v>
      </c>
      <c r="L234" s="9">
        <v>45016</v>
      </c>
      <c r="M234" s="10">
        <v>0.37812499999999999</v>
      </c>
      <c r="N234" s="11">
        <v>202000810760969</v>
      </c>
      <c r="P234" t="str">
        <f>IF(D234="", "", COUNTIF($D$1:$D$2273, D234))</f>
        <v/>
      </c>
    </row>
    <row r="235" spans="1:16" ht="16" hidden="1" x14ac:dyDescent="0.2">
      <c r="A235" s="36" t="s">
        <v>45</v>
      </c>
      <c r="B235" s="7" t="s">
        <v>296</v>
      </c>
      <c r="C235" s="7" t="s">
        <v>2</v>
      </c>
      <c r="D235" s="7" t="s">
        <v>206</v>
      </c>
      <c r="E235" s="7" t="str">
        <f>IF(OR(D235="", D235="___"),"", LEFT(D235,FIND(" &gt;",D235)-1))</f>
        <v>Success</v>
      </c>
      <c r="F235" s="7" t="str">
        <f>IF(OR(E235="Success",E235="Qualified Success"),"Current",IF(E235="Failure",IF(RIGHT(D235,6)="Future","Future",IF(RIGHT(D235,10)="Irrelevant","Irrelevant","Current")),""))</f>
        <v>Current</v>
      </c>
      <c r="G235" s="7" t="str">
        <f>IF(OR(ISBLANK(D235),D235="Unclassifiable &gt;"),"",IF(ISNUMBER(SEARCH("Utterance",D235)),"Utterance",IF(ISNUMBER(SEARCH("Response",D235)),"Response",IF(ISNUMBER(SEARCH("Interaction",D235)),"Interaction",IF(ISNUMBER(SEARCH("System",D235)),"System","")))))</f>
        <v/>
      </c>
      <c r="H235" s="7" t="str">
        <f>IF(G235="Utterance", IF(ISNUMBER(SEARCH("Unrecognized",D235)), "Unrecognized", IF(ISNUMBER(SEARCH("Mismatched",D235)), "Mismatched", IF(ISNUMBER(SEARCH("False Positive",D235)), "False Positive", "Irrelevant"))), "")</f>
        <v/>
      </c>
      <c r="J235" s="7" t="s">
        <v>243</v>
      </c>
      <c r="K235" s="7" t="s">
        <v>198</v>
      </c>
      <c r="L235" s="9">
        <v>45016</v>
      </c>
      <c r="M235" s="10">
        <v>0.3784837962962963</v>
      </c>
      <c r="N235" s="11">
        <v>513002548943688</v>
      </c>
      <c r="O235" s="7">
        <f>IF(LEN(TRIM($A235))=0,0,LEN($A235)-LEN(SUBSTITUTE($A235," ",""))+1)</f>
        <v>3</v>
      </c>
      <c r="P235">
        <f>IF(D235="", "", COUNTIF($D$1:$D$2273, D235))</f>
        <v>176</v>
      </c>
    </row>
    <row r="236" spans="1:16" ht="32" hidden="1" x14ac:dyDescent="0.2">
      <c r="A236" s="8" t="s">
        <v>389</v>
      </c>
      <c r="C236" s="7" t="s">
        <v>4</v>
      </c>
      <c r="F236" s="7" t="str">
        <f>IF(OR(E236="Success",E236="Qualified Success"),"Current",IF(E236="Failure",IF(RIGHT(D236,6)="Future","Future",IF(RIGHT(D236,10)="Irrelevant","Irrelevant","Current")),""))</f>
        <v/>
      </c>
      <c r="G236" s="7" t="str">
        <f>IF(OR(ISBLANK(D236),D236="Unclassifiable &gt;"),"",IF(ISNUMBER(SEARCH("Utterance",D236)),"Utterance",IF(ISNUMBER(SEARCH("Response",D236)),"Response",IF(ISNUMBER(SEARCH("Interaction",D236)),"Interaction",IF(ISNUMBER(SEARCH("System",D236)),"System","")))))</f>
        <v/>
      </c>
      <c r="K236" s="7" t="s">
        <v>198</v>
      </c>
      <c r="L236" s="9">
        <v>45016</v>
      </c>
      <c r="M236" s="10">
        <v>0.3784837962962963</v>
      </c>
      <c r="N236" s="11">
        <v>513002548943688</v>
      </c>
      <c r="P236" t="str">
        <f>IF(D236="", "", COUNTIF($D$1:$D$2273, D236))</f>
        <v/>
      </c>
    </row>
    <row r="237" spans="1:16" ht="16" hidden="1" x14ac:dyDescent="0.2">
      <c r="A237" s="36" t="s">
        <v>32</v>
      </c>
      <c r="C237" s="7" t="s">
        <v>2</v>
      </c>
      <c r="D237" s="7" t="s">
        <v>206</v>
      </c>
      <c r="E237" s="7" t="str">
        <f>IF(OR(D237="", D237="___"),"", LEFT(D237,FIND(" &gt;",D237)-1))</f>
        <v>Success</v>
      </c>
      <c r="F237" s="7" t="str">
        <f>IF(OR(E237="Success",E237="Qualified Success"),"Current",IF(E237="Failure",IF(RIGHT(D237,6)="Future","Future",IF(RIGHT(D237,10)="Irrelevant","Irrelevant","Current")),""))</f>
        <v>Current</v>
      </c>
      <c r="G237" s="7" t="str">
        <f>IF(OR(ISBLANK(D237),D237="Unclassifiable &gt;"),"",IF(ISNUMBER(SEARCH("Utterance",D237)),"Utterance",IF(ISNUMBER(SEARCH("Response",D237)),"Response",IF(ISNUMBER(SEARCH("Interaction",D237)),"Interaction",IF(ISNUMBER(SEARCH("System",D237)),"System","")))))</f>
        <v/>
      </c>
      <c r="H237" s="7" t="str">
        <f>IF(G237="Utterance", IF(ISNUMBER(SEARCH("Unrecognized",D237)), "Unrecognized", IF(ISNUMBER(SEARCH("Mismatched",D237)), "Mismatched", IF(ISNUMBER(SEARCH("False Positive",D237)), "False Positive", "Irrelevant"))), "")</f>
        <v/>
      </c>
      <c r="J237" s="7" t="s">
        <v>329</v>
      </c>
      <c r="K237" s="7" t="s">
        <v>198</v>
      </c>
      <c r="L237" s="9">
        <v>45016</v>
      </c>
      <c r="M237" s="10">
        <v>0.37917824074074075</v>
      </c>
      <c r="N237" s="11">
        <v>204440003486768</v>
      </c>
      <c r="O237" s="7">
        <f>IF(LEN(TRIM($A237))=0,0,LEN($A237)-LEN(SUBSTITUTE($A237," ",""))+1)</f>
        <v>2</v>
      </c>
      <c r="P237">
        <f>IF(D237="", "", COUNTIF($D$1:$D$2273, D237))</f>
        <v>176</v>
      </c>
    </row>
    <row r="238" spans="1:16" ht="96" hidden="1" x14ac:dyDescent="0.2">
      <c r="A238" s="8" t="s">
        <v>394</v>
      </c>
      <c r="C238" s="7" t="s">
        <v>4</v>
      </c>
      <c r="F238" s="7" t="str">
        <f>IF(OR(E238="Success",E238="Qualified Success"),"Current",IF(E238="Failure",IF(RIGHT(D238,6)="Future","Future",IF(RIGHT(D238,10)="Irrelevant","Irrelevant","Current")),""))</f>
        <v/>
      </c>
      <c r="G238" s="7" t="str">
        <f>IF(OR(ISBLANK(D238),D238="Unclassifiable &gt;"),"",IF(ISNUMBER(SEARCH("Utterance",D238)),"Utterance",IF(ISNUMBER(SEARCH("Response",D238)),"Response",IF(ISNUMBER(SEARCH("Interaction",D238)),"Interaction",IF(ISNUMBER(SEARCH("System",D238)),"System","")))))</f>
        <v/>
      </c>
      <c r="K238" s="7" t="s">
        <v>198</v>
      </c>
      <c r="L238" s="9">
        <v>45016</v>
      </c>
      <c r="M238" s="10">
        <v>0.37942129629629634</v>
      </c>
      <c r="N238" s="11">
        <v>204440003486768</v>
      </c>
      <c r="P238" t="str">
        <f>IF(D238="", "", COUNTIF($D$1:$D$2273, D238))</f>
        <v/>
      </c>
    </row>
    <row r="239" spans="1:16" ht="16" hidden="1" x14ac:dyDescent="0.2">
      <c r="A239" s="36" t="s">
        <v>171</v>
      </c>
      <c r="C239" s="7" t="s">
        <v>2</v>
      </c>
      <c r="D239" s="7" t="s">
        <v>217</v>
      </c>
      <c r="E239" s="7" t="str">
        <f>IF(OR(D239="", D239="___"),"", LEFT(D239,FIND(" &gt;",D239)-1))</f>
        <v>Failure</v>
      </c>
      <c r="F239" s="7" t="str">
        <f>IF(OR(E239="Success",E239="Qualified Success"),"Current",IF(E239="Failure",IF(RIGHT(D239,6)="Future","Future",IF(RIGHT(D239,10)="Irrelevant","Irrelevant","Current")),""))</f>
        <v>Current</v>
      </c>
      <c r="G239" s="7" t="str">
        <f>IF(OR(ISBLANK(D239),D239="Unclassifiable &gt;"),"",IF(ISNUMBER(SEARCH("Utterance",D239)),"Utterance",IF(ISNUMBER(SEARCH("Response",D239)),"Response",IF(ISNUMBER(SEARCH("Interaction",D239)),"Interaction",IF(ISNUMBER(SEARCH("System",D239)),"System","")))))</f>
        <v>Interaction</v>
      </c>
      <c r="H239" s="7" t="str">
        <f>IF(G239="Utterance", IF(ISNUMBER(SEARCH("Unrecognized",D239)), "Unrecognized", IF(ISNUMBER(SEARCH("Mismatched",D239)), "Mismatched", IF(ISNUMBER(SEARCH("False Positive",D239)), "False Positive", "Irrelevant"))), "")</f>
        <v/>
      </c>
      <c r="J239" s="7" t="s">
        <v>329</v>
      </c>
      <c r="K239" s="7" t="s">
        <v>198</v>
      </c>
      <c r="L239" s="9">
        <v>45016</v>
      </c>
      <c r="M239" s="10">
        <v>0.38361111111111112</v>
      </c>
      <c r="N239" s="11">
        <v>513002548943688</v>
      </c>
      <c r="O239" s="7">
        <f>IF(LEN(TRIM($A239))=0,0,LEN($A239)-LEN(SUBSTITUTE($A239," ",""))+1)</f>
        <v>2</v>
      </c>
      <c r="P239">
        <f>IF(D239="", "", COUNTIF($D$1:$D$2273, D239))</f>
        <v>29</v>
      </c>
    </row>
    <row r="240" spans="1:16" ht="64" hidden="1" x14ac:dyDescent="0.2">
      <c r="A240" s="8" t="s">
        <v>429</v>
      </c>
      <c r="C240" s="7" t="s">
        <v>4</v>
      </c>
      <c r="F240" s="7" t="str">
        <f>IF(OR(E240="Success",E240="Qualified Success"),"Current",IF(E240="Failure",IF(RIGHT(D240,6)="Future","Future",IF(RIGHT(D240,10)="Irrelevant","Irrelevant","Current")),""))</f>
        <v/>
      </c>
      <c r="G240" s="7" t="str">
        <f>IF(OR(ISBLANK(D240),D240="Unclassifiable &gt;"),"",IF(ISNUMBER(SEARCH("Utterance",D240)),"Utterance",IF(ISNUMBER(SEARCH("Response",D240)),"Response",IF(ISNUMBER(SEARCH("Interaction",D240)),"Interaction",IF(ISNUMBER(SEARCH("System",D240)),"System","")))))</f>
        <v/>
      </c>
      <c r="K240" s="7" t="s">
        <v>198</v>
      </c>
      <c r="L240" s="9">
        <v>45016</v>
      </c>
      <c r="M240" s="10">
        <v>0.38361111111111112</v>
      </c>
      <c r="N240" s="11">
        <v>513002548943688</v>
      </c>
      <c r="P240" t="str">
        <f>IF(D240="", "", COUNTIF($D$1:$D$2273, D240))</f>
        <v/>
      </c>
    </row>
    <row r="241" spans="1:16" ht="16" hidden="1" x14ac:dyDescent="0.2">
      <c r="A241" s="36" t="s">
        <v>48</v>
      </c>
      <c r="B241" s="7" t="s">
        <v>296</v>
      </c>
      <c r="C241" s="7" t="s">
        <v>2</v>
      </c>
      <c r="D241" s="7" t="s">
        <v>206</v>
      </c>
      <c r="E241" s="7" t="str">
        <f>IF(OR(D241="", D241="___"),"", LEFT(D241,FIND(" &gt;",D241)-1))</f>
        <v>Success</v>
      </c>
      <c r="F241" s="7" t="str">
        <f>IF(OR(E241="Success",E241="Qualified Success"),"Current",IF(E241="Failure",IF(RIGHT(D241,6)="Future","Future",IF(RIGHT(D241,10)="Irrelevant","Irrelevant","Current")),""))</f>
        <v>Current</v>
      </c>
      <c r="G241" s="7" t="str">
        <f>IF(OR(ISBLANK(D241),D241="Unclassifiable &gt;"),"",IF(ISNUMBER(SEARCH("Utterance",D241)),"Utterance",IF(ISNUMBER(SEARCH("Response",D241)),"Response",IF(ISNUMBER(SEARCH("Interaction",D241)),"Interaction",IF(ISNUMBER(SEARCH("System",D241)),"System","")))))</f>
        <v/>
      </c>
      <c r="H241" s="7" t="str">
        <f>IF(G241="Utterance", IF(ISNUMBER(SEARCH("Unrecognized",D241)), "Unrecognized", IF(ISNUMBER(SEARCH("Mismatched",D241)), "Mismatched", IF(ISNUMBER(SEARCH("False Positive",D241)), "False Positive", "Irrelevant"))), "")</f>
        <v/>
      </c>
      <c r="J241" s="7" t="s">
        <v>342</v>
      </c>
      <c r="K241" s="7" t="s">
        <v>198</v>
      </c>
      <c r="L241" s="9">
        <v>45016</v>
      </c>
      <c r="M241" s="10">
        <v>0.38754629629629633</v>
      </c>
      <c r="N241" s="11">
        <v>513003523939734</v>
      </c>
      <c r="O241" s="7">
        <f>IF(LEN(TRIM($A241))=0,0,LEN($A241)-LEN(SUBSTITUTE($A241," ",""))+1)</f>
        <v>4</v>
      </c>
      <c r="P241">
        <f>IF(D241="", "", COUNTIF($D$1:$D$2273, D241))</f>
        <v>176</v>
      </c>
    </row>
    <row r="242" spans="1:16" ht="16" hidden="1" x14ac:dyDescent="0.2">
      <c r="A242" s="8" t="s">
        <v>205</v>
      </c>
      <c r="C242" s="7" t="s">
        <v>4</v>
      </c>
      <c r="F242" s="7" t="str">
        <f>IF(OR(E242="Success",E242="Qualified Success"),"Current",IF(E242="Failure",IF(RIGHT(D242,6)="Future","Future",IF(RIGHT(D242,10)="Irrelevant","Irrelevant","Current")),""))</f>
        <v/>
      </c>
      <c r="G242" s="7" t="str">
        <f>IF(OR(ISBLANK(D242),D242="Unclassifiable &gt;"),"",IF(ISNUMBER(SEARCH("Utterance",D242)),"Utterance",IF(ISNUMBER(SEARCH("Response",D242)),"Response",IF(ISNUMBER(SEARCH("Interaction",D242)),"Interaction",IF(ISNUMBER(SEARCH("System",D242)),"System","")))))</f>
        <v/>
      </c>
      <c r="K242" s="7" t="s">
        <v>198</v>
      </c>
      <c r="L242" s="9">
        <v>45016</v>
      </c>
      <c r="M242" s="10">
        <v>0.38759259259259254</v>
      </c>
      <c r="N242" s="11">
        <v>513003523939734</v>
      </c>
      <c r="P242" t="str">
        <f>IF(D242="", "", COUNTIF($D$1:$D$2273, D242))</f>
        <v/>
      </c>
    </row>
    <row r="243" spans="1:16" ht="16" hidden="1" x14ac:dyDescent="0.2">
      <c r="A243" s="8" t="s">
        <v>406</v>
      </c>
      <c r="C243" s="7" t="s">
        <v>4</v>
      </c>
      <c r="F243" s="7" t="str">
        <f>IF(OR(E243="Success",E243="Qualified Success"),"Current",IF(E243="Failure",IF(RIGHT(D243,6)="Future","Future",IF(RIGHT(D243,10)="Irrelevant","Irrelevant","Current")),""))</f>
        <v/>
      </c>
      <c r="G243" s="7" t="str">
        <f>IF(OR(ISBLANK(D243),D243="Unclassifiable &gt;"),"",IF(ISNUMBER(SEARCH("Utterance",D243)),"Utterance",IF(ISNUMBER(SEARCH("Response",D243)),"Response",IF(ISNUMBER(SEARCH("Interaction",D243)),"Interaction",IF(ISNUMBER(SEARCH("System",D243)),"System","")))))</f>
        <v/>
      </c>
      <c r="K243" s="7" t="s">
        <v>198</v>
      </c>
      <c r="L243" s="9">
        <v>45016</v>
      </c>
      <c r="M243" s="10">
        <v>0.38759259259259254</v>
      </c>
      <c r="N243" s="11">
        <v>513003523939734</v>
      </c>
      <c r="P243" t="str">
        <f>IF(D243="", "", COUNTIF($D$1:$D$2273, D243))</f>
        <v/>
      </c>
    </row>
    <row r="244" spans="1:16" ht="16" x14ac:dyDescent="0.2">
      <c r="A244" s="36" t="s">
        <v>150</v>
      </c>
      <c r="C244" s="7" t="s">
        <v>2</v>
      </c>
      <c r="D244" s="7" t="s">
        <v>208</v>
      </c>
      <c r="E244" s="7" t="str">
        <f>IF(OR(D244="", D244="___"),"", LEFT(D244,FIND(" &gt;",D244)-1))</f>
        <v>Failure</v>
      </c>
      <c r="F244" s="7" t="str">
        <f>IF(OR(E244="Success",E244="Qualified Success"),"Current",IF(E244="Failure",IF(RIGHT(D244,6)="Future","Future",IF(RIGHT(D244,10)="Irrelevant","Irrelevant","Current")),""))</f>
        <v>Current</v>
      </c>
      <c r="G244" s="7" t="str">
        <f>IF(OR(ISBLANK(D244),D244="Unclassifiable &gt;"),"",IF(ISNUMBER(SEARCH("Utterance",D244)),"Utterance",IF(ISNUMBER(SEARCH("Response",D244)),"Response",IF(ISNUMBER(SEARCH("Interaction",D244)),"Interaction",IF(ISNUMBER(SEARCH("System",D244)),"System","")))))</f>
        <v>Utterance</v>
      </c>
      <c r="H244" s="7" t="str">
        <f>IF(G244="Utterance", IF(ISNUMBER(SEARCH("Unrecognized",D244)), "Unrecognized", IF(ISNUMBER(SEARCH("Mismatched",D244)), "Mismatched", IF(ISNUMBER(SEARCH("False Positive",D244)), "False Positive", "Irrelevant"))), "")</f>
        <v>Mismatched</v>
      </c>
      <c r="J244" s="7" t="s">
        <v>331</v>
      </c>
      <c r="K244" s="7" t="s">
        <v>198</v>
      </c>
      <c r="L244" s="9">
        <v>45016</v>
      </c>
      <c r="M244" s="10">
        <v>0.39187499999999997</v>
      </c>
      <c r="N244" s="11">
        <v>202000532485335</v>
      </c>
      <c r="O244" s="7">
        <f>IF(LEN(TRIM($A244))=0,0,LEN($A244)-LEN(SUBSTITUTE($A244," ",""))+1)</f>
        <v>2</v>
      </c>
      <c r="P244">
        <f>IF(D244="", "", COUNTIF($D$1:$D$2273, D244))</f>
        <v>32</v>
      </c>
    </row>
    <row r="245" spans="1:16" ht="48" hidden="1" x14ac:dyDescent="0.2">
      <c r="A245" s="8" t="s">
        <v>382</v>
      </c>
      <c r="C245" s="7" t="s">
        <v>4</v>
      </c>
      <c r="F245" s="7" t="str">
        <f>IF(OR(E245="Success",E245="Qualified Success"),"Current",IF(E245="Failure",IF(RIGHT(D245,6)="Future","Future",IF(RIGHT(D245,10)="Irrelevant","Irrelevant","Current")),""))</f>
        <v/>
      </c>
      <c r="G245" s="7" t="str">
        <f>IF(OR(ISBLANK(D245),D245="Unclassifiable &gt;"),"",IF(ISNUMBER(SEARCH("Utterance",D245)),"Utterance",IF(ISNUMBER(SEARCH("Response",D245)),"Response",IF(ISNUMBER(SEARCH("Interaction",D245)),"Interaction",IF(ISNUMBER(SEARCH("System",D245)),"System","")))))</f>
        <v/>
      </c>
      <c r="K245" s="7" t="s">
        <v>198</v>
      </c>
      <c r="L245" s="9">
        <v>45016</v>
      </c>
      <c r="M245" s="10">
        <v>0.39187499999999997</v>
      </c>
      <c r="N245" s="11">
        <v>202000532485335</v>
      </c>
      <c r="P245" t="str">
        <f>IF(D245="", "", COUNTIF($D$1:$D$2273, D245))</f>
        <v/>
      </c>
    </row>
    <row r="246" spans="1:16" ht="16" x14ac:dyDescent="0.2">
      <c r="A246" s="36" t="s">
        <v>152</v>
      </c>
      <c r="C246" s="7" t="s">
        <v>2</v>
      </c>
      <c r="D246" s="7" t="s">
        <v>217</v>
      </c>
      <c r="E246" s="7" t="str">
        <f>IF(OR(D246="", D246="___"),"", LEFT(D246,FIND(" &gt;",D246)-1))</f>
        <v>Failure</v>
      </c>
      <c r="F246" s="7" t="str">
        <f>IF(OR(E246="Success",E246="Qualified Success"),"Current",IF(E246="Failure",IF(RIGHT(D246,6)="Future","Future",IF(RIGHT(D246,10)="Irrelevant","Irrelevant","Current")),""))</f>
        <v>Current</v>
      </c>
      <c r="G246" s="7" t="str">
        <f>IF(OR(ISBLANK(D246),D246="Unclassifiable &gt;"),"",IF(ISNUMBER(SEARCH("Utterance",D246)),"Utterance",IF(ISNUMBER(SEARCH("Response",D246)),"Response",IF(ISNUMBER(SEARCH("Interaction",D246)),"Interaction",IF(ISNUMBER(SEARCH("System",D246)),"System","")))))</f>
        <v>Interaction</v>
      </c>
      <c r="H246" s="7" t="str">
        <f>IF(G246="Utterance", IF(ISNUMBER(SEARCH("Unrecognized",D246)), "Unrecognized", IF(ISNUMBER(SEARCH("Mismatched",D246)), "Mismatched", IF(ISNUMBER(SEARCH("False Positive",D246)), "False Positive", "Irrelevant"))), "")</f>
        <v/>
      </c>
      <c r="J246" s="7" t="s">
        <v>331</v>
      </c>
      <c r="K246" s="7" t="s">
        <v>198</v>
      </c>
      <c r="L246" s="9">
        <v>45016</v>
      </c>
      <c r="M246" s="10">
        <v>0.39206018518518521</v>
      </c>
      <c r="N246" s="11">
        <v>202000532485335</v>
      </c>
      <c r="O246" s="7">
        <f>IF(LEN(TRIM($A246))=0,0,LEN($A246)-LEN(SUBSTITUTE($A246," ",""))+1)</f>
        <v>4</v>
      </c>
      <c r="P246">
        <f>IF(D246="", "", COUNTIF($D$1:$D$2273, D246))</f>
        <v>29</v>
      </c>
    </row>
    <row r="247" spans="1:16" ht="48" hidden="1" x14ac:dyDescent="0.2">
      <c r="A247" s="8" t="s">
        <v>382</v>
      </c>
      <c r="C247" s="7" t="s">
        <v>4</v>
      </c>
      <c r="F247" s="7" t="str">
        <f>IF(OR(E247="Success",E247="Qualified Success"),"Current",IF(E247="Failure",IF(RIGHT(D247,6)="Future","Future",IF(RIGHT(D247,10)="Irrelevant","Irrelevant","Current")),""))</f>
        <v/>
      </c>
      <c r="G247" s="7" t="str">
        <f>IF(OR(ISBLANK(D247),D247="Unclassifiable &gt;"),"",IF(ISNUMBER(SEARCH("Utterance",D247)),"Utterance",IF(ISNUMBER(SEARCH("Response",D247)),"Response",IF(ISNUMBER(SEARCH("Interaction",D247)),"Interaction",IF(ISNUMBER(SEARCH("System",D247)),"System","")))))</f>
        <v/>
      </c>
      <c r="K247" s="7" t="s">
        <v>198</v>
      </c>
      <c r="L247" s="9">
        <v>45016</v>
      </c>
      <c r="M247" s="10">
        <v>0.39206018518518521</v>
      </c>
      <c r="N247" s="11">
        <v>202000532485335</v>
      </c>
      <c r="P247" t="str">
        <f>IF(D247="", "", COUNTIF($D$1:$D$2273, D247))</f>
        <v/>
      </c>
    </row>
    <row r="248" spans="1:16" ht="16" x14ac:dyDescent="0.2">
      <c r="A248" s="36" t="s">
        <v>151</v>
      </c>
      <c r="C248" s="7" t="s">
        <v>2</v>
      </c>
      <c r="D248" s="7" t="s">
        <v>206</v>
      </c>
      <c r="E248" s="7" t="str">
        <f>IF(OR(D248="", D248="___"),"", LEFT(D248,FIND(" &gt;",D248)-1))</f>
        <v>Success</v>
      </c>
      <c r="F248" s="7" t="str">
        <f>IF(OR(E248="Success",E248="Qualified Success"),"Current",IF(E248="Failure",IF(RIGHT(D248,6)="Future","Future",IF(RIGHT(D248,10)="Irrelevant","Irrelevant","Current")),""))</f>
        <v>Current</v>
      </c>
      <c r="G248" s="7" t="str">
        <f>IF(OR(ISBLANK(D248),D248="Unclassifiable &gt;"),"",IF(ISNUMBER(SEARCH("Utterance",D248)),"Utterance",IF(ISNUMBER(SEARCH("Response",D248)),"Response",IF(ISNUMBER(SEARCH("Interaction",D248)),"Interaction",IF(ISNUMBER(SEARCH("System",D248)),"System","")))))</f>
        <v/>
      </c>
      <c r="H248" s="7" t="str">
        <f>IF(G248="Utterance", IF(ISNUMBER(SEARCH("Unrecognized",D248)), "Unrecognized", IF(ISNUMBER(SEARCH("Mismatched",D248)), "Mismatched", IF(ISNUMBER(SEARCH("False Positive",D248)), "False Positive", "Irrelevant"))), "")</f>
        <v/>
      </c>
      <c r="J248" s="7" t="s">
        <v>331</v>
      </c>
      <c r="K248" s="7" t="s">
        <v>198</v>
      </c>
      <c r="L248" s="9">
        <v>45016</v>
      </c>
      <c r="M248" s="10">
        <v>0.39216435185185183</v>
      </c>
      <c r="N248" s="11">
        <v>202000532485335</v>
      </c>
      <c r="O248" s="7">
        <f>IF(LEN(TRIM($A248))=0,0,LEN($A248)-LEN(SUBSTITUTE($A248," ",""))+1)</f>
        <v>2</v>
      </c>
      <c r="P248">
        <f>IF(D248="", "", COUNTIF($D$1:$D$2273, D248))</f>
        <v>176</v>
      </c>
    </row>
    <row r="249" spans="1:16" ht="96" hidden="1" x14ac:dyDescent="0.2">
      <c r="A249" s="8" t="s">
        <v>394</v>
      </c>
      <c r="C249" s="7" t="s">
        <v>4</v>
      </c>
      <c r="F249" s="7" t="str">
        <f>IF(OR(E249="Success",E249="Qualified Success"),"Current",IF(E249="Failure",IF(RIGHT(D249,6)="Future","Future",IF(RIGHT(D249,10)="Irrelevant","Irrelevant","Current")),""))</f>
        <v/>
      </c>
      <c r="G249" s="7" t="str">
        <f>IF(OR(ISBLANK(D249),D249="Unclassifiable &gt;"),"",IF(ISNUMBER(SEARCH("Utterance",D249)),"Utterance",IF(ISNUMBER(SEARCH("Response",D249)),"Response",IF(ISNUMBER(SEARCH("Interaction",D249)),"Interaction",IF(ISNUMBER(SEARCH("System",D249)),"System","")))))</f>
        <v/>
      </c>
      <c r="K249" s="7" t="s">
        <v>198</v>
      </c>
      <c r="L249" s="9">
        <v>45016</v>
      </c>
      <c r="M249" s="10">
        <v>0.39217592592592593</v>
      </c>
      <c r="N249" s="11">
        <v>202000532485335</v>
      </c>
      <c r="P249" t="str">
        <f>IF(D249="", "", COUNTIF($D$1:$D$2273, D249))</f>
        <v/>
      </c>
    </row>
    <row r="250" spans="1:16" ht="16" hidden="1" x14ac:dyDescent="0.2">
      <c r="A250" s="36" t="s">
        <v>17</v>
      </c>
      <c r="C250" s="7" t="s">
        <v>2</v>
      </c>
      <c r="D250" s="7" t="s">
        <v>206</v>
      </c>
      <c r="E250" s="7" t="str">
        <f>IF(OR(D250="", D250="___"),"", LEFT(D250,FIND(" &gt;",D250)-1))</f>
        <v>Success</v>
      </c>
      <c r="F250" s="7" t="str">
        <f>IF(OR(E250="Success",E250="Qualified Success"),"Current",IF(E250="Failure",IF(RIGHT(D250,6)="Future","Future",IF(RIGHT(D250,10)="Irrelevant","Irrelevant","Current")),""))</f>
        <v>Current</v>
      </c>
      <c r="G250" s="7" t="str">
        <f>IF(OR(ISBLANK(D250),D250="Unclassifiable &gt;"),"",IF(ISNUMBER(SEARCH("Utterance",D250)),"Utterance",IF(ISNUMBER(SEARCH("Response",D250)),"Response",IF(ISNUMBER(SEARCH("Interaction",D250)),"Interaction",IF(ISNUMBER(SEARCH("System",D250)),"System","")))))</f>
        <v/>
      </c>
      <c r="H250" s="7" t="str">
        <f>IF(G250="Utterance", IF(ISNUMBER(SEARCH("Unrecognized",D250)), "Unrecognized", IF(ISNUMBER(SEARCH("Mismatched",D250)), "Mismatched", IF(ISNUMBER(SEARCH("False Positive",D250)), "False Positive", "Irrelevant"))), "")</f>
        <v/>
      </c>
      <c r="J250" s="7" t="s">
        <v>25</v>
      </c>
      <c r="K250" s="7" t="s">
        <v>198</v>
      </c>
      <c r="L250" s="9">
        <v>45016</v>
      </c>
      <c r="M250" s="10">
        <v>0.40046296296296297</v>
      </c>
      <c r="N250" s="11">
        <v>204440003503729</v>
      </c>
      <c r="O250" s="7">
        <f>IF(LEN(TRIM($A250))=0,0,LEN($A250)-LEN(SUBSTITUTE($A250," ",""))+1)</f>
        <v>2</v>
      </c>
      <c r="P250">
        <f>IF(D250="", "", COUNTIF($D$1:$D$2273, D250))</f>
        <v>176</v>
      </c>
    </row>
    <row r="251" spans="1:16" ht="80" hidden="1" x14ac:dyDescent="0.2">
      <c r="A251" s="8" t="s">
        <v>404</v>
      </c>
      <c r="C251" s="7" t="s">
        <v>4</v>
      </c>
      <c r="F251" s="7" t="str">
        <f>IF(OR(E251="Success",E251="Qualified Success"),"Current",IF(E251="Failure",IF(RIGHT(D251,6)="Future","Future",IF(RIGHT(D251,10)="Irrelevant","Irrelevant","Current")),""))</f>
        <v/>
      </c>
      <c r="G251" s="7" t="str">
        <f>IF(OR(ISBLANK(D251),D251="Unclassifiable &gt;"),"",IF(ISNUMBER(SEARCH("Utterance",D251)),"Utterance",IF(ISNUMBER(SEARCH("Response",D251)),"Response",IF(ISNUMBER(SEARCH("Interaction",D251)),"Interaction",IF(ISNUMBER(SEARCH("System",D251)),"System","")))))</f>
        <v/>
      </c>
      <c r="K251" s="7" t="s">
        <v>198</v>
      </c>
      <c r="L251" s="9">
        <v>45016</v>
      </c>
      <c r="M251" s="10">
        <v>0.40046296296296297</v>
      </c>
      <c r="N251" s="11">
        <v>204440003503729</v>
      </c>
      <c r="P251" t="str">
        <f>IF(D251="", "", COUNTIF($D$1:$D$2273, D251))</f>
        <v/>
      </c>
    </row>
    <row r="252" spans="1:16" ht="16" hidden="1" x14ac:dyDescent="0.2">
      <c r="A252" s="36" t="s">
        <v>19</v>
      </c>
      <c r="C252" s="7" t="s">
        <v>2</v>
      </c>
      <c r="D252" s="7" t="s">
        <v>206</v>
      </c>
      <c r="E252" s="7" t="str">
        <f>IF(OR(D252="", D252="___"),"", LEFT(D252,FIND(" &gt;",D252)-1))</f>
        <v>Success</v>
      </c>
      <c r="F252" s="7" t="str">
        <f>IF(OR(E252="Success",E252="Qualified Success"),"Current",IF(E252="Failure",IF(RIGHT(D252,6)="Future","Future",IF(RIGHT(D252,10)="Irrelevant","Irrelevant","Current")),""))</f>
        <v>Current</v>
      </c>
      <c r="G252" s="7" t="str">
        <f>IF(OR(ISBLANK(D252),D252="Unclassifiable &gt;"),"",IF(ISNUMBER(SEARCH("Utterance",D252)),"Utterance",IF(ISNUMBER(SEARCH("Response",D252)),"Response",IF(ISNUMBER(SEARCH("Interaction",D252)),"Interaction",IF(ISNUMBER(SEARCH("System",D252)),"System","")))))</f>
        <v/>
      </c>
      <c r="H252" s="7" t="str">
        <f>IF(G252="Utterance", IF(ISNUMBER(SEARCH("Unrecognized",D252)), "Unrecognized", IF(ISNUMBER(SEARCH("Mismatched",D252)), "Mismatched", IF(ISNUMBER(SEARCH("False Positive",D252)), "False Positive", "Irrelevant"))), "")</f>
        <v/>
      </c>
      <c r="J252" s="7" t="s">
        <v>335</v>
      </c>
      <c r="K252" s="7" t="s">
        <v>198</v>
      </c>
      <c r="L252" s="9">
        <v>45016</v>
      </c>
      <c r="M252" s="10">
        <v>0.40982638888888889</v>
      </c>
      <c r="N252" s="11">
        <v>204440003503394</v>
      </c>
      <c r="O252" s="7">
        <f>IF(LEN(TRIM($A252))=0,0,LEN($A252)-LEN(SUBSTITUTE($A252," ",""))+1)</f>
        <v>3</v>
      </c>
      <c r="P252">
        <f>IF(D252="", "", COUNTIF($D$1:$D$2273, D252))</f>
        <v>176</v>
      </c>
    </row>
    <row r="253" spans="1:16" ht="144" hidden="1" x14ac:dyDescent="0.2">
      <c r="A253" s="8" t="s">
        <v>385</v>
      </c>
      <c r="C253" s="7" t="s">
        <v>4</v>
      </c>
      <c r="F253" s="7" t="str">
        <f>IF(OR(E253="Success",E253="Qualified Success"),"Current",IF(E253="Failure",IF(RIGHT(D253,6)="Future","Future",IF(RIGHT(D253,10)="Irrelevant","Irrelevant","Current")),""))</f>
        <v/>
      </c>
      <c r="G253" s="7" t="str">
        <f>IF(OR(ISBLANK(D253),D253="Unclassifiable &gt;"),"",IF(ISNUMBER(SEARCH("Utterance",D253)),"Utterance",IF(ISNUMBER(SEARCH("Response",D253)),"Response",IF(ISNUMBER(SEARCH("Interaction",D253)),"Interaction",IF(ISNUMBER(SEARCH("System",D253)),"System","")))))</f>
        <v/>
      </c>
      <c r="K253" s="7" t="s">
        <v>198</v>
      </c>
      <c r="L253" s="9">
        <v>45016</v>
      </c>
      <c r="M253" s="10">
        <v>0.41009259259259262</v>
      </c>
      <c r="N253" s="11">
        <v>204440003503394</v>
      </c>
      <c r="P253" t="str">
        <f>IF(D253="", "", COUNTIF($D$1:$D$2273, D253))</f>
        <v/>
      </c>
    </row>
    <row r="254" spans="1:16" ht="16" hidden="1" x14ac:dyDescent="0.2">
      <c r="A254" s="36" t="s">
        <v>1</v>
      </c>
      <c r="B254" s="7" t="s">
        <v>296</v>
      </c>
      <c r="C254" s="7" t="s">
        <v>2</v>
      </c>
      <c r="D254" s="7" t="s">
        <v>206</v>
      </c>
      <c r="E254" s="7" t="str">
        <f>IF(OR(D254="", D254="___"),"", LEFT(D254,FIND(" &gt;",D254)-1))</f>
        <v>Success</v>
      </c>
      <c r="F254" s="7" t="str">
        <f>IF(OR(E254="Success",E254="Qualified Success"),"Current",IF(E254="Failure",IF(RIGHT(D254,6)="Future","Future",IF(RIGHT(D254,10)="Irrelevant","Irrelevant","Current")),""))</f>
        <v>Current</v>
      </c>
      <c r="G254" s="7" t="str">
        <f>IF(OR(ISBLANK(D254),D254="Unclassifiable &gt;"),"",IF(ISNUMBER(SEARCH("Utterance",D254)),"Utterance",IF(ISNUMBER(SEARCH("Response",D254)),"Response",IF(ISNUMBER(SEARCH("Interaction",D254)),"Interaction",IF(ISNUMBER(SEARCH("System",D254)),"System","")))))</f>
        <v/>
      </c>
      <c r="H254" s="7" t="str">
        <f>IF(G254="Utterance", IF(ISNUMBER(SEARCH("Unrecognized",D254)), "Unrecognized", IF(ISNUMBER(SEARCH("Mismatched",D254)), "Mismatched", IF(ISNUMBER(SEARCH("False Positive",D254)), "False Positive", "Irrelevant"))), "")</f>
        <v/>
      </c>
      <c r="J254" s="7" t="s">
        <v>259</v>
      </c>
      <c r="K254" s="7" t="s">
        <v>198</v>
      </c>
      <c r="L254" s="9">
        <v>45016</v>
      </c>
      <c r="M254" s="10">
        <v>0.41050925925925924</v>
      </c>
      <c r="N254" s="11">
        <v>202000125153759</v>
      </c>
      <c r="O254" s="7">
        <f>IF(LEN(TRIM($A254))=0,0,LEN($A254)-LEN(SUBSTITUTE($A254," ",""))+1)</f>
        <v>5</v>
      </c>
      <c r="P254">
        <f>IF(D254="", "", COUNTIF($D$1:$D$2273, D254))</f>
        <v>176</v>
      </c>
    </row>
    <row r="255" spans="1:16" ht="16" hidden="1" x14ac:dyDescent="0.2">
      <c r="A255" s="8" t="s">
        <v>12</v>
      </c>
      <c r="C255" s="7" t="s">
        <v>4</v>
      </c>
      <c r="F255" s="7" t="str">
        <f>IF(OR(E255="Success",E255="Qualified Success"),"Current",IF(E255="Failure",IF(RIGHT(D255,6)="Future","Future",IF(RIGHT(D255,10)="Irrelevant","Irrelevant","Current")),""))</f>
        <v/>
      </c>
      <c r="G255" s="7" t="str">
        <f>IF(OR(ISBLANK(D255),D255="Unclassifiable &gt;"),"",IF(ISNUMBER(SEARCH("Utterance",D255)),"Utterance",IF(ISNUMBER(SEARCH("Response",D255)),"Response",IF(ISNUMBER(SEARCH("Interaction",D255)),"Interaction",IF(ISNUMBER(SEARCH("System",D255)),"System","")))))</f>
        <v/>
      </c>
      <c r="K255" s="7" t="s">
        <v>198</v>
      </c>
      <c r="L255" s="9">
        <v>45016</v>
      </c>
      <c r="M255" s="10">
        <v>0.41052083333333328</v>
      </c>
      <c r="N255" s="11">
        <v>202000125153759</v>
      </c>
      <c r="P255" t="str">
        <f>IF(D255="", "", COUNTIF($D$1:$D$2273, D255))</f>
        <v/>
      </c>
    </row>
    <row r="256" spans="1:16" ht="48" hidden="1" x14ac:dyDescent="0.2">
      <c r="A256" s="8" t="s">
        <v>5</v>
      </c>
      <c r="C256" s="7" t="s">
        <v>4</v>
      </c>
      <c r="F256" s="7" t="str">
        <f>IF(OR(E256="Success",E256="Qualified Success"),"Current",IF(E256="Failure",IF(RIGHT(D256,6)="Future","Future",IF(RIGHT(D256,10)="Irrelevant","Irrelevant","Current")),""))</f>
        <v/>
      </c>
      <c r="G256" s="7" t="str">
        <f>IF(OR(ISBLANK(D256),D256="Unclassifiable &gt;"),"",IF(ISNUMBER(SEARCH("Utterance",D256)),"Utterance",IF(ISNUMBER(SEARCH("Response",D256)),"Response",IF(ISNUMBER(SEARCH("Interaction",D256)),"Interaction",IF(ISNUMBER(SEARCH("System",D256)),"System","")))))</f>
        <v/>
      </c>
      <c r="K256" s="7" t="s">
        <v>198</v>
      </c>
      <c r="L256" s="9">
        <v>45016</v>
      </c>
      <c r="M256" s="10">
        <v>0.41052083333333328</v>
      </c>
      <c r="N256" s="11">
        <v>202000125153759</v>
      </c>
      <c r="P256" t="str">
        <f>IF(D256="", "", COUNTIF($D$1:$D$2273, D256))</f>
        <v/>
      </c>
    </row>
    <row r="257" spans="1:16" ht="192" hidden="1" x14ac:dyDescent="0.2">
      <c r="A257" s="8" t="s">
        <v>455</v>
      </c>
      <c r="C257" s="7" t="s">
        <v>4</v>
      </c>
      <c r="F257" s="7" t="str">
        <f>IF(OR(E257="Success",E257="Qualified Success"),"Current",IF(E257="Failure",IF(RIGHT(D257,6)="Future","Future",IF(RIGHT(D257,10)="Irrelevant","Irrelevant","Current")),""))</f>
        <v/>
      </c>
      <c r="G257" s="7" t="str">
        <f>IF(OR(ISBLANK(D257),D257="Unclassifiable &gt;"),"",IF(ISNUMBER(SEARCH("Utterance",D257)),"Utterance",IF(ISNUMBER(SEARCH("Response",D257)),"Response",IF(ISNUMBER(SEARCH("Interaction",D257)),"Interaction",IF(ISNUMBER(SEARCH("System",D257)),"System","")))))</f>
        <v/>
      </c>
      <c r="K257" s="7" t="s">
        <v>198</v>
      </c>
      <c r="L257" s="9">
        <v>45016</v>
      </c>
      <c r="M257" s="10">
        <v>0.41052083333333328</v>
      </c>
      <c r="N257" s="11">
        <v>202000125153759</v>
      </c>
      <c r="P257" t="str">
        <f>IF(D257="", "", COUNTIF($D$1:$D$2273, D257))</f>
        <v/>
      </c>
    </row>
    <row r="258" spans="1:16" ht="16" hidden="1" x14ac:dyDescent="0.2">
      <c r="A258" s="36" t="s">
        <v>13</v>
      </c>
      <c r="C258" s="7" t="s">
        <v>2</v>
      </c>
      <c r="D258" s="7" t="s">
        <v>222</v>
      </c>
      <c r="E258" s="7" t="str">
        <f>IF(OR(D258="", D258="___"),"", LEFT(D258,FIND(" &gt;",D258)-1))</f>
        <v>Failure</v>
      </c>
      <c r="F258" s="7" t="str">
        <f>IF(OR(E258="Success",E258="Qualified Success"),"Current",IF(E258="Failure",IF(RIGHT(D258,6)="Future","Future",IF(RIGHT(D258,10)="Irrelevant","Irrelevant","Current")),""))</f>
        <v>Current</v>
      </c>
      <c r="G258" s="7" t="str">
        <f>IF(OR(ISBLANK(D258),D258="Unclassifiable &gt;"),"",IF(ISNUMBER(SEARCH("Utterance",D258)),"Utterance",IF(ISNUMBER(SEARCH("Response",D258)),"Response",IF(ISNUMBER(SEARCH("Interaction",D258)),"Interaction",IF(ISNUMBER(SEARCH("System",D258)),"System","")))))</f>
        <v>System</v>
      </c>
      <c r="H258" s="7" t="str">
        <f>IF(G258="Utterance", IF(ISNUMBER(SEARCH("Unrecognized",D258)), "Unrecognized", IF(ISNUMBER(SEARCH("Mismatched",D258)), "Mismatched", IF(ISNUMBER(SEARCH("False Positive",D258)), "False Positive", "Irrelevant"))), "")</f>
        <v/>
      </c>
      <c r="I258" s="7" t="s">
        <v>258</v>
      </c>
      <c r="J258" s="7" t="s">
        <v>25</v>
      </c>
      <c r="K258" s="7" t="s">
        <v>198</v>
      </c>
      <c r="L258" s="9">
        <v>45016</v>
      </c>
      <c r="M258" s="10">
        <v>0.41060185185185188</v>
      </c>
      <c r="N258" s="11">
        <v>202000125153759</v>
      </c>
      <c r="O258" s="7">
        <f>IF(LEN(TRIM($A258))=0,0,LEN($A258)-LEN(SUBSTITUTE($A258," ",""))+1)</f>
        <v>1</v>
      </c>
      <c r="P258">
        <f>IF(D258="", "", COUNTIF($D$1:$D$2273, D258))</f>
        <v>10</v>
      </c>
    </row>
    <row r="259" spans="1:16" ht="16" hidden="1" x14ac:dyDescent="0.2">
      <c r="A259" s="8" t="s">
        <v>11</v>
      </c>
      <c r="C259" s="7" t="s">
        <v>4</v>
      </c>
      <c r="F259" s="7" t="str">
        <f>IF(OR(E259="Success",E259="Qualified Success"),"Current",IF(E259="Failure",IF(RIGHT(D259,6)="Future","Future",IF(RIGHT(D259,10)="Irrelevant","Irrelevant","Current")),""))</f>
        <v/>
      </c>
      <c r="G259" s="7" t="str">
        <f>IF(OR(ISBLANK(D259),D259="Unclassifiable &gt;"),"",IF(ISNUMBER(SEARCH("Utterance",D259)),"Utterance",IF(ISNUMBER(SEARCH("Response",D259)),"Response",IF(ISNUMBER(SEARCH("Interaction",D259)),"Interaction",IF(ISNUMBER(SEARCH("System",D259)),"System","")))))</f>
        <v/>
      </c>
      <c r="K259" s="7" t="s">
        <v>198</v>
      </c>
      <c r="L259" s="9">
        <v>45016</v>
      </c>
      <c r="M259" s="10">
        <v>0.41129629629629627</v>
      </c>
      <c r="N259" s="11">
        <v>202000125153759</v>
      </c>
      <c r="P259" t="str">
        <f>IF(D259="", "", COUNTIF($D$1:$D$2273, D259))</f>
        <v/>
      </c>
    </row>
    <row r="260" spans="1:16" ht="16" hidden="1" x14ac:dyDescent="0.2">
      <c r="A260" s="36" t="s">
        <v>403</v>
      </c>
      <c r="C260" s="7" t="s">
        <v>2</v>
      </c>
      <c r="D260" s="7" t="s">
        <v>206</v>
      </c>
      <c r="E260" s="7" t="str">
        <f>IF(OR(D260="", D260="___"),"", LEFT(D260,FIND(" &gt;",D260)-1))</f>
        <v>Success</v>
      </c>
      <c r="F260" s="7" t="str">
        <f>IF(OR(E260="Success",E260="Qualified Success"),"Current",IF(E260="Failure",IF(RIGHT(D260,6)="Future","Future",IF(RIGHT(D260,10)="Irrelevant","Irrelevant","Current")),""))</f>
        <v>Current</v>
      </c>
      <c r="G260" s="7" t="str">
        <f>IF(OR(ISBLANK(D260),D260="Unclassifiable &gt;"),"",IF(ISNUMBER(SEARCH("Utterance",D260)),"Utterance",IF(ISNUMBER(SEARCH("Response",D260)),"Response",IF(ISNUMBER(SEARCH("Interaction",D260)),"Interaction",IF(ISNUMBER(SEARCH("System",D260)),"System","")))))</f>
        <v/>
      </c>
      <c r="H260" s="7" t="str">
        <f>IF(G260="Utterance", IF(ISNUMBER(SEARCH("Unrecognized",D260)), "Unrecognized", IF(ISNUMBER(SEARCH("Mismatched",D260)), "Mismatched", IF(ISNUMBER(SEARCH("False Positive",D260)), "False Positive", "Irrelevant"))), "")</f>
        <v/>
      </c>
      <c r="J260" s="7" t="s">
        <v>340</v>
      </c>
      <c r="K260" s="7" t="s">
        <v>198</v>
      </c>
      <c r="L260" s="9">
        <v>45016</v>
      </c>
      <c r="M260" s="10">
        <v>0.41165509259259259</v>
      </c>
      <c r="N260" s="11">
        <v>204440003540495</v>
      </c>
      <c r="O260" s="7">
        <f>IF(LEN(TRIM($A260))=0,0,LEN($A260)-LEN(SUBSTITUTE($A260," ",""))+1)</f>
        <v>4</v>
      </c>
      <c r="P260">
        <f>IF(D260="", "", COUNTIF($D$1:$D$2273, D260))</f>
        <v>176</v>
      </c>
    </row>
    <row r="261" spans="1:16" ht="80" hidden="1" x14ac:dyDescent="0.2">
      <c r="A261" s="8" t="s">
        <v>378</v>
      </c>
      <c r="C261" s="7" t="s">
        <v>4</v>
      </c>
      <c r="F261" s="7" t="str">
        <f>IF(OR(E261="Success",E261="Qualified Success"),"Current",IF(E261="Failure",IF(RIGHT(D261,6)="Future","Future",IF(RIGHT(D261,10)="Irrelevant","Irrelevant","Current")),""))</f>
        <v/>
      </c>
      <c r="G261" s="7" t="str">
        <f>IF(OR(ISBLANK(D261),D261="Unclassifiable &gt;"),"",IF(ISNUMBER(SEARCH("Utterance",D261)),"Utterance",IF(ISNUMBER(SEARCH("Response",D261)),"Response",IF(ISNUMBER(SEARCH("Interaction",D261)),"Interaction",IF(ISNUMBER(SEARCH("System",D261)),"System","")))))</f>
        <v/>
      </c>
      <c r="K261" s="7" t="s">
        <v>198</v>
      </c>
      <c r="L261" s="9">
        <v>45016</v>
      </c>
      <c r="M261" s="10">
        <v>0.41165509259259259</v>
      </c>
      <c r="N261" s="11">
        <v>204440003540495</v>
      </c>
      <c r="P261" t="str">
        <f>IF(D261="", "", COUNTIF($D$1:$D$2273, D261))</f>
        <v/>
      </c>
    </row>
    <row r="262" spans="1:16" ht="16" hidden="1" x14ac:dyDescent="0.2">
      <c r="A262" s="36" t="s">
        <v>124</v>
      </c>
      <c r="C262" s="7" t="s">
        <v>2</v>
      </c>
      <c r="D262" s="7" t="s">
        <v>206</v>
      </c>
      <c r="E262" s="7" t="str">
        <f>IF(OR(D262="", D262="___"),"", LEFT(D262,FIND(" &gt;",D262)-1))</f>
        <v>Success</v>
      </c>
      <c r="F262" s="7" t="str">
        <f>IF(OR(E262="Success",E262="Qualified Success"),"Current",IF(E262="Failure",IF(RIGHT(D262,6)="Future","Future",IF(RIGHT(D262,10)="Irrelevant","Irrelevant","Current")),""))</f>
        <v>Current</v>
      </c>
      <c r="G262" s="7" t="str">
        <f>IF(OR(ISBLANK(D262),D262="Unclassifiable &gt;"),"",IF(ISNUMBER(SEARCH("Utterance",D262)),"Utterance",IF(ISNUMBER(SEARCH("Response",D262)),"Response",IF(ISNUMBER(SEARCH("Interaction",D262)),"Interaction",IF(ISNUMBER(SEARCH("System",D262)),"System","")))))</f>
        <v/>
      </c>
      <c r="H262" s="7" t="str">
        <f>IF(G262="Utterance", IF(ISNUMBER(SEARCH("Unrecognized",D262)), "Unrecognized", IF(ISNUMBER(SEARCH("Mismatched",D262)), "Mismatched", IF(ISNUMBER(SEARCH("False Positive",D262)), "False Positive", "Irrelevant"))), "")</f>
        <v/>
      </c>
      <c r="J262" s="7" t="s">
        <v>330</v>
      </c>
      <c r="K262" s="7" t="s">
        <v>198</v>
      </c>
      <c r="L262" s="9">
        <v>45016</v>
      </c>
      <c r="M262" s="10">
        <v>0.41318287037037038</v>
      </c>
      <c r="N262" s="11">
        <v>202000125153759</v>
      </c>
      <c r="O262" s="7">
        <f>IF(LEN(TRIM($A262))=0,0,LEN($A262)-LEN(SUBSTITUTE($A262," ",""))+1)</f>
        <v>6</v>
      </c>
      <c r="P262">
        <f>IF(D262="", "", COUNTIF($D$1:$D$2273, D262))</f>
        <v>176</v>
      </c>
    </row>
    <row r="263" spans="1:16" ht="16" hidden="1" x14ac:dyDescent="0.2">
      <c r="A263" s="36" t="s">
        <v>127</v>
      </c>
      <c r="C263" s="7" t="s">
        <v>2</v>
      </c>
      <c r="D263" s="7" t="s">
        <v>206</v>
      </c>
      <c r="E263" s="7" t="str">
        <f>IF(OR(D263="", D263="___"),"", LEFT(D263,FIND(" &gt;",D263)-1))</f>
        <v>Success</v>
      </c>
      <c r="F263" s="7" t="str">
        <f>IF(OR(E263="Success",E263="Qualified Success"),"Current",IF(E263="Failure",IF(RIGHT(D263,6)="Future","Future",IF(RIGHT(D263,10)="Irrelevant","Irrelevant","Current")),""))</f>
        <v>Current</v>
      </c>
      <c r="G263" s="7" t="str">
        <f>IF(OR(ISBLANK(D263),D263="Unclassifiable &gt;"),"",IF(ISNUMBER(SEARCH("Utterance",D263)),"Utterance",IF(ISNUMBER(SEARCH("Response",D263)),"Response",IF(ISNUMBER(SEARCH("Interaction",D263)),"Interaction",IF(ISNUMBER(SEARCH("System",D263)),"System","")))))</f>
        <v/>
      </c>
      <c r="H263" s="7" t="str">
        <f>IF(G263="Utterance", IF(ISNUMBER(SEARCH("Unrecognized",D263)), "Unrecognized", IF(ISNUMBER(SEARCH("Mismatched",D263)), "Mismatched", IF(ISNUMBER(SEARCH("False Positive",D263)), "False Positive", "Irrelevant"))), "")</f>
        <v/>
      </c>
      <c r="J263" s="7" t="s">
        <v>249</v>
      </c>
      <c r="K263" s="7" t="s">
        <v>198</v>
      </c>
      <c r="L263" s="9">
        <v>45016</v>
      </c>
      <c r="M263" s="10">
        <v>0.41318287037037038</v>
      </c>
      <c r="N263" s="11">
        <v>513003537519510</v>
      </c>
      <c r="O263" s="7">
        <f>IF(LEN(TRIM($A263))=0,0,LEN($A263)-LEN(SUBSTITUTE($A263," ",""))+1)</f>
        <v>1</v>
      </c>
      <c r="P263">
        <f>IF(D263="", "", COUNTIF($D$1:$D$2273, D263))</f>
        <v>176</v>
      </c>
    </row>
    <row r="264" spans="1:16" ht="64" hidden="1" x14ac:dyDescent="0.2">
      <c r="A264" s="8" t="s">
        <v>421</v>
      </c>
      <c r="C264" s="7" t="s">
        <v>4</v>
      </c>
      <c r="F264" s="7" t="str">
        <f>IF(OR(E264="Success",E264="Qualified Success"),"Current",IF(E264="Failure",IF(RIGHT(D264,6)="Future","Future",IF(RIGHT(D264,10)="Irrelevant","Irrelevant","Current")),""))</f>
        <v/>
      </c>
      <c r="G264" s="7" t="str">
        <f>IF(OR(ISBLANK(D264),D264="Unclassifiable &gt;"),"",IF(ISNUMBER(SEARCH("Utterance",D264)),"Utterance",IF(ISNUMBER(SEARCH("Response",D264)),"Response",IF(ISNUMBER(SEARCH("Interaction",D264)),"Interaction",IF(ISNUMBER(SEARCH("System",D264)),"System","")))))</f>
        <v/>
      </c>
      <c r="K264" s="7" t="s">
        <v>198</v>
      </c>
      <c r="L264" s="9">
        <v>45016</v>
      </c>
      <c r="M264" s="10">
        <v>0.41318287037037038</v>
      </c>
      <c r="N264" s="11">
        <v>202000125153759</v>
      </c>
      <c r="P264" t="str">
        <f>IF(D264="", "", COUNTIF($D$1:$D$2273, D264))</f>
        <v/>
      </c>
    </row>
    <row r="265" spans="1:16" ht="48" hidden="1" x14ac:dyDescent="0.2">
      <c r="A265" s="8" t="s">
        <v>447</v>
      </c>
      <c r="C265" s="7" t="s">
        <v>4</v>
      </c>
      <c r="F265" s="7" t="str">
        <f>IF(OR(E265="Success",E265="Qualified Success"),"Current",IF(E265="Failure",IF(RIGHT(D265,6)="Future","Future",IF(RIGHT(D265,10)="Irrelevant","Irrelevant","Current")),""))</f>
        <v/>
      </c>
      <c r="G265" s="7" t="str">
        <f>IF(OR(ISBLANK(D265),D265="Unclassifiable &gt;"),"",IF(ISNUMBER(SEARCH("Utterance",D265)),"Utterance",IF(ISNUMBER(SEARCH("Response",D265)),"Response",IF(ISNUMBER(SEARCH("Interaction",D265)),"Interaction",IF(ISNUMBER(SEARCH("System",D265)),"System","")))))</f>
        <v/>
      </c>
      <c r="K265" s="7" t="s">
        <v>198</v>
      </c>
      <c r="L265" s="9">
        <v>45016</v>
      </c>
      <c r="M265" s="10">
        <v>0.41318287037037038</v>
      </c>
      <c r="N265" s="11">
        <v>513003537519510</v>
      </c>
      <c r="P265" t="str">
        <f>IF(D265="", "", COUNTIF($D$1:$D$2273, D265))</f>
        <v/>
      </c>
    </row>
    <row r="266" spans="1:16" ht="16" hidden="1" x14ac:dyDescent="0.2">
      <c r="A266" s="36" t="s">
        <v>90</v>
      </c>
      <c r="C266" s="7" t="s">
        <v>2</v>
      </c>
      <c r="D266" s="7" t="s">
        <v>208</v>
      </c>
      <c r="E266" s="7" t="str">
        <f>IF(OR(D266="", D266="___"),"", LEFT(D266,FIND(" &gt;",D266)-1))</f>
        <v>Failure</v>
      </c>
      <c r="F266" s="7" t="str">
        <f>IF(OR(E266="Success",E266="Qualified Success"),"Current",IF(E266="Failure",IF(RIGHT(D266,6)="Future","Future",IF(RIGHT(D266,10)="Irrelevant","Irrelevant","Current")),""))</f>
        <v>Current</v>
      </c>
      <c r="G266" s="7" t="str">
        <f>IF(OR(ISBLANK(D266),D266="Unclassifiable &gt;"),"",IF(ISNUMBER(SEARCH("Utterance",D266)),"Utterance",IF(ISNUMBER(SEARCH("Response",D266)),"Response",IF(ISNUMBER(SEARCH("Interaction",D266)),"Interaction",IF(ISNUMBER(SEARCH("System",D266)),"System","")))))</f>
        <v>Utterance</v>
      </c>
      <c r="H266" s="7" t="str">
        <f>IF(G266="Utterance", IF(ISNUMBER(SEARCH("Unrecognized",D266)), "Unrecognized", IF(ISNUMBER(SEARCH("Mismatched",D266)), "Mismatched", IF(ISNUMBER(SEARCH("False Positive",D266)), "False Positive", "Irrelevant"))), "")</f>
        <v>Mismatched</v>
      </c>
      <c r="J266" s="7" t="s">
        <v>25</v>
      </c>
      <c r="K266" s="7" t="s">
        <v>198</v>
      </c>
      <c r="L266" s="9">
        <v>45016</v>
      </c>
      <c r="M266" s="10">
        <v>0.4138425925925926</v>
      </c>
      <c r="N266" s="11">
        <v>204440003503729</v>
      </c>
      <c r="O266" s="7">
        <f>IF(LEN(TRIM($A266))=0,0,LEN($A266)-LEN(SUBSTITUTE($A266," ",""))+1)</f>
        <v>2</v>
      </c>
      <c r="P266">
        <f>IF(D266="", "", COUNTIF($D$1:$D$2273, D266))</f>
        <v>32</v>
      </c>
    </row>
    <row r="267" spans="1:16" ht="112" hidden="1" x14ac:dyDescent="0.2">
      <c r="A267" s="8" t="s">
        <v>397</v>
      </c>
      <c r="C267" s="7" t="s">
        <v>4</v>
      </c>
      <c r="F267" s="7" t="str">
        <f>IF(OR(E267="Success",E267="Qualified Success"),"Current",IF(E267="Failure",IF(RIGHT(D267,6)="Future","Future",IF(RIGHT(D267,10)="Irrelevant","Irrelevant","Current")),""))</f>
        <v/>
      </c>
      <c r="G267" s="7" t="str">
        <f>IF(OR(ISBLANK(D267),D267="Unclassifiable &gt;"),"",IF(ISNUMBER(SEARCH("Utterance",D267)),"Utterance",IF(ISNUMBER(SEARCH("Response",D267)),"Response",IF(ISNUMBER(SEARCH("Interaction",D267)),"Interaction",IF(ISNUMBER(SEARCH("System",D267)),"System","")))))</f>
        <v/>
      </c>
      <c r="K267" s="7" t="s">
        <v>198</v>
      </c>
      <c r="L267" s="9">
        <v>45016</v>
      </c>
      <c r="M267" s="10">
        <v>0.41385416666666663</v>
      </c>
      <c r="N267" s="11">
        <v>204440003503729</v>
      </c>
      <c r="P267" t="str">
        <f>IF(D267="", "", COUNTIF($D$1:$D$2273, D267))</f>
        <v/>
      </c>
    </row>
    <row r="268" spans="1:16" ht="16" hidden="1" x14ac:dyDescent="0.2">
      <c r="A268" s="36" t="s">
        <v>89</v>
      </c>
      <c r="C268" s="7" t="s">
        <v>2</v>
      </c>
      <c r="D268" s="7" t="s">
        <v>208</v>
      </c>
      <c r="E268" s="7" t="str">
        <f>IF(OR(D268="", D268="___"),"", LEFT(D268,FIND(" &gt;",D268)-1))</f>
        <v>Failure</v>
      </c>
      <c r="F268" s="7" t="str">
        <f>IF(OR(E268="Success",E268="Qualified Success"),"Current",IF(E268="Failure",IF(RIGHT(D268,6)="Future","Future",IF(RIGHT(D268,10)="Irrelevant","Irrelevant","Current")),""))</f>
        <v>Current</v>
      </c>
      <c r="G268" s="7" t="str">
        <f>IF(OR(ISBLANK(D268),D268="Unclassifiable &gt;"),"",IF(ISNUMBER(SEARCH("Utterance",D268)),"Utterance",IF(ISNUMBER(SEARCH("Response",D268)),"Response",IF(ISNUMBER(SEARCH("Interaction",D268)),"Interaction",IF(ISNUMBER(SEARCH("System",D268)),"System","")))))</f>
        <v>Utterance</v>
      </c>
      <c r="H268" s="7" t="str">
        <f>IF(G268="Utterance", IF(ISNUMBER(SEARCH("Unrecognized",D268)), "Unrecognized", IF(ISNUMBER(SEARCH("Mismatched",D268)), "Mismatched", IF(ISNUMBER(SEARCH("False Positive",D268)), "False Positive", "Irrelevant"))), "")</f>
        <v>Mismatched</v>
      </c>
      <c r="J268" s="7" t="s">
        <v>25</v>
      </c>
      <c r="K268" s="7" t="s">
        <v>198</v>
      </c>
      <c r="L268" s="9">
        <v>45016</v>
      </c>
      <c r="M268" s="10">
        <v>0.41414351851851849</v>
      </c>
      <c r="N268" s="11">
        <v>204440003503729</v>
      </c>
      <c r="O268" s="7">
        <f>IF(LEN(TRIM($A268))=0,0,LEN($A268)-LEN(SUBSTITUTE($A268," ",""))+1)</f>
        <v>1</v>
      </c>
      <c r="P268">
        <f>IF(D268="", "", COUNTIF($D$1:$D$2273, D268))</f>
        <v>32</v>
      </c>
    </row>
    <row r="269" spans="1:16" ht="112" hidden="1" x14ac:dyDescent="0.2">
      <c r="A269" s="8" t="s">
        <v>397</v>
      </c>
      <c r="C269" s="7" t="s">
        <v>4</v>
      </c>
      <c r="F269" s="7" t="str">
        <f>IF(OR(E269="Success",E269="Qualified Success"),"Current",IF(E269="Failure",IF(RIGHT(D269,6)="Future","Future",IF(RIGHT(D269,10)="Irrelevant","Irrelevant","Current")),""))</f>
        <v/>
      </c>
      <c r="G269" s="7" t="str">
        <f>IF(OR(ISBLANK(D269),D269="Unclassifiable &gt;"),"",IF(ISNUMBER(SEARCH("Utterance",D269)),"Utterance",IF(ISNUMBER(SEARCH("Response",D269)),"Response",IF(ISNUMBER(SEARCH("Interaction",D269)),"Interaction",IF(ISNUMBER(SEARCH("System",D269)),"System","")))))</f>
        <v/>
      </c>
      <c r="K269" s="7" t="s">
        <v>198</v>
      </c>
      <c r="L269" s="9">
        <v>45016</v>
      </c>
      <c r="M269" s="10">
        <v>0.41414351851851849</v>
      </c>
      <c r="N269" s="11">
        <v>204440003503729</v>
      </c>
      <c r="P269" t="str">
        <f>IF(D269="", "", COUNTIF($D$1:$D$2273, D269))</f>
        <v/>
      </c>
    </row>
    <row r="270" spans="1:16" ht="16" hidden="1" x14ac:dyDescent="0.2">
      <c r="A270" s="36" t="s">
        <v>88</v>
      </c>
      <c r="C270" s="7" t="s">
        <v>2</v>
      </c>
      <c r="D270" s="7" t="s">
        <v>208</v>
      </c>
      <c r="E270" s="7" t="str">
        <f>IF(OR(D270="", D270="___"),"", LEFT(D270,FIND(" &gt;",D270)-1))</f>
        <v>Failure</v>
      </c>
      <c r="F270" s="7" t="str">
        <f>IF(OR(E270="Success",E270="Qualified Success"),"Current",IF(E270="Failure",IF(RIGHT(D270,6)="Future","Future",IF(RIGHT(D270,10)="Irrelevant","Irrelevant","Current")),""))</f>
        <v>Current</v>
      </c>
      <c r="G270" s="7" t="str">
        <f>IF(OR(ISBLANK(D270),D270="Unclassifiable &gt;"),"",IF(ISNUMBER(SEARCH("Utterance",D270)),"Utterance",IF(ISNUMBER(SEARCH("Response",D270)),"Response",IF(ISNUMBER(SEARCH("Interaction",D270)),"Interaction",IF(ISNUMBER(SEARCH("System",D270)),"System","")))))</f>
        <v>Utterance</v>
      </c>
      <c r="H270" s="7" t="str">
        <f>IF(G270="Utterance", IF(ISNUMBER(SEARCH("Unrecognized",D270)), "Unrecognized", IF(ISNUMBER(SEARCH("Mismatched",D270)), "Mismatched", IF(ISNUMBER(SEARCH("False Positive",D270)), "False Positive", "Irrelevant"))), "")</f>
        <v>Mismatched</v>
      </c>
      <c r="J270" s="7" t="s">
        <v>25</v>
      </c>
      <c r="K270" s="7" t="s">
        <v>198</v>
      </c>
      <c r="L270" s="9">
        <v>45016</v>
      </c>
      <c r="M270" s="10">
        <v>0.41417824074074078</v>
      </c>
      <c r="N270" s="11">
        <v>204440003503729</v>
      </c>
      <c r="O270" s="7">
        <f>IF(LEN(TRIM($A270))=0,0,LEN($A270)-LEN(SUBSTITUTE($A270," ",""))+1)</f>
        <v>1</v>
      </c>
      <c r="P270">
        <f>IF(D270="", "", COUNTIF($D$1:$D$2273, D270))</f>
        <v>32</v>
      </c>
    </row>
    <row r="271" spans="1:16" ht="112" hidden="1" x14ac:dyDescent="0.2">
      <c r="A271" s="8" t="s">
        <v>397</v>
      </c>
      <c r="C271" s="7" t="s">
        <v>4</v>
      </c>
      <c r="F271" s="7" t="str">
        <f>IF(OR(E271="Success",E271="Qualified Success"),"Current",IF(E271="Failure",IF(RIGHT(D271,6)="Future","Future",IF(RIGHT(D271,10)="Irrelevant","Irrelevant","Current")),""))</f>
        <v/>
      </c>
      <c r="G271" s="7" t="str">
        <f>IF(OR(ISBLANK(D271),D271="Unclassifiable &gt;"),"",IF(ISNUMBER(SEARCH("Utterance",D271)),"Utterance",IF(ISNUMBER(SEARCH("Response",D271)),"Response",IF(ISNUMBER(SEARCH("Interaction",D271)),"Interaction",IF(ISNUMBER(SEARCH("System",D271)),"System","")))))</f>
        <v/>
      </c>
      <c r="K271" s="7" t="s">
        <v>198</v>
      </c>
      <c r="L271" s="9">
        <v>45016</v>
      </c>
      <c r="M271" s="10">
        <v>0.41417824074074078</v>
      </c>
      <c r="N271" s="11">
        <v>204440003503729</v>
      </c>
      <c r="P271" t="str">
        <f>IF(D271="", "", COUNTIF($D$1:$D$2273, D271))</f>
        <v/>
      </c>
    </row>
    <row r="272" spans="1:16" ht="16" hidden="1" x14ac:dyDescent="0.2">
      <c r="A272" s="36" t="s">
        <v>76</v>
      </c>
      <c r="C272" s="7" t="s">
        <v>2</v>
      </c>
      <c r="D272" s="7" t="s">
        <v>217</v>
      </c>
      <c r="E272" s="7" t="str">
        <f>IF(OR(D272="", D272="___"),"", LEFT(D272,FIND(" &gt;",D272)-1))</f>
        <v>Failure</v>
      </c>
      <c r="F272" s="7" t="str">
        <f>IF(OR(E272="Success",E272="Qualified Success"),"Current",IF(E272="Failure",IF(RIGHT(D272,6)="Future","Future",IF(RIGHT(D272,10)="Irrelevant","Irrelevant","Current")),""))</f>
        <v>Current</v>
      </c>
      <c r="G272" s="7" t="str">
        <f>IF(OR(ISBLANK(D272),D272="Unclassifiable &gt;"),"",IF(ISNUMBER(SEARCH("Utterance",D272)),"Utterance",IF(ISNUMBER(SEARCH("Response",D272)),"Response",IF(ISNUMBER(SEARCH("Interaction",D272)),"Interaction",IF(ISNUMBER(SEARCH("System",D272)),"System","")))))</f>
        <v>Interaction</v>
      </c>
      <c r="H272" s="7" t="str">
        <f>IF(G272="Utterance", IF(ISNUMBER(SEARCH("Unrecognized",D272)), "Unrecognized", IF(ISNUMBER(SEARCH("Mismatched",D272)), "Mismatched", IF(ISNUMBER(SEARCH("False Positive",D272)), "False Positive", "Irrelevant"))), "")</f>
        <v/>
      </c>
      <c r="J272" s="7" t="s">
        <v>249</v>
      </c>
      <c r="K272" s="7" t="s">
        <v>198</v>
      </c>
      <c r="L272" s="9">
        <v>45016</v>
      </c>
      <c r="M272" s="10">
        <v>0.41593750000000002</v>
      </c>
      <c r="N272" s="11">
        <v>202000125153759</v>
      </c>
      <c r="O272" s="7">
        <f>IF(LEN(TRIM($A272))=0,0,LEN($A272)-LEN(SUBSTITUTE($A272," ",""))+1)</f>
        <v>2</v>
      </c>
      <c r="P272">
        <f>IF(D272="", "", COUNTIF($D$1:$D$2273, D272))</f>
        <v>29</v>
      </c>
    </row>
    <row r="273" spans="1:16" ht="64" hidden="1" x14ac:dyDescent="0.2">
      <c r="A273" s="8" t="s">
        <v>422</v>
      </c>
      <c r="C273" s="7" t="s">
        <v>4</v>
      </c>
      <c r="F273" s="7" t="str">
        <f>IF(OR(E273="Success",E273="Qualified Success"),"Current",IF(E273="Failure",IF(RIGHT(D273,6)="Future","Future",IF(RIGHT(D273,10)="Irrelevant","Irrelevant","Current")),""))</f>
        <v/>
      </c>
      <c r="G273" s="7" t="str">
        <f>IF(OR(ISBLANK(D273),D273="Unclassifiable &gt;"),"",IF(ISNUMBER(SEARCH("Utterance",D273)),"Utterance",IF(ISNUMBER(SEARCH("Response",D273)),"Response",IF(ISNUMBER(SEARCH("Interaction",D273)),"Interaction",IF(ISNUMBER(SEARCH("System",D273)),"System","")))))</f>
        <v/>
      </c>
      <c r="K273" s="7" t="s">
        <v>198</v>
      </c>
      <c r="L273" s="9">
        <v>45016</v>
      </c>
      <c r="M273" s="10">
        <v>0.41594907407407411</v>
      </c>
      <c r="N273" s="11">
        <v>202000125153759</v>
      </c>
      <c r="P273" t="str">
        <f>IF(D273="", "", COUNTIF($D$1:$D$2273, D273))</f>
        <v/>
      </c>
    </row>
    <row r="274" spans="1:16" ht="16" hidden="1" x14ac:dyDescent="0.2">
      <c r="A274" s="36" t="s">
        <v>125</v>
      </c>
      <c r="C274" s="7" t="s">
        <v>2</v>
      </c>
      <c r="D274" s="7" t="s">
        <v>206</v>
      </c>
      <c r="E274" s="7" t="str">
        <f>IF(OR(D274="", D274="___"),"", LEFT(D274,FIND(" &gt;",D274)-1))</f>
        <v>Success</v>
      </c>
      <c r="F274" s="7" t="str">
        <f>IF(OR(E274="Success",E274="Qualified Success"),"Current",IF(E274="Failure",IF(RIGHT(D274,6)="Future","Future",IF(RIGHT(D274,10)="Irrelevant","Irrelevant","Current")),""))</f>
        <v>Current</v>
      </c>
      <c r="G274" s="7" t="str">
        <f>IF(OR(ISBLANK(D274),D274="Unclassifiable &gt;"),"",IF(ISNUMBER(SEARCH("Utterance",D274)),"Utterance",IF(ISNUMBER(SEARCH("Response",D274)),"Response",IF(ISNUMBER(SEARCH("Interaction",D274)),"Interaction",IF(ISNUMBER(SEARCH("System",D274)),"System","")))))</f>
        <v/>
      </c>
      <c r="H274" s="7" t="str">
        <f>IF(G274="Utterance", IF(ISNUMBER(SEARCH("Unrecognized",D274)), "Unrecognized", IF(ISNUMBER(SEARCH("Mismatched",D274)), "Mismatched", IF(ISNUMBER(SEARCH("False Positive",D274)), "False Positive", "Irrelevant"))), "")</f>
        <v/>
      </c>
      <c r="J274" s="7" t="s">
        <v>330</v>
      </c>
      <c r="K274" s="7" t="s">
        <v>198</v>
      </c>
      <c r="L274" s="9">
        <v>45016</v>
      </c>
      <c r="M274" s="10">
        <v>0.41614583333333338</v>
      </c>
      <c r="N274" s="11">
        <v>202000125153759</v>
      </c>
      <c r="O274" s="7">
        <f>IF(LEN(TRIM($A274))=0,0,LEN($A274)-LEN(SUBSTITUTE($A274," ",""))+1)</f>
        <v>2</v>
      </c>
      <c r="P274">
        <f>IF(D274="", "", COUNTIF($D$1:$D$2273, D274))</f>
        <v>176</v>
      </c>
    </row>
    <row r="275" spans="1:16" ht="64" hidden="1" x14ac:dyDescent="0.2">
      <c r="A275" s="8" t="s">
        <v>426</v>
      </c>
      <c r="C275" s="7" t="s">
        <v>4</v>
      </c>
      <c r="F275" s="7" t="str">
        <f>IF(OR(E275="Success",E275="Qualified Success"),"Current",IF(E275="Failure",IF(RIGHT(D275,6)="Future","Future",IF(RIGHT(D275,10)="Irrelevant","Irrelevant","Current")),""))</f>
        <v/>
      </c>
      <c r="G275" s="7" t="str">
        <f>IF(OR(ISBLANK(D275),D275="Unclassifiable &gt;"),"",IF(ISNUMBER(SEARCH("Utterance",D275)),"Utterance",IF(ISNUMBER(SEARCH("Response",D275)),"Response",IF(ISNUMBER(SEARCH("Interaction",D275)),"Interaction",IF(ISNUMBER(SEARCH("System",D275)),"System","")))))</f>
        <v/>
      </c>
      <c r="K275" s="7" t="s">
        <v>198</v>
      </c>
      <c r="L275" s="9">
        <v>45016</v>
      </c>
      <c r="M275" s="10">
        <v>0.41614583333333338</v>
      </c>
      <c r="N275" s="11">
        <v>202000125153759</v>
      </c>
      <c r="P275" t="str">
        <f>IF(D275="", "", COUNTIF($D$1:$D$2273, D275))</f>
        <v/>
      </c>
    </row>
    <row r="276" spans="1:16" ht="16" hidden="1" x14ac:dyDescent="0.2">
      <c r="A276" s="36" t="s">
        <v>15</v>
      </c>
      <c r="C276" s="7" t="s">
        <v>2</v>
      </c>
      <c r="D276" s="7" t="s">
        <v>208</v>
      </c>
      <c r="E276" s="7" t="str">
        <f>IF(OR(D276="", D276="___"),"", LEFT(D276,FIND(" &gt;",D276)-1))</f>
        <v>Failure</v>
      </c>
      <c r="F276" s="7" t="str">
        <f>IF(OR(E276="Success",E276="Qualified Success"),"Current",IF(E276="Failure",IF(RIGHT(D276,6)="Future","Future",IF(RIGHT(D276,10)="Irrelevant","Irrelevant","Current")),""))</f>
        <v>Current</v>
      </c>
      <c r="G276" s="7" t="str">
        <f>IF(OR(ISBLANK(D276),D276="Unclassifiable &gt;"),"",IF(ISNUMBER(SEARCH("Utterance",D276)),"Utterance",IF(ISNUMBER(SEARCH("Response",D276)),"Response",IF(ISNUMBER(SEARCH("Interaction",D276)),"Interaction",IF(ISNUMBER(SEARCH("System",D276)),"System","")))))</f>
        <v>Utterance</v>
      </c>
      <c r="H276" s="7" t="str">
        <f>IF(G276="Utterance", IF(ISNUMBER(SEARCH("Unrecognized",D276)), "Unrecognized", IF(ISNUMBER(SEARCH("Mismatched",D276)), "Mismatched", IF(ISNUMBER(SEARCH("False Positive",D276)), "False Positive", "Irrelevant"))), "")</f>
        <v>Mismatched</v>
      </c>
      <c r="J276" s="7" t="s">
        <v>330</v>
      </c>
      <c r="K276" s="7" t="s">
        <v>198</v>
      </c>
      <c r="L276" s="9">
        <v>45016</v>
      </c>
      <c r="M276" s="10">
        <v>0.41697916666666668</v>
      </c>
      <c r="N276" s="11">
        <v>202000125153759</v>
      </c>
      <c r="O276" s="7">
        <f>IF(LEN(TRIM($A276))=0,0,LEN($A276)-LEN(SUBSTITUTE($A276," ",""))+1)</f>
        <v>3</v>
      </c>
      <c r="P276">
        <f>IF(D276="", "", COUNTIF($D$1:$D$2273, D276))</f>
        <v>32</v>
      </c>
    </row>
    <row r="277" spans="1:16" ht="16" hidden="1" x14ac:dyDescent="0.2">
      <c r="A277" s="8" t="s">
        <v>12</v>
      </c>
      <c r="C277" s="7" t="s">
        <v>4</v>
      </c>
      <c r="F277" s="7" t="str">
        <f>IF(OR(E277="Success",E277="Qualified Success"),"Current",IF(E277="Failure",IF(RIGHT(D277,6)="Future","Future",IF(RIGHT(D277,10)="Irrelevant","Irrelevant","Current")),""))</f>
        <v/>
      </c>
      <c r="G277" s="7" t="str">
        <f>IF(OR(ISBLANK(D277),D277="Unclassifiable &gt;"),"",IF(ISNUMBER(SEARCH("Utterance",D277)),"Utterance",IF(ISNUMBER(SEARCH("Response",D277)),"Response",IF(ISNUMBER(SEARCH("Interaction",D277)),"Interaction",IF(ISNUMBER(SEARCH("System",D277)),"System","")))))</f>
        <v/>
      </c>
      <c r="K277" s="7" t="s">
        <v>198</v>
      </c>
      <c r="L277" s="9">
        <v>45016</v>
      </c>
      <c r="M277" s="10">
        <v>0.41699074074074072</v>
      </c>
      <c r="N277" s="11">
        <v>202000125153759</v>
      </c>
      <c r="P277" t="str">
        <f>IF(D277="", "", COUNTIF($D$1:$D$2273, D277))</f>
        <v/>
      </c>
    </row>
    <row r="278" spans="1:16" ht="48" hidden="1" x14ac:dyDescent="0.2">
      <c r="A278" s="8" t="s">
        <v>5</v>
      </c>
      <c r="C278" s="7" t="s">
        <v>4</v>
      </c>
      <c r="F278" s="7" t="str">
        <f>IF(OR(E278="Success",E278="Qualified Success"),"Current",IF(E278="Failure",IF(RIGHT(D278,6)="Future","Future",IF(RIGHT(D278,10)="Irrelevant","Irrelevant","Current")),""))</f>
        <v/>
      </c>
      <c r="G278" s="7" t="str">
        <f>IF(OR(ISBLANK(D278),D278="Unclassifiable &gt;"),"",IF(ISNUMBER(SEARCH("Utterance",D278)),"Utterance",IF(ISNUMBER(SEARCH("Response",D278)),"Response",IF(ISNUMBER(SEARCH("Interaction",D278)),"Interaction",IF(ISNUMBER(SEARCH("System",D278)),"System","")))))</f>
        <v/>
      </c>
      <c r="K278" s="7" t="s">
        <v>198</v>
      </c>
      <c r="L278" s="9">
        <v>45016</v>
      </c>
      <c r="M278" s="10">
        <v>0.41699074074074072</v>
      </c>
      <c r="N278" s="11">
        <v>202000125153759</v>
      </c>
      <c r="P278" t="str">
        <f>IF(D278="", "", COUNTIF($D$1:$D$2273, D278))</f>
        <v/>
      </c>
    </row>
    <row r="279" spans="1:16" ht="192" hidden="1" x14ac:dyDescent="0.2">
      <c r="A279" s="8" t="s">
        <v>455</v>
      </c>
      <c r="C279" s="7" t="s">
        <v>4</v>
      </c>
      <c r="F279" s="7" t="str">
        <f>IF(OR(E279="Success",E279="Qualified Success"),"Current",IF(E279="Failure",IF(RIGHT(D279,6)="Future","Future",IF(RIGHT(D279,10)="Irrelevant","Irrelevant","Current")),""))</f>
        <v/>
      </c>
      <c r="G279" s="7" t="str">
        <f>IF(OR(ISBLANK(D279),D279="Unclassifiable &gt;"),"",IF(ISNUMBER(SEARCH("Utterance",D279)),"Utterance",IF(ISNUMBER(SEARCH("Response",D279)),"Response",IF(ISNUMBER(SEARCH("Interaction",D279)),"Interaction",IF(ISNUMBER(SEARCH("System",D279)),"System","")))))</f>
        <v/>
      </c>
      <c r="K279" s="7" t="s">
        <v>198</v>
      </c>
      <c r="L279" s="9">
        <v>45016</v>
      </c>
      <c r="M279" s="10">
        <v>0.41699074074074072</v>
      </c>
      <c r="N279" s="11">
        <v>202000125153759</v>
      </c>
      <c r="P279" t="str">
        <f>IF(D279="", "", COUNTIF($D$1:$D$2273, D279))</f>
        <v/>
      </c>
    </row>
    <row r="280" spans="1:16" ht="16" hidden="1" x14ac:dyDescent="0.2">
      <c r="A280" s="36" t="s">
        <v>13</v>
      </c>
      <c r="C280" s="7" t="s">
        <v>2</v>
      </c>
      <c r="D280" s="7" t="s">
        <v>222</v>
      </c>
      <c r="E280" s="7" t="str">
        <f>IF(OR(D280="", D280="___"),"", LEFT(D280,FIND(" &gt;",D280)-1))</f>
        <v>Failure</v>
      </c>
      <c r="F280" s="7" t="str">
        <f>IF(OR(E280="Success",E280="Qualified Success"),"Current",IF(E280="Failure",IF(RIGHT(D280,6)="Future","Future",IF(RIGHT(D280,10)="Irrelevant","Irrelevant","Current")),""))</f>
        <v>Current</v>
      </c>
      <c r="G280" s="7" t="str">
        <f>IF(OR(ISBLANK(D280),D280="Unclassifiable &gt;"),"",IF(ISNUMBER(SEARCH("Utterance",D280)),"Utterance",IF(ISNUMBER(SEARCH("Response",D280)),"Response",IF(ISNUMBER(SEARCH("Interaction",D280)),"Interaction",IF(ISNUMBER(SEARCH("System",D280)),"System","")))))</f>
        <v>System</v>
      </c>
      <c r="H280" s="7" t="str">
        <f>IF(G280="Utterance", IF(ISNUMBER(SEARCH("Unrecognized",D280)), "Unrecognized", IF(ISNUMBER(SEARCH("Mismatched",D280)), "Mismatched", IF(ISNUMBER(SEARCH("False Positive",D280)), "False Positive", "Irrelevant"))), "")</f>
        <v/>
      </c>
      <c r="I280" s="7" t="s">
        <v>258</v>
      </c>
      <c r="J280" s="7" t="s">
        <v>25</v>
      </c>
      <c r="K280" s="7" t="s">
        <v>198</v>
      </c>
      <c r="L280" s="9">
        <v>45016</v>
      </c>
      <c r="M280" s="10">
        <v>0.41714120370370367</v>
      </c>
      <c r="N280" s="11">
        <v>202000125153759</v>
      </c>
      <c r="O280" s="7">
        <f>IF(LEN(TRIM($A280))=0,0,LEN($A280)-LEN(SUBSTITUTE($A280," ",""))+1)</f>
        <v>1</v>
      </c>
      <c r="P280">
        <f>IF(D280="", "", COUNTIF($D$1:$D$2273, D280))</f>
        <v>10</v>
      </c>
    </row>
    <row r="281" spans="1:16" ht="16" hidden="1" x14ac:dyDescent="0.2">
      <c r="A281" s="8" t="s">
        <v>11</v>
      </c>
      <c r="C281" s="7" t="s">
        <v>4</v>
      </c>
      <c r="F281" s="7" t="str">
        <f>IF(OR(E281="Success",E281="Qualified Success"),"Current",IF(E281="Failure",IF(RIGHT(D281,6)="Future","Future",IF(RIGHT(D281,10)="Irrelevant","Irrelevant","Current")),""))</f>
        <v/>
      </c>
      <c r="G281" s="7" t="str">
        <f>IF(OR(ISBLANK(D281),D281="Unclassifiable &gt;"),"",IF(ISNUMBER(SEARCH("Utterance",D281)),"Utterance",IF(ISNUMBER(SEARCH("Response",D281)),"Response",IF(ISNUMBER(SEARCH("Interaction",D281)),"Interaction",IF(ISNUMBER(SEARCH("System",D281)),"System","")))))</f>
        <v/>
      </c>
      <c r="K281" s="7" t="s">
        <v>198</v>
      </c>
      <c r="L281" s="9">
        <v>45016</v>
      </c>
      <c r="M281" s="10">
        <v>0.41783564814814816</v>
      </c>
      <c r="N281" s="11">
        <v>202000125153759</v>
      </c>
      <c r="P281" t="str">
        <f>IF(D281="", "", COUNTIF($D$1:$D$2273, D281))</f>
        <v/>
      </c>
    </row>
    <row r="282" spans="1:16" ht="16" hidden="1" x14ac:dyDescent="0.2">
      <c r="A282" s="36" t="s">
        <v>14</v>
      </c>
      <c r="C282" s="7" t="s">
        <v>2</v>
      </c>
      <c r="D282" s="7" t="s">
        <v>208</v>
      </c>
      <c r="E282" s="7" t="str">
        <f>IF(OR(D282="", D282="___"),"", LEFT(D282,FIND(" &gt;",D282)-1))</f>
        <v>Failure</v>
      </c>
      <c r="F282" s="7" t="str">
        <f>IF(OR(E282="Success",E282="Qualified Success"),"Current",IF(E282="Failure",IF(RIGHT(D282,6)="Future","Future",IF(RIGHT(D282,10)="Irrelevant","Irrelevant","Current")),""))</f>
        <v>Current</v>
      </c>
      <c r="G282" s="7" t="str">
        <f>IF(OR(ISBLANK(D282),D282="Unclassifiable &gt;"),"",IF(ISNUMBER(SEARCH("Utterance",D282)),"Utterance",IF(ISNUMBER(SEARCH("Response",D282)),"Response",IF(ISNUMBER(SEARCH("Interaction",D282)),"Interaction",IF(ISNUMBER(SEARCH("System",D282)),"System","")))))</f>
        <v>Utterance</v>
      </c>
      <c r="H282" s="7" t="str">
        <f>IF(G282="Utterance", IF(ISNUMBER(SEARCH("Unrecognized",D282)), "Unrecognized", IF(ISNUMBER(SEARCH("Mismatched",D282)), "Mismatched", IF(ISNUMBER(SEARCH("False Positive",D282)), "False Positive", "Irrelevant"))), "")</f>
        <v>Mismatched</v>
      </c>
      <c r="J282" s="7" t="s">
        <v>330</v>
      </c>
      <c r="K282" s="7" t="s">
        <v>198</v>
      </c>
      <c r="L282" s="9">
        <v>45016</v>
      </c>
      <c r="M282" s="10">
        <v>0.41966435185185186</v>
      </c>
      <c r="N282" s="11">
        <v>202000125153759</v>
      </c>
      <c r="O282" s="7">
        <f>IF(LEN(TRIM($A282))=0,0,LEN($A282)-LEN(SUBSTITUTE($A282," ",""))+1)</f>
        <v>6</v>
      </c>
      <c r="P282">
        <f>IF(D282="", "", COUNTIF($D$1:$D$2273, D282))</f>
        <v>32</v>
      </c>
    </row>
    <row r="283" spans="1:16" ht="16" hidden="1" x14ac:dyDescent="0.2">
      <c r="A283" s="8" t="s">
        <v>12</v>
      </c>
      <c r="C283" s="7" t="s">
        <v>4</v>
      </c>
      <c r="F283" s="7" t="str">
        <f>IF(OR(E283="Success",E283="Qualified Success"),"Current",IF(E283="Failure",IF(RIGHT(D283,6)="Future","Future",IF(RIGHT(D283,10)="Irrelevant","Irrelevant","Current")),""))</f>
        <v/>
      </c>
      <c r="G283" s="7" t="str">
        <f>IF(OR(ISBLANK(D283),D283="Unclassifiable &gt;"),"",IF(ISNUMBER(SEARCH("Utterance",D283)),"Utterance",IF(ISNUMBER(SEARCH("Response",D283)),"Response",IF(ISNUMBER(SEARCH("Interaction",D283)),"Interaction",IF(ISNUMBER(SEARCH("System",D283)),"System","")))))</f>
        <v/>
      </c>
      <c r="K283" s="7" t="s">
        <v>198</v>
      </c>
      <c r="L283" s="9">
        <v>45016</v>
      </c>
      <c r="M283" s="10">
        <v>0.41967592592592595</v>
      </c>
      <c r="N283" s="11">
        <v>202000125153759</v>
      </c>
      <c r="P283" t="str">
        <f>IF(D283="", "", COUNTIF($D$1:$D$2273, D283))</f>
        <v/>
      </c>
    </row>
    <row r="284" spans="1:16" ht="48" hidden="1" x14ac:dyDescent="0.2">
      <c r="A284" s="8" t="s">
        <v>5</v>
      </c>
      <c r="C284" s="7" t="s">
        <v>4</v>
      </c>
      <c r="F284" s="7" t="str">
        <f>IF(OR(E284="Success",E284="Qualified Success"),"Current",IF(E284="Failure",IF(RIGHT(D284,6)="Future","Future",IF(RIGHT(D284,10)="Irrelevant","Irrelevant","Current")),""))</f>
        <v/>
      </c>
      <c r="G284" s="7" t="str">
        <f>IF(OR(ISBLANK(D284),D284="Unclassifiable &gt;"),"",IF(ISNUMBER(SEARCH("Utterance",D284)),"Utterance",IF(ISNUMBER(SEARCH("Response",D284)),"Response",IF(ISNUMBER(SEARCH("Interaction",D284)),"Interaction",IF(ISNUMBER(SEARCH("System",D284)),"System","")))))</f>
        <v/>
      </c>
      <c r="K284" s="7" t="s">
        <v>198</v>
      </c>
      <c r="L284" s="9">
        <v>45016</v>
      </c>
      <c r="M284" s="10">
        <v>0.41967592592592595</v>
      </c>
      <c r="N284" s="11">
        <v>202000125153759</v>
      </c>
      <c r="P284" t="str">
        <f>IF(D284="", "", COUNTIF($D$1:$D$2273, D284))</f>
        <v/>
      </c>
    </row>
    <row r="285" spans="1:16" ht="192" hidden="1" x14ac:dyDescent="0.2">
      <c r="A285" s="8" t="s">
        <v>455</v>
      </c>
      <c r="C285" s="7" t="s">
        <v>4</v>
      </c>
      <c r="F285" s="7" t="str">
        <f>IF(OR(E285="Success",E285="Qualified Success"),"Current",IF(E285="Failure",IF(RIGHT(D285,6)="Future","Future",IF(RIGHT(D285,10)="Irrelevant","Irrelevant","Current")),""))</f>
        <v/>
      </c>
      <c r="G285" s="7" t="str">
        <f>IF(OR(ISBLANK(D285),D285="Unclassifiable &gt;"),"",IF(ISNUMBER(SEARCH("Utterance",D285)),"Utterance",IF(ISNUMBER(SEARCH("Response",D285)),"Response",IF(ISNUMBER(SEARCH("Interaction",D285)),"Interaction",IF(ISNUMBER(SEARCH("System",D285)),"System","")))))</f>
        <v/>
      </c>
      <c r="K285" s="7" t="s">
        <v>198</v>
      </c>
      <c r="L285" s="9">
        <v>45016</v>
      </c>
      <c r="M285" s="10">
        <v>0.41967592592592595</v>
      </c>
      <c r="N285" s="11">
        <v>202000125153759</v>
      </c>
      <c r="P285" t="str">
        <f>IF(D285="", "", COUNTIF($D$1:$D$2273, D285))</f>
        <v/>
      </c>
    </row>
    <row r="286" spans="1:16" ht="16" hidden="1" x14ac:dyDescent="0.2">
      <c r="A286" s="36" t="s">
        <v>13</v>
      </c>
      <c r="C286" s="7" t="s">
        <v>2</v>
      </c>
      <c r="D286" s="7" t="s">
        <v>222</v>
      </c>
      <c r="E286" s="7" t="str">
        <f>IF(OR(D286="", D286="___"),"", LEFT(D286,FIND(" &gt;",D286)-1))</f>
        <v>Failure</v>
      </c>
      <c r="F286" s="7" t="str">
        <f>IF(OR(E286="Success",E286="Qualified Success"),"Current",IF(E286="Failure",IF(RIGHT(D286,6)="Future","Future",IF(RIGHT(D286,10)="Irrelevant","Irrelevant","Current")),""))</f>
        <v>Current</v>
      </c>
      <c r="G286" s="7" t="str">
        <f>IF(OR(ISBLANK(D286),D286="Unclassifiable &gt;"),"",IF(ISNUMBER(SEARCH("Utterance",D286)),"Utterance",IF(ISNUMBER(SEARCH("Response",D286)),"Response",IF(ISNUMBER(SEARCH("Interaction",D286)),"Interaction",IF(ISNUMBER(SEARCH("System",D286)),"System","")))))</f>
        <v>System</v>
      </c>
      <c r="H286" s="7" t="str">
        <f>IF(G286="Utterance", IF(ISNUMBER(SEARCH("Unrecognized",D286)), "Unrecognized", IF(ISNUMBER(SEARCH("Mismatched",D286)), "Mismatched", IF(ISNUMBER(SEARCH("False Positive",D286)), "False Positive", "Irrelevant"))), "")</f>
        <v/>
      </c>
      <c r="I286" s="7" t="s">
        <v>258</v>
      </c>
      <c r="J286" s="7" t="s">
        <v>25</v>
      </c>
      <c r="K286" s="7" t="s">
        <v>198</v>
      </c>
      <c r="L286" s="9">
        <v>45016</v>
      </c>
      <c r="M286" s="10">
        <v>0.41975694444444445</v>
      </c>
      <c r="N286" s="11">
        <v>202000125153759</v>
      </c>
      <c r="O286" s="7">
        <f>IF(LEN(TRIM($A286))=0,0,LEN($A286)-LEN(SUBSTITUTE($A286," ",""))+1)</f>
        <v>1</v>
      </c>
      <c r="P286">
        <f>IF(D286="", "", COUNTIF($D$1:$D$2273, D286))</f>
        <v>10</v>
      </c>
    </row>
    <row r="287" spans="1:16" ht="16" hidden="1" x14ac:dyDescent="0.2">
      <c r="A287" s="8" t="s">
        <v>11</v>
      </c>
      <c r="C287" s="7" t="s">
        <v>4</v>
      </c>
      <c r="F287" s="7" t="str">
        <f>IF(OR(E287="Success",E287="Qualified Success"),"Current",IF(E287="Failure",IF(RIGHT(D287,6)="Future","Future",IF(RIGHT(D287,10)="Irrelevant","Irrelevant","Current")),""))</f>
        <v/>
      </c>
      <c r="G287" s="7" t="str">
        <f>IF(OR(ISBLANK(D287),D287="Unclassifiable &gt;"),"",IF(ISNUMBER(SEARCH("Utterance",D287)),"Utterance",IF(ISNUMBER(SEARCH("Response",D287)),"Response",IF(ISNUMBER(SEARCH("Interaction",D287)),"Interaction",IF(ISNUMBER(SEARCH("System",D287)),"System","")))))</f>
        <v/>
      </c>
      <c r="K287" s="7" t="s">
        <v>198</v>
      </c>
      <c r="L287" s="9">
        <v>45016</v>
      </c>
      <c r="M287" s="10">
        <v>0.42045138888888894</v>
      </c>
      <c r="N287" s="11">
        <v>202000125153759</v>
      </c>
      <c r="P287" t="str">
        <f>IF(D287="", "", COUNTIF($D$1:$D$2273, D287))</f>
        <v/>
      </c>
    </row>
    <row r="288" spans="1:16" ht="16" hidden="1" x14ac:dyDescent="0.2">
      <c r="A288" s="36" t="s">
        <v>21</v>
      </c>
      <c r="B288" s="7" t="s">
        <v>296</v>
      </c>
      <c r="C288" s="7" t="s">
        <v>2</v>
      </c>
      <c r="D288" s="7" t="s">
        <v>206</v>
      </c>
      <c r="E288" s="7" t="str">
        <f>IF(OR(D288="", D288="___"),"", LEFT(D288,FIND(" &gt;",D288)-1))</f>
        <v>Success</v>
      </c>
      <c r="F288" s="7" t="str">
        <f>IF(OR(E288="Success",E288="Qualified Success"),"Current",IF(E288="Failure",IF(RIGHT(D288,6)="Future","Future",IF(RIGHT(D288,10)="Irrelevant","Irrelevant","Current")),""))</f>
        <v>Current</v>
      </c>
      <c r="G288" s="7" t="str">
        <f>IF(OR(ISBLANK(D288),D288="Unclassifiable &gt;"),"",IF(ISNUMBER(SEARCH("Utterance",D288)),"Utterance",IF(ISNUMBER(SEARCH("Response",D288)),"Response",IF(ISNUMBER(SEARCH("Interaction",D288)),"Interaction",IF(ISNUMBER(SEARCH("System",D288)),"System","")))))</f>
        <v/>
      </c>
      <c r="H288" s="7" t="str">
        <f>IF(G288="Utterance", IF(ISNUMBER(SEARCH("Unrecognized",D288)), "Unrecognized", IF(ISNUMBER(SEARCH("Mismatched",D288)), "Mismatched", IF(ISNUMBER(SEARCH("False Positive",D288)), "False Positive", "Irrelevant"))), "")</f>
        <v/>
      </c>
      <c r="J288" s="7" t="s">
        <v>332</v>
      </c>
      <c r="K288" s="7" t="s">
        <v>198</v>
      </c>
      <c r="L288" s="9">
        <v>45016</v>
      </c>
      <c r="M288" s="10">
        <v>0.4213425925925926</v>
      </c>
      <c r="N288" s="11">
        <v>513002122710469</v>
      </c>
      <c r="O288" s="7">
        <f>IF(LEN(TRIM($A288))=0,0,LEN($A288)-LEN(SUBSTITUTE($A288," ",""))+1)</f>
        <v>4</v>
      </c>
      <c r="P288">
        <f>IF(D288="", "", COUNTIF($D$1:$D$2273, D288))</f>
        <v>176</v>
      </c>
    </row>
    <row r="289" spans="1:16" ht="48" hidden="1" x14ac:dyDescent="0.2">
      <c r="A289" s="8" t="s">
        <v>383</v>
      </c>
      <c r="C289" s="7" t="s">
        <v>4</v>
      </c>
      <c r="F289" s="7" t="str">
        <f>IF(OR(E289="Success",E289="Qualified Success"),"Current",IF(E289="Failure",IF(RIGHT(D289,6)="Future","Future",IF(RIGHT(D289,10)="Irrelevant","Irrelevant","Current")),""))</f>
        <v/>
      </c>
      <c r="G289" s="7" t="str">
        <f>IF(OR(ISBLANK(D289),D289="Unclassifiable &gt;"),"",IF(ISNUMBER(SEARCH("Utterance",D289)),"Utterance",IF(ISNUMBER(SEARCH("Response",D289)),"Response",IF(ISNUMBER(SEARCH("Interaction",D289)),"Interaction",IF(ISNUMBER(SEARCH("System",D289)),"System","")))))</f>
        <v/>
      </c>
      <c r="K289" s="7" t="s">
        <v>198</v>
      </c>
      <c r="L289" s="9">
        <v>45016</v>
      </c>
      <c r="M289" s="10">
        <v>0.4213425925925926</v>
      </c>
      <c r="N289" s="11">
        <v>513002122710469</v>
      </c>
      <c r="P289" t="str">
        <f>IF(D289="", "", COUNTIF($D$1:$D$2273, D289))</f>
        <v/>
      </c>
    </row>
    <row r="290" spans="1:16" ht="16" hidden="1" x14ac:dyDescent="0.2">
      <c r="A290" s="36" t="s">
        <v>144</v>
      </c>
      <c r="C290" s="7" t="s">
        <v>2</v>
      </c>
      <c r="D290" s="7" t="s">
        <v>217</v>
      </c>
      <c r="E290" s="7" t="str">
        <f>IF(OR(D290="", D290="___"),"", LEFT(D290,FIND(" &gt;",D290)-1))</f>
        <v>Failure</v>
      </c>
      <c r="F290" s="7" t="str">
        <f>IF(OR(E290="Success",E290="Qualified Success"),"Current",IF(E290="Failure",IF(RIGHT(D290,6)="Future","Future",IF(RIGHT(D290,10)="Irrelevant","Irrelevant","Current")),""))</f>
        <v>Current</v>
      </c>
      <c r="G290" s="7" t="str">
        <f>IF(OR(ISBLANK(D290),D290="Unclassifiable &gt;"),"",IF(ISNUMBER(SEARCH("Utterance",D290)),"Utterance",IF(ISNUMBER(SEARCH("Response",D290)),"Response",IF(ISNUMBER(SEARCH("Interaction",D290)),"Interaction",IF(ISNUMBER(SEARCH("System",D290)),"System","")))))</f>
        <v>Interaction</v>
      </c>
      <c r="H290" s="7" t="str">
        <f>IF(G290="Utterance", IF(ISNUMBER(SEARCH("Unrecognized",D290)), "Unrecognized", IF(ISNUMBER(SEARCH("Mismatched",D290)), "Mismatched", IF(ISNUMBER(SEARCH("False Positive",D290)), "False Positive", "Irrelevant"))), "")</f>
        <v/>
      </c>
      <c r="J290" s="7" t="s">
        <v>329</v>
      </c>
      <c r="K290" s="7" t="s">
        <v>198</v>
      </c>
      <c r="L290" s="9">
        <v>45016</v>
      </c>
      <c r="M290" s="10">
        <v>0.42152777777777778</v>
      </c>
      <c r="N290" s="11">
        <v>202000426123599</v>
      </c>
      <c r="O290" s="7">
        <f>IF(LEN(TRIM($A290))=0,0,LEN($A290)-LEN(SUBSTITUTE($A290," ",""))+1)</f>
        <v>19</v>
      </c>
      <c r="P290">
        <f>IF(D290="", "", COUNTIF($D$1:$D$2273, D290))</f>
        <v>29</v>
      </c>
    </row>
    <row r="291" spans="1:16" ht="144" hidden="1" x14ac:dyDescent="0.2">
      <c r="A291" s="8" t="s">
        <v>385</v>
      </c>
      <c r="C291" s="7" t="s">
        <v>4</v>
      </c>
      <c r="F291" s="7" t="str">
        <f>IF(OR(E291="Success",E291="Qualified Success"),"Current",IF(E291="Failure",IF(RIGHT(D291,6)="Future","Future",IF(RIGHT(D291,10)="Irrelevant","Irrelevant","Current")),""))</f>
        <v/>
      </c>
      <c r="G291" s="7" t="str">
        <f>IF(OR(ISBLANK(D291),D291="Unclassifiable &gt;"),"",IF(ISNUMBER(SEARCH("Utterance",D291)),"Utterance",IF(ISNUMBER(SEARCH("Response",D291)),"Response",IF(ISNUMBER(SEARCH("Interaction",D291)),"Interaction",IF(ISNUMBER(SEARCH("System",D291)),"System","")))))</f>
        <v/>
      </c>
      <c r="K291" s="7" t="s">
        <v>198</v>
      </c>
      <c r="L291" s="9">
        <v>45016</v>
      </c>
      <c r="M291" s="10">
        <v>0.42155092592592597</v>
      </c>
      <c r="N291" s="11">
        <v>202000426123599</v>
      </c>
      <c r="P291" t="str">
        <f>IF(D291="", "", COUNTIF($D$1:$D$2273, D291))</f>
        <v/>
      </c>
    </row>
    <row r="292" spans="1:16" ht="16" hidden="1" x14ac:dyDescent="0.2">
      <c r="A292" s="36" t="s">
        <v>197</v>
      </c>
      <c r="C292" s="7" t="s">
        <v>2</v>
      </c>
      <c r="D292" s="7" t="s">
        <v>225</v>
      </c>
      <c r="E292" s="7" t="str">
        <f>IF(OR(D292="", D292="___"),"", LEFT(D292,FIND(" &gt;",D292)-1))</f>
        <v>Qualified Success</v>
      </c>
      <c r="F292" s="7" t="str">
        <f>IF(OR(E292="Success",E292="Qualified Success"),"Current",IF(E292="Failure",IF(RIGHT(D292,6)="Future","Future",IF(RIGHT(D292,10)="Irrelevant","Irrelevant","Current")),""))</f>
        <v>Current</v>
      </c>
      <c r="G292" s="7" t="str">
        <f>IF(OR(ISBLANK(D292),D292="Unclassifiable &gt;"),"",IF(ISNUMBER(SEARCH("Utterance",D292)),"Utterance",IF(ISNUMBER(SEARCH("Response",D292)),"Response",IF(ISNUMBER(SEARCH("Interaction",D292)),"Interaction",IF(ISNUMBER(SEARCH("System",D292)),"System","")))))</f>
        <v>Response</v>
      </c>
      <c r="H292" s="7" t="str">
        <f>IF(G292="Utterance", IF(ISNUMBER(SEARCH("Unrecognized",D292)), "Unrecognized", IF(ISNUMBER(SEARCH("Mismatched",D292)), "Mismatched", IF(ISNUMBER(SEARCH("False Positive",D292)), "False Positive", "Irrelevant"))), "")</f>
        <v/>
      </c>
      <c r="J292" s="7" t="s">
        <v>246</v>
      </c>
      <c r="K292" s="7" t="s">
        <v>198</v>
      </c>
      <c r="L292" s="9">
        <v>45016</v>
      </c>
      <c r="M292" s="10">
        <v>0.42655092592592592</v>
      </c>
      <c r="N292" s="11">
        <v>513003533538115</v>
      </c>
      <c r="O292" s="7">
        <f>IF(LEN(TRIM($A292))=0,0,LEN($A292)-LEN(SUBSTITUTE($A292," ",""))+1)</f>
        <v>5</v>
      </c>
      <c r="P292">
        <f>IF(D292="", "", COUNTIF($D$1:$D$2273, D292))</f>
        <v>1</v>
      </c>
    </row>
    <row r="293" spans="1:16" ht="80" hidden="1" x14ac:dyDescent="0.2">
      <c r="A293" s="8" t="s">
        <v>409</v>
      </c>
      <c r="C293" s="7" t="s">
        <v>4</v>
      </c>
      <c r="F293" s="7" t="str">
        <f>IF(OR(E293="Success",E293="Qualified Success"),"Current",IF(E293="Failure",IF(RIGHT(D293,6)="Future","Future",IF(RIGHT(D293,10)="Irrelevant","Irrelevant","Current")),""))</f>
        <v/>
      </c>
      <c r="G293" s="7" t="str">
        <f>IF(OR(ISBLANK(D293),D293="Unclassifiable &gt;"),"",IF(ISNUMBER(SEARCH("Utterance",D293)),"Utterance",IF(ISNUMBER(SEARCH("Response",D293)),"Response",IF(ISNUMBER(SEARCH("Interaction",D293)),"Interaction",IF(ISNUMBER(SEARCH("System",D293)),"System","")))))</f>
        <v/>
      </c>
      <c r="K293" s="7" t="s">
        <v>198</v>
      </c>
      <c r="L293" s="9">
        <v>45016</v>
      </c>
      <c r="M293" s="10">
        <v>0.42655092592592592</v>
      </c>
      <c r="N293" s="11">
        <v>513003533538115</v>
      </c>
      <c r="P293" t="str">
        <f>IF(D293="", "", COUNTIF($D$1:$D$2273, D293))</f>
        <v/>
      </c>
    </row>
    <row r="294" spans="1:16" ht="16" hidden="1" x14ac:dyDescent="0.2">
      <c r="A294" s="36" t="s">
        <v>196</v>
      </c>
      <c r="C294" s="7" t="s">
        <v>2</v>
      </c>
      <c r="D294" s="7" t="s">
        <v>228</v>
      </c>
      <c r="E294" s="7" t="str">
        <f>IF(OR(D294="", D294="___"),"", LEFT(D294,FIND(" &gt;",D294)-1))</f>
        <v>Qualified Success</v>
      </c>
      <c r="F294" s="7" t="str">
        <f>IF(OR(E294="Success",E294="Qualified Success"),"Current",IF(E294="Failure",IF(RIGHT(D294,6)="Future","Future",IF(RIGHT(D294,10)="Irrelevant","Irrelevant","Current")),""))</f>
        <v>Current</v>
      </c>
      <c r="G294" s="7" t="str">
        <f>IF(OR(ISBLANK(D294),D294="Unclassifiable &gt;"),"",IF(ISNUMBER(SEARCH("Utterance",D294)),"Utterance",IF(ISNUMBER(SEARCH("Response",D294)),"Response",IF(ISNUMBER(SEARCH("Interaction",D294)),"Interaction",IF(ISNUMBER(SEARCH("System",D294)),"System","")))))</f>
        <v>Response</v>
      </c>
      <c r="H294" s="7" t="str">
        <f>IF(G294="Utterance", IF(ISNUMBER(SEARCH("Unrecognized",D294)), "Unrecognized", IF(ISNUMBER(SEARCH("Mismatched",D294)), "Mismatched", IF(ISNUMBER(SEARCH("False Positive",D294)), "False Positive", "Irrelevant"))), "")</f>
        <v/>
      </c>
      <c r="J294" s="7" t="s">
        <v>332</v>
      </c>
      <c r="K294" s="7" t="s">
        <v>198</v>
      </c>
      <c r="L294" s="9">
        <v>45016</v>
      </c>
      <c r="M294" s="10">
        <v>0.4268865740740741</v>
      </c>
      <c r="N294" s="11">
        <v>513003533538115</v>
      </c>
      <c r="O294" s="7">
        <f>IF(LEN(TRIM($A294))=0,0,LEN($A294)-LEN(SUBSTITUTE($A294," ",""))+1)</f>
        <v>8</v>
      </c>
      <c r="P294">
        <f>IF(D294="", "", COUNTIF($D$1:$D$2273, D294))</f>
        <v>10</v>
      </c>
    </row>
    <row r="295" spans="1:16" ht="48" hidden="1" x14ac:dyDescent="0.2">
      <c r="A295" s="8" t="s">
        <v>383</v>
      </c>
      <c r="C295" s="7" t="s">
        <v>4</v>
      </c>
      <c r="F295" s="7" t="str">
        <f>IF(OR(E295="Success",E295="Qualified Success"),"Current",IF(E295="Failure",IF(RIGHT(D295,6)="Future","Future",IF(RIGHT(D295,10)="Irrelevant","Irrelevant","Current")),""))</f>
        <v/>
      </c>
      <c r="G295" s="7" t="str">
        <f>IF(OR(ISBLANK(D295),D295="Unclassifiable &gt;"),"",IF(ISNUMBER(SEARCH("Utterance",D295)),"Utterance",IF(ISNUMBER(SEARCH("Response",D295)),"Response",IF(ISNUMBER(SEARCH("Interaction",D295)),"Interaction",IF(ISNUMBER(SEARCH("System",D295)),"System","")))))</f>
        <v/>
      </c>
      <c r="K295" s="7" t="s">
        <v>198</v>
      </c>
      <c r="L295" s="9">
        <v>45016</v>
      </c>
      <c r="M295" s="10">
        <v>0.4268865740740741</v>
      </c>
      <c r="N295" s="11">
        <v>513003533538115</v>
      </c>
      <c r="P295" t="str">
        <f>IF(D295="", "", COUNTIF($D$1:$D$2273, D295))</f>
        <v/>
      </c>
    </row>
    <row r="296" spans="1:16" ht="16" hidden="1" x14ac:dyDescent="0.2">
      <c r="A296" s="36" t="s">
        <v>31</v>
      </c>
      <c r="C296" s="7" t="s">
        <v>2</v>
      </c>
      <c r="D296" s="7" t="s">
        <v>206</v>
      </c>
      <c r="E296" s="7" t="str">
        <f>IF(OR(D296="", D296="___"),"", LEFT(D296,FIND(" &gt;",D296)-1))</f>
        <v>Success</v>
      </c>
      <c r="F296" s="7" t="str">
        <f>IF(OR(E296="Success",E296="Qualified Success"),"Current",IF(E296="Failure",IF(RIGHT(D296,6)="Future","Future",IF(RIGHT(D296,10)="Irrelevant","Irrelevant","Current")),""))</f>
        <v>Current</v>
      </c>
      <c r="G296" s="7" t="str">
        <f>IF(OR(ISBLANK(D296),D296="Unclassifiable &gt;"),"",IF(ISNUMBER(SEARCH("Utterance",D296)),"Utterance",IF(ISNUMBER(SEARCH("Response",D296)),"Response",IF(ISNUMBER(SEARCH("Interaction",D296)),"Interaction",IF(ISNUMBER(SEARCH("System",D296)),"System","")))))</f>
        <v/>
      </c>
      <c r="H296" s="7" t="str">
        <f>IF(G296="Utterance", IF(ISNUMBER(SEARCH("Unrecognized",D296)), "Unrecognized", IF(ISNUMBER(SEARCH("Mismatched",D296)), "Mismatched", IF(ISNUMBER(SEARCH("False Positive",D296)), "False Positive", "Irrelevant"))), "")</f>
        <v/>
      </c>
      <c r="J296" s="7" t="s">
        <v>329</v>
      </c>
      <c r="K296" s="7" t="s">
        <v>198</v>
      </c>
      <c r="L296" s="9">
        <v>45016</v>
      </c>
      <c r="M296" s="10">
        <v>0.42697916666666669</v>
      </c>
      <c r="N296" s="11">
        <v>204440003486768</v>
      </c>
      <c r="O296" s="7">
        <f>IF(LEN(TRIM($A296))=0,0,LEN($A296)-LEN(SUBSTITUTE($A296," ",""))+1)</f>
        <v>2</v>
      </c>
      <c r="P296">
        <f>IF(D296="", "", COUNTIF($D$1:$D$2273, D296))</f>
        <v>176</v>
      </c>
    </row>
    <row r="297" spans="1:16" ht="80" hidden="1" x14ac:dyDescent="0.2">
      <c r="A297" s="8" t="s">
        <v>412</v>
      </c>
      <c r="C297" s="7" t="s">
        <v>4</v>
      </c>
      <c r="F297" s="7" t="str">
        <f>IF(OR(E297="Success",E297="Qualified Success"),"Current",IF(E297="Failure",IF(RIGHT(D297,6)="Future","Future",IF(RIGHT(D297,10)="Irrelevant","Irrelevant","Current")),""))</f>
        <v/>
      </c>
      <c r="G297" s="7" t="str">
        <f>IF(OR(ISBLANK(D297),D297="Unclassifiable &gt;"),"",IF(ISNUMBER(SEARCH("Utterance",D297)),"Utterance",IF(ISNUMBER(SEARCH("Response",D297)),"Response",IF(ISNUMBER(SEARCH("Interaction",D297)),"Interaction",IF(ISNUMBER(SEARCH("System",D297)),"System","")))))</f>
        <v/>
      </c>
      <c r="K297" s="7" t="s">
        <v>198</v>
      </c>
      <c r="L297" s="9">
        <v>45016</v>
      </c>
      <c r="M297" s="10">
        <v>0.42697916666666669</v>
      </c>
      <c r="N297" s="11">
        <v>204440003486768</v>
      </c>
      <c r="P297" t="str">
        <f>IF(D297="", "", COUNTIF($D$1:$D$2273, D297))</f>
        <v/>
      </c>
    </row>
    <row r="298" spans="1:16" ht="16" hidden="1" x14ac:dyDescent="0.2">
      <c r="A298" s="36" t="s">
        <v>162</v>
      </c>
      <c r="C298" s="7" t="s">
        <v>2</v>
      </c>
      <c r="D298" s="7" t="s">
        <v>206</v>
      </c>
      <c r="E298" s="7" t="str">
        <f>IF(OR(D298="", D298="___"),"", LEFT(D298,FIND(" &gt;",D298)-1))</f>
        <v>Success</v>
      </c>
      <c r="F298" s="7" t="str">
        <f>IF(OR(E298="Success",E298="Qualified Success"),"Current",IF(E298="Failure",IF(RIGHT(D298,6)="Future","Future",IF(RIGHT(D298,10)="Irrelevant","Irrelevant","Current")),""))</f>
        <v>Current</v>
      </c>
      <c r="G298" s="7" t="str">
        <f>IF(OR(ISBLANK(D298),D298="Unclassifiable &gt;"),"",IF(ISNUMBER(SEARCH("Utterance",D298)),"Utterance",IF(ISNUMBER(SEARCH("Response",D298)),"Response",IF(ISNUMBER(SEARCH("Interaction",D298)),"Interaction",IF(ISNUMBER(SEARCH("System",D298)),"System","")))))</f>
        <v/>
      </c>
      <c r="H298" s="7" t="str">
        <f>IF(G298="Utterance", IF(ISNUMBER(SEARCH("Unrecognized",D298)), "Unrecognized", IF(ISNUMBER(SEARCH("Mismatched",D298)), "Mismatched", IF(ISNUMBER(SEARCH("False Positive",D298)), "False Positive", "Irrelevant"))), "")</f>
        <v/>
      </c>
      <c r="J298" s="7" t="s">
        <v>253</v>
      </c>
      <c r="K298" s="7" t="s">
        <v>198</v>
      </c>
      <c r="L298" s="9">
        <v>45016</v>
      </c>
      <c r="M298" s="10">
        <v>0.43907407407407412</v>
      </c>
      <c r="N298" s="11">
        <v>513001928715614</v>
      </c>
      <c r="O298" s="7">
        <f>IF(LEN(TRIM($A298))=0,0,LEN($A298)-LEN(SUBSTITUTE($A298," ",""))+1)</f>
        <v>3</v>
      </c>
      <c r="P298">
        <f>IF(D298="", "", COUNTIF($D$1:$D$2273, D298))</f>
        <v>176</v>
      </c>
    </row>
    <row r="299" spans="1:16" ht="16" hidden="1" x14ac:dyDescent="0.2">
      <c r="A299" s="36" t="s">
        <v>46</v>
      </c>
      <c r="C299" s="7" t="s">
        <v>2</v>
      </c>
      <c r="D299" s="7" t="s">
        <v>206</v>
      </c>
      <c r="E299" s="7" t="str">
        <f>IF(OR(D299="", D299="___"),"", LEFT(D299,FIND(" &gt;",D299)-1))</f>
        <v>Success</v>
      </c>
      <c r="F299" s="7" t="str">
        <f>IF(OR(E299="Success",E299="Qualified Success"),"Current",IF(E299="Failure",IF(RIGHT(D299,6)="Future","Future",IF(RIGHT(D299,10)="Irrelevant","Irrelevant","Current")),""))</f>
        <v>Current</v>
      </c>
      <c r="G299" s="7" t="str">
        <f>IF(OR(ISBLANK(D299),D299="Unclassifiable &gt;"),"",IF(ISNUMBER(SEARCH("Utterance",D299)),"Utterance",IF(ISNUMBER(SEARCH("Response",D299)),"Response",IF(ISNUMBER(SEARCH("Interaction",D299)),"Interaction",IF(ISNUMBER(SEARCH("System",D299)),"System","")))))</f>
        <v/>
      </c>
      <c r="H299" s="7" t="str">
        <f>IF(G299="Utterance", IF(ISNUMBER(SEARCH("Unrecognized",D299)), "Unrecognized", IF(ISNUMBER(SEARCH("Mismatched",D299)), "Mismatched", IF(ISNUMBER(SEARCH("False Positive",D299)), "False Positive", "Irrelevant"))), "")</f>
        <v/>
      </c>
      <c r="J299" s="7" t="s">
        <v>262</v>
      </c>
      <c r="K299" s="7" t="s">
        <v>198</v>
      </c>
      <c r="L299" s="9">
        <v>45016</v>
      </c>
      <c r="M299" s="10">
        <v>0.43922453703703707</v>
      </c>
      <c r="N299" s="11">
        <v>202000862819497</v>
      </c>
      <c r="O299" s="7">
        <f>IF(LEN(TRIM($A299))=0,0,LEN($A299)-LEN(SUBSTITUTE($A299," ",""))+1)</f>
        <v>5</v>
      </c>
      <c r="P299">
        <f>IF(D299="", "", COUNTIF($D$1:$D$2273, D299))</f>
        <v>176</v>
      </c>
    </row>
    <row r="300" spans="1:16" ht="32" hidden="1" x14ac:dyDescent="0.2">
      <c r="A300" s="8" t="s">
        <v>453</v>
      </c>
      <c r="C300" s="7" t="s">
        <v>4</v>
      </c>
      <c r="F300" s="7" t="str">
        <f>IF(OR(E300="Success",E300="Qualified Success"),"Current",IF(E300="Failure",IF(RIGHT(D300,6)="Future","Future",IF(RIGHT(D300,10)="Irrelevant","Irrelevant","Current")),""))</f>
        <v/>
      </c>
      <c r="G300" s="7" t="str">
        <f>IF(OR(ISBLANK(D300),D300="Unclassifiable &gt;"),"",IF(ISNUMBER(SEARCH("Utterance",D300)),"Utterance",IF(ISNUMBER(SEARCH("Response",D300)),"Response",IF(ISNUMBER(SEARCH("Interaction",D300)),"Interaction",IF(ISNUMBER(SEARCH("System",D300)),"System","")))))</f>
        <v/>
      </c>
      <c r="K300" s="7" t="s">
        <v>198</v>
      </c>
      <c r="L300" s="9">
        <v>45016</v>
      </c>
      <c r="M300" s="10">
        <v>0.43922453703703707</v>
      </c>
      <c r="N300" s="11">
        <v>202000862819497</v>
      </c>
      <c r="P300" t="str">
        <f>IF(D300="", "", COUNTIF($D$1:$D$2273, D300))</f>
        <v/>
      </c>
    </row>
    <row r="301" spans="1:16" ht="16" hidden="1" x14ac:dyDescent="0.2">
      <c r="A301" s="36" t="s">
        <v>163</v>
      </c>
      <c r="C301" s="7" t="s">
        <v>2</v>
      </c>
      <c r="D301" s="7" t="s">
        <v>206</v>
      </c>
      <c r="E301" s="7" t="str">
        <f>IF(OR(D301="", D301="___"),"", LEFT(D301,FIND(" &gt;",D301)-1))</f>
        <v>Success</v>
      </c>
      <c r="F301" s="7" t="str">
        <f>IF(OR(E301="Success",E301="Qualified Success"),"Current",IF(E301="Failure",IF(RIGHT(D301,6)="Future","Future",IF(RIGHT(D301,10)="Irrelevant","Irrelevant","Current")),""))</f>
        <v>Current</v>
      </c>
      <c r="G301" s="7" t="str">
        <f>IF(OR(ISBLANK(D301),D301="Unclassifiable &gt;"),"",IF(ISNUMBER(SEARCH("Utterance",D301)),"Utterance",IF(ISNUMBER(SEARCH("Response",D301)),"Response",IF(ISNUMBER(SEARCH("Interaction",D301)),"Interaction",IF(ISNUMBER(SEARCH("System",D301)),"System","")))))</f>
        <v/>
      </c>
      <c r="H301" s="7" t="str">
        <f>IF(G301="Utterance", IF(ISNUMBER(SEARCH("Unrecognized",D301)), "Unrecognized", IF(ISNUMBER(SEARCH("Mismatched",D301)), "Mismatched", IF(ISNUMBER(SEARCH("False Positive",D301)), "False Positive", "Irrelevant"))), "")</f>
        <v/>
      </c>
      <c r="J301" s="7" t="s">
        <v>204</v>
      </c>
      <c r="K301" s="7" t="s">
        <v>198</v>
      </c>
      <c r="L301" s="9">
        <v>45016</v>
      </c>
      <c r="M301" s="10">
        <v>0.43938657407407411</v>
      </c>
      <c r="N301" s="11">
        <v>513001928715614</v>
      </c>
      <c r="O301" s="7">
        <f>IF(LEN(TRIM($A301))=0,0,LEN($A301)-LEN(SUBSTITUTE($A301," ",""))+1)</f>
        <v>3</v>
      </c>
      <c r="P301">
        <f>IF(D301="", "", COUNTIF($D$1:$D$2273, D301))</f>
        <v>176</v>
      </c>
    </row>
    <row r="302" spans="1:16" ht="32" hidden="1" x14ac:dyDescent="0.2">
      <c r="A302" s="8" t="s">
        <v>319</v>
      </c>
      <c r="C302" s="7" t="s">
        <v>4</v>
      </c>
      <c r="F302" s="7" t="str">
        <f>IF(OR(E302="Success",E302="Qualified Success"),"Current",IF(E302="Failure",IF(RIGHT(D302,6)="Future","Future",IF(RIGHT(D302,10)="Irrelevant","Irrelevant","Current")),""))</f>
        <v/>
      </c>
      <c r="G302" s="7" t="str">
        <f>IF(OR(ISBLANK(D302),D302="Unclassifiable &gt;"),"",IF(ISNUMBER(SEARCH("Utterance",D302)),"Utterance",IF(ISNUMBER(SEARCH("Response",D302)),"Response",IF(ISNUMBER(SEARCH("Interaction",D302)),"Interaction",IF(ISNUMBER(SEARCH("System",D302)),"System","")))))</f>
        <v/>
      </c>
      <c r="K302" s="7" t="s">
        <v>198</v>
      </c>
      <c r="L302" s="9">
        <v>45016</v>
      </c>
      <c r="M302" s="10">
        <v>0.43938657407407411</v>
      </c>
      <c r="N302" s="11">
        <v>513001928715614</v>
      </c>
      <c r="P302" t="str">
        <f>IF(D302="", "", COUNTIF($D$1:$D$2273, D302))</f>
        <v/>
      </c>
    </row>
    <row r="303" spans="1:16" ht="16" hidden="1" x14ac:dyDescent="0.2">
      <c r="A303" s="8" t="s">
        <v>427</v>
      </c>
      <c r="C303" s="7" t="s">
        <v>4</v>
      </c>
      <c r="F303" s="7" t="str">
        <f>IF(OR(E303="Success",E303="Qualified Success"),"Current",IF(E303="Failure",IF(RIGHT(D303,6)="Future","Future",IF(RIGHT(D303,10)="Irrelevant","Irrelevant","Current")),""))</f>
        <v/>
      </c>
      <c r="G303" s="7" t="str">
        <f>IF(OR(ISBLANK(D303),D303="Unclassifiable &gt;"),"",IF(ISNUMBER(SEARCH("Utterance",D303)),"Utterance",IF(ISNUMBER(SEARCH("Response",D303)),"Response",IF(ISNUMBER(SEARCH("Interaction",D303)),"Interaction",IF(ISNUMBER(SEARCH("System",D303)),"System","")))))</f>
        <v/>
      </c>
      <c r="K303" s="7" t="s">
        <v>198</v>
      </c>
      <c r="L303" s="9">
        <v>45016</v>
      </c>
      <c r="M303" s="10">
        <v>0.43938657407407411</v>
      </c>
      <c r="N303" s="11">
        <v>513001928715614</v>
      </c>
      <c r="P303" t="str">
        <f>IF(D303="", "", COUNTIF($D$1:$D$2273, D303))</f>
        <v/>
      </c>
    </row>
    <row r="304" spans="1:16" ht="16" hidden="1" x14ac:dyDescent="0.2">
      <c r="A304" s="8" t="s">
        <v>406</v>
      </c>
      <c r="C304" s="7" t="s">
        <v>4</v>
      </c>
      <c r="F304" s="7" t="str">
        <f>IF(OR(E304="Success",E304="Qualified Success"),"Current",IF(E304="Failure",IF(RIGHT(D304,6)="Future","Future",IF(RIGHT(D304,10)="Irrelevant","Irrelevant","Current")),""))</f>
        <v/>
      </c>
      <c r="G304" s="7" t="str">
        <f>IF(OR(ISBLANK(D304),D304="Unclassifiable &gt;"),"",IF(ISNUMBER(SEARCH("Utterance",D304)),"Utterance",IF(ISNUMBER(SEARCH("Response",D304)),"Response",IF(ISNUMBER(SEARCH("Interaction",D304)),"Interaction",IF(ISNUMBER(SEARCH("System",D304)),"System","")))))</f>
        <v/>
      </c>
      <c r="K304" s="7" t="s">
        <v>198</v>
      </c>
      <c r="L304" s="9">
        <v>45016</v>
      </c>
      <c r="M304" s="10">
        <v>0.43938657407407411</v>
      </c>
      <c r="N304" s="11">
        <v>513001928715614</v>
      </c>
      <c r="P304" t="str">
        <f>IF(D304="", "", COUNTIF($D$1:$D$2273, D304))</f>
        <v/>
      </c>
    </row>
    <row r="305" spans="1:16" ht="48" hidden="1" x14ac:dyDescent="0.2">
      <c r="A305" s="8" t="s">
        <v>428</v>
      </c>
      <c r="C305" s="7" t="s">
        <v>4</v>
      </c>
      <c r="F305" s="7" t="str">
        <f>IF(OR(E305="Success",E305="Qualified Success"),"Current",IF(E305="Failure",IF(RIGHT(D305,6)="Future","Future",IF(RIGHT(D305,10)="Irrelevant","Irrelevant","Current")),""))</f>
        <v/>
      </c>
      <c r="G305" s="7" t="str">
        <f>IF(OR(ISBLANK(D305),D305="Unclassifiable &gt;"),"",IF(ISNUMBER(SEARCH("Utterance",D305)),"Utterance",IF(ISNUMBER(SEARCH("Response",D305)),"Response",IF(ISNUMBER(SEARCH("Interaction",D305)),"Interaction",IF(ISNUMBER(SEARCH("System",D305)),"System","")))))</f>
        <v/>
      </c>
      <c r="K305" s="7" t="s">
        <v>198</v>
      </c>
      <c r="L305" s="9">
        <v>45016</v>
      </c>
      <c r="M305" s="10">
        <v>0.43938657407407411</v>
      </c>
      <c r="N305" s="11">
        <v>513001928715614</v>
      </c>
      <c r="P305" t="str">
        <f>IF(D305="", "", COUNTIF($D$1:$D$2273, D305))</f>
        <v/>
      </c>
    </row>
    <row r="306" spans="1:16" ht="16" hidden="1" x14ac:dyDescent="0.2">
      <c r="A306" s="36" t="s">
        <v>179</v>
      </c>
      <c r="C306" s="7" t="s">
        <v>2</v>
      </c>
      <c r="D306" s="7" t="s">
        <v>217</v>
      </c>
      <c r="E306" s="7" t="str">
        <f>IF(OR(D306="", D306="___"),"", LEFT(D306,FIND(" &gt;",D306)-1))</f>
        <v>Failure</v>
      </c>
      <c r="F306" s="7" t="str">
        <f>IF(OR(E306="Success",E306="Qualified Success"),"Current",IF(E306="Failure",IF(RIGHT(D306,6)="Future","Future",IF(RIGHT(D306,10)="Irrelevant","Irrelevant","Current")),""))</f>
        <v>Current</v>
      </c>
      <c r="G306" s="7" t="str">
        <f>IF(OR(ISBLANK(D306),D306="Unclassifiable &gt;"),"",IF(ISNUMBER(SEARCH("Utterance",D306)),"Utterance",IF(ISNUMBER(SEARCH("Response",D306)),"Response",IF(ISNUMBER(SEARCH("Interaction",D306)),"Interaction",IF(ISNUMBER(SEARCH("System",D306)),"System","")))))</f>
        <v>Interaction</v>
      </c>
      <c r="H306" s="7" t="str">
        <f>IF(G306="Utterance", IF(ISNUMBER(SEARCH("Unrecognized",D306)), "Unrecognized", IF(ISNUMBER(SEARCH("Mismatched",D306)), "Mismatched", IF(ISNUMBER(SEARCH("False Positive",D306)), "False Positive", "Irrelevant"))), "")</f>
        <v/>
      </c>
      <c r="J306" s="7" t="s">
        <v>330</v>
      </c>
      <c r="K306" s="7" t="s">
        <v>198</v>
      </c>
      <c r="L306" s="9">
        <v>45016</v>
      </c>
      <c r="M306" s="10">
        <v>0.44065972222222222</v>
      </c>
      <c r="N306" s="11">
        <v>513003037280223</v>
      </c>
      <c r="O306" s="7">
        <f>IF(LEN(TRIM($A306))=0,0,LEN($A306)-LEN(SUBSTITUTE($A306," ",""))+1)</f>
        <v>4</v>
      </c>
      <c r="P306">
        <f>IF(D306="", "", COUNTIF($D$1:$D$2273, D306))</f>
        <v>29</v>
      </c>
    </row>
    <row r="307" spans="1:16" ht="48" hidden="1" x14ac:dyDescent="0.2">
      <c r="A307" s="8" t="s">
        <v>382</v>
      </c>
      <c r="C307" s="7" t="s">
        <v>4</v>
      </c>
      <c r="F307" s="7" t="str">
        <f>IF(OR(E307="Success",E307="Qualified Success"),"Current",IF(E307="Failure",IF(RIGHT(D307,6)="Future","Future",IF(RIGHT(D307,10)="Irrelevant","Irrelevant","Current")),""))</f>
        <v/>
      </c>
      <c r="G307" s="7" t="str">
        <f>IF(OR(ISBLANK(D307),D307="Unclassifiable &gt;"),"",IF(ISNUMBER(SEARCH("Utterance",D307)),"Utterance",IF(ISNUMBER(SEARCH("Response",D307)),"Response",IF(ISNUMBER(SEARCH("Interaction",D307)),"Interaction",IF(ISNUMBER(SEARCH("System",D307)),"System","")))))</f>
        <v/>
      </c>
      <c r="K307" s="7" t="s">
        <v>198</v>
      </c>
      <c r="L307" s="9">
        <v>45016</v>
      </c>
      <c r="M307" s="10">
        <v>0.44065972222222222</v>
      </c>
      <c r="N307" s="11">
        <v>513003037280223</v>
      </c>
      <c r="P307" t="str">
        <f>IF(D307="", "", COUNTIF($D$1:$D$2273, D307))</f>
        <v/>
      </c>
    </row>
    <row r="308" spans="1:16" ht="16" x14ac:dyDescent="0.2">
      <c r="A308" s="36" t="s">
        <v>33</v>
      </c>
      <c r="B308" s="7" t="s">
        <v>296</v>
      </c>
      <c r="C308" s="7" t="s">
        <v>2</v>
      </c>
      <c r="D308" s="7" t="s">
        <v>206</v>
      </c>
      <c r="E308" s="7" t="str">
        <f>IF(OR(D308="", D308="___"),"", LEFT(D308,FIND(" &gt;",D308)-1))</f>
        <v>Success</v>
      </c>
      <c r="F308" s="7" t="str">
        <f>IF(OR(E308="Success",E308="Qualified Success"),"Current",IF(E308="Failure",IF(RIGHT(D308,6)="Future","Future",IF(RIGHT(D308,10)="Irrelevant","Irrelevant","Current")),""))</f>
        <v>Current</v>
      </c>
      <c r="G308" s="7" t="str">
        <f>IF(OR(ISBLANK(D308),D308="Unclassifiable &gt;"),"",IF(ISNUMBER(SEARCH("Utterance",D308)),"Utterance",IF(ISNUMBER(SEARCH("Response",D308)),"Response",IF(ISNUMBER(SEARCH("Interaction",D308)),"Interaction",IF(ISNUMBER(SEARCH("System",D308)),"System","")))))</f>
        <v/>
      </c>
      <c r="H308" s="7" t="str">
        <f>IF(G308="Utterance", IF(ISNUMBER(SEARCH("Unrecognized",D308)), "Unrecognized", IF(ISNUMBER(SEARCH("Mismatched",D308)), "Mismatched", IF(ISNUMBER(SEARCH("False Positive",D308)), "False Positive", "Irrelevant"))), "")</f>
        <v/>
      </c>
      <c r="J308" s="7" t="s">
        <v>331</v>
      </c>
      <c r="K308" s="7" t="s">
        <v>198</v>
      </c>
      <c r="L308" s="9">
        <v>45016</v>
      </c>
      <c r="M308" s="10">
        <v>0.44081018518518517</v>
      </c>
      <c r="N308" s="11">
        <v>204440003498598</v>
      </c>
      <c r="O308" s="7">
        <f>IF(LEN(TRIM($A308))=0,0,LEN($A308)-LEN(SUBSTITUTE($A308," ",""))+1)</f>
        <v>4</v>
      </c>
      <c r="P308">
        <f>IF(D308="", "", COUNTIF($D$1:$D$2273, D308))</f>
        <v>176</v>
      </c>
    </row>
    <row r="309" spans="1:16" ht="224" hidden="1" x14ac:dyDescent="0.2">
      <c r="A309" s="8" t="s">
        <v>370</v>
      </c>
      <c r="C309" s="7" t="s">
        <v>4</v>
      </c>
      <c r="F309" s="7" t="str">
        <f>IF(OR(E309="Success",E309="Qualified Success"),"Current",IF(E309="Failure",IF(RIGHT(D309,6)="Future","Future",IF(RIGHT(D309,10)="Irrelevant","Irrelevant","Current")),""))</f>
        <v/>
      </c>
      <c r="G309" s="7" t="str">
        <f>IF(OR(ISBLANK(D309),D309="Unclassifiable &gt;"),"",IF(ISNUMBER(SEARCH("Utterance",D309)),"Utterance",IF(ISNUMBER(SEARCH("Response",D309)),"Response",IF(ISNUMBER(SEARCH("Interaction",D309)),"Interaction",IF(ISNUMBER(SEARCH("System",D309)),"System","")))))</f>
        <v/>
      </c>
      <c r="K309" s="7" t="s">
        <v>198</v>
      </c>
      <c r="L309" s="9">
        <v>45016</v>
      </c>
      <c r="M309" s="10">
        <v>0.44083333333333335</v>
      </c>
      <c r="N309" s="11">
        <v>204440003498598</v>
      </c>
      <c r="P309" t="str">
        <f>IF(D309="", "", COUNTIF($D$1:$D$2273, D309))</f>
        <v/>
      </c>
    </row>
    <row r="310" spans="1:16" ht="16" hidden="1" x14ac:dyDescent="0.2">
      <c r="A310" s="36" t="s">
        <v>80</v>
      </c>
      <c r="C310" s="7" t="s">
        <v>2</v>
      </c>
      <c r="D310" s="7" t="s">
        <v>206</v>
      </c>
      <c r="E310" s="7" t="str">
        <f>IF(OR(D310="", D310="___"),"", LEFT(D310,FIND(" &gt;",D310)-1))</f>
        <v>Success</v>
      </c>
      <c r="F310" s="7" t="str">
        <f>IF(OR(E310="Success",E310="Qualified Success"),"Current",IF(E310="Failure",IF(RIGHT(D310,6)="Future","Future",IF(RIGHT(D310,10)="Irrelevant","Irrelevant","Current")),""))</f>
        <v>Current</v>
      </c>
      <c r="G310" s="7" t="str">
        <f>IF(OR(ISBLANK(D310),D310="Unclassifiable &gt;"),"",IF(ISNUMBER(SEARCH("Utterance",D310)),"Utterance",IF(ISNUMBER(SEARCH("Response",D310)),"Response",IF(ISNUMBER(SEARCH("Interaction",D310)),"Interaction",IF(ISNUMBER(SEARCH("System",D310)),"System","")))))</f>
        <v/>
      </c>
      <c r="H310" s="7" t="str">
        <f>IF(G310="Utterance", IF(ISNUMBER(SEARCH("Unrecognized",D310)), "Unrecognized", IF(ISNUMBER(SEARCH("Mismatched",D310)), "Mismatched", IF(ISNUMBER(SEARCH("False Positive",D310)), "False Positive", "Irrelevant"))), "")</f>
        <v/>
      </c>
      <c r="J310" s="7" t="s">
        <v>340</v>
      </c>
      <c r="K310" s="7" t="s">
        <v>198</v>
      </c>
      <c r="L310" s="9">
        <v>45016</v>
      </c>
      <c r="M310" s="10">
        <v>0.44215277777777778</v>
      </c>
      <c r="N310" s="11">
        <v>204440003509721</v>
      </c>
      <c r="O310" s="7">
        <f>IF(LEN(TRIM($A310))=0,0,LEN($A310)-LEN(SUBSTITUTE($A310," ",""))+1)</f>
        <v>7</v>
      </c>
      <c r="P310">
        <f>IF(D310="", "", COUNTIF($D$1:$D$2273, D310))</f>
        <v>176</v>
      </c>
    </row>
    <row r="311" spans="1:16" ht="80" hidden="1" x14ac:dyDescent="0.2">
      <c r="A311" s="8" t="s">
        <v>378</v>
      </c>
      <c r="C311" s="7" t="s">
        <v>4</v>
      </c>
      <c r="F311" s="7" t="str">
        <f>IF(OR(E311="Success",E311="Qualified Success"),"Current",IF(E311="Failure",IF(RIGHT(D311,6)="Future","Future",IF(RIGHT(D311,10)="Irrelevant","Irrelevant","Current")),""))</f>
        <v/>
      </c>
      <c r="G311" s="7" t="str">
        <f>IF(OR(ISBLANK(D311),D311="Unclassifiable &gt;"),"",IF(ISNUMBER(SEARCH("Utterance",D311)),"Utterance",IF(ISNUMBER(SEARCH("Response",D311)),"Response",IF(ISNUMBER(SEARCH("Interaction",D311)),"Interaction",IF(ISNUMBER(SEARCH("System",D311)),"System","")))))</f>
        <v/>
      </c>
      <c r="K311" s="7" t="s">
        <v>198</v>
      </c>
      <c r="L311" s="9">
        <v>45016</v>
      </c>
      <c r="M311" s="10">
        <v>0.44216435185185188</v>
      </c>
      <c r="N311" s="11">
        <v>204440003509721</v>
      </c>
      <c r="P311" t="str">
        <f>IF(D311="", "", COUNTIF($D$1:$D$2273, D311))</f>
        <v/>
      </c>
    </row>
    <row r="312" spans="1:16" ht="16" hidden="1" x14ac:dyDescent="0.2">
      <c r="A312" s="36" t="s">
        <v>19</v>
      </c>
      <c r="C312" s="7" t="s">
        <v>2</v>
      </c>
      <c r="D312" s="7" t="s">
        <v>206</v>
      </c>
      <c r="E312" s="7" t="str">
        <f>IF(OR(D312="", D312="___"),"", LEFT(D312,FIND(" &gt;",D312)-1))</f>
        <v>Success</v>
      </c>
      <c r="F312" s="7" t="str">
        <f>IF(OR(E312="Success",E312="Qualified Success"),"Current",IF(E312="Failure",IF(RIGHT(D312,6)="Future","Future",IF(RIGHT(D312,10)="Irrelevant","Irrelevant","Current")),""))</f>
        <v>Current</v>
      </c>
      <c r="G312" s="7" t="str">
        <f>IF(OR(ISBLANK(D312),D312="Unclassifiable &gt;"),"",IF(ISNUMBER(SEARCH("Utterance",D312)),"Utterance",IF(ISNUMBER(SEARCH("Response",D312)),"Response",IF(ISNUMBER(SEARCH("Interaction",D312)),"Interaction",IF(ISNUMBER(SEARCH("System",D312)),"System","")))))</f>
        <v/>
      </c>
      <c r="H312" s="7" t="str">
        <f>IF(G312="Utterance", IF(ISNUMBER(SEARCH("Unrecognized",D312)), "Unrecognized", IF(ISNUMBER(SEARCH("Mismatched",D312)), "Mismatched", IF(ISNUMBER(SEARCH("False Positive",D312)), "False Positive", "Irrelevant"))), "")</f>
        <v/>
      </c>
      <c r="J312" s="7" t="s">
        <v>335</v>
      </c>
      <c r="K312" s="7" t="s">
        <v>198</v>
      </c>
      <c r="L312" s="9">
        <v>45016</v>
      </c>
      <c r="M312" s="10">
        <v>0.44453703703703701</v>
      </c>
      <c r="N312" s="11">
        <v>204440003539513</v>
      </c>
      <c r="O312" s="7">
        <f>IF(LEN(TRIM($A312))=0,0,LEN($A312)-LEN(SUBSTITUTE($A312," ",""))+1)</f>
        <v>3</v>
      </c>
      <c r="P312">
        <f>IF(D312="", "", COUNTIF($D$1:$D$2273, D312))</f>
        <v>176</v>
      </c>
    </row>
    <row r="313" spans="1:16" ht="144" hidden="1" x14ac:dyDescent="0.2">
      <c r="A313" s="8" t="s">
        <v>385</v>
      </c>
      <c r="C313" s="7" t="s">
        <v>4</v>
      </c>
      <c r="F313" s="7" t="str">
        <f>IF(OR(E313="Success",E313="Qualified Success"),"Current",IF(E313="Failure",IF(RIGHT(D313,6)="Future","Future",IF(RIGHT(D313,10)="Irrelevant","Irrelevant","Current")),""))</f>
        <v/>
      </c>
      <c r="G313" s="7" t="str">
        <f>IF(OR(ISBLANK(D313),D313="Unclassifiable &gt;"),"",IF(ISNUMBER(SEARCH("Utterance",D313)),"Utterance",IF(ISNUMBER(SEARCH("Response",D313)),"Response",IF(ISNUMBER(SEARCH("Interaction",D313)),"Interaction",IF(ISNUMBER(SEARCH("System",D313)),"System","")))))</f>
        <v/>
      </c>
      <c r="K313" s="7" t="s">
        <v>198</v>
      </c>
      <c r="L313" s="9">
        <v>45016</v>
      </c>
      <c r="M313" s="10">
        <v>0.44454861111111116</v>
      </c>
      <c r="N313" s="11">
        <v>204440003539513</v>
      </c>
      <c r="P313" t="str">
        <f>IF(D313="", "", COUNTIF($D$1:$D$2273, D313))</f>
        <v/>
      </c>
    </row>
    <row r="314" spans="1:16" ht="16" hidden="1" x14ac:dyDescent="0.2">
      <c r="A314" s="36" t="s">
        <v>45</v>
      </c>
      <c r="B314" s="7" t="s">
        <v>296</v>
      </c>
      <c r="C314" s="7" t="s">
        <v>2</v>
      </c>
      <c r="D314" s="7" t="s">
        <v>206</v>
      </c>
      <c r="E314" s="7" t="str">
        <f>IF(OR(D314="", D314="___"),"", LEFT(D314,FIND(" &gt;",D314)-1))</f>
        <v>Success</v>
      </c>
      <c r="F314" s="7" t="str">
        <f>IF(OR(E314="Success",E314="Qualified Success"),"Current",IF(E314="Failure",IF(RIGHT(D314,6)="Future","Future",IF(RIGHT(D314,10)="Irrelevant","Irrelevant","Current")),""))</f>
        <v>Current</v>
      </c>
      <c r="G314" s="7" t="str">
        <f>IF(OR(ISBLANK(D314),D314="Unclassifiable &gt;"),"",IF(ISNUMBER(SEARCH("Utterance",D314)),"Utterance",IF(ISNUMBER(SEARCH("Response",D314)),"Response",IF(ISNUMBER(SEARCH("Interaction",D314)),"Interaction",IF(ISNUMBER(SEARCH("System",D314)),"System","")))))</f>
        <v/>
      </c>
      <c r="H314" s="7" t="str">
        <f>IF(G314="Utterance", IF(ISNUMBER(SEARCH("Unrecognized",D314)), "Unrecognized", IF(ISNUMBER(SEARCH("Mismatched",D314)), "Mismatched", IF(ISNUMBER(SEARCH("False Positive",D314)), "False Positive", "Irrelevant"))), "")</f>
        <v/>
      </c>
      <c r="J314" s="7" t="s">
        <v>243</v>
      </c>
      <c r="K314" s="7" t="s">
        <v>198</v>
      </c>
      <c r="L314" s="9">
        <v>45016</v>
      </c>
      <c r="M314" s="10">
        <v>0.44643518518518516</v>
      </c>
      <c r="N314" s="11">
        <v>513001928715614</v>
      </c>
      <c r="O314" s="7">
        <f>IF(LEN(TRIM($A314))=0,0,LEN($A314)-LEN(SUBSTITUTE($A314," ",""))+1)</f>
        <v>3</v>
      </c>
      <c r="P314">
        <f>IF(D314="", "", COUNTIF($D$1:$D$2273, D314))</f>
        <v>176</v>
      </c>
    </row>
    <row r="315" spans="1:16" ht="32" hidden="1" x14ac:dyDescent="0.2">
      <c r="A315" s="8" t="s">
        <v>389</v>
      </c>
      <c r="C315" s="7" t="s">
        <v>4</v>
      </c>
      <c r="F315" s="7" t="str">
        <f>IF(OR(E315="Success",E315="Qualified Success"),"Current",IF(E315="Failure",IF(RIGHT(D315,6)="Future","Future",IF(RIGHT(D315,10)="Irrelevant","Irrelevant","Current")),""))</f>
        <v/>
      </c>
      <c r="G315" s="7" t="str">
        <f>IF(OR(ISBLANK(D315),D315="Unclassifiable &gt;"),"",IF(ISNUMBER(SEARCH("Utterance",D315)),"Utterance",IF(ISNUMBER(SEARCH("Response",D315)),"Response",IF(ISNUMBER(SEARCH("Interaction",D315)),"Interaction",IF(ISNUMBER(SEARCH("System",D315)),"System","")))))</f>
        <v/>
      </c>
      <c r="K315" s="7" t="s">
        <v>198</v>
      </c>
      <c r="L315" s="9">
        <v>45016</v>
      </c>
      <c r="M315" s="10">
        <v>0.44643518518518516</v>
      </c>
      <c r="N315" s="11">
        <v>513001928715614</v>
      </c>
      <c r="P315" t="str">
        <f>IF(D315="", "", COUNTIF($D$1:$D$2273, D315))</f>
        <v/>
      </c>
    </row>
    <row r="316" spans="1:16" ht="16" hidden="1" x14ac:dyDescent="0.2">
      <c r="A316" s="36" t="s">
        <v>21</v>
      </c>
      <c r="B316" s="7" t="s">
        <v>296</v>
      </c>
      <c r="C316" s="7" t="s">
        <v>2</v>
      </c>
      <c r="D316" s="7" t="s">
        <v>206</v>
      </c>
      <c r="E316" s="7" t="str">
        <f>IF(OR(D316="", D316="___"),"", LEFT(D316,FIND(" &gt;",D316)-1))</f>
        <v>Success</v>
      </c>
      <c r="F316" s="7" t="str">
        <f>IF(OR(E316="Success",E316="Qualified Success"),"Current",IF(E316="Failure",IF(RIGHT(D316,6)="Future","Future",IF(RIGHT(D316,10)="Irrelevant","Irrelevant","Current")),""))</f>
        <v>Current</v>
      </c>
      <c r="G316" s="7" t="str">
        <f>IF(OR(ISBLANK(D316),D316="Unclassifiable &gt;"),"",IF(ISNUMBER(SEARCH("Utterance",D316)),"Utterance",IF(ISNUMBER(SEARCH("Response",D316)),"Response",IF(ISNUMBER(SEARCH("Interaction",D316)),"Interaction",IF(ISNUMBER(SEARCH("System",D316)),"System","")))))</f>
        <v/>
      </c>
      <c r="H316" s="7" t="str">
        <f>IF(G316="Utterance", IF(ISNUMBER(SEARCH("Unrecognized",D316)), "Unrecognized", IF(ISNUMBER(SEARCH("Mismatched",D316)), "Mismatched", IF(ISNUMBER(SEARCH("False Positive",D316)), "False Positive", "Irrelevant"))), "")</f>
        <v/>
      </c>
      <c r="J316" s="7" t="s">
        <v>332</v>
      </c>
      <c r="K316" s="7" t="s">
        <v>198</v>
      </c>
      <c r="L316" s="9">
        <v>45016</v>
      </c>
      <c r="M316" s="10">
        <v>0.44998842592592592</v>
      </c>
      <c r="N316" s="11">
        <v>513002344156479</v>
      </c>
      <c r="O316" s="7">
        <f>IF(LEN(TRIM($A316))=0,0,LEN($A316)-LEN(SUBSTITUTE($A316," ",""))+1)</f>
        <v>4</v>
      </c>
      <c r="P316">
        <f>IF(D316="", "", COUNTIF($D$1:$D$2273, D316))</f>
        <v>176</v>
      </c>
    </row>
    <row r="317" spans="1:16" ht="48" hidden="1" x14ac:dyDescent="0.2">
      <c r="A317" s="8" t="s">
        <v>383</v>
      </c>
      <c r="C317" s="7" t="s">
        <v>4</v>
      </c>
      <c r="F317" s="7" t="str">
        <f>IF(OR(E317="Success",E317="Qualified Success"),"Current",IF(E317="Failure",IF(RIGHT(D317,6)="Future","Future",IF(RIGHT(D317,10)="Irrelevant","Irrelevant","Current")),""))</f>
        <v/>
      </c>
      <c r="G317" s="7" t="str">
        <f>IF(OR(ISBLANK(D317),D317="Unclassifiable &gt;"),"",IF(ISNUMBER(SEARCH("Utterance",D317)),"Utterance",IF(ISNUMBER(SEARCH("Response",D317)),"Response",IF(ISNUMBER(SEARCH("Interaction",D317)),"Interaction",IF(ISNUMBER(SEARCH("System",D317)),"System","")))))</f>
        <v/>
      </c>
      <c r="K317" s="7" t="s">
        <v>198</v>
      </c>
      <c r="L317" s="9">
        <v>45016</v>
      </c>
      <c r="M317" s="10">
        <v>0.44998842592592592</v>
      </c>
      <c r="N317" s="11">
        <v>513002344156479</v>
      </c>
      <c r="P317" t="str">
        <f>IF(D317="", "", COUNTIF($D$1:$D$2273, D317))</f>
        <v/>
      </c>
    </row>
    <row r="318" spans="1:16" ht="176" hidden="1" x14ac:dyDescent="0.2">
      <c r="A318" s="36" t="s">
        <v>358</v>
      </c>
      <c r="C318" s="7" t="s">
        <v>2</v>
      </c>
      <c r="D318" s="7" t="s">
        <v>206</v>
      </c>
      <c r="E318" s="7" t="str">
        <f>IF(OR(D318="", D318="___"),"", LEFT(D318,FIND(" &gt;",D318)-1))</f>
        <v>Success</v>
      </c>
      <c r="F318" s="7" t="str">
        <f>IF(OR(E318="Success",E318="Qualified Success"),"Current",IF(E318="Failure",IF(RIGHT(D318,6)="Future","Future",IF(RIGHT(D318,10)="Irrelevant","Irrelevant","Current")),""))</f>
        <v>Current</v>
      </c>
      <c r="G318" s="7" t="str">
        <f>IF(OR(ISBLANK(D318),D318="Unclassifiable &gt;"),"",IF(ISNUMBER(SEARCH("Utterance",D318)),"Utterance",IF(ISNUMBER(SEARCH("Response",D318)),"Response",IF(ISNUMBER(SEARCH("Interaction",D318)),"Interaction",IF(ISNUMBER(SEARCH("System",D318)),"System","")))))</f>
        <v/>
      </c>
      <c r="H318" s="7" t="str">
        <f>IF(G318="Utterance", IF(ISNUMBER(SEARCH("Unrecognized",D318)), "Unrecognized", IF(ISNUMBER(SEARCH("Mismatched",D318)), "Mismatched", IF(ISNUMBER(SEARCH("False Positive",D318)), "False Positive", "Irrelevant"))), "")</f>
        <v/>
      </c>
      <c r="J318" s="7" t="s">
        <v>329</v>
      </c>
      <c r="K318" s="7" t="s">
        <v>198</v>
      </c>
      <c r="L318" s="9">
        <v>45016</v>
      </c>
      <c r="M318" s="10">
        <v>0.4513773148148148</v>
      </c>
      <c r="N318" s="11">
        <v>513002344156479</v>
      </c>
      <c r="O318" s="7">
        <f>IF(LEN(TRIM($A318))=0,0,LEN($A318)-LEN(SUBSTITUTE($A318," ",""))+1)</f>
        <v>58</v>
      </c>
      <c r="P318">
        <f>IF(D318="", "", COUNTIF($D$1:$D$2273, D318))</f>
        <v>176</v>
      </c>
    </row>
    <row r="319" spans="1:16" ht="48" hidden="1" x14ac:dyDescent="0.2">
      <c r="A319" s="8" t="s">
        <v>382</v>
      </c>
      <c r="C319" s="7" t="s">
        <v>4</v>
      </c>
      <c r="F319" s="7" t="str">
        <f>IF(OR(E319="Success",E319="Qualified Success"),"Current",IF(E319="Failure",IF(RIGHT(D319,6)="Future","Future",IF(RIGHT(D319,10)="Irrelevant","Irrelevant","Current")),""))</f>
        <v/>
      </c>
      <c r="G319" s="7" t="str">
        <f>IF(OR(ISBLANK(D319),D319="Unclassifiable &gt;"),"",IF(ISNUMBER(SEARCH("Utterance",D319)),"Utterance",IF(ISNUMBER(SEARCH("Response",D319)),"Response",IF(ISNUMBER(SEARCH("Interaction",D319)),"Interaction",IF(ISNUMBER(SEARCH("System",D319)),"System","")))))</f>
        <v/>
      </c>
      <c r="K319" s="7" t="s">
        <v>198</v>
      </c>
      <c r="L319" s="9">
        <v>45016</v>
      </c>
      <c r="M319" s="10">
        <v>0.4513773148148148</v>
      </c>
      <c r="N319" s="11">
        <v>513002344156479</v>
      </c>
      <c r="P319" t="str">
        <f>IF(D319="", "", COUNTIF($D$1:$D$2273, D319))</f>
        <v/>
      </c>
    </row>
    <row r="320" spans="1:16" ht="16" hidden="1" x14ac:dyDescent="0.2">
      <c r="A320" s="36" t="s">
        <v>21</v>
      </c>
      <c r="B320" s="7" t="s">
        <v>296</v>
      </c>
      <c r="C320" s="7" t="s">
        <v>2</v>
      </c>
      <c r="D320" s="7" t="s">
        <v>206</v>
      </c>
      <c r="E320" s="7" t="str">
        <f>IF(OR(D320="", D320="___"),"", LEFT(D320,FIND(" &gt;",D320)-1))</f>
        <v>Success</v>
      </c>
      <c r="F320" s="7" t="str">
        <f>IF(OR(E320="Success",E320="Qualified Success"),"Current",IF(E320="Failure",IF(RIGHT(D320,6)="Future","Future",IF(RIGHT(D320,10)="Irrelevant","Irrelevant","Current")),""))</f>
        <v>Current</v>
      </c>
      <c r="G320" s="7" t="str">
        <f>IF(OR(ISBLANK(D320),D320="Unclassifiable &gt;"),"",IF(ISNUMBER(SEARCH("Utterance",D320)),"Utterance",IF(ISNUMBER(SEARCH("Response",D320)),"Response",IF(ISNUMBER(SEARCH("Interaction",D320)),"Interaction",IF(ISNUMBER(SEARCH("System",D320)),"System","")))))</f>
        <v/>
      </c>
      <c r="H320" s="7" t="str">
        <f>IF(G320="Utterance", IF(ISNUMBER(SEARCH("Unrecognized",D320)), "Unrecognized", IF(ISNUMBER(SEARCH("Mismatched",D320)), "Mismatched", IF(ISNUMBER(SEARCH("False Positive",D320)), "False Positive", "Irrelevant"))), "")</f>
        <v/>
      </c>
      <c r="J320" s="7" t="s">
        <v>332</v>
      </c>
      <c r="K320" s="7" t="s">
        <v>198</v>
      </c>
      <c r="L320" s="9">
        <v>45016</v>
      </c>
      <c r="M320" s="10">
        <v>0.45153935185185184</v>
      </c>
      <c r="N320" s="11">
        <v>204440003491531</v>
      </c>
      <c r="O320" s="7">
        <f>IF(LEN(TRIM($A320))=0,0,LEN($A320)-LEN(SUBSTITUTE($A320," ",""))+1)</f>
        <v>4</v>
      </c>
      <c r="P320">
        <f>IF(D320="", "", COUNTIF($D$1:$D$2273, D320))</f>
        <v>176</v>
      </c>
    </row>
    <row r="321" spans="1:16" ht="48" hidden="1" x14ac:dyDescent="0.2">
      <c r="A321" s="8" t="s">
        <v>383</v>
      </c>
      <c r="C321" s="7" t="s">
        <v>4</v>
      </c>
      <c r="F321" s="7" t="str">
        <f>IF(OR(E321="Success",E321="Qualified Success"),"Current",IF(E321="Failure",IF(RIGHT(D321,6)="Future","Future",IF(RIGHT(D321,10)="Irrelevant","Irrelevant","Current")),""))</f>
        <v/>
      </c>
      <c r="G321" s="7" t="str">
        <f>IF(OR(ISBLANK(D321),D321="Unclassifiable &gt;"),"",IF(ISNUMBER(SEARCH("Utterance",D321)),"Utterance",IF(ISNUMBER(SEARCH("Response",D321)),"Response",IF(ISNUMBER(SEARCH("Interaction",D321)),"Interaction",IF(ISNUMBER(SEARCH("System",D321)),"System","")))))</f>
        <v/>
      </c>
      <c r="K321" s="7" t="s">
        <v>198</v>
      </c>
      <c r="L321" s="9">
        <v>45016</v>
      </c>
      <c r="M321" s="10">
        <v>0.45153935185185184</v>
      </c>
      <c r="N321" s="11">
        <v>204440003491531</v>
      </c>
      <c r="P321" t="str">
        <f>IF(D321="", "", COUNTIF($D$1:$D$2273, D321))</f>
        <v/>
      </c>
    </row>
    <row r="322" spans="1:16" ht="16" hidden="1" x14ac:dyDescent="0.2">
      <c r="A322" s="36" t="s">
        <v>84</v>
      </c>
      <c r="C322" s="7" t="s">
        <v>2</v>
      </c>
      <c r="D322" s="7" t="s">
        <v>206</v>
      </c>
      <c r="E322" s="7" t="str">
        <f>IF(OR(D322="", D322="___"),"", LEFT(D322,FIND(" &gt;",D322)-1))</f>
        <v>Success</v>
      </c>
      <c r="F322" s="7" t="str">
        <f>IF(OR(E322="Success",E322="Qualified Success"),"Current",IF(E322="Failure",IF(RIGHT(D322,6)="Future","Future",IF(RIGHT(D322,10)="Irrelevant","Irrelevant","Current")),""))</f>
        <v>Current</v>
      </c>
      <c r="G322" s="7" t="str">
        <f>IF(OR(ISBLANK(D322),D322="Unclassifiable &gt;"),"",IF(ISNUMBER(SEARCH("Utterance",D322)),"Utterance",IF(ISNUMBER(SEARCH("Response",D322)),"Response",IF(ISNUMBER(SEARCH("Interaction",D322)),"Interaction",IF(ISNUMBER(SEARCH("System",D322)),"System","")))))</f>
        <v/>
      </c>
      <c r="H322" s="7" t="str">
        <f>IF(G322="Utterance", IF(ISNUMBER(SEARCH("Unrecognized",D322)), "Unrecognized", IF(ISNUMBER(SEARCH("Mismatched",D322)), "Mismatched", IF(ISNUMBER(SEARCH("False Positive",D322)), "False Positive", "Irrelevant"))), "")</f>
        <v/>
      </c>
      <c r="J322" s="7" t="s">
        <v>329</v>
      </c>
      <c r="K322" s="7" t="s">
        <v>198</v>
      </c>
      <c r="L322" s="9">
        <v>45016</v>
      </c>
      <c r="M322" s="10">
        <v>0.45418981481481485</v>
      </c>
      <c r="N322" s="11">
        <v>204440003503394</v>
      </c>
      <c r="O322" s="7">
        <f>IF(LEN(TRIM($A322))=0,0,LEN($A322)-LEN(SUBSTITUTE($A322," ",""))+1)</f>
        <v>3</v>
      </c>
      <c r="P322">
        <f>IF(D322="", "", COUNTIF($D$1:$D$2273, D322))</f>
        <v>176</v>
      </c>
    </row>
    <row r="323" spans="1:16" ht="80" hidden="1" x14ac:dyDescent="0.2">
      <c r="A323" s="8" t="s">
        <v>412</v>
      </c>
      <c r="C323" s="7" t="s">
        <v>4</v>
      </c>
      <c r="F323" s="7" t="str">
        <f>IF(OR(E323="Success",E323="Qualified Success"),"Current",IF(E323="Failure",IF(RIGHT(D323,6)="Future","Future",IF(RIGHT(D323,10)="Irrelevant","Irrelevant","Current")),""))</f>
        <v/>
      </c>
      <c r="G323" s="7" t="str">
        <f>IF(OR(ISBLANK(D323),D323="Unclassifiable &gt;"),"",IF(ISNUMBER(SEARCH("Utterance",D323)),"Utterance",IF(ISNUMBER(SEARCH("Response",D323)),"Response",IF(ISNUMBER(SEARCH("Interaction",D323)),"Interaction",IF(ISNUMBER(SEARCH("System",D323)),"System","")))))</f>
        <v/>
      </c>
      <c r="K323" s="7" t="s">
        <v>198</v>
      </c>
      <c r="L323" s="9">
        <v>45016</v>
      </c>
      <c r="M323" s="10">
        <v>0.45418981481481485</v>
      </c>
      <c r="N323" s="11">
        <v>204440003503394</v>
      </c>
      <c r="P323" t="str">
        <f>IF(D323="", "", COUNTIF($D$1:$D$2273, D323))</f>
        <v/>
      </c>
    </row>
    <row r="324" spans="1:16" ht="16" hidden="1" x14ac:dyDescent="0.2">
      <c r="A324" s="36" t="s">
        <v>19</v>
      </c>
      <c r="C324" s="7" t="s">
        <v>2</v>
      </c>
      <c r="D324" s="7" t="s">
        <v>206</v>
      </c>
      <c r="E324" s="7" t="str">
        <f>IF(OR(D324="", D324="___"),"", LEFT(D324,FIND(" &gt;",D324)-1))</f>
        <v>Success</v>
      </c>
      <c r="F324" s="7" t="str">
        <f>IF(OR(E324="Success",E324="Qualified Success"),"Current",IF(E324="Failure",IF(RIGHT(D324,6)="Future","Future",IF(RIGHT(D324,10)="Irrelevant","Irrelevant","Current")),""))</f>
        <v>Current</v>
      </c>
      <c r="G324" s="7" t="str">
        <f>IF(OR(ISBLANK(D324),D324="Unclassifiable &gt;"),"",IF(ISNUMBER(SEARCH("Utterance",D324)),"Utterance",IF(ISNUMBER(SEARCH("Response",D324)),"Response",IF(ISNUMBER(SEARCH("Interaction",D324)),"Interaction",IF(ISNUMBER(SEARCH("System",D324)),"System","")))))</f>
        <v/>
      </c>
      <c r="H324" s="7" t="str">
        <f>IF(G324="Utterance", IF(ISNUMBER(SEARCH("Unrecognized",D324)), "Unrecognized", IF(ISNUMBER(SEARCH("Mismatched",D324)), "Mismatched", IF(ISNUMBER(SEARCH("False Positive",D324)), "False Positive", "Irrelevant"))), "")</f>
        <v/>
      </c>
      <c r="J324" s="7" t="s">
        <v>335</v>
      </c>
      <c r="K324" s="7" t="s">
        <v>198</v>
      </c>
      <c r="L324" s="9">
        <v>45016</v>
      </c>
      <c r="M324" s="10">
        <v>0.45513888888888893</v>
      </c>
      <c r="N324" s="11">
        <v>204440003539513</v>
      </c>
      <c r="O324" s="7">
        <f>IF(LEN(TRIM($A324))=0,0,LEN($A324)-LEN(SUBSTITUTE($A324," ",""))+1)</f>
        <v>3</v>
      </c>
      <c r="P324">
        <f>IF(D324="", "", COUNTIF($D$1:$D$2273, D324))</f>
        <v>176</v>
      </c>
    </row>
    <row r="325" spans="1:16" ht="144" hidden="1" x14ac:dyDescent="0.2">
      <c r="A325" s="8" t="s">
        <v>385</v>
      </c>
      <c r="C325" s="7" t="s">
        <v>4</v>
      </c>
      <c r="F325" s="7" t="str">
        <f>IF(OR(E325="Success",E325="Qualified Success"),"Current",IF(E325="Failure",IF(RIGHT(D325,6)="Future","Future",IF(RIGHT(D325,10)="Irrelevant","Irrelevant","Current")),""))</f>
        <v/>
      </c>
      <c r="G325" s="7" t="str">
        <f>IF(OR(ISBLANK(D325),D325="Unclassifiable &gt;"),"",IF(ISNUMBER(SEARCH("Utterance",D325)),"Utterance",IF(ISNUMBER(SEARCH("Response",D325)),"Response",IF(ISNUMBER(SEARCH("Interaction",D325)),"Interaction",IF(ISNUMBER(SEARCH("System",D325)),"System","")))))</f>
        <v/>
      </c>
      <c r="K325" s="7" t="s">
        <v>198</v>
      </c>
      <c r="L325" s="9">
        <v>45016</v>
      </c>
      <c r="M325" s="10">
        <v>0.45515046296296297</v>
      </c>
      <c r="N325" s="11">
        <v>204440003539513</v>
      </c>
      <c r="P325" t="str">
        <f>IF(D325="", "", COUNTIF($D$1:$D$2273, D325))</f>
        <v/>
      </c>
    </row>
    <row r="326" spans="1:16" ht="16" hidden="1" x14ac:dyDescent="0.2">
      <c r="A326" s="36" t="s">
        <v>122</v>
      </c>
      <c r="C326" s="7" t="s">
        <v>2</v>
      </c>
      <c r="D326" s="7" t="s">
        <v>206</v>
      </c>
      <c r="E326" s="7" t="str">
        <f>IF(OR(D326="", D326="___"),"", LEFT(D326,FIND(" &gt;",D326)-1))</f>
        <v>Success</v>
      </c>
      <c r="F326" s="7" t="str">
        <f>IF(OR(E326="Success",E326="Qualified Success"),"Current",IF(E326="Failure",IF(RIGHT(D326,6)="Future","Future",IF(RIGHT(D326,10)="Irrelevant","Irrelevant","Current")),""))</f>
        <v>Current</v>
      </c>
      <c r="G326" s="7" t="str">
        <f>IF(OR(ISBLANK(D326),D326="Unclassifiable &gt;"),"",IF(ISNUMBER(SEARCH("Utterance",D326)),"Utterance",IF(ISNUMBER(SEARCH("Response",D326)),"Response",IF(ISNUMBER(SEARCH("Interaction",D326)),"Interaction",IF(ISNUMBER(SEARCH("System",D326)),"System","")))))</f>
        <v/>
      </c>
      <c r="H326" s="7" t="str">
        <f>IF(G326="Utterance", IF(ISNUMBER(SEARCH("Unrecognized",D326)), "Unrecognized", IF(ISNUMBER(SEARCH("Mismatched",D326)), "Mismatched", IF(ISNUMBER(SEARCH("False Positive",D326)), "False Positive", "Irrelevant"))), "")</f>
        <v/>
      </c>
      <c r="J326" s="7" t="s">
        <v>340</v>
      </c>
      <c r="K326" s="7" t="s">
        <v>198</v>
      </c>
      <c r="L326" s="9">
        <v>45016</v>
      </c>
      <c r="M326" s="10">
        <v>0.45549768518518513</v>
      </c>
      <c r="N326" s="11">
        <v>204440003541984</v>
      </c>
      <c r="O326" s="7">
        <f>IF(LEN(TRIM($A326))=0,0,LEN($A326)-LEN(SUBSTITUTE($A326," ",""))+1)</f>
        <v>7</v>
      </c>
      <c r="P326">
        <f>IF(D326="", "", COUNTIF($D$1:$D$2273, D326))</f>
        <v>176</v>
      </c>
    </row>
    <row r="327" spans="1:16" ht="64" hidden="1" x14ac:dyDescent="0.2">
      <c r="A327" s="8" t="s">
        <v>429</v>
      </c>
      <c r="C327" s="7" t="s">
        <v>4</v>
      </c>
      <c r="F327" s="7" t="str">
        <f>IF(OR(E327="Success",E327="Qualified Success"),"Current",IF(E327="Failure",IF(RIGHT(D327,6)="Future","Future",IF(RIGHT(D327,10)="Irrelevant","Irrelevant","Current")),""))</f>
        <v/>
      </c>
      <c r="G327" s="7" t="str">
        <f>IF(OR(ISBLANK(D327),D327="Unclassifiable &gt;"),"",IF(ISNUMBER(SEARCH("Utterance",D327)),"Utterance",IF(ISNUMBER(SEARCH("Response",D327)),"Response",IF(ISNUMBER(SEARCH("Interaction",D327)),"Interaction",IF(ISNUMBER(SEARCH("System",D327)),"System","")))))</f>
        <v/>
      </c>
      <c r="K327" s="7" t="s">
        <v>198</v>
      </c>
      <c r="L327" s="9">
        <v>45016</v>
      </c>
      <c r="M327" s="10">
        <v>0.45549768518518513</v>
      </c>
      <c r="N327" s="11">
        <v>204440003541984</v>
      </c>
      <c r="P327" t="str">
        <f>IF(D327="", "", COUNTIF($D$1:$D$2273, D327))</f>
        <v/>
      </c>
    </row>
    <row r="328" spans="1:16" ht="16" hidden="1" x14ac:dyDescent="0.2">
      <c r="A328" s="36" t="s">
        <v>21</v>
      </c>
      <c r="B328" s="7" t="s">
        <v>296</v>
      </c>
      <c r="C328" s="7" t="s">
        <v>2</v>
      </c>
      <c r="D328" s="7" t="s">
        <v>206</v>
      </c>
      <c r="E328" s="7" t="str">
        <f>IF(OR(D328="", D328="___"),"", LEFT(D328,FIND(" &gt;",D328)-1))</f>
        <v>Success</v>
      </c>
      <c r="F328" s="7" t="str">
        <f>IF(OR(E328="Success",E328="Qualified Success"),"Current",IF(E328="Failure",IF(RIGHT(D328,6)="Future","Future",IF(RIGHT(D328,10)="Irrelevant","Irrelevant","Current")),""))</f>
        <v>Current</v>
      </c>
      <c r="G328" s="7" t="str">
        <f>IF(OR(ISBLANK(D328),D328="Unclassifiable &gt;"),"",IF(ISNUMBER(SEARCH("Utterance",D328)),"Utterance",IF(ISNUMBER(SEARCH("Response",D328)),"Response",IF(ISNUMBER(SEARCH("Interaction",D328)),"Interaction",IF(ISNUMBER(SEARCH("System",D328)),"System","")))))</f>
        <v/>
      </c>
      <c r="H328" s="7" t="str">
        <f>IF(G328="Utterance", IF(ISNUMBER(SEARCH("Unrecognized",D328)), "Unrecognized", IF(ISNUMBER(SEARCH("Mismatched",D328)), "Mismatched", IF(ISNUMBER(SEARCH("False Positive",D328)), "False Positive", "Irrelevant"))), "")</f>
        <v/>
      </c>
      <c r="J328" s="7" t="s">
        <v>332</v>
      </c>
      <c r="K328" s="7" t="s">
        <v>198</v>
      </c>
      <c r="L328" s="9">
        <v>45016</v>
      </c>
      <c r="M328" s="10">
        <v>0.45675925925925925</v>
      </c>
      <c r="N328" s="11">
        <v>204440007008729</v>
      </c>
      <c r="O328" s="7">
        <f>IF(LEN(TRIM($A328))=0,0,LEN($A328)-LEN(SUBSTITUTE($A328," ",""))+1)</f>
        <v>4</v>
      </c>
      <c r="P328">
        <f>IF(D328="", "", COUNTIF($D$1:$D$2273, D328))</f>
        <v>176</v>
      </c>
    </row>
    <row r="329" spans="1:16" ht="48" hidden="1" x14ac:dyDescent="0.2">
      <c r="A329" s="8" t="s">
        <v>383</v>
      </c>
      <c r="C329" s="7" t="s">
        <v>4</v>
      </c>
      <c r="F329" s="7" t="str">
        <f>IF(OR(E329="Success",E329="Qualified Success"),"Current",IF(E329="Failure",IF(RIGHT(D329,6)="Future","Future",IF(RIGHT(D329,10)="Irrelevant","Irrelevant","Current")),""))</f>
        <v/>
      </c>
      <c r="G329" s="7" t="str">
        <f>IF(OR(ISBLANK(D329),D329="Unclassifiable &gt;"),"",IF(ISNUMBER(SEARCH("Utterance",D329)),"Utterance",IF(ISNUMBER(SEARCH("Response",D329)),"Response",IF(ISNUMBER(SEARCH("Interaction",D329)),"Interaction",IF(ISNUMBER(SEARCH("System",D329)),"System","")))))</f>
        <v/>
      </c>
      <c r="K329" s="7" t="s">
        <v>198</v>
      </c>
      <c r="L329" s="9">
        <v>45016</v>
      </c>
      <c r="M329" s="10">
        <v>0.45675925925925925</v>
      </c>
      <c r="N329" s="11">
        <v>204440007008729</v>
      </c>
      <c r="P329" t="str">
        <f>IF(D329="", "", COUNTIF($D$1:$D$2273, D329))</f>
        <v/>
      </c>
    </row>
    <row r="330" spans="1:16" ht="16" hidden="1" x14ac:dyDescent="0.2">
      <c r="A330" s="36" t="s">
        <v>121</v>
      </c>
      <c r="C330" s="7" t="s">
        <v>2</v>
      </c>
      <c r="D330" s="7" t="s">
        <v>206</v>
      </c>
      <c r="E330" s="7" t="str">
        <f>IF(OR(D330="", D330="___"),"", LEFT(D330,FIND(" &gt;",D330)-1))</f>
        <v>Success</v>
      </c>
      <c r="F330" s="7" t="str">
        <f>IF(OR(E330="Success",E330="Qualified Success"),"Current",IF(E330="Failure",IF(RIGHT(D330,6)="Future","Future",IF(RIGHT(D330,10)="Irrelevant","Irrelevant","Current")),""))</f>
        <v>Current</v>
      </c>
      <c r="G330" s="7" t="str">
        <f>IF(OR(ISBLANK(D330),D330="Unclassifiable &gt;"),"",IF(ISNUMBER(SEARCH("Utterance",D330)),"Utterance",IF(ISNUMBER(SEARCH("Response",D330)),"Response",IF(ISNUMBER(SEARCH("Interaction",D330)),"Interaction",IF(ISNUMBER(SEARCH("System",D330)),"System","")))))</f>
        <v/>
      </c>
      <c r="H330" s="7" t="str">
        <f>IF(G330="Utterance", IF(ISNUMBER(SEARCH("Unrecognized",D330)), "Unrecognized", IF(ISNUMBER(SEARCH("Mismatched",D330)), "Mismatched", IF(ISNUMBER(SEARCH("False Positive",D330)), "False Positive", "Irrelevant"))), "")</f>
        <v/>
      </c>
      <c r="J330" s="7" t="s">
        <v>329</v>
      </c>
      <c r="K330" s="7" t="s">
        <v>198</v>
      </c>
      <c r="L330" s="9">
        <v>45016</v>
      </c>
      <c r="M330" s="10">
        <v>0.45788194444444441</v>
      </c>
      <c r="N330" s="11">
        <v>204440003541651</v>
      </c>
      <c r="O330" s="7">
        <f>IF(LEN(TRIM($A330))=0,0,LEN($A330)-LEN(SUBSTITUTE($A330," ",""))+1)</f>
        <v>6</v>
      </c>
      <c r="P330">
        <f>IF(D330="", "", COUNTIF($D$1:$D$2273, D330))</f>
        <v>176</v>
      </c>
    </row>
    <row r="331" spans="1:16" ht="80" hidden="1" x14ac:dyDescent="0.2">
      <c r="A331" s="8" t="s">
        <v>412</v>
      </c>
      <c r="C331" s="7" t="s">
        <v>4</v>
      </c>
      <c r="F331" s="7" t="str">
        <f>IF(OR(E331="Success",E331="Qualified Success"),"Current",IF(E331="Failure",IF(RIGHT(D331,6)="Future","Future",IF(RIGHT(D331,10)="Irrelevant","Irrelevant","Current")),""))</f>
        <v/>
      </c>
      <c r="G331" s="7" t="str">
        <f>IF(OR(ISBLANK(D331),D331="Unclassifiable &gt;"),"",IF(ISNUMBER(SEARCH("Utterance",D331)),"Utterance",IF(ISNUMBER(SEARCH("Response",D331)),"Response",IF(ISNUMBER(SEARCH("Interaction",D331)),"Interaction",IF(ISNUMBER(SEARCH("System",D331)),"System","")))))</f>
        <v/>
      </c>
      <c r="K331" s="7" t="s">
        <v>198</v>
      </c>
      <c r="L331" s="9">
        <v>45016</v>
      </c>
      <c r="M331" s="10">
        <v>0.45788194444444441</v>
      </c>
      <c r="N331" s="11">
        <v>204440003541651</v>
      </c>
      <c r="P331" t="str">
        <f>IF(D331="", "", COUNTIF($D$1:$D$2273, D331))</f>
        <v/>
      </c>
    </row>
    <row r="332" spans="1:16" ht="16" hidden="1" x14ac:dyDescent="0.2">
      <c r="A332" s="36" t="s">
        <v>51</v>
      </c>
      <c r="C332" s="7" t="s">
        <v>2</v>
      </c>
      <c r="D332" s="7" t="s">
        <v>206</v>
      </c>
      <c r="E332" s="7" t="str">
        <f>IF(OR(D332="", D332="___"),"", LEFT(D332,FIND(" &gt;",D332)-1))</f>
        <v>Success</v>
      </c>
      <c r="F332" s="7" t="str">
        <f>IF(OR(E332="Success",E332="Qualified Success"),"Current",IF(E332="Failure",IF(RIGHT(D332,6)="Future","Future",IF(RIGHT(D332,10)="Irrelevant","Irrelevant","Current")),""))</f>
        <v>Current</v>
      </c>
      <c r="G332" s="7" t="str">
        <f>IF(OR(ISBLANK(D332),D332="Unclassifiable &gt;"),"",IF(ISNUMBER(SEARCH("Utterance",D332)),"Utterance",IF(ISNUMBER(SEARCH("Response",D332)),"Response",IF(ISNUMBER(SEARCH("Interaction",D332)),"Interaction",IF(ISNUMBER(SEARCH("System",D332)),"System","")))))</f>
        <v/>
      </c>
      <c r="H332" s="7" t="str">
        <f>IF(G332="Utterance", IF(ISNUMBER(SEARCH("Unrecognized",D332)), "Unrecognized", IF(ISNUMBER(SEARCH("Mismatched",D332)), "Mismatched", IF(ISNUMBER(SEARCH("False Positive",D332)), "False Positive", "Irrelevant"))), "")</f>
        <v/>
      </c>
      <c r="J332" s="7" t="s">
        <v>335</v>
      </c>
      <c r="K332" s="7" t="s">
        <v>198</v>
      </c>
      <c r="L332" s="9">
        <v>45016</v>
      </c>
      <c r="M332" s="10">
        <v>0.46960648148148149</v>
      </c>
      <c r="N332" s="11">
        <v>204440003490441</v>
      </c>
      <c r="O332" s="7">
        <f>IF(LEN(TRIM($A332))=0,0,LEN($A332)-LEN(SUBSTITUTE($A332," ",""))+1)</f>
        <v>3</v>
      </c>
      <c r="P332">
        <f>IF(D332="", "", COUNTIF($D$1:$D$2273, D332))</f>
        <v>176</v>
      </c>
    </row>
    <row r="333" spans="1:16" ht="96" hidden="1" x14ac:dyDescent="0.2">
      <c r="A333" s="8" t="s">
        <v>379</v>
      </c>
      <c r="C333" s="7" t="s">
        <v>4</v>
      </c>
      <c r="F333" s="7" t="str">
        <f>IF(OR(E333="Success",E333="Qualified Success"),"Current",IF(E333="Failure",IF(RIGHT(D333,6)="Future","Future",IF(RIGHT(D333,10)="Irrelevant","Irrelevant","Current")),""))</f>
        <v/>
      </c>
      <c r="G333" s="7" t="str">
        <f>IF(OR(ISBLANK(D333),D333="Unclassifiable &gt;"),"",IF(ISNUMBER(SEARCH("Utterance",D333)),"Utterance",IF(ISNUMBER(SEARCH("Response",D333)),"Response",IF(ISNUMBER(SEARCH("Interaction",D333)),"Interaction",IF(ISNUMBER(SEARCH("System",D333)),"System","")))))</f>
        <v/>
      </c>
      <c r="K333" s="7" t="s">
        <v>198</v>
      </c>
      <c r="L333" s="9">
        <v>45016</v>
      </c>
      <c r="M333" s="10">
        <v>0.46962962962962962</v>
      </c>
      <c r="N333" s="11">
        <v>204440003490441</v>
      </c>
      <c r="P333" t="str">
        <f>IF(D333="", "", COUNTIF($D$1:$D$2273, D333))</f>
        <v/>
      </c>
    </row>
    <row r="334" spans="1:16" ht="16" hidden="1" x14ac:dyDescent="0.2">
      <c r="A334" s="36" t="s">
        <v>50</v>
      </c>
      <c r="C334" s="7" t="s">
        <v>2</v>
      </c>
      <c r="D334" s="7" t="s">
        <v>206</v>
      </c>
      <c r="E334" s="7" t="str">
        <f>IF(OR(D334="", D334="___"),"", LEFT(D334,FIND(" &gt;",D334)-1))</f>
        <v>Success</v>
      </c>
      <c r="F334" s="7" t="str">
        <f>IF(OR(E334="Success",E334="Qualified Success"),"Current",IF(E334="Failure",IF(RIGHT(D334,6)="Future","Future",IF(RIGHT(D334,10)="Irrelevant","Irrelevant","Current")),""))</f>
        <v>Current</v>
      </c>
      <c r="G334" s="7" t="str">
        <f>IF(OR(ISBLANK(D334),D334="Unclassifiable &gt;"),"",IF(ISNUMBER(SEARCH("Utterance",D334)),"Utterance",IF(ISNUMBER(SEARCH("Response",D334)),"Response",IF(ISNUMBER(SEARCH("Interaction",D334)),"Interaction",IF(ISNUMBER(SEARCH("System",D334)),"System","")))))</f>
        <v/>
      </c>
      <c r="H334" s="7" t="str">
        <f>IF(G334="Utterance", IF(ISNUMBER(SEARCH("Unrecognized",D334)), "Unrecognized", IF(ISNUMBER(SEARCH("Mismatched",D334)), "Mismatched", IF(ISNUMBER(SEARCH("False Positive",D334)), "False Positive", "Irrelevant"))), "")</f>
        <v/>
      </c>
      <c r="J334" s="7" t="s">
        <v>340</v>
      </c>
      <c r="K334" s="7" t="s">
        <v>198</v>
      </c>
      <c r="L334" s="9">
        <v>45016</v>
      </c>
      <c r="M334" s="10">
        <v>0.47151620370370373</v>
      </c>
      <c r="N334" s="11">
        <v>204440003490421</v>
      </c>
      <c r="O334" s="7">
        <f>IF(LEN(TRIM($A334))=0,0,LEN($A334)-LEN(SUBSTITUTE($A334," ",""))+1)</f>
        <v>1</v>
      </c>
      <c r="P334">
        <f>IF(D334="", "", COUNTIF($D$1:$D$2273, D334))</f>
        <v>176</v>
      </c>
    </row>
    <row r="335" spans="1:16" ht="48" hidden="1" x14ac:dyDescent="0.2">
      <c r="A335" s="8" t="s">
        <v>430</v>
      </c>
      <c r="C335" s="7" t="s">
        <v>4</v>
      </c>
      <c r="F335" s="7" t="str">
        <f>IF(OR(E335="Success",E335="Qualified Success"),"Current",IF(E335="Failure",IF(RIGHT(D335,6)="Future","Future",IF(RIGHT(D335,10)="Irrelevant","Irrelevant","Current")),""))</f>
        <v/>
      </c>
      <c r="G335" s="7" t="str">
        <f>IF(OR(ISBLANK(D335),D335="Unclassifiable &gt;"),"",IF(ISNUMBER(SEARCH("Utterance",D335)),"Utterance",IF(ISNUMBER(SEARCH("Response",D335)),"Response",IF(ISNUMBER(SEARCH("Interaction",D335)),"Interaction",IF(ISNUMBER(SEARCH("System",D335)),"System","")))))</f>
        <v/>
      </c>
      <c r="K335" s="7" t="s">
        <v>198</v>
      </c>
      <c r="L335" s="9">
        <v>45016</v>
      </c>
      <c r="M335" s="10">
        <v>0.47151620370370373</v>
      </c>
      <c r="N335" s="11">
        <v>204440003490421</v>
      </c>
      <c r="P335" t="str">
        <f>IF(D335="", "", COUNTIF($D$1:$D$2273, D335))</f>
        <v/>
      </c>
    </row>
    <row r="336" spans="1:16" ht="16" hidden="1" x14ac:dyDescent="0.2">
      <c r="A336" s="36" t="s">
        <v>49</v>
      </c>
      <c r="C336" s="7" t="s">
        <v>2</v>
      </c>
      <c r="D336" s="7" t="s">
        <v>228</v>
      </c>
      <c r="E336" s="7" t="str">
        <f>IF(OR(D336="", D336="___"),"", LEFT(D336,FIND(" &gt;",D336)-1))</f>
        <v>Qualified Success</v>
      </c>
      <c r="F336" s="7" t="str">
        <f>IF(OR(E336="Success",E336="Qualified Success"),"Current",IF(E336="Failure",IF(RIGHT(D336,6)="Future","Future",IF(RIGHT(D336,10)="Irrelevant","Irrelevant","Current")),""))</f>
        <v>Current</v>
      </c>
      <c r="G336" s="7" t="str">
        <f>IF(OR(ISBLANK(D336),D336="Unclassifiable &gt;"),"",IF(ISNUMBER(SEARCH("Utterance",D336)),"Utterance",IF(ISNUMBER(SEARCH("Response",D336)),"Response",IF(ISNUMBER(SEARCH("Interaction",D336)),"Interaction",IF(ISNUMBER(SEARCH("System",D336)),"System","")))))</f>
        <v>Response</v>
      </c>
      <c r="H336" s="7" t="str">
        <f>IF(G336="Utterance", IF(ISNUMBER(SEARCH("Unrecognized",D336)), "Unrecognized", IF(ISNUMBER(SEARCH("Mismatched",D336)), "Mismatched", IF(ISNUMBER(SEARCH("False Positive",D336)), "False Positive", "Irrelevant"))), "")</f>
        <v/>
      </c>
      <c r="J336" s="7" t="s">
        <v>340</v>
      </c>
      <c r="K336" s="7" t="s">
        <v>198</v>
      </c>
      <c r="L336" s="9">
        <v>45016</v>
      </c>
      <c r="M336" s="10">
        <v>0.4716319444444444</v>
      </c>
      <c r="N336" s="11">
        <v>204440003490421</v>
      </c>
      <c r="O336" s="7">
        <f>IF(LEN(TRIM($A336))=0,0,LEN($A336)-LEN(SUBSTITUTE($A336," ",""))+1)</f>
        <v>6</v>
      </c>
      <c r="P336">
        <f>IF(D336="", "", COUNTIF($D$1:$D$2273, D336))</f>
        <v>10</v>
      </c>
    </row>
    <row r="337" spans="1:16" ht="32" hidden="1" x14ac:dyDescent="0.2">
      <c r="A337" s="8" t="s">
        <v>381</v>
      </c>
      <c r="C337" s="7" t="s">
        <v>4</v>
      </c>
      <c r="F337" s="7" t="str">
        <f>IF(OR(E337="Success",E337="Qualified Success"),"Current",IF(E337="Failure",IF(RIGHT(D337,6)="Future","Future",IF(RIGHT(D337,10)="Irrelevant","Irrelevant","Current")),""))</f>
        <v/>
      </c>
      <c r="G337" s="7" t="str">
        <f>IF(OR(ISBLANK(D337),D337="Unclassifiable &gt;"),"",IF(ISNUMBER(SEARCH("Utterance",D337)),"Utterance",IF(ISNUMBER(SEARCH("Response",D337)),"Response",IF(ISNUMBER(SEARCH("Interaction",D337)),"Interaction",IF(ISNUMBER(SEARCH("System",D337)),"System","")))))</f>
        <v/>
      </c>
      <c r="K337" s="7" t="s">
        <v>198</v>
      </c>
      <c r="L337" s="9">
        <v>45016</v>
      </c>
      <c r="M337" s="10">
        <v>0.4716319444444444</v>
      </c>
      <c r="N337" s="11">
        <v>204440003490421</v>
      </c>
      <c r="P337" t="str">
        <f>IF(D337="", "", COUNTIF($D$1:$D$2273, D337))</f>
        <v/>
      </c>
    </row>
    <row r="338" spans="1:16" ht="16" hidden="1" x14ac:dyDescent="0.2">
      <c r="A338" s="36" t="s">
        <v>132</v>
      </c>
      <c r="C338" s="7" t="s">
        <v>2</v>
      </c>
      <c r="D338" s="7" t="s">
        <v>206</v>
      </c>
      <c r="E338" s="7" t="str">
        <f>IF(OR(D338="", D338="___"),"", LEFT(D338,FIND(" &gt;",D338)-1))</f>
        <v>Success</v>
      </c>
      <c r="F338" s="7" t="str">
        <f>IF(OR(E338="Success",E338="Qualified Success"),"Current",IF(E338="Failure",IF(RIGHT(D338,6)="Future","Future",IF(RIGHT(D338,10)="Irrelevant","Irrelevant","Current")),""))</f>
        <v>Current</v>
      </c>
      <c r="G338" s="7" t="str">
        <f>IF(OR(ISBLANK(D338),D338="Unclassifiable &gt;"),"",IF(ISNUMBER(SEARCH("Utterance",D338)),"Utterance",IF(ISNUMBER(SEARCH("Response",D338)),"Response",IF(ISNUMBER(SEARCH("Interaction",D338)),"Interaction",IF(ISNUMBER(SEARCH("System",D338)),"System","")))))</f>
        <v/>
      </c>
      <c r="H338" s="7" t="str">
        <f>IF(G338="Utterance", IF(ISNUMBER(SEARCH("Unrecognized",D338)), "Unrecognized", IF(ISNUMBER(SEARCH("Mismatched",D338)), "Mismatched", IF(ISNUMBER(SEARCH("False Positive",D338)), "False Positive", "Irrelevant"))), "")</f>
        <v/>
      </c>
      <c r="J338" s="7" t="s">
        <v>329</v>
      </c>
      <c r="K338" s="7" t="s">
        <v>198</v>
      </c>
      <c r="L338" s="9">
        <v>45016</v>
      </c>
      <c r="M338" s="10">
        <v>0.47197916666666667</v>
      </c>
      <c r="N338" s="11">
        <v>202000276083816</v>
      </c>
      <c r="O338" s="7">
        <f>IF(LEN(TRIM($A338))=0,0,LEN($A338)-LEN(SUBSTITUTE($A338," ",""))+1)</f>
        <v>3</v>
      </c>
      <c r="P338">
        <f>IF(D338="", "", COUNTIF($D$1:$D$2273, D338))</f>
        <v>176</v>
      </c>
    </row>
    <row r="339" spans="1:16" ht="96" hidden="1" x14ac:dyDescent="0.2">
      <c r="A339" s="8" t="s">
        <v>394</v>
      </c>
      <c r="C339" s="7" t="s">
        <v>4</v>
      </c>
      <c r="F339" s="7" t="str">
        <f>IF(OR(E339="Success",E339="Qualified Success"),"Current",IF(E339="Failure",IF(RIGHT(D339,6)="Future","Future",IF(RIGHT(D339,10)="Irrelevant","Irrelevant","Current")),""))</f>
        <v/>
      </c>
      <c r="G339" s="7" t="str">
        <f>IF(OR(ISBLANK(D339),D339="Unclassifiable &gt;"),"",IF(ISNUMBER(SEARCH("Utterance",D339)),"Utterance",IF(ISNUMBER(SEARCH("Response",D339)),"Response",IF(ISNUMBER(SEARCH("Interaction",D339)),"Interaction",IF(ISNUMBER(SEARCH("System",D339)),"System","")))))</f>
        <v/>
      </c>
      <c r="K339" s="7" t="s">
        <v>198</v>
      </c>
      <c r="L339" s="9">
        <v>45016</v>
      </c>
      <c r="M339" s="10">
        <v>0.4720138888888889</v>
      </c>
      <c r="N339" s="11">
        <v>202000276083816</v>
      </c>
      <c r="P339" t="str">
        <f>IF(D339="", "", COUNTIF($D$1:$D$2273, D339))</f>
        <v/>
      </c>
    </row>
    <row r="340" spans="1:16" ht="16" hidden="1" x14ac:dyDescent="0.2">
      <c r="A340" s="36" t="s">
        <v>156</v>
      </c>
      <c r="C340" s="7" t="s">
        <v>2</v>
      </c>
      <c r="D340" s="12" t="s">
        <v>228</v>
      </c>
      <c r="E340" s="7" t="str">
        <f>IF(OR(D340="", D340="___"),"", LEFT(D340,FIND(" &gt;",D340)-1))</f>
        <v>Qualified Success</v>
      </c>
      <c r="F340" s="7" t="str">
        <f>IF(OR(E340="Success",E340="Qualified Success"),"Current",IF(E340="Failure",IF(RIGHT(D340,6)="Future","Future",IF(RIGHT(D340,10)="Irrelevant","Irrelevant","Current")),""))</f>
        <v>Current</v>
      </c>
      <c r="G340" s="7" t="str">
        <f>IF(OR(ISBLANK(D340),D340="Unclassifiable &gt;"),"",IF(ISNUMBER(SEARCH("Utterance",D340)),"Utterance",IF(ISNUMBER(SEARCH("Response",D340)),"Response",IF(ISNUMBER(SEARCH("Interaction",D340)),"Interaction",IF(ISNUMBER(SEARCH("System",D340)),"System","")))))</f>
        <v>Response</v>
      </c>
      <c r="H340" s="7" t="str">
        <f>IF(G340="Utterance", IF(ISNUMBER(SEARCH("Unrecognized",D340)), "Unrecognized", IF(ISNUMBER(SEARCH("Mismatched",D340)), "Mismatched", IF(ISNUMBER(SEARCH("False Positive",D340)), "False Positive", "Irrelevant"))), "")</f>
        <v/>
      </c>
      <c r="J340" s="7" t="s">
        <v>330</v>
      </c>
      <c r="K340" s="7" t="s">
        <v>198</v>
      </c>
      <c r="L340" s="9">
        <v>45016</v>
      </c>
      <c r="M340" s="10">
        <v>0.4737615740740741</v>
      </c>
      <c r="N340" s="11">
        <v>202000687483739</v>
      </c>
      <c r="O340" s="7">
        <f>IF(LEN(TRIM($A340))=0,0,LEN($A340)-LEN(SUBSTITUTE($A340," ",""))+1)</f>
        <v>6</v>
      </c>
      <c r="P340">
        <f>IF(D340="", "", COUNTIF($D$1:$D$2273, D340))</f>
        <v>10</v>
      </c>
    </row>
    <row r="341" spans="1:16" ht="64" hidden="1" x14ac:dyDescent="0.2">
      <c r="A341" s="8" t="s">
        <v>431</v>
      </c>
      <c r="C341" s="7" t="s">
        <v>4</v>
      </c>
      <c r="F341" s="7" t="str">
        <f>IF(OR(E341="Success",E341="Qualified Success"),"Current",IF(E341="Failure",IF(RIGHT(D341,6)="Future","Future",IF(RIGHT(D341,10)="Irrelevant","Irrelevant","Current")),""))</f>
        <v/>
      </c>
      <c r="G341" s="7" t="str">
        <f>IF(OR(ISBLANK(D341),D341="Unclassifiable &gt;"),"",IF(ISNUMBER(SEARCH("Utterance",D341)),"Utterance",IF(ISNUMBER(SEARCH("Response",D341)),"Response",IF(ISNUMBER(SEARCH("Interaction",D341)),"Interaction",IF(ISNUMBER(SEARCH("System",D341)),"System","")))))</f>
        <v/>
      </c>
      <c r="K341" s="7" t="s">
        <v>198</v>
      </c>
      <c r="L341" s="9">
        <v>45016</v>
      </c>
      <c r="M341" s="10">
        <v>0.4737615740740741</v>
      </c>
      <c r="N341" s="11">
        <v>202000687483739</v>
      </c>
      <c r="P341" t="str">
        <f>IF(D341="", "", COUNTIF($D$1:$D$2273, D341))</f>
        <v/>
      </c>
    </row>
    <row r="342" spans="1:16" ht="16" hidden="1" x14ac:dyDescent="0.2">
      <c r="A342" s="36" t="s">
        <v>17</v>
      </c>
      <c r="C342" s="7" t="s">
        <v>2</v>
      </c>
      <c r="D342" s="7" t="s">
        <v>206</v>
      </c>
      <c r="E342" s="7" t="str">
        <f>IF(OR(D342="", D342="___"),"", LEFT(D342,FIND(" &gt;",D342)-1))</f>
        <v>Success</v>
      </c>
      <c r="F342" s="7" t="str">
        <f>IF(OR(E342="Success",E342="Qualified Success"),"Current",IF(E342="Failure",IF(RIGHT(D342,6)="Future","Future",IF(RIGHT(D342,10)="Irrelevant","Irrelevant","Current")),""))</f>
        <v>Current</v>
      </c>
      <c r="G342" s="7" t="str">
        <f>IF(OR(ISBLANK(D342),D342="Unclassifiable &gt;"),"",IF(ISNUMBER(SEARCH("Utterance",D342)),"Utterance",IF(ISNUMBER(SEARCH("Response",D342)),"Response",IF(ISNUMBER(SEARCH("Interaction",D342)),"Interaction",IF(ISNUMBER(SEARCH("System",D342)),"System","")))))</f>
        <v/>
      </c>
      <c r="H342" s="7" t="str">
        <f>IF(G342="Utterance", IF(ISNUMBER(SEARCH("Unrecognized",D342)), "Unrecognized", IF(ISNUMBER(SEARCH("Mismatched",D342)), "Mismatched", IF(ISNUMBER(SEARCH("False Positive",D342)), "False Positive", "Irrelevant"))), "")</f>
        <v/>
      </c>
      <c r="J342" s="7" t="s">
        <v>25</v>
      </c>
      <c r="K342" s="7" t="s">
        <v>198</v>
      </c>
      <c r="L342" s="9">
        <v>45016</v>
      </c>
      <c r="M342" s="10">
        <v>0.47579861111111116</v>
      </c>
      <c r="N342" s="11">
        <v>202000687483739</v>
      </c>
      <c r="O342" s="7">
        <f>IF(LEN(TRIM($A342))=0,0,LEN($A342)-LEN(SUBSTITUTE($A342," ",""))+1)</f>
        <v>2</v>
      </c>
      <c r="P342">
        <f>IF(D342="", "", COUNTIF($D$1:$D$2273, D342))</f>
        <v>176</v>
      </c>
    </row>
    <row r="343" spans="1:16" ht="80" hidden="1" x14ac:dyDescent="0.2">
      <c r="A343" s="8" t="s">
        <v>404</v>
      </c>
      <c r="C343" s="7" t="s">
        <v>4</v>
      </c>
      <c r="F343" s="7" t="str">
        <f>IF(OR(E343="Success",E343="Qualified Success"),"Current",IF(E343="Failure",IF(RIGHT(D343,6)="Future","Future",IF(RIGHT(D343,10)="Irrelevant","Irrelevant","Current")),""))</f>
        <v/>
      </c>
      <c r="G343" s="7" t="str">
        <f>IF(OR(ISBLANK(D343),D343="Unclassifiable &gt;"),"",IF(ISNUMBER(SEARCH("Utterance",D343)),"Utterance",IF(ISNUMBER(SEARCH("Response",D343)),"Response",IF(ISNUMBER(SEARCH("Interaction",D343)),"Interaction",IF(ISNUMBER(SEARCH("System",D343)),"System","")))))</f>
        <v/>
      </c>
      <c r="K343" s="7" t="s">
        <v>198</v>
      </c>
      <c r="L343" s="9">
        <v>45016</v>
      </c>
      <c r="M343" s="10">
        <v>0.47579861111111116</v>
      </c>
      <c r="N343" s="11">
        <v>202000687483739</v>
      </c>
      <c r="P343" t="str">
        <f>IF(D343="", "", COUNTIF($D$1:$D$2273, D343))</f>
        <v/>
      </c>
    </row>
    <row r="344" spans="1:16" ht="16" hidden="1" x14ac:dyDescent="0.2">
      <c r="A344" s="36" t="s">
        <v>95</v>
      </c>
      <c r="C344" s="7" t="s">
        <v>2</v>
      </c>
      <c r="D344" s="7" t="s">
        <v>206</v>
      </c>
      <c r="E344" s="7" t="str">
        <f>IF(OR(D344="", D344="___"),"", LEFT(D344,FIND(" &gt;",D344)-1))</f>
        <v>Success</v>
      </c>
      <c r="F344" s="7" t="str">
        <f>IF(OR(E344="Success",E344="Qualified Success"),"Current",IF(E344="Failure",IF(RIGHT(D344,6)="Future","Future",IF(RIGHT(D344,10)="Irrelevant","Irrelevant","Current")),""))</f>
        <v>Current</v>
      </c>
      <c r="G344" s="7" t="str">
        <f>IF(OR(ISBLANK(D344),D344="Unclassifiable &gt;"),"",IF(ISNUMBER(SEARCH("Utterance",D344)),"Utterance",IF(ISNUMBER(SEARCH("Response",D344)),"Response",IF(ISNUMBER(SEARCH("Interaction",D344)),"Interaction",IF(ISNUMBER(SEARCH("System",D344)),"System","")))))</f>
        <v/>
      </c>
      <c r="H344" s="7" t="str">
        <f>IF(G344="Utterance", IF(ISNUMBER(SEARCH("Unrecognized",D344)), "Unrecognized", IF(ISNUMBER(SEARCH("Mismatched",D344)), "Mismatched", IF(ISNUMBER(SEARCH("False Positive",D344)), "False Positive", "Irrelevant"))), "")</f>
        <v/>
      </c>
      <c r="J344" s="7" t="s">
        <v>339</v>
      </c>
      <c r="K344" s="7" t="s">
        <v>198</v>
      </c>
      <c r="L344" s="9">
        <v>45016</v>
      </c>
      <c r="M344" s="10">
        <v>0.47981481481481486</v>
      </c>
      <c r="N344" s="11">
        <v>204440003505705</v>
      </c>
      <c r="O344" s="7">
        <f>IF(LEN(TRIM($A344))=0,0,LEN($A344)-LEN(SUBSTITUTE($A344," ",""))+1)</f>
        <v>6</v>
      </c>
      <c r="P344">
        <f>IF(D344="", "", COUNTIF($D$1:$D$2273, D344))</f>
        <v>176</v>
      </c>
    </row>
    <row r="345" spans="1:16" ht="128" hidden="1" x14ac:dyDescent="0.2">
      <c r="A345" s="8" t="s">
        <v>434</v>
      </c>
      <c r="C345" s="7" t="s">
        <v>4</v>
      </c>
      <c r="F345" s="7" t="str">
        <f>IF(OR(E345="Success",E345="Qualified Success"),"Current",IF(E345="Failure",IF(RIGHT(D345,6)="Future","Future",IF(RIGHT(D345,10)="Irrelevant","Irrelevant","Current")),""))</f>
        <v/>
      </c>
      <c r="G345" s="7" t="str">
        <f>IF(OR(ISBLANK(D345),D345="Unclassifiable &gt;"),"",IF(ISNUMBER(SEARCH("Utterance",D345)),"Utterance",IF(ISNUMBER(SEARCH("Response",D345)),"Response",IF(ISNUMBER(SEARCH("Interaction",D345)),"Interaction",IF(ISNUMBER(SEARCH("System",D345)),"System","")))))</f>
        <v/>
      </c>
      <c r="K345" s="7" t="s">
        <v>198</v>
      </c>
      <c r="L345" s="9">
        <v>45016</v>
      </c>
      <c r="M345" s="10">
        <v>0.47983796296296299</v>
      </c>
      <c r="N345" s="11">
        <v>204440003505705</v>
      </c>
      <c r="P345" t="str">
        <f>IF(D345="", "", COUNTIF($D$1:$D$2273, D345))</f>
        <v/>
      </c>
    </row>
    <row r="346" spans="1:16" ht="16" hidden="1" x14ac:dyDescent="0.2">
      <c r="A346" s="36" t="s">
        <v>45</v>
      </c>
      <c r="B346" s="7" t="s">
        <v>296</v>
      </c>
      <c r="C346" s="7" t="s">
        <v>2</v>
      </c>
      <c r="D346" s="7" t="s">
        <v>206</v>
      </c>
      <c r="E346" s="7" t="str">
        <f>IF(OR(D346="", D346="___"),"", LEFT(D346,FIND(" &gt;",D346)-1))</f>
        <v>Success</v>
      </c>
      <c r="F346" s="7" t="str">
        <f>IF(OR(E346="Success",E346="Qualified Success"),"Current",IF(E346="Failure",IF(RIGHT(D346,6)="Future","Future",IF(RIGHT(D346,10)="Irrelevant","Irrelevant","Current")),""))</f>
        <v>Current</v>
      </c>
      <c r="G346" s="7" t="str">
        <f>IF(OR(ISBLANK(D346),D346="Unclassifiable &gt;"),"",IF(ISNUMBER(SEARCH("Utterance",D346)),"Utterance",IF(ISNUMBER(SEARCH("Response",D346)),"Response",IF(ISNUMBER(SEARCH("Interaction",D346)),"Interaction",IF(ISNUMBER(SEARCH("System",D346)),"System","")))))</f>
        <v/>
      </c>
      <c r="H346" s="7" t="str">
        <f>IF(G346="Utterance", IF(ISNUMBER(SEARCH("Unrecognized",D346)), "Unrecognized", IF(ISNUMBER(SEARCH("Mismatched",D346)), "Mismatched", IF(ISNUMBER(SEARCH("False Positive",D346)), "False Positive", "Irrelevant"))), "")</f>
        <v/>
      </c>
      <c r="J346" s="7" t="s">
        <v>243</v>
      </c>
      <c r="K346" s="7" t="s">
        <v>198</v>
      </c>
      <c r="L346" s="9">
        <v>45016</v>
      </c>
      <c r="M346" s="10">
        <v>0.48282407407407407</v>
      </c>
      <c r="N346" s="11">
        <v>204440003495282</v>
      </c>
      <c r="O346" s="7">
        <f>IF(LEN(TRIM($A346))=0,0,LEN($A346)-LEN(SUBSTITUTE($A346," ",""))+1)</f>
        <v>3</v>
      </c>
      <c r="P346">
        <f>IF(D346="", "", COUNTIF($D$1:$D$2273, D346))</f>
        <v>176</v>
      </c>
    </row>
    <row r="347" spans="1:16" ht="32" hidden="1" x14ac:dyDescent="0.2">
      <c r="A347" s="8" t="s">
        <v>389</v>
      </c>
      <c r="C347" s="7" t="s">
        <v>4</v>
      </c>
      <c r="F347" s="7" t="str">
        <f>IF(OR(E347="Success",E347="Qualified Success"),"Current",IF(E347="Failure",IF(RIGHT(D347,6)="Future","Future",IF(RIGHT(D347,10)="Irrelevant","Irrelevant","Current")),""))</f>
        <v/>
      </c>
      <c r="G347" s="7" t="str">
        <f>IF(OR(ISBLANK(D347),D347="Unclassifiable &gt;"),"",IF(ISNUMBER(SEARCH("Utterance",D347)),"Utterance",IF(ISNUMBER(SEARCH("Response",D347)),"Response",IF(ISNUMBER(SEARCH("Interaction",D347)),"Interaction",IF(ISNUMBER(SEARCH("System",D347)),"System","")))))</f>
        <v/>
      </c>
      <c r="K347" s="7" t="s">
        <v>198</v>
      </c>
      <c r="L347" s="9">
        <v>45016</v>
      </c>
      <c r="M347" s="10">
        <v>0.48282407407407407</v>
      </c>
      <c r="N347" s="11">
        <v>204440003495282</v>
      </c>
      <c r="P347" t="str">
        <f>IF(D347="", "", COUNTIF($D$1:$D$2273, D347))</f>
        <v/>
      </c>
    </row>
    <row r="348" spans="1:16" ht="16" hidden="1" x14ac:dyDescent="0.2">
      <c r="A348" s="36" t="s">
        <v>55</v>
      </c>
      <c r="C348" s="7" t="s">
        <v>2</v>
      </c>
      <c r="D348" s="7" t="s">
        <v>206</v>
      </c>
      <c r="E348" s="7" t="str">
        <f>IF(OR(D348="", D348="___"),"", LEFT(D348,FIND(" &gt;",D348)-1))</f>
        <v>Success</v>
      </c>
      <c r="F348" s="7" t="str">
        <f>IF(OR(E348="Success",E348="Qualified Success"),"Current",IF(E348="Failure",IF(RIGHT(D348,6)="Future","Future",IF(RIGHT(D348,10)="Irrelevant","Irrelevant","Current")),""))</f>
        <v>Current</v>
      </c>
      <c r="G348" s="7" t="str">
        <f>IF(OR(ISBLANK(D348),D348="Unclassifiable &gt;"),"",IF(ISNUMBER(SEARCH("Utterance",D348)),"Utterance",IF(ISNUMBER(SEARCH("Response",D348)),"Response",IF(ISNUMBER(SEARCH("Interaction",D348)),"Interaction",IF(ISNUMBER(SEARCH("System",D348)),"System","")))))</f>
        <v/>
      </c>
      <c r="H348" s="7" t="str">
        <f>IF(G348="Utterance", IF(ISNUMBER(SEARCH("Unrecognized",D348)), "Unrecognized", IF(ISNUMBER(SEARCH("Mismatched",D348)), "Mismatched", IF(ISNUMBER(SEARCH("False Positive",D348)), "False Positive", "Irrelevant"))), "")</f>
        <v/>
      </c>
      <c r="J348" s="7" t="s">
        <v>246</v>
      </c>
      <c r="K348" s="7" t="s">
        <v>198</v>
      </c>
      <c r="L348" s="9">
        <v>45016</v>
      </c>
      <c r="M348" s="10">
        <v>0.48314814814814816</v>
      </c>
      <c r="N348" s="11">
        <v>513003537666572</v>
      </c>
      <c r="O348" s="7">
        <f>IF(LEN(TRIM($A348))=0,0,LEN($A348)-LEN(SUBSTITUTE($A348," ",""))+1)</f>
        <v>1</v>
      </c>
      <c r="P348">
        <f>IF(D348="", "", COUNTIF($D$1:$D$2273, D348))</f>
        <v>176</v>
      </c>
    </row>
    <row r="349" spans="1:16" ht="80" hidden="1" x14ac:dyDescent="0.2">
      <c r="A349" s="8" t="s">
        <v>409</v>
      </c>
      <c r="C349" s="7" t="s">
        <v>4</v>
      </c>
      <c r="F349" s="7" t="str">
        <f>IF(OR(E349="Success",E349="Qualified Success"),"Current",IF(E349="Failure",IF(RIGHT(D349,6)="Future","Future",IF(RIGHT(D349,10)="Irrelevant","Irrelevant","Current")),""))</f>
        <v/>
      </c>
      <c r="G349" s="7" t="str">
        <f>IF(OR(ISBLANK(D349),D349="Unclassifiable &gt;"),"",IF(ISNUMBER(SEARCH("Utterance",D349)),"Utterance",IF(ISNUMBER(SEARCH("Response",D349)),"Response",IF(ISNUMBER(SEARCH("Interaction",D349)),"Interaction",IF(ISNUMBER(SEARCH("System",D349)),"System","")))))</f>
        <v/>
      </c>
      <c r="K349" s="7" t="s">
        <v>198</v>
      </c>
      <c r="L349" s="9">
        <v>45016</v>
      </c>
      <c r="M349" s="10">
        <v>0.48314814814814816</v>
      </c>
      <c r="N349" s="11">
        <v>513003537666572</v>
      </c>
      <c r="P349" t="str">
        <f>IF(D349="", "", COUNTIF($D$1:$D$2273, D349))</f>
        <v/>
      </c>
    </row>
    <row r="350" spans="1:16" ht="16" x14ac:dyDescent="0.2">
      <c r="A350" s="36" t="s">
        <v>67</v>
      </c>
      <c r="B350" s="7" t="s">
        <v>296</v>
      </c>
      <c r="C350" s="7" t="s">
        <v>2</v>
      </c>
      <c r="D350" s="7" t="s">
        <v>206</v>
      </c>
      <c r="E350" s="7" t="str">
        <f>IF(OR(D350="", D350="___"),"", LEFT(D350,FIND(" &gt;",D350)-1))</f>
        <v>Success</v>
      </c>
      <c r="F350" s="7" t="str">
        <f>IF(OR(E350="Success",E350="Qualified Success"),"Current",IF(E350="Failure",IF(RIGHT(D350,6)="Future","Future",IF(RIGHT(D350,10)="Irrelevant","Irrelevant","Current")),""))</f>
        <v>Current</v>
      </c>
      <c r="G350" s="7" t="str">
        <f>IF(OR(ISBLANK(D350),D350="Unclassifiable &gt;"),"",IF(ISNUMBER(SEARCH("Utterance",D350)),"Utterance",IF(ISNUMBER(SEARCH("Response",D350)),"Response",IF(ISNUMBER(SEARCH("Interaction",D350)),"Interaction",IF(ISNUMBER(SEARCH("System",D350)),"System","")))))</f>
        <v/>
      </c>
      <c r="H350" s="7" t="str">
        <f>IF(G350="Utterance", IF(ISNUMBER(SEARCH("Unrecognized",D350)), "Unrecognized", IF(ISNUMBER(SEARCH("Mismatched",D350)), "Mismatched", IF(ISNUMBER(SEARCH("False Positive",D350)), "False Positive", "Irrelevant"))), "")</f>
        <v/>
      </c>
      <c r="J350" s="7" t="s">
        <v>331</v>
      </c>
      <c r="K350" s="7" t="s">
        <v>198</v>
      </c>
      <c r="L350" s="9">
        <v>45016</v>
      </c>
      <c r="M350" s="10">
        <v>0.48457175925925927</v>
      </c>
      <c r="N350" s="11">
        <v>202000460821261</v>
      </c>
      <c r="O350" s="7">
        <f>IF(LEN(TRIM($A350))=0,0,LEN($A350)-LEN(SUBSTITUTE($A350," ",""))+1)</f>
        <v>4</v>
      </c>
      <c r="P350">
        <f>IF(D350="", "", COUNTIF($D$1:$D$2273, D350))</f>
        <v>176</v>
      </c>
    </row>
    <row r="351" spans="1:16" ht="96" hidden="1" x14ac:dyDescent="0.2">
      <c r="A351" s="8" t="s">
        <v>394</v>
      </c>
      <c r="C351" s="7" t="s">
        <v>4</v>
      </c>
      <c r="F351" s="7" t="str">
        <f>IF(OR(E351="Success",E351="Qualified Success"),"Current",IF(E351="Failure",IF(RIGHT(D351,6)="Future","Future",IF(RIGHT(D351,10)="Irrelevant","Irrelevant","Current")),""))</f>
        <v/>
      </c>
      <c r="G351" s="7" t="str">
        <f>IF(OR(ISBLANK(D351),D351="Unclassifiable &gt;"),"",IF(ISNUMBER(SEARCH("Utterance",D351)),"Utterance",IF(ISNUMBER(SEARCH("Response",D351)),"Response",IF(ISNUMBER(SEARCH("Interaction",D351)),"Interaction",IF(ISNUMBER(SEARCH("System",D351)),"System","")))))</f>
        <v/>
      </c>
      <c r="K351" s="7" t="s">
        <v>198</v>
      </c>
      <c r="L351" s="9">
        <v>45016</v>
      </c>
      <c r="M351" s="10">
        <v>0.48458333333333337</v>
      </c>
      <c r="N351" s="11">
        <v>202000460821261</v>
      </c>
      <c r="P351" t="str">
        <f>IF(D351="", "", COUNTIF($D$1:$D$2273, D351))</f>
        <v/>
      </c>
    </row>
    <row r="352" spans="1:16" ht="16" hidden="1" x14ac:dyDescent="0.2">
      <c r="A352" s="36" t="s">
        <v>146</v>
      </c>
      <c r="C352" s="7" t="s">
        <v>2</v>
      </c>
      <c r="D352" s="7" t="s">
        <v>206</v>
      </c>
      <c r="E352" s="7" t="str">
        <f>IF(OR(D352="", D352="___"),"", LEFT(D352,FIND(" &gt;",D352)-1))</f>
        <v>Success</v>
      </c>
      <c r="F352" s="7" t="str">
        <f>IF(OR(E352="Success",E352="Qualified Success"),"Current",IF(E352="Failure",IF(RIGHT(D352,6)="Future","Future",IF(RIGHT(D352,10)="Irrelevant","Irrelevant","Current")),""))</f>
        <v>Current</v>
      </c>
      <c r="G352" s="7" t="str">
        <f>IF(OR(ISBLANK(D352),D352="Unclassifiable &gt;"),"",IF(ISNUMBER(SEARCH("Utterance",D352)),"Utterance",IF(ISNUMBER(SEARCH("Response",D352)),"Response",IF(ISNUMBER(SEARCH("Interaction",D352)),"Interaction",IF(ISNUMBER(SEARCH("System",D352)),"System","")))))</f>
        <v/>
      </c>
      <c r="H352" s="7" t="str">
        <f>IF(G352="Utterance", IF(ISNUMBER(SEARCH("Unrecognized",D352)), "Unrecognized", IF(ISNUMBER(SEARCH("Mismatched",D352)), "Mismatched", IF(ISNUMBER(SEARCH("False Positive",D352)), "False Positive", "Irrelevant"))), "")</f>
        <v/>
      </c>
      <c r="J352" s="7" t="s">
        <v>329</v>
      </c>
      <c r="K352" s="7" t="s">
        <v>198</v>
      </c>
      <c r="L352" s="9">
        <v>45016</v>
      </c>
      <c r="M352" s="10">
        <v>0.48603009259259261</v>
      </c>
      <c r="N352" s="11">
        <v>202000460821261</v>
      </c>
      <c r="O352" s="7">
        <f>IF(LEN(TRIM($A352))=0,0,LEN($A352)-LEN(SUBSTITUTE($A352," ",""))+1)</f>
        <v>27</v>
      </c>
      <c r="P352">
        <f>IF(D352="", "", COUNTIF($D$1:$D$2273, D352))</f>
        <v>176</v>
      </c>
    </row>
    <row r="353" spans="1:16" ht="48" hidden="1" x14ac:dyDescent="0.2">
      <c r="A353" s="8" t="s">
        <v>382</v>
      </c>
      <c r="C353" s="7" t="s">
        <v>4</v>
      </c>
      <c r="F353" s="7" t="str">
        <f>IF(OR(E353="Success",E353="Qualified Success"),"Current",IF(E353="Failure",IF(RIGHT(D353,6)="Future","Future",IF(RIGHT(D353,10)="Irrelevant","Irrelevant","Current")),""))</f>
        <v/>
      </c>
      <c r="G353" s="7" t="str">
        <f>IF(OR(ISBLANK(D353),D353="Unclassifiable &gt;"),"",IF(ISNUMBER(SEARCH("Utterance",D353)),"Utterance",IF(ISNUMBER(SEARCH("Response",D353)),"Response",IF(ISNUMBER(SEARCH("Interaction",D353)),"Interaction",IF(ISNUMBER(SEARCH("System",D353)),"System","")))))</f>
        <v/>
      </c>
      <c r="K353" s="7" t="s">
        <v>198</v>
      </c>
      <c r="L353" s="9">
        <v>45016</v>
      </c>
      <c r="M353" s="10">
        <v>0.48603009259259261</v>
      </c>
      <c r="N353" s="11">
        <v>202000460821261</v>
      </c>
      <c r="P353" t="str">
        <f>IF(D353="", "", COUNTIF($D$1:$D$2273, D353))</f>
        <v/>
      </c>
    </row>
    <row r="354" spans="1:16" ht="16" hidden="1" x14ac:dyDescent="0.2">
      <c r="A354" s="36" t="s">
        <v>145</v>
      </c>
      <c r="C354" s="7" t="s">
        <v>2</v>
      </c>
      <c r="D354" s="7" t="s">
        <v>206</v>
      </c>
      <c r="E354" s="7" t="str">
        <f>IF(OR(D354="", D354="___"),"", LEFT(D354,FIND(" &gt;",D354)-1))</f>
        <v>Success</v>
      </c>
      <c r="F354" s="7" t="str">
        <f>IF(OR(E354="Success",E354="Qualified Success"),"Current",IF(E354="Failure",IF(RIGHT(D354,6)="Future","Future",IF(RIGHT(D354,10)="Irrelevant","Irrelevant","Current")),""))</f>
        <v>Current</v>
      </c>
      <c r="G354" s="7" t="str">
        <f>IF(OR(ISBLANK(D354),D354="Unclassifiable &gt;"),"",IF(ISNUMBER(SEARCH("Utterance",D354)),"Utterance",IF(ISNUMBER(SEARCH("Response",D354)),"Response",IF(ISNUMBER(SEARCH("Interaction",D354)),"Interaction",IF(ISNUMBER(SEARCH("System",D354)),"System","")))))</f>
        <v/>
      </c>
      <c r="H354" s="7" t="str">
        <f>IF(G354="Utterance", IF(ISNUMBER(SEARCH("Unrecognized",D354)), "Unrecognized", IF(ISNUMBER(SEARCH("Mismatched",D354)), "Mismatched", IF(ISNUMBER(SEARCH("False Positive",D354)), "False Positive", "Irrelevant"))), "")</f>
        <v/>
      </c>
      <c r="J354" s="7" t="s">
        <v>338</v>
      </c>
      <c r="K354" s="7" t="s">
        <v>198</v>
      </c>
      <c r="L354" s="9">
        <v>45016</v>
      </c>
      <c r="M354" s="10">
        <v>0.48621527777777779</v>
      </c>
      <c r="N354" s="11">
        <v>202000460821261</v>
      </c>
      <c r="O354" s="7">
        <f>IF(LEN(TRIM($A354))=0,0,LEN($A354)-LEN(SUBSTITUTE($A354," ",""))+1)</f>
        <v>2</v>
      </c>
      <c r="P354">
        <f>IF(D354="", "", COUNTIF($D$1:$D$2273, D354))</f>
        <v>176</v>
      </c>
    </row>
    <row r="355" spans="1:16" ht="16" hidden="1" x14ac:dyDescent="0.2">
      <c r="A355" s="8" t="s">
        <v>41</v>
      </c>
      <c r="C355" s="7" t="s">
        <v>4</v>
      </c>
      <c r="F355" s="7" t="str">
        <f>IF(OR(E355="Success",E355="Qualified Success"),"Current",IF(E355="Failure",IF(RIGHT(D355,6)="Future","Future",IF(RIGHT(D355,10)="Irrelevant","Irrelevant","Current")),""))</f>
        <v/>
      </c>
      <c r="G355" s="7" t="str">
        <f>IF(OR(ISBLANK(D355),D355="Unclassifiable &gt;"),"",IF(ISNUMBER(SEARCH("Utterance",D355)),"Utterance",IF(ISNUMBER(SEARCH("Response",D355)),"Response",IF(ISNUMBER(SEARCH("Interaction",D355)),"Interaction",IF(ISNUMBER(SEARCH("System",D355)),"System","")))))</f>
        <v/>
      </c>
      <c r="K355" s="7" t="s">
        <v>198</v>
      </c>
      <c r="L355" s="9">
        <v>45016</v>
      </c>
      <c r="M355" s="10">
        <v>0.48621527777777779</v>
      </c>
      <c r="N355" s="11">
        <v>202000460821261</v>
      </c>
      <c r="P355" t="str">
        <f>IF(D355="", "", COUNTIF($D$1:$D$2273, D355))</f>
        <v/>
      </c>
    </row>
    <row r="356" spans="1:16" ht="16" hidden="1" x14ac:dyDescent="0.2">
      <c r="A356" s="36" t="s">
        <v>170</v>
      </c>
      <c r="C356" s="7" t="s">
        <v>2</v>
      </c>
      <c r="D356" s="7" t="s">
        <v>217</v>
      </c>
      <c r="E356" s="7" t="str">
        <f>IF(OR(D356="", D356="___"),"", LEFT(D356,FIND(" &gt;",D356)-1))</f>
        <v>Failure</v>
      </c>
      <c r="F356" s="7" t="str">
        <f>IF(OR(E356="Success",E356="Qualified Success"),"Current",IF(E356="Failure",IF(RIGHT(D356,6)="Future","Future",IF(RIGHT(D356,10)="Irrelevant","Irrelevant","Current")),""))</f>
        <v>Current</v>
      </c>
      <c r="G356" s="7" t="str">
        <f>IF(OR(ISBLANK(D356),D356="Unclassifiable &gt;"),"",IF(ISNUMBER(SEARCH("Utterance",D356)),"Utterance",IF(ISNUMBER(SEARCH("Response",D356)),"Response",IF(ISNUMBER(SEARCH("Interaction",D356)),"Interaction",IF(ISNUMBER(SEARCH("System",D356)),"System","")))))</f>
        <v>Interaction</v>
      </c>
      <c r="H356" s="7" t="str">
        <f>IF(G356="Utterance", IF(ISNUMBER(SEARCH("Unrecognized",D356)), "Unrecognized", IF(ISNUMBER(SEARCH("Mismatched",D356)), "Mismatched", IF(ISNUMBER(SEARCH("False Positive",D356)), "False Positive", "Irrelevant"))), "")</f>
        <v/>
      </c>
      <c r="J356" s="7" t="s">
        <v>329</v>
      </c>
      <c r="K356" s="7" t="s">
        <v>198</v>
      </c>
      <c r="L356" s="9">
        <v>45016</v>
      </c>
      <c r="M356" s="10">
        <v>0.48761574074074071</v>
      </c>
      <c r="N356" s="11">
        <v>513002477104073</v>
      </c>
      <c r="O356" s="7">
        <f>IF(LEN(TRIM($A356))=0,0,LEN($A356)-LEN(SUBSTITUTE($A356," ",""))+1)</f>
        <v>4</v>
      </c>
      <c r="P356">
        <f>IF(D356="", "", COUNTIF($D$1:$D$2273, D356))</f>
        <v>29</v>
      </c>
    </row>
    <row r="357" spans="1:16" ht="16" hidden="1" x14ac:dyDescent="0.2">
      <c r="A357" s="8" t="s">
        <v>86</v>
      </c>
      <c r="C357" s="7" t="s">
        <v>4</v>
      </c>
      <c r="F357" s="7" t="str">
        <f>IF(OR(E357="Success",E357="Qualified Success"),"Current",IF(E357="Failure",IF(RIGHT(D357,6)="Future","Future",IF(RIGHT(D357,10)="Irrelevant","Irrelevant","Current")),""))</f>
        <v/>
      </c>
      <c r="G357" s="7" t="str">
        <f>IF(OR(ISBLANK(D357),D357="Unclassifiable &gt;"),"",IF(ISNUMBER(SEARCH("Utterance",D357)),"Utterance",IF(ISNUMBER(SEARCH("Response",D357)),"Response",IF(ISNUMBER(SEARCH("Interaction",D357)),"Interaction",IF(ISNUMBER(SEARCH("System",D357)),"System","")))))</f>
        <v/>
      </c>
      <c r="K357" s="7" t="s">
        <v>198</v>
      </c>
      <c r="L357" s="9">
        <v>45016</v>
      </c>
      <c r="M357" s="10">
        <v>0.48762731481481486</v>
      </c>
      <c r="N357" s="11">
        <v>513002477104073</v>
      </c>
      <c r="P357" t="str">
        <f>IF(D357="", "", COUNTIF($D$1:$D$2273, D357))</f>
        <v/>
      </c>
    </row>
    <row r="358" spans="1:16" ht="16" hidden="1" x14ac:dyDescent="0.2">
      <c r="A358" s="36" t="s">
        <v>169</v>
      </c>
      <c r="C358" s="7" t="s">
        <v>2</v>
      </c>
      <c r="D358" s="7" t="s">
        <v>206</v>
      </c>
      <c r="E358" s="7" t="str">
        <f>IF(OR(D358="", D358="___"),"", LEFT(D358,FIND(" &gt;",D358)-1))</f>
        <v>Success</v>
      </c>
      <c r="F358" s="7" t="str">
        <f>IF(OR(E358="Success",E358="Qualified Success"),"Current",IF(E358="Failure",IF(RIGHT(D358,6)="Future","Future",IF(RIGHT(D358,10)="Irrelevant","Irrelevant","Current")),""))</f>
        <v>Current</v>
      </c>
      <c r="G358" s="7" t="str">
        <f>IF(OR(ISBLANK(D358),D358="Unclassifiable &gt;"),"",IF(ISNUMBER(SEARCH("Utterance",D358)),"Utterance",IF(ISNUMBER(SEARCH("Response",D358)),"Response",IF(ISNUMBER(SEARCH("Interaction",D358)),"Interaction",IF(ISNUMBER(SEARCH("System",D358)),"System","")))))</f>
        <v/>
      </c>
      <c r="H358" s="7" t="str">
        <f>IF(G358="Utterance", IF(ISNUMBER(SEARCH("Unrecognized",D358)), "Unrecognized", IF(ISNUMBER(SEARCH("Mismatched",D358)), "Mismatched", IF(ISNUMBER(SEARCH("False Positive",D358)), "False Positive", "Irrelevant"))), "")</f>
        <v/>
      </c>
      <c r="J358" s="7" t="s">
        <v>25</v>
      </c>
      <c r="K358" s="7" t="s">
        <v>198</v>
      </c>
      <c r="L358" s="9">
        <v>45016</v>
      </c>
      <c r="M358" s="10">
        <v>0.4878703703703704</v>
      </c>
      <c r="N358" s="11">
        <v>513002477104073</v>
      </c>
      <c r="O358" s="7">
        <f>IF(LEN(TRIM($A358))=0,0,LEN($A358)-LEN(SUBSTITUTE($A358," ",""))+1)</f>
        <v>9</v>
      </c>
      <c r="P358">
        <f>IF(D358="", "", COUNTIF($D$1:$D$2273, D358))</f>
        <v>176</v>
      </c>
    </row>
    <row r="359" spans="1:16" ht="80" hidden="1" x14ac:dyDescent="0.2">
      <c r="A359" s="8" t="s">
        <v>404</v>
      </c>
      <c r="C359" s="7" t="s">
        <v>4</v>
      </c>
      <c r="F359" s="7" t="str">
        <f>IF(OR(E359="Success",E359="Qualified Success"),"Current",IF(E359="Failure",IF(RIGHT(D359,6)="Future","Future",IF(RIGHT(D359,10)="Irrelevant","Irrelevant","Current")),""))</f>
        <v/>
      </c>
      <c r="G359" s="7" t="str">
        <f>IF(OR(ISBLANK(D359),D359="Unclassifiable &gt;"),"",IF(ISNUMBER(SEARCH("Utterance",D359)),"Utterance",IF(ISNUMBER(SEARCH("Response",D359)),"Response",IF(ISNUMBER(SEARCH("Interaction",D359)),"Interaction",IF(ISNUMBER(SEARCH("System",D359)),"System","")))))</f>
        <v/>
      </c>
      <c r="K359" s="7" t="s">
        <v>198</v>
      </c>
      <c r="L359" s="9">
        <v>45016</v>
      </c>
      <c r="M359" s="10">
        <v>0.4878703703703704</v>
      </c>
      <c r="N359" s="11">
        <v>513002477104073</v>
      </c>
      <c r="P359" t="str">
        <f>IF(D359="", "", COUNTIF($D$1:$D$2273, D359))</f>
        <v/>
      </c>
    </row>
    <row r="360" spans="1:16" ht="16" hidden="1" x14ac:dyDescent="0.2">
      <c r="A360" s="36" t="s">
        <v>56</v>
      </c>
      <c r="C360" s="7" t="s">
        <v>2</v>
      </c>
      <c r="D360" s="7" t="s">
        <v>206</v>
      </c>
      <c r="E360" s="7" t="str">
        <f>IF(OR(D360="", D360="___"),"", LEFT(D360,FIND(" &gt;",D360)-1))</f>
        <v>Success</v>
      </c>
      <c r="F360" s="7" t="str">
        <f>IF(OR(E360="Success",E360="Qualified Success"),"Current",IF(E360="Failure",IF(RIGHT(D360,6)="Future","Future",IF(RIGHT(D360,10)="Irrelevant","Irrelevant","Current")),""))</f>
        <v>Current</v>
      </c>
      <c r="G360" s="7" t="str">
        <f>IF(OR(ISBLANK(D360),D360="Unclassifiable &gt;"),"",IF(ISNUMBER(SEARCH("Utterance",D360)),"Utterance",IF(ISNUMBER(SEARCH("Response",D360)),"Response",IF(ISNUMBER(SEARCH("Interaction",D360)),"Interaction",IF(ISNUMBER(SEARCH("System",D360)),"System","")))))</f>
        <v/>
      </c>
      <c r="H360" s="7" t="str">
        <f>IF(G360="Utterance", IF(ISNUMBER(SEARCH("Unrecognized",D360)), "Unrecognized", IF(ISNUMBER(SEARCH("Mismatched",D360)), "Mismatched", IF(ISNUMBER(SEARCH("False Positive",D360)), "False Positive", "Irrelevant"))), "")</f>
        <v/>
      </c>
      <c r="J360" s="7" t="s">
        <v>329</v>
      </c>
      <c r="K360" s="7" t="s">
        <v>198</v>
      </c>
      <c r="L360" s="9">
        <v>45016</v>
      </c>
      <c r="M360" s="10">
        <v>0.49155092592592592</v>
      </c>
      <c r="N360" s="11">
        <v>204440003496705</v>
      </c>
      <c r="O360" s="7">
        <f>IF(LEN(TRIM($A360))=0,0,LEN($A360)-LEN(SUBSTITUTE($A360," ",""))+1)</f>
        <v>6</v>
      </c>
      <c r="P360">
        <f>IF(D360="", "", COUNTIF($D$1:$D$2273, D360))</f>
        <v>176</v>
      </c>
    </row>
    <row r="361" spans="1:16" ht="96" hidden="1" x14ac:dyDescent="0.2">
      <c r="A361" s="8" t="s">
        <v>394</v>
      </c>
      <c r="C361" s="7" t="s">
        <v>4</v>
      </c>
      <c r="F361" s="7" t="str">
        <f>IF(OR(E361="Success",E361="Qualified Success"),"Current",IF(E361="Failure",IF(RIGHT(D361,6)="Future","Future",IF(RIGHT(D361,10)="Irrelevant","Irrelevant","Current")),""))</f>
        <v/>
      </c>
      <c r="G361" s="7" t="str">
        <f>IF(OR(ISBLANK(D361),D361="Unclassifiable &gt;"),"",IF(ISNUMBER(SEARCH("Utterance",D361)),"Utterance",IF(ISNUMBER(SEARCH("Response",D361)),"Response",IF(ISNUMBER(SEARCH("Interaction",D361)),"Interaction",IF(ISNUMBER(SEARCH("System",D361)),"System","")))))</f>
        <v/>
      </c>
      <c r="K361" s="7" t="s">
        <v>198</v>
      </c>
      <c r="L361" s="9">
        <v>45016</v>
      </c>
      <c r="M361" s="10">
        <v>0.49156249999999996</v>
      </c>
      <c r="N361" s="11">
        <v>204440003496705</v>
      </c>
      <c r="P361" t="str">
        <f>IF(D361="", "", COUNTIF($D$1:$D$2273, D361))</f>
        <v/>
      </c>
    </row>
    <row r="362" spans="1:16" ht="16" hidden="1" x14ac:dyDescent="0.2">
      <c r="A362" s="36" t="s">
        <v>96</v>
      </c>
      <c r="C362" s="7" t="s">
        <v>2</v>
      </c>
      <c r="D362" s="7" t="s">
        <v>208</v>
      </c>
      <c r="E362" s="7" t="str">
        <f>IF(OR(D362="", D362="___"),"", LEFT(D362,FIND(" &gt;",D362)-1))</f>
        <v>Failure</v>
      </c>
      <c r="F362" s="7" t="str">
        <f>IF(OR(E362="Success",E362="Qualified Success"),"Current",IF(E362="Failure",IF(RIGHT(D362,6)="Future","Future",IF(RIGHT(D362,10)="Irrelevant","Irrelevant","Current")),""))</f>
        <v>Current</v>
      </c>
      <c r="G362" s="7" t="str">
        <f>IF(OR(ISBLANK(D362),D362="Unclassifiable &gt;"),"",IF(ISNUMBER(SEARCH("Utterance",D362)),"Utterance",IF(ISNUMBER(SEARCH("Response",D362)),"Response",IF(ISNUMBER(SEARCH("Interaction",D362)),"Interaction",IF(ISNUMBER(SEARCH("System",D362)),"System","")))))</f>
        <v>Utterance</v>
      </c>
      <c r="H362" s="7" t="str">
        <f>IF(G362="Utterance", IF(ISNUMBER(SEARCH("Unrecognized",D362)), "Unrecognized", IF(ISNUMBER(SEARCH("Mismatched",D362)), "Mismatched", IF(ISNUMBER(SEARCH("False Positive",D362)), "False Positive", "Irrelevant"))), "")</f>
        <v>Mismatched</v>
      </c>
      <c r="J362" s="7" t="s">
        <v>336</v>
      </c>
      <c r="K362" s="7" t="s">
        <v>198</v>
      </c>
      <c r="L362" s="9">
        <v>45016</v>
      </c>
      <c r="M362" s="10">
        <v>0.49701388888888887</v>
      </c>
      <c r="N362" s="11">
        <v>204440003505705</v>
      </c>
      <c r="O362" s="7">
        <f>IF(LEN(TRIM($A362))=0,0,LEN($A362)-LEN(SUBSTITUTE($A362," ",""))+1)</f>
        <v>5</v>
      </c>
      <c r="P362">
        <f>IF(D362="", "", COUNTIF($D$1:$D$2273, D362))</f>
        <v>32</v>
      </c>
    </row>
    <row r="363" spans="1:16" ht="64" hidden="1" x14ac:dyDescent="0.2">
      <c r="A363" s="8" t="s">
        <v>448</v>
      </c>
      <c r="C363" s="7" t="s">
        <v>4</v>
      </c>
      <c r="F363" s="7" t="str">
        <f>IF(OR(E363="Success",E363="Qualified Success"),"Current",IF(E363="Failure",IF(RIGHT(D363,6)="Future","Future",IF(RIGHT(D363,10)="Irrelevant","Irrelevant","Current")),""))</f>
        <v/>
      </c>
      <c r="G363" s="7" t="str">
        <f>IF(OR(ISBLANK(D363),D363="Unclassifiable &gt;"),"",IF(ISNUMBER(SEARCH("Utterance",D363)),"Utterance",IF(ISNUMBER(SEARCH("Response",D363)),"Response",IF(ISNUMBER(SEARCH("Interaction",D363)),"Interaction",IF(ISNUMBER(SEARCH("System",D363)),"System","")))))</f>
        <v/>
      </c>
      <c r="K363" s="7" t="s">
        <v>198</v>
      </c>
      <c r="L363" s="9">
        <v>45016</v>
      </c>
      <c r="M363" s="10">
        <v>0.49701388888888887</v>
      </c>
      <c r="N363" s="11">
        <v>204440003505705</v>
      </c>
      <c r="P363" t="str">
        <f>IF(D363="", "", COUNTIF($D$1:$D$2273, D363))</f>
        <v/>
      </c>
    </row>
    <row r="364" spans="1:16" ht="16" hidden="1" x14ac:dyDescent="0.2">
      <c r="A364" s="36" t="s">
        <v>93</v>
      </c>
      <c r="C364" s="7" t="s">
        <v>2</v>
      </c>
      <c r="D364" s="7" t="s">
        <v>208</v>
      </c>
      <c r="E364" s="7" t="str">
        <f>IF(OR(D364="", D364="___"),"", LEFT(D364,FIND(" &gt;",D364)-1))</f>
        <v>Failure</v>
      </c>
      <c r="F364" s="7" t="str">
        <f>IF(OR(E364="Success",E364="Qualified Success"),"Current",IF(E364="Failure",IF(RIGHT(D364,6)="Future","Future",IF(RIGHT(D364,10)="Irrelevant","Irrelevant","Current")),""))</f>
        <v>Current</v>
      </c>
      <c r="G364" s="7" t="str">
        <f>IF(OR(ISBLANK(D364),D364="Unclassifiable &gt;"),"",IF(ISNUMBER(SEARCH("Utterance",D364)),"Utterance",IF(ISNUMBER(SEARCH("Response",D364)),"Response",IF(ISNUMBER(SEARCH("Interaction",D364)),"Interaction",IF(ISNUMBER(SEARCH("System",D364)),"System","")))))</f>
        <v>Utterance</v>
      </c>
      <c r="H364" s="7" t="str">
        <f>IF(G364="Utterance", IF(ISNUMBER(SEARCH("Unrecognized",D364)), "Unrecognized", IF(ISNUMBER(SEARCH("Mismatched",D364)), "Mismatched", IF(ISNUMBER(SEARCH("False Positive",D364)), "False Positive", "Irrelevant"))), "")</f>
        <v>Mismatched</v>
      </c>
      <c r="J364" s="7" t="s">
        <v>336</v>
      </c>
      <c r="K364" s="7" t="s">
        <v>198</v>
      </c>
      <c r="L364" s="9">
        <v>45016</v>
      </c>
      <c r="M364" s="10">
        <v>0.49812499999999998</v>
      </c>
      <c r="N364" s="11">
        <v>204440003505705</v>
      </c>
      <c r="O364" s="7">
        <f>IF(LEN(TRIM($A364))=0,0,LEN($A364)-LEN(SUBSTITUTE($A364," ",""))+1)</f>
        <v>4</v>
      </c>
      <c r="P364">
        <f>IF(D364="", "", COUNTIF($D$1:$D$2273, D364))</f>
        <v>32</v>
      </c>
    </row>
    <row r="365" spans="1:16" ht="16" hidden="1" x14ac:dyDescent="0.2">
      <c r="A365" s="8" t="s">
        <v>94</v>
      </c>
      <c r="C365" s="7" t="s">
        <v>4</v>
      </c>
      <c r="F365" s="7" t="str">
        <f>IF(OR(E365="Success",E365="Qualified Success"),"Current",IF(E365="Failure",IF(RIGHT(D365,6)="Future","Future",IF(RIGHT(D365,10)="Irrelevant","Irrelevant","Current")),""))</f>
        <v/>
      </c>
      <c r="G365" s="7" t="str">
        <f>IF(OR(ISBLANK(D365),D365="Unclassifiable &gt;"),"",IF(ISNUMBER(SEARCH("Utterance",D365)),"Utterance",IF(ISNUMBER(SEARCH("Response",D365)),"Response",IF(ISNUMBER(SEARCH("Interaction",D365)),"Interaction",IF(ISNUMBER(SEARCH("System",D365)),"System","")))))</f>
        <v/>
      </c>
      <c r="K365" s="7" t="s">
        <v>198</v>
      </c>
      <c r="L365" s="9">
        <v>45016</v>
      </c>
      <c r="M365" s="10">
        <v>0.49813657407407402</v>
      </c>
      <c r="N365" s="11">
        <v>204440003505705</v>
      </c>
      <c r="P365" t="str">
        <f>IF(D365="", "", COUNTIF($D$1:$D$2273, D365))</f>
        <v/>
      </c>
    </row>
    <row r="366" spans="1:16" ht="16" hidden="1" x14ac:dyDescent="0.2">
      <c r="A366" s="36" t="s">
        <v>134</v>
      </c>
      <c r="C366" s="7" t="s">
        <v>2</v>
      </c>
      <c r="D366" s="7" t="s">
        <v>208</v>
      </c>
      <c r="E366" s="7" t="str">
        <f>IF(OR(D366="", D366="___"),"", LEFT(D366,FIND(" &gt;",D366)-1))</f>
        <v>Failure</v>
      </c>
      <c r="F366" s="7" t="str">
        <f>IF(OR(E366="Success",E366="Qualified Success"),"Current",IF(E366="Failure",IF(RIGHT(D366,6)="Future","Future",IF(RIGHT(D366,10)="Irrelevant","Irrelevant","Current")),""))</f>
        <v>Current</v>
      </c>
      <c r="G366" s="7" t="str">
        <f>IF(OR(ISBLANK(D366),D366="Unclassifiable &gt;"),"",IF(ISNUMBER(SEARCH("Utterance",D366)),"Utterance",IF(ISNUMBER(SEARCH("Response",D366)),"Response",IF(ISNUMBER(SEARCH("Interaction",D366)),"Interaction",IF(ISNUMBER(SEARCH("System",D366)),"System","")))))</f>
        <v>Utterance</v>
      </c>
      <c r="H366" s="7" t="str">
        <f>IF(G366="Utterance", IF(ISNUMBER(SEARCH("Unrecognized",D366)), "Unrecognized", IF(ISNUMBER(SEARCH("Mismatched",D366)), "Mismatched", IF(ISNUMBER(SEARCH("False Positive",D366)), "False Positive", "Irrelevant"))), "")</f>
        <v>Mismatched</v>
      </c>
      <c r="J366" s="7" t="s">
        <v>336</v>
      </c>
      <c r="K366" s="7" t="s">
        <v>198</v>
      </c>
      <c r="L366" s="9">
        <v>45016</v>
      </c>
      <c r="M366" s="10">
        <v>0.5040972222222222</v>
      </c>
      <c r="N366" s="11">
        <v>202000333096249</v>
      </c>
      <c r="O366" s="7">
        <f>IF(LEN(TRIM($A366))=0,0,LEN($A366)-LEN(SUBSTITUTE($A366," ",""))+1)</f>
        <v>3</v>
      </c>
      <c r="P366">
        <f>IF(D366="", "", COUNTIF($D$1:$D$2273, D366))</f>
        <v>32</v>
      </c>
    </row>
    <row r="367" spans="1:16" ht="32" hidden="1" x14ac:dyDescent="0.2">
      <c r="A367" s="8" t="s">
        <v>432</v>
      </c>
      <c r="C367" s="7" t="s">
        <v>4</v>
      </c>
      <c r="F367" s="7" t="str">
        <f>IF(OR(E367="Success",E367="Qualified Success"),"Current",IF(E367="Failure",IF(RIGHT(D367,6)="Future","Future",IF(RIGHT(D367,10)="Irrelevant","Irrelevant","Current")),""))</f>
        <v/>
      </c>
      <c r="G367" s="7" t="str">
        <f>IF(OR(ISBLANK(D367),D367="Unclassifiable &gt;"),"",IF(ISNUMBER(SEARCH("Utterance",D367)),"Utterance",IF(ISNUMBER(SEARCH("Response",D367)),"Response",IF(ISNUMBER(SEARCH("Interaction",D367)),"Interaction",IF(ISNUMBER(SEARCH("System",D367)),"System","")))))</f>
        <v/>
      </c>
      <c r="K367" s="7" t="s">
        <v>198</v>
      </c>
      <c r="L367" s="9">
        <v>45016</v>
      </c>
      <c r="M367" s="10">
        <v>0.5040972222222222</v>
      </c>
      <c r="N367" s="11">
        <v>202000333096249</v>
      </c>
      <c r="P367" t="str">
        <f>IF(D367="", "", COUNTIF($D$1:$D$2273, D367))</f>
        <v/>
      </c>
    </row>
    <row r="368" spans="1:16" ht="16" hidden="1" x14ac:dyDescent="0.2">
      <c r="A368" s="36" t="s">
        <v>135</v>
      </c>
      <c r="C368" s="7" t="s">
        <v>2</v>
      </c>
      <c r="D368" s="7" t="s">
        <v>206</v>
      </c>
      <c r="E368" s="7" t="str">
        <f>IF(OR(D368="", D368="___"),"", LEFT(D368,FIND(" &gt;",D368)-1))</f>
        <v>Success</v>
      </c>
      <c r="F368" s="7" t="str">
        <f>IF(OR(E368="Success",E368="Qualified Success"),"Current",IF(E368="Failure",IF(RIGHT(D368,6)="Future","Future",IF(RIGHT(D368,10)="Irrelevant","Irrelevant","Current")),""))</f>
        <v>Current</v>
      </c>
      <c r="G368" s="7" t="str">
        <f>IF(OR(ISBLANK(D368),D368="Unclassifiable &gt;"),"",IF(ISNUMBER(SEARCH("Utterance",D368)),"Utterance",IF(ISNUMBER(SEARCH("Response",D368)),"Response",IF(ISNUMBER(SEARCH("Interaction",D368)),"Interaction",IF(ISNUMBER(SEARCH("System",D368)),"System","")))))</f>
        <v/>
      </c>
      <c r="H368" s="7" t="str">
        <f>IF(G368="Utterance", IF(ISNUMBER(SEARCH("Unrecognized",D368)), "Unrecognized", IF(ISNUMBER(SEARCH("Mismatched",D368)), "Mismatched", IF(ISNUMBER(SEARCH("False Positive",D368)), "False Positive", "Irrelevant"))), "")</f>
        <v/>
      </c>
      <c r="J368" s="7" t="s">
        <v>336</v>
      </c>
      <c r="K368" s="7" t="s">
        <v>198</v>
      </c>
      <c r="L368" s="9">
        <v>45016</v>
      </c>
      <c r="M368" s="10">
        <v>0.50430555555555556</v>
      </c>
      <c r="N368" s="11">
        <v>202000333096249</v>
      </c>
      <c r="O368" s="7">
        <f>IF(LEN(TRIM($A368))=0,0,LEN($A368)-LEN(SUBSTITUTE($A368," ",""))+1)</f>
        <v>5</v>
      </c>
      <c r="P368">
        <f>IF(D368="", "", COUNTIF($D$1:$D$2273, D368))</f>
        <v>176</v>
      </c>
    </row>
    <row r="369" spans="1:16" ht="64" hidden="1" x14ac:dyDescent="0.2">
      <c r="A369" s="8" t="s">
        <v>433</v>
      </c>
      <c r="C369" s="7" t="s">
        <v>4</v>
      </c>
      <c r="F369" s="7" t="str">
        <f>IF(OR(E369="Success",E369="Qualified Success"),"Current",IF(E369="Failure",IF(RIGHT(D369,6)="Future","Future",IF(RIGHT(D369,10)="Irrelevant","Irrelevant","Current")),""))</f>
        <v/>
      </c>
      <c r="G369" s="7" t="str">
        <f>IF(OR(ISBLANK(D369),D369="Unclassifiable &gt;"),"",IF(ISNUMBER(SEARCH("Utterance",D369)),"Utterance",IF(ISNUMBER(SEARCH("Response",D369)),"Response",IF(ISNUMBER(SEARCH("Interaction",D369)),"Interaction",IF(ISNUMBER(SEARCH("System",D369)),"System","")))))</f>
        <v/>
      </c>
      <c r="K369" s="7" t="s">
        <v>198</v>
      </c>
      <c r="L369" s="9">
        <v>45016</v>
      </c>
      <c r="M369" s="10">
        <v>0.50430555555555556</v>
      </c>
      <c r="N369" s="11">
        <v>202000333096249</v>
      </c>
      <c r="P369" t="str">
        <f>IF(D369="", "", COUNTIF($D$1:$D$2273, D369))</f>
        <v/>
      </c>
    </row>
    <row r="370" spans="1:16" ht="16" hidden="1" x14ac:dyDescent="0.2">
      <c r="A370" s="36" t="s">
        <v>133</v>
      </c>
      <c r="C370" s="7" t="s">
        <v>2</v>
      </c>
      <c r="D370" s="7" t="s">
        <v>208</v>
      </c>
      <c r="E370" s="7" t="str">
        <f>IF(OR(D370="", D370="___"),"", LEFT(D370,FIND(" &gt;",D370)-1))</f>
        <v>Failure</v>
      </c>
      <c r="F370" s="7" t="str">
        <f>IF(OR(E370="Success",E370="Qualified Success"),"Current",IF(E370="Failure",IF(RIGHT(D370,6)="Future","Future",IF(RIGHT(D370,10)="Irrelevant","Irrelevant","Current")),""))</f>
        <v>Current</v>
      </c>
      <c r="G370" s="7" t="str">
        <f>IF(OR(ISBLANK(D370),D370="Unclassifiable &gt;"),"",IF(ISNUMBER(SEARCH("Utterance",D370)),"Utterance",IF(ISNUMBER(SEARCH("Response",D370)),"Response",IF(ISNUMBER(SEARCH("Interaction",D370)),"Interaction",IF(ISNUMBER(SEARCH("System",D370)),"System","")))))</f>
        <v>Utterance</v>
      </c>
      <c r="H370" s="7" t="str">
        <f>IF(G370="Utterance", IF(ISNUMBER(SEARCH("Unrecognized",D370)), "Unrecognized", IF(ISNUMBER(SEARCH("Mismatched",D370)), "Mismatched", IF(ISNUMBER(SEARCH("False Positive",D370)), "False Positive", "Irrelevant"))), "")</f>
        <v>Mismatched</v>
      </c>
      <c r="J370" s="7" t="s">
        <v>336</v>
      </c>
      <c r="K370" s="7" t="s">
        <v>198</v>
      </c>
      <c r="L370" s="9">
        <v>45016</v>
      </c>
      <c r="M370" s="10">
        <v>0.50460648148148146</v>
      </c>
      <c r="N370" s="11">
        <v>202000333096249</v>
      </c>
      <c r="O370" s="7">
        <f>IF(LEN(TRIM($A370))=0,0,LEN($A370)-LEN(SUBSTITUTE($A370," ",""))+1)</f>
        <v>6</v>
      </c>
      <c r="P370">
        <f>IF(D370="", "", COUNTIF($D$1:$D$2273, D370))</f>
        <v>32</v>
      </c>
    </row>
    <row r="371" spans="1:16" ht="48" hidden="1" x14ac:dyDescent="0.2">
      <c r="A371" s="8" t="s">
        <v>383</v>
      </c>
      <c r="C371" s="7" t="s">
        <v>4</v>
      </c>
      <c r="F371" s="7" t="str">
        <f>IF(OR(E371="Success",E371="Qualified Success"),"Current",IF(E371="Failure",IF(RIGHT(D371,6)="Future","Future",IF(RIGHT(D371,10)="Irrelevant","Irrelevant","Current")),""))</f>
        <v/>
      </c>
      <c r="G371" s="7" t="str">
        <f>IF(OR(ISBLANK(D371),D371="Unclassifiable &gt;"),"",IF(ISNUMBER(SEARCH("Utterance",D371)),"Utterance",IF(ISNUMBER(SEARCH("Response",D371)),"Response",IF(ISNUMBER(SEARCH("Interaction",D371)),"Interaction",IF(ISNUMBER(SEARCH("System",D371)),"System","")))))</f>
        <v/>
      </c>
      <c r="K371" s="7" t="s">
        <v>198</v>
      </c>
      <c r="L371" s="9">
        <v>45016</v>
      </c>
      <c r="M371" s="10">
        <v>0.50460648148148146</v>
      </c>
      <c r="N371" s="11">
        <v>202000333096249</v>
      </c>
      <c r="P371" t="str">
        <f>IF(D371="", "", COUNTIF($D$1:$D$2273, D371))</f>
        <v/>
      </c>
    </row>
    <row r="372" spans="1:16" ht="16" hidden="1" x14ac:dyDescent="0.2">
      <c r="A372" s="36" t="s">
        <v>42</v>
      </c>
      <c r="C372" s="7" t="s">
        <v>2</v>
      </c>
      <c r="D372" s="7" t="s">
        <v>208</v>
      </c>
      <c r="E372" s="7" t="str">
        <f>IF(OR(D372="", D372="___"),"", LEFT(D372,FIND(" &gt;",D372)-1))</f>
        <v>Failure</v>
      </c>
      <c r="F372" s="7" t="str">
        <f>IF(OR(E372="Success",E372="Qualified Success"),"Current",IF(E372="Failure",IF(RIGHT(D372,6)="Future","Future",IF(RIGHT(D372,10)="Irrelevant","Irrelevant","Current")),""))</f>
        <v>Current</v>
      </c>
      <c r="G372" s="7" t="str">
        <f>IF(OR(ISBLANK(D372),D372="Unclassifiable &gt;"),"",IF(ISNUMBER(SEARCH("Utterance",D372)),"Utterance",IF(ISNUMBER(SEARCH("Response",D372)),"Response",IF(ISNUMBER(SEARCH("Interaction",D372)),"Interaction",IF(ISNUMBER(SEARCH("System",D372)),"System","")))))</f>
        <v>Utterance</v>
      </c>
      <c r="H372" s="7" t="str">
        <f>IF(G372="Utterance", IF(ISNUMBER(SEARCH("Unrecognized",D372)), "Unrecognized", IF(ISNUMBER(SEARCH("Mismatched",D372)), "Mismatched", IF(ISNUMBER(SEARCH("False Positive",D372)), "False Positive", "Irrelevant"))), "")</f>
        <v>Mismatched</v>
      </c>
      <c r="J372" s="7" t="s">
        <v>329</v>
      </c>
      <c r="K372" s="7" t="s">
        <v>198</v>
      </c>
      <c r="L372" s="9">
        <v>45016</v>
      </c>
      <c r="M372" s="10">
        <v>0.50635416666666666</v>
      </c>
      <c r="N372" s="11">
        <v>204440003487265</v>
      </c>
      <c r="O372" s="7">
        <f>IF(LEN(TRIM($A372))=0,0,LEN($A372)-LEN(SUBSTITUTE($A372," ",""))+1)</f>
        <v>2</v>
      </c>
      <c r="P372">
        <f>IF(D372="", "", COUNTIF($D$1:$D$2273, D372))</f>
        <v>32</v>
      </c>
    </row>
    <row r="373" spans="1:16" ht="48" hidden="1" x14ac:dyDescent="0.2">
      <c r="A373" s="8" t="s">
        <v>380</v>
      </c>
      <c r="C373" s="7" t="s">
        <v>4</v>
      </c>
      <c r="F373" s="7" t="str">
        <f>IF(OR(E373="Success",E373="Qualified Success"),"Current",IF(E373="Failure",IF(RIGHT(D373,6)="Future","Future",IF(RIGHT(D373,10)="Irrelevant","Irrelevant","Current")),""))</f>
        <v/>
      </c>
      <c r="G373" s="7" t="str">
        <f>IF(OR(ISBLANK(D373),D373="Unclassifiable &gt;"),"",IF(ISNUMBER(SEARCH("Utterance",D373)),"Utterance",IF(ISNUMBER(SEARCH("Response",D373)),"Response",IF(ISNUMBER(SEARCH("Interaction",D373)),"Interaction",IF(ISNUMBER(SEARCH("System",D373)),"System","")))))</f>
        <v/>
      </c>
      <c r="K373" s="7" t="s">
        <v>198</v>
      </c>
      <c r="L373" s="9">
        <v>45016</v>
      </c>
      <c r="M373" s="10">
        <v>0.50635416666666666</v>
      </c>
      <c r="N373" s="11">
        <v>204440003487265</v>
      </c>
      <c r="P373" t="str">
        <f>IF(D373="", "", COUNTIF($D$1:$D$2273, D373))</f>
        <v/>
      </c>
    </row>
    <row r="374" spans="1:16" ht="16" hidden="1" x14ac:dyDescent="0.2">
      <c r="A374" s="36" t="s">
        <v>128</v>
      </c>
      <c r="C374" s="7" t="s">
        <v>2</v>
      </c>
      <c r="D374" s="7" t="s">
        <v>206</v>
      </c>
      <c r="E374" s="7" t="str">
        <f>IF(OR(D374="", D374="___"),"", LEFT(D374,FIND(" &gt;",D374)-1))</f>
        <v>Success</v>
      </c>
      <c r="F374" s="7" t="str">
        <f>IF(OR(E374="Success",E374="Qualified Success"),"Current",IF(E374="Failure",IF(RIGHT(D374,6)="Future","Future",IF(RIGHT(D374,10)="Irrelevant","Irrelevant","Current")),""))</f>
        <v>Current</v>
      </c>
      <c r="G374" s="7" t="str">
        <f>IF(OR(ISBLANK(D374),D374="Unclassifiable &gt;"),"",IF(ISNUMBER(SEARCH("Utterance",D374)),"Utterance",IF(ISNUMBER(SEARCH("Response",D374)),"Response",IF(ISNUMBER(SEARCH("Interaction",D374)),"Interaction",IF(ISNUMBER(SEARCH("System",D374)),"System","")))))</f>
        <v/>
      </c>
      <c r="H374" s="7" t="str">
        <f>IF(G374="Utterance", IF(ISNUMBER(SEARCH("Unrecognized",D374)), "Unrecognized", IF(ISNUMBER(SEARCH("Mismatched",D374)), "Mismatched", IF(ISNUMBER(SEARCH("False Positive",D374)), "False Positive", "Irrelevant"))), "")</f>
        <v/>
      </c>
      <c r="J374" s="7" t="s">
        <v>333</v>
      </c>
      <c r="K374" s="7" t="s">
        <v>198</v>
      </c>
      <c r="L374" s="9">
        <v>45016</v>
      </c>
      <c r="M374" s="10">
        <v>0.50649305555555557</v>
      </c>
      <c r="N374" s="11">
        <v>202000218383097</v>
      </c>
      <c r="O374" s="7">
        <f>IF(LEN(TRIM($A374))=0,0,LEN($A374)-LEN(SUBSTITUTE($A374," ",""))+1)</f>
        <v>3</v>
      </c>
      <c r="P374">
        <f>IF(D374="", "", COUNTIF($D$1:$D$2273, D374))</f>
        <v>176</v>
      </c>
    </row>
    <row r="375" spans="1:16" ht="64" hidden="1" x14ac:dyDescent="0.2">
      <c r="A375" s="8" t="s">
        <v>422</v>
      </c>
      <c r="C375" s="7" t="s">
        <v>4</v>
      </c>
      <c r="F375" s="7" t="str">
        <f>IF(OR(E375="Success",E375="Qualified Success"),"Current",IF(E375="Failure",IF(RIGHT(D375,6)="Future","Future",IF(RIGHT(D375,10)="Irrelevant","Irrelevant","Current")),""))</f>
        <v/>
      </c>
      <c r="G375" s="7" t="str">
        <f>IF(OR(ISBLANK(D375),D375="Unclassifiable &gt;"),"",IF(ISNUMBER(SEARCH("Utterance",D375)),"Utterance",IF(ISNUMBER(SEARCH("Response",D375)),"Response",IF(ISNUMBER(SEARCH("Interaction",D375)),"Interaction",IF(ISNUMBER(SEARCH("System",D375)),"System","")))))</f>
        <v/>
      </c>
      <c r="K375" s="7" t="s">
        <v>198</v>
      </c>
      <c r="L375" s="9">
        <v>45016</v>
      </c>
      <c r="M375" s="10">
        <v>0.50650462962962961</v>
      </c>
      <c r="N375" s="11">
        <v>202000218383097</v>
      </c>
      <c r="P375" t="str">
        <f>IF(D375="", "", COUNTIF($D$1:$D$2273, D375))</f>
        <v/>
      </c>
    </row>
    <row r="376" spans="1:16" ht="16" hidden="1" x14ac:dyDescent="0.2">
      <c r="A376" s="36" t="s">
        <v>44</v>
      </c>
      <c r="C376" s="7" t="s">
        <v>2</v>
      </c>
      <c r="D376" s="7" t="s">
        <v>206</v>
      </c>
      <c r="E376" s="7" t="str">
        <f>IF(OR(D376="", D376="___"),"", LEFT(D376,FIND(" &gt;",D376)-1))</f>
        <v>Success</v>
      </c>
      <c r="F376" s="7" t="str">
        <f>IF(OR(E376="Success",E376="Qualified Success"),"Current",IF(E376="Failure",IF(RIGHT(D376,6)="Future","Future",IF(RIGHT(D376,10)="Irrelevant","Irrelevant","Current")),""))</f>
        <v>Current</v>
      </c>
      <c r="G376" s="7" t="str">
        <f>IF(OR(ISBLANK(D376),D376="Unclassifiable &gt;"),"",IF(ISNUMBER(SEARCH("Utterance",D376)),"Utterance",IF(ISNUMBER(SEARCH("Response",D376)),"Response",IF(ISNUMBER(SEARCH("Interaction",D376)),"Interaction",IF(ISNUMBER(SEARCH("System",D376)),"System","")))))</f>
        <v/>
      </c>
      <c r="H376" s="7" t="str">
        <f>IF(G376="Utterance", IF(ISNUMBER(SEARCH("Unrecognized",D376)), "Unrecognized", IF(ISNUMBER(SEARCH("Mismatched",D376)), "Mismatched", IF(ISNUMBER(SEARCH("False Positive",D376)), "False Positive", "Irrelevant"))), "")</f>
        <v/>
      </c>
      <c r="J376" s="7" t="s">
        <v>329</v>
      </c>
      <c r="K376" s="7" t="s">
        <v>198</v>
      </c>
      <c r="L376" s="9">
        <v>45016</v>
      </c>
      <c r="M376" s="10">
        <v>0.50677083333333328</v>
      </c>
      <c r="N376" s="11">
        <v>204440003487265</v>
      </c>
      <c r="O376" s="7">
        <f>IF(LEN(TRIM($A376))=0,0,LEN($A376)-LEN(SUBSTITUTE($A376," ",""))+1)</f>
        <v>6</v>
      </c>
      <c r="P376">
        <f>IF(D376="", "", COUNTIF($D$1:$D$2273, D376))</f>
        <v>176</v>
      </c>
    </row>
    <row r="377" spans="1:16" ht="96" hidden="1" x14ac:dyDescent="0.2">
      <c r="A377" s="8" t="s">
        <v>394</v>
      </c>
      <c r="C377" s="7" t="s">
        <v>4</v>
      </c>
      <c r="F377" s="7" t="str">
        <f>IF(OR(E377="Success",E377="Qualified Success"),"Current",IF(E377="Failure",IF(RIGHT(D377,6)="Future","Future",IF(RIGHT(D377,10)="Irrelevant","Irrelevant","Current")),""))</f>
        <v/>
      </c>
      <c r="G377" s="7" t="str">
        <f>IF(OR(ISBLANK(D377),D377="Unclassifiable &gt;"),"",IF(ISNUMBER(SEARCH("Utterance",D377)),"Utterance",IF(ISNUMBER(SEARCH("Response",D377)),"Response",IF(ISNUMBER(SEARCH("Interaction",D377)),"Interaction",IF(ISNUMBER(SEARCH("System",D377)),"System","")))))</f>
        <v/>
      </c>
      <c r="K377" s="7" t="s">
        <v>198</v>
      </c>
      <c r="L377" s="9">
        <v>45016</v>
      </c>
      <c r="M377" s="10">
        <v>0.50677083333333328</v>
      </c>
      <c r="N377" s="11">
        <v>204440003487265</v>
      </c>
      <c r="P377" t="str">
        <f>IF(D377="", "", COUNTIF($D$1:$D$2273, D377))</f>
        <v/>
      </c>
    </row>
    <row r="378" spans="1:16" ht="16" hidden="1" x14ac:dyDescent="0.2">
      <c r="A378" s="36" t="s">
        <v>43</v>
      </c>
      <c r="C378" s="7" t="s">
        <v>2</v>
      </c>
      <c r="D378" s="7" t="s">
        <v>206</v>
      </c>
      <c r="E378" s="7" t="str">
        <f>IF(OR(D378="", D378="___"),"", LEFT(D378,FIND(" &gt;",D378)-1))</f>
        <v>Success</v>
      </c>
      <c r="F378" s="7" t="str">
        <f>IF(OR(E378="Success",E378="Qualified Success"),"Current",IF(E378="Failure",IF(RIGHT(D378,6)="Future","Future",IF(RIGHT(D378,10)="Irrelevant","Irrelevant","Current")),""))</f>
        <v>Current</v>
      </c>
      <c r="G378" s="7" t="str">
        <f>IF(OR(ISBLANK(D378),D378="Unclassifiable &gt;"),"",IF(ISNUMBER(SEARCH("Utterance",D378)),"Utterance",IF(ISNUMBER(SEARCH("Response",D378)),"Response",IF(ISNUMBER(SEARCH("Interaction",D378)),"Interaction",IF(ISNUMBER(SEARCH("System",D378)),"System","")))))</f>
        <v/>
      </c>
      <c r="H378" s="7" t="str">
        <f>IF(G378="Utterance", IF(ISNUMBER(SEARCH("Unrecognized",D378)), "Unrecognized", IF(ISNUMBER(SEARCH("Mismatched",D378)), "Mismatched", IF(ISNUMBER(SEARCH("False Positive",D378)), "False Positive", "Irrelevant"))), "")</f>
        <v/>
      </c>
      <c r="J378" s="7" t="s">
        <v>329</v>
      </c>
      <c r="K378" s="7" t="s">
        <v>198</v>
      </c>
      <c r="L378" s="9">
        <v>45016</v>
      </c>
      <c r="M378" s="10">
        <v>0.50969907407407411</v>
      </c>
      <c r="N378" s="11">
        <v>204440003487265</v>
      </c>
      <c r="O378" s="7">
        <f>IF(LEN(TRIM($A378))=0,0,LEN($A378)-LEN(SUBSTITUTE($A378," ",""))+1)</f>
        <v>3</v>
      </c>
      <c r="P378">
        <f>IF(D378="", "", COUNTIF($D$1:$D$2273, D378))</f>
        <v>176</v>
      </c>
    </row>
    <row r="379" spans="1:16" ht="80" hidden="1" x14ac:dyDescent="0.2">
      <c r="A379" s="8" t="s">
        <v>412</v>
      </c>
      <c r="C379" s="7" t="s">
        <v>4</v>
      </c>
      <c r="F379" s="7" t="str">
        <f>IF(OR(E379="Success",E379="Qualified Success"),"Current",IF(E379="Failure",IF(RIGHT(D379,6)="Future","Future",IF(RIGHT(D379,10)="Irrelevant","Irrelevant","Current")),""))</f>
        <v/>
      </c>
      <c r="G379" s="7" t="str">
        <f>IF(OR(ISBLANK(D379),D379="Unclassifiable &gt;"),"",IF(ISNUMBER(SEARCH("Utterance",D379)),"Utterance",IF(ISNUMBER(SEARCH("Response",D379)),"Response",IF(ISNUMBER(SEARCH("Interaction",D379)),"Interaction",IF(ISNUMBER(SEARCH("System",D379)),"System","")))))</f>
        <v/>
      </c>
      <c r="K379" s="7" t="s">
        <v>198</v>
      </c>
      <c r="L379" s="9">
        <v>45016</v>
      </c>
      <c r="M379" s="10">
        <v>0.50969907407407411</v>
      </c>
      <c r="N379" s="11">
        <v>204440003487265</v>
      </c>
      <c r="P379" t="str">
        <f>IF(D379="", "", COUNTIF($D$1:$D$2273, D379))</f>
        <v/>
      </c>
    </row>
    <row r="380" spans="1:16" ht="16" hidden="1" x14ac:dyDescent="0.2">
      <c r="A380" s="36" t="s">
        <v>70</v>
      </c>
      <c r="B380" s="7" t="s">
        <v>296</v>
      </c>
      <c r="C380" s="7" t="s">
        <v>2</v>
      </c>
      <c r="D380" s="7" t="s">
        <v>206</v>
      </c>
      <c r="E380" s="7" t="str">
        <f>IF(OR(D380="", D380="___"),"", LEFT(D380,FIND(" &gt;",D380)-1))</f>
        <v>Success</v>
      </c>
      <c r="F380" s="7" t="str">
        <f>IF(OR(E380="Success",E380="Qualified Success"),"Current",IF(E380="Failure",IF(RIGHT(D380,6)="Future","Future",IF(RIGHT(D380,10)="Irrelevant","Irrelevant","Current")),""))</f>
        <v>Current</v>
      </c>
      <c r="G380" s="7" t="str">
        <f>IF(OR(ISBLANK(D380),D380="Unclassifiable &gt;"),"",IF(ISNUMBER(SEARCH("Utterance",D380)),"Utterance",IF(ISNUMBER(SEARCH("Response",D380)),"Response",IF(ISNUMBER(SEARCH("Interaction",D380)),"Interaction",IF(ISNUMBER(SEARCH("System",D380)),"System","")))))</f>
        <v/>
      </c>
      <c r="H380" s="7" t="str">
        <f>IF(G380="Utterance", IF(ISNUMBER(SEARCH("Unrecognized",D380)), "Unrecognized", IF(ISNUMBER(SEARCH("Mismatched",D380)), "Mismatched", IF(ISNUMBER(SEARCH("False Positive",D380)), "False Positive", "Irrelevant"))), "")</f>
        <v/>
      </c>
      <c r="J380" s="7" t="s">
        <v>253</v>
      </c>
      <c r="K380" s="7" t="s">
        <v>198</v>
      </c>
      <c r="L380" s="9">
        <v>45016</v>
      </c>
      <c r="M380" s="10">
        <v>0.51105324074074077</v>
      </c>
      <c r="N380" s="11">
        <v>513002680440608</v>
      </c>
      <c r="O380" s="7">
        <f>IF(LEN(TRIM($A380))=0,0,LEN($A380)-LEN(SUBSTITUTE($A380," ",""))+1)</f>
        <v>3</v>
      </c>
      <c r="P380">
        <f>IF(D380="", "", COUNTIF($D$1:$D$2273, D380))</f>
        <v>176</v>
      </c>
    </row>
    <row r="381" spans="1:16" ht="32" hidden="1" x14ac:dyDescent="0.2">
      <c r="A381" s="8" t="s">
        <v>319</v>
      </c>
      <c r="C381" s="7" t="s">
        <v>4</v>
      </c>
      <c r="F381" s="7" t="str">
        <f>IF(OR(E381="Success",E381="Qualified Success"),"Current",IF(E381="Failure",IF(RIGHT(D381,6)="Future","Future",IF(RIGHT(D381,10)="Irrelevant","Irrelevant","Current")),""))</f>
        <v/>
      </c>
      <c r="G381" s="7" t="str">
        <f>IF(OR(ISBLANK(D381),D381="Unclassifiable &gt;"),"",IF(ISNUMBER(SEARCH("Utterance",D381)),"Utterance",IF(ISNUMBER(SEARCH("Response",D381)),"Response",IF(ISNUMBER(SEARCH("Interaction",D381)),"Interaction",IF(ISNUMBER(SEARCH("System",D381)),"System","")))))</f>
        <v/>
      </c>
      <c r="K381" s="7" t="s">
        <v>198</v>
      </c>
      <c r="L381" s="9">
        <v>45016</v>
      </c>
      <c r="M381" s="10">
        <v>0.51107638888888884</v>
      </c>
      <c r="N381" s="11">
        <v>513002680440608</v>
      </c>
      <c r="P381" t="str">
        <f>IF(D381="", "", COUNTIF($D$1:$D$2273, D381))</f>
        <v/>
      </c>
    </row>
    <row r="382" spans="1:16" ht="16" hidden="1" x14ac:dyDescent="0.2">
      <c r="A382" s="8" t="s">
        <v>456</v>
      </c>
      <c r="C382" s="7" t="s">
        <v>4</v>
      </c>
      <c r="F382" s="7" t="str">
        <f>IF(OR(E382="Success",E382="Qualified Success"),"Current",IF(E382="Failure",IF(RIGHT(D382,6)="Future","Future",IF(RIGHT(D382,10)="Irrelevant","Irrelevant","Current")),""))</f>
        <v/>
      </c>
      <c r="G382" s="7" t="str">
        <f>IF(OR(ISBLANK(D382),D382="Unclassifiable &gt;"),"",IF(ISNUMBER(SEARCH("Utterance",D382)),"Utterance",IF(ISNUMBER(SEARCH("Response",D382)),"Response",IF(ISNUMBER(SEARCH("Interaction",D382)),"Interaction",IF(ISNUMBER(SEARCH("System",D382)),"System","")))))</f>
        <v/>
      </c>
      <c r="K382" s="7" t="s">
        <v>198</v>
      </c>
      <c r="L382" s="9">
        <v>45016</v>
      </c>
      <c r="M382" s="10">
        <v>0.51107638888888884</v>
      </c>
      <c r="N382" s="11">
        <v>513002680440608</v>
      </c>
      <c r="P382" t="str">
        <f>IF(D382="", "", COUNTIF($D$1:$D$2273, D382))</f>
        <v/>
      </c>
    </row>
    <row r="383" spans="1:16" ht="16" hidden="1" x14ac:dyDescent="0.2">
      <c r="A383" s="8" t="s">
        <v>406</v>
      </c>
      <c r="C383" s="7" t="s">
        <v>4</v>
      </c>
      <c r="F383" s="7" t="str">
        <f>IF(OR(E383="Success",E383="Qualified Success"),"Current",IF(E383="Failure",IF(RIGHT(D383,6)="Future","Future",IF(RIGHT(D383,10)="Irrelevant","Irrelevant","Current")),""))</f>
        <v/>
      </c>
      <c r="G383" s="7" t="str">
        <f>IF(OR(ISBLANK(D383),D383="Unclassifiable &gt;"),"",IF(ISNUMBER(SEARCH("Utterance",D383)),"Utterance",IF(ISNUMBER(SEARCH("Response",D383)),"Response",IF(ISNUMBER(SEARCH("Interaction",D383)),"Interaction",IF(ISNUMBER(SEARCH("System",D383)),"System","")))))</f>
        <v/>
      </c>
      <c r="K383" s="7" t="s">
        <v>198</v>
      </c>
      <c r="L383" s="9">
        <v>45016</v>
      </c>
      <c r="M383" s="10">
        <v>0.51107638888888884</v>
      </c>
      <c r="N383" s="11">
        <v>513002680440608</v>
      </c>
      <c r="P383" t="str">
        <f>IF(D383="", "", COUNTIF($D$1:$D$2273, D383))</f>
        <v/>
      </c>
    </row>
    <row r="384" spans="1:16" ht="16" hidden="1" x14ac:dyDescent="0.2">
      <c r="A384" s="36" t="s">
        <v>56</v>
      </c>
      <c r="C384" s="7" t="s">
        <v>2</v>
      </c>
      <c r="D384" s="7" t="s">
        <v>206</v>
      </c>
      <c r="E384" s="7" t="str">
        <f>IF(OR(D384="", D384="___"),"", LEFT(D384,FIND(" &gt;",D384)-1))</f>
        <v>Success</v>
      </c>
      <c r="F384" s="7" t="str">
        <f>IF(OR(E384="Success",E384="Qualified Success"),"Current",IF(E384="Failure",IF(RIGHT(D384,6)="Future","Future",IF(RIGHT(D384,10)="Irrelevant","Irrelevant","Current")),""))</f>
        <v>Current</v>
      </c>
      <c r="G384" s="7" t="str">
        <f>IF(OR(ISBLANK(D384),D384="Unclassifiable &gt;"),"",IF(ISNUMBER(SEARCH("Utterance",D384)),"Utterance",IF(ISNUMBER(SEARCH("Response",D384)),"Response",IF(ISNUMBER(SEARCH("Interaction",D384)),"Interaction",IF(ISNUMBER(SEARCH("System",D384)),"System","")))))</f>
        <v/>
      </c>
      <c r="H384" s="7" t="str">
        <f>IF(G384="Utterance", IF(ISNUMBER(SEARCH("Unrecognized",D384)), "Unrecognized", IF(ISNUMBER(SEARCH("Mismatched",D384)), "Mismatched", IF(ISNUMBER(SEARCH("False Positive",D384)), "False Positive", "Irrelevant"))), "")</f>
        <v/>
      </c>
      <c r="J384" s="7" t="s">
        <v>329</v>
      </c>
      <c r="K384" s="7" t="s">
        <v>198</v>
      </c>
      <c r="L384" s="9">
        <v>45016</v>
      </c>
      <c r="M384" s="10">
        <v>0.51620370370370372</v>
      </c>
      <c r="N384" s="11">
        <v>204440003495282</v>
      </c>
      <c r="O384" s="7">
        <f>IF(LEN(TRIM($A384))=0,0,LEN($A384)-LEN(SUBSTITUTE($A384," ",""))+1)</f>
        <v>6</v>
      </c>
      <c r="P384">
        <f>IF(D384="", "", COUNTIF($D$1:$D$2273, D384))</f>
        <v>176</v>
      </c>
    </row>
    <row r="385" spans="1:16" ht="96" hidden="1" x14ac:dyDescent="0.2">
      <c r="A385" s="8" t="s">
        <v>394</v>
      </c>
      <c r="C385" s="7" t="s">
        <v>4</v>
      </c>
      <c r="F385" s="7" t="str">
        <f>IF(OR(E385="Success",E385="Qualified Success"),"Current",IF(E385="Failure",IF(RIGHT(D385,6)="Future","Future",IF(RIGHT(D385,10)="Irrelevant","Irrelevant","Current")),""))</f>
        <v/>
      </c>
      <c r="G385" s="7" t="str">
        <f>IF(OR(ISBLANK(D385),D385="Unclassifiable &gt;"),"",IF(ISNUMBER(SEARCH("Utterance",D385)),"Utterance",IF(ISNUMBER(SEARCH("Response",D385)),"Response",IF(ISNUMBER(SEARCH("Interaction",D385)),"Interaction",IF(ISNUMBER(SEARCH("System",D385)),"System","")))))</f>
        <v/>
      </c>
      <c r="K385" s="7" t="s">
        <v>198</v>
      </c>
      <c r="L385" s="9">
        <v>45016</v>
      </c>
      <c r="M385" s="10">
        <v>0.51621527777777776</v>
      </c>
      <c r="N385" s="11">
        <v>204440003495282</v>
      </c>
      <c r="P385" t="str">
        <f>IF(D385="", "", COUNTIF($D$1:$D$2273, D385))</f>
        <v/>
      </c>
    </row>
    <row r="386" spans="1:16" ht="16" hidden="1" x14ac:dyDescent="0.2">
      <c r="A386" s="36" t="s">
        <v>71</v>
      </c>
      <c r="C386" s="7" t="s">
        <v>2</v>
      </c>
      <c r="D386" s="7" t="s">
        <v>206</v>
      </c>
      <c r="E386" s="7" t="str">
        <f>IF(OR(D386="", D386="___"),"", LEFT(D386,FIND(" &gt;",D386)-1))</f>
        <v>Success</v>
      </c>
      <c r="F386" s="7" t="str">
        <f>IF(OR(E386="Success",E386="Qualified Success"),"Current",IF(E386="Failure",IF(RIGHT(D386,6)="Future","Future",IF(RIGHT(D386,10)="Irrelevant","Irrelevant","Current")),""))</f>
        <v>Current</v>
      </c>
      <c r="G386" s="7" t="str">
        <f>IF(OR(ISBLANK(D386),D386="Unclassifiable &gt;"),"",IF(ISNUMBER(SEARCH("Utterance",D386)),"Utterance",IF(ISNUMBER(SEARCH("Response",D386)),"Response",IF(ISNUMBER(SEARCH("Interaction",D386)),"Interaction",IF(ISNUMBER(SEARCH("System",D386)),"System","")))))</f>
        <v/>
      </c>
      <c r="H386" s="7" t="str">
        <f>IF(G386="Utterance", IF(ISNUMBER(SEARCH("Unrecognized",D386)), "Unrecognized", IF(ISNUMBER(SEARCH("Mismatched",D386)), "Mismatched", IF(ISNUMBER(SEARCH("False Positive",D386)), "False Positive", "Irrelevant"))), "")</f>
        <v/>
      </c>
      <c r="J386" s="7" t="s">
        <v>329</v>
      </c>
      <c r="K386" s="7" t="s">
        <v>198</v>
      </c>
      <c r="L386" s="9">
        <v>45016</v>
      </c>
      <c r="M386" s="10">
        <v>0.51627314814814818</v>
      </c>
      <c r="N386" s="11">
        <v>204440003495282</v>
      </c>
      <c r="O386" s="7">
        <f>IF(LEN(TRIM($A386))=0,0,LEN($A386)-LEN(SUBSTITUTE($A386," ",""))+1)</f>
        <v>5</v>
      </c>
      <c r="P386">
        <f>IF(D386="", "", COUNTIF($D$1:$D$2273, D386))</f>
        <v>176</v>
      </c>
    </row>
    <row r="387" spans="1:16" ht="32" hidden="1" x14ac:dyDescent="0.2">
      <c r="A387" s="8" t="s">
        <v>389</v>
      </c>
      <c r="C387" s="7" t="s">
        <v>4</v>
      </c>
      <c r="F387" s="7" t="str">
        <f>IF(OR(E387="Success",E387="Qualified Success"),"Current",IF(E387="Failure",IF(RIGHT(D387,6)="Future","Future",IF(RIGHT(D387,10)="Irrelevant","Irrelevant","Current")),""))</f>
        <v/>
      </c>
      <c r="G387" s="7" t="str">
        <f>IF(OR(ISBLANK(D387),D387="Unclassifiable &gt;"),"",IF(ISNUMBER(SEARCH("Utterance",D387)),"Utterance",IF(ISNUMBER(SEARCH("Response",D387)),"Response",IF(ISNUMBER(SEARCH("Interaction",D387)),"Interaction",IF(ISNUMBER(SEARCH("System",D387)),"System","")))))</f>
        <v/>
      </c>
      <c r="K387" s="7" t="s">
        <v>198</v>
      </c>
      <c r="L387" s="9">
        <v>45016</v>
      </c>
      <c r="M387" s="10">
        <v>0.51627314814814818</v>
      </c>
      <c r="N387" s="11">
        <v>204440003495282</v>
      </c>
      <c r="P387" t="str">
        <f>IF(D387="", "", COUNTIF($D$1:$D$2273, D387))</f>
        <v/>
      </c>
    </row>
    <row r="388" spans="1:16" ht="16" hidden="1" x14ac:dyDescent="0.2">
      <c r="A388" s="36" t="s">
        <v>158</v>
      </c>
      <c r="C388" s="7" t="s">
        <v>2</v>
      </c>
      <c r="D388" s="7" t="s">
        <v>206</v>
      </c>
      <c r="E388" s="7" t="str">
        <f>IF(OR(D388="", D388="___"),"", LEFT(D388,FIND(" &gt;",D388)-1))</f>
        <v>Success</v>
      </c>
      <c r="F388" s="7" t="str">
        <f>IF(OR(E388="Success",E388="Qualified Success"),"Current",IF(E388="Failure",IF(RIGHT(D388,6)="Future","Future",IF(RIGHT(D388,10)="Irrelevant","Irrelevant","Current")),""))</f>
        <v>Current</v>
      </c>
      <c r="G388" s="7" t="str">
        <f>IF(OR(ISBLANK(D388),D388="Unclassifiable &gt;"),"",IF(ISNUMBER(SEARCH("Utterance",D388)),"Utterance",IF(ISNUMBER(SEARCH("Response",D388)),"Response",IF(ISNUMBER(SEARCH("Interaction",D388)),"Interaction",IF(ISNUMBER(SEARCH("System",D388)),"System","")))))</f>
        <v/>
      </c>
      <c r="H388" s="7" t="str">
        <f>IF(G388="Utterance", IF(ISNUMBER(SEARCH("Unrecognized",D388)), "Unrecognized", IF(ISNUMBER(SEARCH("Mismatched",D388)), "Mismatched", IF(ISNUMBER(SEARCH("False Positive",D388)), "False Positive", "Irrelevant"))), "")</f>
        <v/>
      </c>
      <c r="J388" s="7" t="s">
        <v>249</v>
      </c>
      <c r="K388" s="7" t="s">
        <v>198</v>
      </c>
      <c r="L388" s="9">
        <v>45016</v>
      </c>
      <c r="M388" s="10">
        <v>0.51674768518518521</v>
      </c>
      <c r="N388" s="11">
        <v>202000705233752</v>
      </c>
      <c r="O388" s="7">
        <f>IF(LEN(TRIM($A388))=0,0,LEN($A388)-LEN(SUBSTITUTE($A388," ",""))+1)</f>
        <v>3</v>
      </c>
      <c r="P388">
        <f>IF(D388="", "", COUNTIF($D$1:$D$2273, D388))</f>
        <v>176</v>
      </c>
    </row>
    <row r="389" spans="1:16" ht="48" hidden="1" x14ac:dyDescent="0.2">
      <c r="A389" s="8" t="s">
        <v>452</v>
      </c>
      <c r="C389" s="7" t="s">
        <v>4</v>
      </c>
      <c r="F389" s="7" t="str">
        <f>IF(OR(E389="Success",E389="Qualified Success"),"Current",IF(E389="Failure",IF(RIGHT(D389,6)="Future","Future",IF(RIGHT(D389,10)="Irrelevant","Irrelevant","Current")),""))</f>
        <v/>
      </c>
      <c r="G389" s="7" t="str">
        <f>IF(OR(ISBLANK(D389),D389="Unclassifiable &gt;"),"",IF(ISNUMBER(SEARCH("Utterance",D389)),"Utterance",IF(ISNUMBER(SEARCH("Response",D389)),"Response",IF(ISNUMBER(SEARCH("Interaction",D389)),"Interaction",IF(ISNUMBER(SEARCH("System",D389)),"System","")))))</f>
        <v/>
      </c>
      <c r="K389" s="7" t="s">
        <v>198</v>
      </c>
      <c r="L389" s="9">
        <v>45016</v>
      </c>
      <c r="M389" s="10">
        <v>0.51674768518518521</v>
      </c>
      <c r="N389" s="11">
        <v>202000705233752</v>
      </c>
      <c r="P389" t="str">
        <f>IF(D389="", "", COUNTIF($D$1:$D$2273, D389))</f>
        <v/>
      </c>
    </row>
    <row r="390" spans="1:16" ht="16" hidden="1" x14ac:dyDescent="0.2">
      <c r="A390" s="36" t="s">
        <v>75</v>
      </c>
      <c r="C390" s="7" t="s">
        <v>2</v>
      </c>
      <c r="D390" s="7" t="s">
        <v>217</v>
      </c>
      <c r="E390" s="7" t="str">
        <f>IF(OR(D390="", D390="___"),"", LEFT(D390,FIND(" &gt;",D390)-1))</f>
        <v>Failure</v>
      </c>
      <c r="F390" s="7" t="str">
        <f>IF(OR(E390="Success",E390="Qualified Success"),"Current",IF(E390="Failure",IF(RIGHT(D390,6)="Future","Future",IF(RIGHT(D390,10)="Irrelevant","Irrelevant","Current")),""))</f>
        <v>Current</v>
      </c>
      <c r="G390" s="7" t="str">
        <f>IF(OR(ISBLANK(D390),D390="Unclassifiable &gt;"),"",IF(ISNUMBER(SEARCH("Utterance",D390)),"Utterance",IF(ISNUMBER(SEARCH("Response",D390)),"Response",IF(ISNUMBER(SEARCH("Interaction",D390)),"Interaction",IF(ISNUMBER(SEARCH("System",D390)),"System","")))))</f>
        <v>Interaction</v>
      </c>
      <c r="H390" s="7" t="str">
        <f>IF(G390="Utterance", IF(ISNUMBER(SEARCH("Unrecognized",D390)), "Unrecognized", IF(ISNUMBER(SEARCH("Mismatched",D390)), "Mismatched", IF(ISNUMBER(SEARCH("False Positive",D390)), "False Positive", "Irrelevant"))), "")</f>
        <v/>
      </c>
      <c r="J390" s="7" t="s">
        <v>339</v>
      </c>
      <c r="K390" s="7" t="s">
        <v>198</v>
      </c>
      <c r="L390" s="9">
        <v>45016</v>
      </c>
      <c r="M390" s="10">
        <v>0.5184375</v>
      </c>
      <c r="N390" s="11">
        <v>204440003498465</v>
      </c>
      <c r="O390" s="7">
        <f>IF(LEN(TRIM($A390))=0,0,LEN($A390)-LEN(SUBSTITUTE($A390," ",""))+1)</f>
        <v>23</v>
      </c>
      <c r="P390">
        <f>IF(D390="", "", COUNTIF($D$1:$D$2273, D390))</f>
        <v>29</v>
      </c>
    </row>
    <row r="391" spans="1:16" ht="48" hidden="1" x14ac:dyDescent="0.2">
      <c r="A391" s="8" t="s">
        <v>457</v>
      </c>
      <c r="C391" s="7" t="s">
        <v>4</v>
      </c>
      <c r="F391" s="7" t="str">
        <f>IF(OR(E391="Success",E391="Qualified Success"),"Current",IF(E391="Failure",IF(RIGHT(D391,6)="Future","Future",IF(RIGHT(D391,10)="Irrelevant","Irrelevant","Current")),""))</f>
        <v/>
      </c>
      <c r="G391" s="7" t="str">
        <f>IF(OR(ISBLANK(D391),D391="Unclassifiable &gt;"),"",IF(ISNUMBER(SEARCH("Utterance",D391)),"Utterance",IF(ISNUMBER(SEARCH("Response",D391)),"Response",IF(ISNUMBER(SEARCH("Interaction",D391)),"Interaction",IF(ISNUMBER(SEARCH("System",D391)),"System","")))))</f>
        <v/>
      </c>
      <c r="K391" s="7" t="s">
        <v>198</v>
      </c>
      <c r="L391" s="9">
        <v>45016</v>
      </c>
      <c r="M391" s="10">
        <v>0.51844907407407403</v>
      </c>
      <c r="N391" s="11">
        <v>204440003498465</v>
      </c>
      <c r="P391" t="str">
        <f>IF(D391="", "", COUNTIF($D$1:$D$2273, D391))</f>
        <v/>
      </c>
    </row>
    <row r="392" spans="1:16" ht="16" hidden="1" x14ac:dyDescent="0.2">
      <c r="A392" s="36" t="s">
        <v>157</v>
      </c>
      <c r="C392" s="7" t="s">
        <v>2</v>
      </c>
      <c r="D392" s="7" t="s">
        <v>206</v>
      </c>
      <c r="E392" s="7" t="str">
        <f>IF(OR(D392="", D392="___"),"", LEFT(D392,FIND(" &gt;",D392)-1))</f>
        <v>Success</v>
      </c>
      <c r="F392" s="7" t="str">
        <f>IF(OR(E392="Success",E392="Qualified Success"),"Current",IF(E392="Failure",IF(RIGHT(D392,6)="Future","Future",IF(RIGHT(D392,10)="Irrelevant","Irrelevant","Current")),""))</f>
        <v>Current</v>
      </c>
      <c r="G392" s="7" t="str">
        <f>IF(OR(ISBLANK(D392),D392="Unclassifiable &gt;"),"",IF(ISNUMBER(SEARCH("Utterance",D392)),"Utterance",IF(ISNUMBER(SEARCH("Response",D392)),"Response",IF(ISNUMBER(SEARCH("Interaction",D392)),"Interaction",IF(ISNUMBER(SEARCH("System",D392)),"System","")))))</f>
        <v/>
      </c>
      <c r="H392" s="7" t="str">
        <f>IF(G392="Utterance", IF(ISNUMBER(SEARCH("Unrecognized",D392)), "Unrecognized", IF(ISNUMBER(SEARCH("Mismatched",D392)), "Mismatched", IF(ISNUMBER(SEARCH("False Positive",D392)), "False Positive", "Irrelevant"))), "")</f>
        <v/>
      </c>
      <c r="J392" s="7" t="s">
        <v>249</v>
      </c>
      <c r="K392" s="7" t="s">
        <v>198</v>
      </c>
      <c r="L392" s="9">
        <v>45016</v>
      </c>
      <c r="M392" s="10">
        <v>0.51910879629629625</v>
      </c>
      <c r="N392" s="11">
        <v>202000705233752</v>
      </c>
      <c r="O392" s="7">
        <f>IF(LEN(TRIM($A392))=0,0,LEN($A392)-LEN(SUBSTITUTE($A392," ",""))+1)</f>
        <v>3</v>
      </c>
      <c r="P392">
        <f>IF(D392="", "", COUNTIF($D$1:$D$2273, D392))</f>
        <v>176</v>
      </c>
    </row>
    <row r="393" spans="1:16" ht="48" hidden="1" x14ac:dyDescent="0.2">
      <c r="A393" s="8" t="s">
        <v>449</v>
      </c>
      <c r="C393" s="7" t="s">
        <v>4</v>
      </c>
      <c r="F393" s="7" t="str">
        <f>IF(OR(E393="Success",E393="Qualified Success"),"Current",IF(E393="Failure",IF(RIGHT(D393,6)="Future","Future",IF(RIGHT(D393,10)="Irrelevant","Irrelevant","Current")),""))</f>
        <v/>
      </c>
      <c r="G393" s="7" t="str">
        <f>IF(OR(ISBLANK(D393),D393="Unclassifiable &gt;"),"",IF(ISNUMBER(SEARCH("Utterance",D393)),"Utterance",IF(ISNUMBER(SEARCH("Response",D393)),"Response",IF(ISNUMBER(SEARCH("Interaction",D393)),"Interaction",IF(ISNUMBER(SEARCH("System",D393)),"System","")))))</f>
        <v/>
      </c>
      <c r="K393" s="7" t="s">
        <v>198</v>
      </c>
      <c r="L393" s="9">
        <v>45016</v>
      </c>
      <c r="M393" s="10">
        <v>0.51910879629629625</v>
      </c>
      <c r="N393" s="11">
        <v>202000705233752</v>
      </c>
      <c r="P393" t="str">
        <f>IF(D393="", "", COUNTIF($D$1:$D$2273, D393))</f>
        <v/>
      </c>
    </row>
    <row r="394" spans="1:16" ht="16" hidden="1" x14ac:dyDescent="0.2">
      <c r="A394" s="36" t="s">
        <v>19</v>
      </c>
      <c r="C394" s="7" t="s">
        <v>2</v>
      </c>
      <c r="D394" s="7" t="s">
        <v>206</v>
      </c>
      <c r="E394" s="7" t="str">
        <f>IF(OR(D394="", D394="___"),"", LEFT(D394,FIND(" &gt;",D394)-1))</f>
        <v>Success</v>
      </c>
      <c r="F394" s="7" t="str">
        <f>IF(OR(E394="Success",E394="Qualified Success"),"Current",IF(E394="Failure",IF(RIGHT(D394,6)="Future","Future",IF(RIGHT(D394,10)="Irrelevant","Irrelevant","Current")),""))</f>
        <v>Current</v>
      </c>
      <c r="G394" s="7" t="str">
        <f>IF(OR(ISBLANK(D394),D394="Unclassifiable &gt;"),"",IF(ISNUMBER(SEARCH("Utterance",D394)),"Utterance",IF(ISNUMBER(SEARCH("Response",D394)),"Response",IF(ISNUMBER(SEARCH("Interaction",D394)),"Interaction",IF(ISNUMBER(SEARCH("System",D394)),"System","")))))</f>
        <v/>
      </c>
      <c r="H394" s="7" t="str">
        <f>IF(G394="Utterance", IF(ISNUMBER(SEARCH("Unrecognized",D394)), "Unrecognized", IF(ISNUMBER(SEARCH("Mismatched",D394)), "Mismatched", IF(ISNUMBER(SEARCH("False Positive",D394)), "False Positive", "Irrelevant"))), "")</f>
        <v/>
      </c>
      <c r="J394" s="7" t="s">
        <v>335</v>
      </c>
      <c r="K394" s="7" t="s">
        <v>198</v>
      </c>
      <c r="L394" s="9">
        <v>45016</v>
      </c>
      <c r="M394" s="10">
        <v>0.52383101851851854</v>
      </c>
      <c r="N394" s="11">
        <v>204440003487265</v>
      </c>
      <c r="O394" s="7">
        <f>IF(LEN(TRIM($A394))=0,0,LEN($A394)-LEN(SUBSTITUTE($A394," ",""))+1)</f>
        <v>3</v>
      </c>
      <c r="P394">
        <f>IF(D394="", "", COUNTIF($D$1:$D$2273, D394))</f>
        <v>176</v>
      </c>
    </row>
    <row r="395" spans="1:16" ht="144" hidden="1" x14ac:dyDescent="0.2">
      <c r="A395" s="8" t="s">
        <v>385</v>
      </c>
      <c r="C395" s="7" t="s">
        <v>4</v>
      </c>
      <c r="F395" s="7" t="str">
        <f>IF(OR(E395="Success",E395="Qualified Success"),"Current",IF(E395="Failure",IF(RIGHT(D395,6)="Future","Future",IF(RIGHT(D395,10)="Irrelevant","Irrelevant","Current")),""))</f>
        <v/>
      </c>
      <c r="G395" s="7" t="str">
        <f>IF(OR(ISBLANK(D395),D395="Unclassifiable &gt;"),"",IF(ISNUMBER(SEARCH("Utterance",D395)),"Utterance",IF(ISNUMBER(SEARCH("Response",D395)),"Response",IF(ISNUMBER(SEARCH("Interaction",D395)),"Interaction",IF(ISNUMBER(SEARCH("System",D395)),"System","")))))</f>
        <v/>
      </c>
      <c r="K395" s="7" t="s">
        <v>198</v>
      </c>
      <c r="L395" s="9">
        <v>45016</v>
      </c>
      <c r="M395" s="10">
        <v>0.52383101851851854</v>
      </c>
      <c r="N395" s="11">
        <v>204440003487265</v>
      </c>
      <c r="P395" t="str">
        <f>IF(D395="", "", COUNTIF($D$1:$D$2273, D395))</f>
        <v/>
      </c>
    </row>
    <row r="396" spans="1:16" ht="16" hidden="1" x14ac:dyDescent="0.2">
      <c r="A396" s="36" t="s">
        <v>45</v>
      </c>
      <c r="B396" s="7" t="s">
        <v>296</v>
      </c>
      <c r="C396" s="7" t="s">
        <v>2</v>
      </c>
      <c r="D396" s="7" t="s">
        <v>206</v>
      </c>
      <c r="E396" s="7" t="str">
        <f>IF(OR(D396="", D396="___"),"", LEFT(D396,FIND(" &gt;",D396)-1))</f>
        <v>Success</v>
      </c>
      <c r="F396" s="7" t="str">
        <f>IF(OR(E396="Success",E396="Qualified Success"),"Current",IF(E396="Failure",IF(RIGHT(D396,6)="Future","Future",IF(RIGHT(D396,10)="Irrelevant","Irrelevant","Current")),""))</f>
        <v>Current</v>
      </c>
      <c r="G396" s="7" t="str">
        <f>IF(OR(ISBLANK(D396),D396="Unclassifiable &gt;"),"",IF(ISNUMBER(SEARCH("Utterance",D396)),"Utterance",IF(ISNUMBER(SEARCH("Response",D396)),"Response",IF(ISNUMBER(SEARCH("Interaction",D396)),"Interaction",IF(ISNUMBER(SEARCH("System",D396)),"System","")))))</f>
        <v/>
      </c>
      <c r="H396" s="7" t="str">
        <f>IF(G396="Utterance", IF(ISNUMBER(SEARCH("Unrecognized",D396)), "Unrecognized", IF(ISNUMBER(SEARCH("Mismatched",D396)), "Mismatched", IF(ISNUMBER(SEARCH("False Positive",D396)), "False Positive", "Irrelevant"))), "")</f>
        <v/>
      </c>
      <c r="J396" s="7" t="s">
        <v>243</v>
      </c>
      <c r="K396" s="7" t="s">
        <v>198</v>
      </c>
      <c r="L396" s="9">
        <v>45016</v>
      </c>
      <c r="M396" s="10">
        <v>0.5239583333333333</v>
      </c>
      <c r="N396" s="11">
        <v>202000598249489</v>
      </c>
      <c r="O396" s="7">
        <f>IF(LEN(TRIM($A396))=0,0,LEN($A396)-LEN(SUBSTITUTE($A396," ",""))+1)</f>
        <v>3</v>
      </c>
      <c r="P396">
        <f>IF(D396="", "", COUNTIF($D$1:$D$2273, D396))</f>
        <v>176</v>
      </c>
    </row>
    <row r="397" spans="1:16" ht="32" hidden="1" x14ac:dyDescent="0.2">
      <c r="A397" s="8" t="s">
        <v>389</v>
      </c>
      <c r="C397" s="7" t="s">
        <v>4</v>
      </c>
      <c r="F397" s="7" t="str">
        <f>IF(OR(E397="Success",E397="Qualified Success"),"Current",IF(E397="Failure",IF(RIGHT(D397,6)="Future","Future",IF(RIGHT(D397,10)="Irrelevant","Irrelevant","Current")),""))</f>
        <v/>
      </c>
      <c r="G397" s="7" t="str">
        <f>IF(OR(ISBLANK(D397),D397="Unclassifiable &gt;"),"",IF(ISNUMBER(SEARCH("Utterance",D397)),"Utterance",IF(ISNUMBER(SEARCH("Response",D397)),"Response",IF(ISNUMBER(SEARCH("Interaction",D397)),"Interaction",IF(ISNUMBER(SEARCH("System",D397)),"System","")))))</f>
        <v/>
      </c>
      <c r="K397" s="7" t="s">
        <v>198</v>
      </c>
      <c r="L397" s="9">
        <v>45016</v>
      </c>
      <c r="M397" s="10">
        <v>0.5239583333333333</v>
      </c>
      <c r="N397" s="11">
        <v>202000598249489</v>
      </c>
      <c r="P397" t="str">
        <f>IF(D397="", "", COUNTIF($D$1:$D$2273, D397))</f>
        <v/>
      </c>
    </row>
    <row r="398" spans="1:16" ht="16" hidden="1" x14ac:dyDescent="0.2">
      <c r="A398" s="36" t="s">
        <v>21</v>
      </c>
      <c r="B398" s="7" t="s">
        <v>296</v>
      </c>
      <c r="C398" s="7" t="s">
        <v>2</v>
      </c>
      <c r="D398" s="7" t="s">
        <v>206</v>
      </c>
      <c r="E398" s="7" t="str">
        <f>IF(OR(D398="", D398="___"),"", LEFT(D398,FIND(" &gt;",D398)-1))</f>
        <v>Success</v>
      </c>
      <c r="F398" s="7" t="str">
        <f>IF(OR(E398="Success",E398="Qualified Success"),"Current",IF(E398="Failure",IF(RIGHT(D398,6)="Future","Future",IF(RIGHT(D398,10)="Irrelevant","Irrelevant","Current")),""))</f>
        <v>Current</v>
      </c>
      <c r="G398" s="7" t="str">
        <f>IF(OR(ISBLANK(D398),D398="Unclassifiable &gt;"),"",IF(ISNUMBER(SEARCH("Utterance",D398)),"Utterance",IF(ISNUMBER(SEARCH("Response",D398)),"Response",IF(ISNUMBER(SEARCH("Interaction",D398)),"Interaction",IF(ISNUMBER(SEARCH("System",D398)),"System","")))))</f>
        <v/>
      </c>
      <c r="H398" s="7" t="str">
        <f>IF(G398="Utterance", IF(ISNUMBER(SEARCH("Unrecognized",D398)), "Unrecognized", IF(ISNUMBER(SEARCH("Mismatched",D398)), "Mismatched", IF(ISNUMBER(SEARCH("False Positive",D398)), "False Positive", "Irrelevant"))), "")</f>
        <v/>
      </c>
      <c r="J398" s="7" t="s">
        <v>332</v>
      </c>
      <c r="K398" s="7" t="s">
        <v>198</v>
      </c>
      <c r="L398" s="9">
        <v>45016</v>
      </c>
      <c r="M398" s="10">
        <v>0.52862268518518518</v>
      </c>
      <c r="N398" s="11">
        <v>204440003538920</v>
      </c>
      <c r="O398" s="7">
        <f>IF(LEN(TRIM($A398))=0,0,LEN($A398)-LEN(SUBSTITUTE($A398," ",""))+1)</f>
        <v>4</v>
      </c>
      <c r="P398">
        <f>IF(D398="", "", COUNTIF($D$1:$D$2273, D398))</f>
        <v>176</v>
      </c>
    </row>
    <row r="399" spans="1:16" ht="48" hidden="1" x14ac:dyDescent="0.2">
      <c r="A399" s="8" t="s">
        <v>383</v>
      </c>
      <c r="C399" s="7" t="s">
        <v>4</v>
      </c>
      <c r="F399" s="7" t="str">
        <f>IF(OR(E399="Success",E399="Qualified Success"),"Current",IF(E399="Failure",IF(RIGHT(D399,6)="Future","Future",IF(RIGHT(D399,10)="Irrelevant","Irrelevant","Current")),""))</f>
        <v/>
      </c>
      <c r="G399" s="7" t="str">
        <f>IF(OR(ISBLANK(D399),D399="Unclassifiable &gt;"),"",IF(ISNUMBER(SEARCH("Utterance",D399)),"Utterance",IF(ISNUMBER(SEARCH("Response",D399)),"Response",IF(ISNUMBER(SEARCH("Interaction",D399)),"Interaction",IF(ISNUMBER(SEARCH("System",D399)),"System","")))))</f>
        <v/>
      </c>
      <c r="K399" s="7" t="s">
        <v>198</v>
      </c>
      <c r="L399" s="9">
        <v>45016</v>
      </c>
      <c r="M399" s="10">
        <v>0.52862268518518518</v>
      </c>
      <c r="N399" s="11">
        <v>204440003538920</v>
      </c>
      <c r="P399" t="str">
        <f>IF(D399="", "", COUNTIF($D$1:$D$2273, D399))</f>
        <v/>
      </c>
    </row>
    <row r="400" spans="1:16" ht="16" hidden="1" x14ac:dyDescent="0.2">
      <c r="A400" s="36" t="s">
        <v>1</v>
      </c>
      <c r="B400" s="7" t="s">
        <v>296</v>
      </c>
      <c r="C400" s="7" t="s">
        <v>2</v>
      </c>
      <c r="D400" s="7" t="s">
        <v>206</v>
      </c>
      <c r="E400" s="7" t="str">
        <f>IF(OR(D400="", D400="___"),"", LEFT(D400,FIND(" &gt;",D400)-1))</f>
        <v>Success</v>
      </c>
      <c r="F400" s="7" t="str">
        <f>IF(OR(E400="Success",E400="Qualified Success"),"Current",IF(E400="Failure",IF(RIGHT(D400,6)="Future","Future",IF(RIGHT(D400,10)="Irrelevant","Irrelevant","Current")),""))</f>
        <v>Current</v>
      </c>
      <c r="G400" s="7" t="str">
        <f>IF(OR(ISBLANK(D400),D400="Unclassifiable &gt;"),"",IF(ISNUMBER(SEARCH("Utterance",D400)),"Utterance",IF(ISNUMBER(SEARCH("Response",D400)),"Response",IF(ISNUMBER(SEARCH("Interaction",D400)),"Interaction",IF(ISNUMBER(SEARCH("System",D400)),"System","")))))</f>
        <v/>
      </c>
      <c r="H400" s="7" t="str">
        <f>IF(G400="Utterance", IF(ISNUMBER(SEARCH("Unrecognized",D400)), "Unrecognized", IF(ISNUMBER(SEARCH("Mismatched",D400)), "Mismatched", IF(ISNUMBER(SEARCH("False Positive",D400)), "False Positive", "Irrelevant"))), "")</f>
        <v/>
      </c>
      <c r="I400" s="7" t="s">
        <v>294</v>
      </c>
      <c r="J400" s="7" t="s">
        <v>259</v>
      </c>
      <c r="K400" s="7" t="s">
        <v>198</v>
      </c>
      <c r="L400" s="9">
        <v>45016</v>
      </c>
      <c r="M400" s="10">
        <v>0.53082175925925923</v>
      </c>
      <c r="N400" s="11">
        <v>204440003487089</v>
      </c>
      <c r="O400" s="7">
        <f>IF(LEN(TRIM($A400))=0,0,LEN($A400)-LEN(SUBSTITUTE($A400," ",""))+1)</f>
        <v>5</v>
      </c>
      <c r="P400">
        <f>IF(D400="", "", COUNTIF($D$1:$D$2273, D400))</f>
        <v>176</v>
      </c>
    </row>
    <row r="401" spans="1:16" ht="16" hidden="1" x14ac:dyDescent="0.2">
      <c r="A401" s="8" t="s">
        <v>3</v>
      </c>
      <c r="C401" s="7" t="s">
        <v>4</v>
      </c>
      <c r="F401" s="7" t="str">
        <f>IF(OR(E401="Success",E401="Qualified Success"),"Current",IF(E401="Failure",IF(RIGHT(D401,6)="Future","Future",IF(RIGHT(D401,10)="Irrelevant","Irrelevant","Current")),""))</f>
        <v/>
      </c>
      <c r="G401" s="7" t="str">
        <f>IF(OR(ISBLANK(D401),D401="Unclassifiable &gt;"),"",IF(ISNUMBER(SEARCH("Utterance",D401)),"Utterance",IF(ISNUMBER(SEARCH("Response",D401)),"Response",IF(ISNUMBER(SEARCH("Interaction",D401)),"Interaction",IF(ISNUMBER(SEARCH("System",D401)),"System","")))))</f>
        <v/>
      </c>
      <c r="K401" s="7" t="s">
        <v>198</v>
      </c>
      <c r="L401" s="9">
        <v>45016</v>
      </c>
      <c r="M401" s="10">
        <v>0.53083333333333338</v>
      </c>
      <c r="N401" s="11">
        <v>204440003487089</v>
      </c>
      <c r="P401" t="str">
        <f>IF(D401="", "", COUNTIF($D$1:$D$2273, D401))</f>
        <v/>
      </c>
    </row>
    <row r="402" spans="1:16" ht="48" hidden="1" x14ac:dyDescent="0.2">
      <c r="A402" s="8" t="s">
        <v>5</v>
      </c>
      <c r="C402" s="7" t="s">
        <v>4</v>
      </c>
      <c r="F402" s="7" t="str">
        <f>IF(OR(E402="Success",E402="Qualified Success"),"Current",IF(E402="Failure",IF(RIGHT(D402,6)="Future","Future",IF(RIGHT(D402,10)="Irrelevant","Irrelevant","Current")),""))</f>
        <v/>
      </c>
      <c r="G402" s="7" t="str">
        <f>IF(OR(ISBLANK(D402),D402="Unclassifiable &gt;"),"",IF(ISNUMBER(SEARCH("Utterance",D402)),"Utterance",IF(ISNUMBER(SEARCH("Response",D402)),"Response",IF(ISNUMBER(SEARCH("Interaction",D402)),"Interaction",IF(ISNUMBER(SEARCH("System",D402)),"System","")))))</f>
        <v/>
      </c>
      <c r="K402" s="7" t="s">
        <v>198</v>
      </c>
      <c r="L402" s="9">
        <v>45016</v>
      </c>
      <c r="M402" s="10">
        <v>0.53083333333333338</v>
      </c>
      <c r="N402" s="11">
        <v>204440003487089</v>
      </c>
      <c r="P402" t="str">
        <f>IF(D402="", "", COUNTIF($D$1:$D$2273, D402))</f>
        <v/>
      </c>
    </row>
    <row r="403" spans="1:16" ht="192" hidden="1" x14ac:dyDescent="0.2">
      <c r="A403" s="8" t="s">
        <v>458</v>
      </c>
      <c r="C403" s="7" t="s">
        <v>4</v>
      </c>
      <c r="F403" s="7" t="str">
        <f>IF(OR(E403="Success",E403="Qualified Success"),"Current",IF(E403="Failure",IF(RIGHT(D403,6)="Future","Future",IF(RIGHT(D403,10)="Irrelevant","Irrelevant","Current")),""))</f>
        <v/>
      </c>
      <c r="G403" s="7" t="str">
        <f>IF(OR(ISBLANK(D403),D403="Unclassifiable &gt;"),"",IF(ISNUMBER(SEARCH("Utterance",D403)),"Utterance",IF(ISNUMBER(SEARCH("Response",D403)),"Response",IF(ISNUMBER(SEARCH("Interaction",D403)),"Interaction",IF(ISNUMBER(SEARCH("System",D403)),"System","")))))</f>
        <v/>
      </c>
      <c r="K403" s="7" t="s">
        <v>198</v>
      </c>
      <c r="L403" s="9">
        <v>45016</v>
      </c>
      <c r="M403" s="10">
        <v>0.53083333333333338</v>
      </c>
      <c r="N403" s="11">
        <v>204440003487089</v>
      </c>
      <c r="P403" t="str">
        <f>IF(D403="", "", COUNTIF($D$1:$D$2273, D403))</f>
        <v/>
      </c>
    </row>
    <row r="404" spans="1:16" ht="16" hidden="1" x14ac:dyDescent="0.2">
      <c r="A404" s="36" t="s">
        <v>8</v>
      </c>
      <c r="B404" s="7" t="s">
        <v>296</v>
      </c>
      <c r="C404" s="7" t="s">
        <v>2</v>
      </c>
      <c r="D404" s="7" t="s">
        <v>206</v>
      </c>
      <c r="E404" s="7" t="str">
        <f>IF(OR(D404="", D404="___"),"", LEFT(D404,FIND(" &gt;",D404)-1))</f>
        <v>Success</v>
      </c>
      <c r="F404" s="7" t="str">
        <f>IF(OR(E404="Success",E404="Qualified Success"),"Current",IF(E404="Failure",IF(RIGHT(D404,6)="Future","Future",IF(RIGHT(D404,10)="Irrelevant","Irrelevant","Current")),""))</f>
        <v>Current</v>
      </c>
      <c r="G404" s="7" t="str">
        <f>IF(OR(ISBLANK(D404),D404="Unclassifiable &gt;"),"",IF(ISNUMBER(SEARCH("Utterance",D404)),"Utterance",IF(ISNUMBER(SEARCH("Response",D404)),"Response",IF(ISNUMBER(SEARCH("Interaction",D404)),"Interaction",IF(ISNUMBER(SEARCH("System",D404)),"System","")))))</f>
        <v/>
      </c>
      <c r="H404" s="7" t="str">
        <f>IF(G404="Utterance", IF(ISNUMBER(SEARCH("Unrecognized",D404)), "Unrecognized", IF(ISNUMBER(SEARCH("Mismatched",D404)), "Mismatched", IF(ISNUMBER(SEARCH("False Positive",D404)), "False Positive", "Irrelevant"))), "")</f>
        <v/>
      </c>
      <c r="J404" s="7" t="s">
        <v>259</v>
      </c>
      <c r="K404" s="7" t="s">
        <v>198</v>
      </c>
      <c r="L404" s="9">
        <v>45016</v>
      </c>
      <c r="M404" s="10">
        <v>0.53178240740740745</v>
      </c>
      <c r="N404" s="11">
        <v>204440003487089</v>
      </c>
      <c r="O404" s="7">
        <f>IF(LEN(TRIM($A404))=0,0,LEN($A404)-LEN(SUBSTITUTE($A404," ",""))+1)</f>
        <v>6</v>
      </c>
      <c r="P404">
        <f>IF(D404="", "", COUNTIF($D$1:$D$2273, D404))</f>
        <v>176</v>
      </c>
    </row>
    <row r="405" spans="1:16" ht="16" hidden="1" x14ac:dyDescent="0.2">
      <c r="A405" s="8" t="s">
        <v>9</v>
      </c>
      <c r="C405" s="7" t="s">
        <v>4</v>
      </c>
      <c r="F405" s="7" t="str">
        <f>IF(OR(E405="Success",E405="Qualified Success"),"Current",IF(E405="Failure",IF(RIGHT(D405,6)="Future","Future",IF(RIGHT(D405,10)="Irrelevant","Irrelevant","Current")),""))</f>
        <v/>
      </c>
      <c r="G405" s="7" t="str">
        <f>IF(OR(ISBLANK(D405),D405="Unclassifiable &gt;"),"",IF(ISNUMBER(SEARCH("Utterance",D405)),"Utterance",IF(ISNUMBER(SEARCH("Response",D405)),"Response",IF(ISNUMBER(SEARCH("Interaction",D405)),"Interaction",IF(ISNUMBER(SEARCH("System",D405)),"System","")))))</f>
        <v/>
      </c>
      <c r="K405" s="7" t="s">
        <v>198</v>
      </c>
      <c r="L405" s="9">
        <v>45016</v>
      </c>
      <c r="M405" s="10">
        <v>0.53180555555555553</v>
      </c>
      <c r="N405" s="11">
        <v>204440003487089</v>
      </c>
      <c r="P405" t="str">
        <f>IF(D405="", "", COUNTIF($D$1:$D$2273, D405))</f>
        <v/>
      </c>
    </row>
    <row r="406" spans="1:16" ht="80" hidden="1" x14ac:dyDescent="0.2">
      <c r="A406" s="8" t="s">
        <v>459</v>
      </c>
      <c r="C406" s="7" t="s">
        <v>4</v>
      </c>
      <c r="F406" s="7" t="str">
        <f>IF(OR(E406="Success",E406="Qualified Success"),"Current",IF(E406="Failure",IF(RIGHT(D406,6)="Future","Future",IF(RIGHT(D406,10)="Irrelevant","Irrelevant","Current")),""))</f>
        <v/>
      </c>
      <c r="G406" s="7" t="str">
        <f>IF(OR(ISBLANK(D406),D406="Unclassifiable &gt;"),"",IF(ISNUMBER(SEARCH("Utterance",D406)),"Utterance",IF(ISNUMBER(SEARCH("Response",D406)),"Response",IF(ISNUMBER(SEARCH("Interaction",D406)),"Interaction",IF(ISNUMBER(SEARCH("System",D406)),"System","")))))</f>
        <v/>
      </c>
      <c r="K406" s="7" t="s">
        <v>198</v>
      </c>
      <c r="L406" s="9">
        <v>45016</v>
      </c>
      <c r="M406" s="10">
        <v>0.53180555555555553</v>
      </c>
      <c r="N406" s="11">
        <v>204440003487089</v>
      </c>
      <c r="P406" t="str">
        <f>IF(D406="", "", COUNTIF($D$1:$D$2273, D406))</f>
        <v/>
      </c>
    </row>
    <row r="407" spans="1:16" ht="16" hidden="1" x14ac:dyDescent="0.2">
      <c r="A407" s="8" t="s">
        <v>7</v>
      </c>
      <c r="C407" s="7" t="s">
        <v>4</v>
      </c>
      <c r="F407" s="7" t="str">
        <f>IF(OR(E407="Success",E407="Qualified Success"),"Current",IF(E407="Failure",IF(RIGHT(D407,6)="Future","Future",IF(RIGHT(D407,10)="Irrelevant","Irrelevant","Current")),""))</f>
        <v/>
      </c>
      <c r="G407" s="7" t="str">
        <f>IF(OR(ISBLANK(D407),D407="Unclassifiable &gt;"),"",IF(ISNUMBER(SEARCH("Utterance",D407)),"Utterance",IF(ISNUMBER(SEARCH("Response",D407)),"Response",IF(ISNUMBER(SEARCH("Interaction",D407)),"Interaction",IF(ISNUMBER(SEARCH("System",D407)),"System","")))))</f>
        <v/>
      </c>
      <c r="K407" s="7" t="s">
        <v>198</v>
      </c>
      <c r="L407" s="9">
        <v>45016</v>
      </c>
      <c r="M407" s="10">
        <v>0.53180555555555553</v>
      </c>
      <c r="N407" s="11">
        <v>204440003487089</v>
      </c>
      <c r="P407" t="str">
        <f>IF(D407="", "", COUNTIF($D$1:$D$2273, D407))</f>
        <v/>
      </c>
    </row>
    <row r="408" spans="1:16" ht="16" hidden="1" x14ac:dyDescent="0.2">
      <c r="A408" s="36" t="s">
        <v>8</v>
      </c>
      <c r="B408" s="7" t="s">
        <v>296</v>
      </c>
      <c r="C408" s="7" t="s">
        <v>2</v>
      </c>
      <c r="D408" s="7" t="s">
        <v>206</v>
      </c>
      <c r="E408" s="7" t="str">
        <f>IF(OR(D408="", D408="___"),"", LEFT(D408,FIND(" &gt;",D408)-1))</f>
        <v>Success</v>
      </c>
      <c r="F408" s="7" t="str">
        <f>IF(OR(E408="Success",E408="Qualified Success"),"Current",IF(E408="Failure",IF(RIGHT(D408,6)="Future","Future",IF(RIGHT(D408,10)="Irrelevant","Irrelevant","Current")),""))</f>
        <v>Current</v>
      </c>
      <c r="G408" s="7" t="str">
        <f>IF(OR(ISBLANK(D408),D408="Unclassifiable &gt;"),"",IF(ISNUMBER(SEARCH("Utterance",D408)),"Utterance",IF(ISNUMBER(SEARCH("Response",D408)),"Response",IF(ISNUMBER(SEARCH("Interaction",D408)),"Interaction",IF(ISNUMBER(SEARCH("System",D408)),"System","")))))</f>
        <v/>
      </c>
      <c r="H408" s="7" t="str">
        <f>IF(G408="Utterance", IF(ISNUMBER(SEARCH("Unrecognized",D408)), "Unrecognized", IF(ISNUMBER(SEARCH("Mismatched",D408)), "Mismatched", IF(ISNUMBER(SEARCH("False Positive",D408)), "False Positive", "Irrelevant"))), "")</f>
        <v/>
      </c>
      <c r="J408" s="7" t="s">
        <v>259</v>
      </c>
      <c r="K408" s="7" t="s">
        <v>198</v>
      </c>
      <c r="L408" s="9">
        <v>45016</v>
      </c>
      <c r="M408" s="10">
        <v>0.53255787037037039</v>
      </c>
      <c r="N408" s="11">
        <v>204440003487089</v>
      </c>
      <c r="O408" s="7">
        <f>IF(LEN(TRIM($A408))=0,0,LEN($A408)-LEN(SUBSTITUTE($A408," ",""))+1)</f>
        <v>6</v>
      </c>
      <c r="P408">
        <f>IF(D408="", "", COUNTIF($D$1:$D$2273, D408))</f>
        <v>176</v>
      </c>
    </row>
    <row r="409" spans="1:16" ht="16" hidden="1" x14ac:dyDescent="0.2">
      <c r="A409" s="8" t="s">
        <v>9</v>
      </c>
      <c r="C409" s="7" t="s">
        <v>4</v>
      </c>
      <c r="F409" s="7" t="str">
        <f>IF(OR(E409="Success",E409="Qualified Success"),"Current",IF(E409="Failure",IF(RIGHT(D409,6)="Future","Future",IF(RIGHT(D409,10)="Irrelevant","Irrelevant","Current")),""))</f>
        <v/>
      </c>
      <c r="G409" s="7" t="str">
        <f>IF(OR(ISBLANK(D409),D409="Unclassifiable &gt;"),"",IF(ISNUMBER(SEARCH("Utterance",D409)),"Utterance",IF(ISNUMBER(SEARCH("Response",D409)),"Response",IF(ISNUMBER(SEARCH("Interaction",D409)),"Interaction",IF(ISNUMBER(SEARCH("System",D409)),"System","")))))</f>
        <v/>
      </c>
      <c r="K409" s="7" t="s">
        <v>198</v>
      </c>
      <c r="L409" s="9">
        <v>45016</v>
      </c>
      <c r="M409" s="10">
        <v>0.53258101851851858</v>
      </c>
      <c r="N409" s="11">
        <v>204440003487089</v>
      </c>
      <c r="P409" t="str">
        <f>IF(D409="", "", COUNTIF($D$1:$D$2273, D409))</f>
        <v/>
      </c>
    </row>
    <row r="410" spans="1:16" ht="80" hidden="1" x14ac:dyDescent="0.2">
      <c r="A410" s="8" t="s">
        <v>459</v>
      </c>
      <c r="C410" s="7" t="s">
        <v>4</v>
      </c>
      <c r="F410" s="7" t="str">
        <f>IF(OR(E410="Success",E410="Qualified Success"),"Current",IF(E410="Failure",IF(RIGHT(D410,6)="Future","Future",IF(RIGHT(D410,10)="Irrelevant","Irrelevant","Current")),""))</f>
        <v/>
      </c>
      <c r="G410" s="7" t="str">
        <f>IF(OR(ISBLANK(D410),D410="Unclassifiable &gt;"),"",IF(ISNUMBER(SEARCH("Utterance",D410)),"Utterance",IF(ISNUMBER(SEARCH("Response",D410)),"Response",IF(ISNUMBER(SEARCH("Interaction",D410)),"Interaction",IF(ISNUMBER(SEARCH("System",D410)),"System","")))))</f>
        <v/>
      </c>
      <c r="K410" s="7" t="s">
        <v>198</v>
      </c>
      <c r="L410" s="9">
        <v>45016</v>
      </c>
      <c r="M410" s="10">
        <v>0.53258101851851858</v>
      </c>
      <c r="N410" s="11">
        <v>204440003487089</v>
      </c>
      <c r="P410" t="str">
        <f>IF(D410="", "", COUNTIF($D$1:$D$2273, D410))</f>
        <v/>
      </c>
    </row>
    <row r="411" spans="1:16" ht="16" hidden="1" x14ac:dyDescent="0.2">
      <c r="A411" s="8" t="s">
        <v>7</v>
      </c>
      <c r="C411" s="7" t="s">
        <v>4</v>
      </c>
      <c r="F411" s="7" t="str">
        <f>IF(OR(E411="Success",E411="Qualified Success"),"Current",IF(E411="Failure",IF(RIGHT(D411,6)="Future","Future",IF(RIGHT(D411,10)="Irrelevant","Irrelevant","Current")),""))</f>
        <v/>
      </c>
      <c r="G411" s="7" t="str">
        <f>IF(OR(ISBLANK(D411),D411="Unclassifiable &gt;"),"",IF(ISNUMBER(SEARCH("Utterance",D411)),"Utterance",IF(ISNUMBER(SEARCH("Response",D411)),"Response",IF(ISNUMBER(SEARCH("Interaction",D411)),"Interaction",IF(ISNUMBER(SEARCH("System",D411)),"System","")))))</f>
        <v/>
      </c>
      <c r="K411" s="7" t="s">
        <v>198</v>
      </c>
      <c r="L411" s="9">
        <v>45016</v>
      </c>
      <c r="M411" s="10">
        <v>0.53258101851851858</v>
      </c>
      <c r="N411" s="11">
        <v>204440003487089</v>
      </c>
      <c r="P411" t="str">
        <f>IF(D411="", "", COUNTIF($D$1:$D$2273, D411))</f>
        <v/>
      </c>
    </row>
    <row r="412" spans="1:16" ht="16" hidden="1" x14ac:dyDescent="0.2">
      <c r="A412" s="36" t="s">
        <v>125</v>
      </c>
      <c r="C412" s="7" t="s">
        <v>2</v>
      </c>
      <c r="D412" s="7" t="s">
        <v>206</v>
      </c>
      <c r="E412" s="7" t="str">
        <f>IF(OR(D412="", D412="___"),"", LEFT(D412,FIND(" &gt;",D412)-1))</f>
        <v>Success</v>
      </c>
      <c r="F412" s="7" t="str">
        <f>IF(OR(E412="Success",E412="Qualified Success"),"Current",IF(E412="Failure",IF(RIGHT(D412,6)="Future","Future",IF(RIGHT(D412,10)="Irrelevant","Irrelevant","Current")),""))</f>
        <v>Current</v>
      </c>
      <c r="G412" s="7" t="str">
        <f>IF(OR(ISBLANK(D412),D412="Unclassifiable &gt;"),"",IF(ISNUMBER(SEARCH("Utterance",D412)),"Utterance",IF(ISNUMBER(SEARCH("Response",D412)),"Response",IF(ISNUMBER(SEARCH("Interaction",D412)),"Interaction",IF(ISNUMBER(SEARCH("System",D412)),"System","")))))</f>
        <v/>
      </c>
      <c r="H412" s="7" t="str">
        <f>IF(G412="Utterance", IF(ISNUMBER(SEARCH("Unrecognized",D412)), "Unrecognized", IF(ISNUMBER(SEARCH("Mismatched",D412)), "Mismatched", IF(ISNUMBER(SEARCH("False Positive",D412)), "False Positive", "Irrelevant"))), "")</f>
        <v/>
      </c>
      <c r="J412" s="7" t="s">
        <v>330</v>
      </c>
      <c r="K412" s="7" t="s">
        <v>198</v>
      </c>
      <c r="L412" s="9">
        <v>45016</v>
      </c>
      <c r="M412" s="10">
        <v>0.53395833333333331</v>
      </c>
      <c r="N412" s="11">
        <v>513003143371196</v>
      </c>
      <c r="O412" s="7">
        <f>IF(LEN(TRIM($A412))=0,0,LEN($A412)-LEN(SUBSTITUTE($A412," ",""))+1)</f>
        <v>2</v>
      </c>
      <c r="P412">
        <f>IF(D412="", "", COUNTIF($D$1:$D$2273, D412))</f>
        <v>176</v>
      </c>
    </row>
    <row r="413" spans="1:16" ht="64" hidden="1" x14ac:dyDescent="0.2">
      <c r="A413" s="8" t="s">
        <v>426</v>
      </c>
      <c r="C413" s="7" t="s">
        <v>4</v>
      </c>
      <c r="F413" s="7" t="str">
        <f>IF(OR(E413="Success",E413="Qualified Success"),"Current",IF(E413="Failure",IF(RIGHT(D413,6)="Future","Future",IF(RIGHT(D413,10)="Irrelevant","Irrelevant","Current")),""))</f>
        <v/>
      </c>
      <c r="G413" s="7" t="str">
        <f>IF(OR(ISBLANK(D413),D413="Unclassifiable &gt;"),"",IF(ISNUMBER(SEARCH("Utterance",D413)),"Utterance",IF(ISNUMBER(SEARCH("Response",D413)),"Response",IF(ISNUMBER(SEARCH("Interaction",D413)),"Interaction",IF(ISNUMBER(SEARCH("System",D413)),"System","")))))</f>
        <v/>
      </c>
      <c r="K413" s="7" t="s">
        <v>198</v>
      </c>
      <c r="L413" s="9">
        <v>45016</v>
      </c>
      <c r="M413" s="10">
        <v>0.53396990740740746</v>
      </c>
      <c r="N413" s="11">
        <v>513003143371196</v>
      </c>
      <c r="P413" t="str">
        <f>IF(D413="", "", COUNTIF($D$1:$D$2273, D413))</f>
        <v/>
      </c>
    </row>
    <row r="414" spans="1:16" ht="16" hidden="1" x14ac:dyDescent="0.2">
      <c r="A414" s="36" t="s">
        <v>36</v>
      </c>
      <c r="B414" s="7" t="s">
        <v>296</v>
      </c>
      <c r="C414" s="7" t="s">
        <v>2</v>
      </c>
      <c r="D414" s="7" t="s">
        <v>206</v>
      </c>
      <c r="E414" s="7" t="str">
        <f>IF(OR(D414="", D414="___"),"", LEFT(D414,FIND(" &gt;",D414)-1))</f>
        <v>Success</v>
      </c>
      <c r="F414" s="7" t="str">
        <f>IF(OR(E414="Success",E414="Qualified Success"),"Current",IF(E414="Failure",IF(RIGHT(D414,6)="Future","Future",IF(RIGHT(D414,10)="Irrelevant","Irrelevant","Current")),""))</f>
        <v>Current</v>
      </c>
      <c r="G414" s="7" t="str">
        <f>IF(OR(ISBLANK(D414),D414="Unclassifiable &gt;"),"",IF(ISNUMBER(SEARCH("Utterance",D414)),"Utterance",IF(ISNUMBER(SEARCH("Response",D414)),"Response",IF(ISNUMBER(SEARCH("Interaction",D414)),"Interaction",IF(ISNUMBER(SEARCH("System",D414)),"System","")))))</f>
        <v/>
      </c>
      <c r="H414" s="7" t="str">
        <f>IF(G414="Utterance", IF(ISNUMBER(SEARCH("Unrecognized",D414)), "Unrecognized", IF(ISNUMBER(SEARCH("Mismatched",D414)), "Mismatched", IF(ISNUMBER(SEARCH("False Positive",D414)), "False Positive", "Irrelevant"))), "")</f>
        <v/>
      </c>
      <c r="J414" s="7" t="s">
        <v>243</v>
      </c>
      <c r="K414" s="7" t="s">
        <v>198</v>
      </c>
      <c r="L414" s="9">
        <v>45016</v>
      </c>
      <c r="M414" s="10">
        <v>0.53540509259259261</v>
      </c>
      <c r="N414" s="11">
        <v>204440003491882</v>
      </c>
      <c r="O414" s="7">
        <f>IF(LEN(TRIM($A414))=0,0,LEN($A414)-LEN(SUBSTITUTE($A414," ",""))+1)</f>
        <v>3</v>
      </c>
      <c r="P414">
        <f>IF(D414="", "", COUNTIF($D$1:$D$2273, D414))</f>
        <v>176</v>
      </c>
    </row>
    <row r="415" spans="1:16" ht="32" hidden="1" x14ac:dyDescent="0.2">
      <c r="A415" s="8" t="s">
        <v>381</v>
      </c>
      <c r="C415" s="7" t="s">
        <v>4</v>
      </c>
      <c r="F415" s="7" t="str">
        <f>IF(OR(E415="Success",E415="Qualified Success"),"Current",IF(E415="Failure",IF(RIGHT(D415,6)="Future","Future",IF(RIGHT(D415,10)="Irrelevant","Irrelevant","Current")),""))</f>
        <v/>
      </c>
      <c r="G415" s="7" t="str">
        <f>IF(OR(ISBLANK(D415),D415="Unclassifiable &gt;"),"",IF(ISNUMBER(SEARCH("Utterance",D415)),"Utterance",IF(ISNUMBER(SEARCH("Response",D415)),"Response",IF(ISNUMBER(SEARCH("Interaction",D415)),"Interaction",IF(ISNUMBER(SEARCH("System",D415)),"System","")))))</f>
        <v/>
      </c>
      <c r="K415" s="7" t="s">
        <v>198</v>
      </c>
      <c r="L415" s="9">
        <v>45016</v>
      </c>
      <c r="M415" s="10">
        <v>0.53540509259259261</v>
      </c>
      <c r="N415" s="11">
        <v>204440003491882</v>
      </c>
      <c r="P415" t="str">
        <f>IF(D415="", "", COUNTIF($D$1:$D$2273, D415))</f>
        <v/>
      </c>
    </row>
    <row r="416" spans="1:16" ht="16" hidden="1" x14ac:dyDescent="0.2">
      <c r="A416" s="36" t="s">
        <v>61</v>
      </c>
      <c r="C416" s="7" t="s">
        <v>2</v>
      </c>
      <c r="D416" s="7" t="s">
        <v>206</v>
      </c>
      <c r="E416" s="7" t="str">
        <f>IF(OR(D416="", D416="___"),"", LEFT(D416,FIND(" &gt;",D416)-1))</f>
        <v>Success</v>
      </c>
      <c r="F416" s="7" t="str">
        <f>IF(OR(E416="Success",E416="Qualified Success"),"Current",IF(E416="Failure",IF(RIGHT(D416,6)="Future","Future",IF(RIGHT(D416,10)="Irrelevant","Irrelevant","Current")),""))</f>
        <v>Current</v>
      </c>
      <c r="G416" s="7" t="str">
        <f>IF(OR(ISBLANK(D416),D416="Unclassifiable &gt;"),"",IF(ISNUMBER(SEARCH("Utterance",D416)),"Utterance",IF(ISNUMBER(SEARCH("Response",D416)),"Response",IF(ISNUMBER(SEARCH("Interaction",D416)),"Interaction",IF(ISNUMBER(SEARCH("System",D416)),"System","")))))</f>
        <v/>
      </c>
      <c r="H416" s="7" t="str">
        <f>IF(G416="Utterance", IF(ISNUMBER(SEARCH("Unrecognized",D416)), "Unrecognized", IF(ISNUMBER(SEARCH("Mismatched",D416)), "Mismatched", IF(ISNUMBER(SEARCH("False Positive",D416)), "False Positive", "Irrelevant"))), "")</f>
        <v/>
      </c>
      <c r="J416" s="7" t="s">
        <v>339</v>
      </c>
      <c r="K416" s="7" t="s">
        <v>198</v>
      </c>
      <c r="L416" s="9">
        <v>45016</v>
      </c>
      <c r="M416" s="10">
        <v>0.53559027777777779</v>
      </c>
      <c r="N416" s="11">
        <v>204440003491882</v>
      </c>
      <c r="O416" s="7">
        <f>IF(LEN(TRIM($A416))=0,0,LEN($A416)-LEN(SUBSTITUTE($A416," ",""))+1)</f>
        <v>6</v>
      </c>
      <c r="P416">
        <f>IF(D416="", "", COUNTIF($D$1:$D$2273, D416))</f>
        <v>176</v>
      </c>
    </row>
    <row r="417" spans="1:16" ht="112" hidden="1" x14ac:dyDescent="0.2">
      <c r="A417" s="8" t="s">
        <v>398</v>
      </c>
      <c r="C417" s="7" t="s">
        <v>4</v>
      </c>
      <c r="F417" s="7" t="str">
        <f>IF(OR(E417="Success",E417="Qualified Success"),"Current",IF(E417="Failure",IF(RIGHT(D417,6)="Future","Future",IF(RIGHT(D417,10)="Irrelevant","Irrelevant","Current")),""))</f>
        <v/>
      </c>
      <c r="G417" s="7" t="str">
        <f>IF(OR(ISBLANK(D417),D417="Unclassifiable &gt;"),"",IF(ISNUMBER(SEARCH("Utterance",D417)),"Utterance",IF(ISNUMBER(SEARCH("Response",D417)),"Response",IF(ISNUMBER(SEARCH("Interaction",D417)),"Interaction",IF(ISNUMBER(SEARCH("System",D417)),"System","")))))</f>
        <v/>
      </c>
      <c r="K417" s="7" t="s">
        <v>198</v>
      </c>
      <c r="L417" s="9">
        <v>45016</v>
      </c>
      <c r="M417" s="10">
        <v>0.53561342592592587</v>
      </c>
      <c r="N417" s="11">
        <v>204440003491882</v>
      </c>
      <c r="P417" t="str">
        <f>IF(D417="", "", COUNTIF($D$1:$D$2273, D417))</f>
        <v/>
      </c>
    </row>
    <row r="418" spans="1:16" ht="16" hidden="1" x14ac:dyDescent="0.2">
      <c r="A418" s="36" t="s">
        <v>1</v>
      </c>
      <c r="B418" s="7" t="s">
        <v>296</v>
      </c>
      <c r="C418" s="7" t="s">
        <v>2</v>
      </c>
      <c r="D418" s="7" t="s">
        <v>206</v>
      </c>
      <c r="E418" s="7" t="str">
        <f>IF(OR(D418="", D418="___"),"", LEFT(D418,FIND(" &gt;",D418)-1))</f>
        <v>Success</v>
      </c>
      <c r="F418" s="7" t="str">
        <f>IF(OR(E418="Success",E418="Qualified Success"),"Current",IF(E418="Failure",IF(RIGHT(D418,6)="Future","Future",IF(RIGHT(D418,10)="Irrelevant","Irrelevant","Current")),""))</f>
        <v>Current</v>
      </c>
      <c r="G418" s="7" t="str">
        <f>IF(OR(ISBLANK(D418),D418="Unclassifiable &gt;"),"",IF(ISNUMBER(SEARCH("Utterance",D418)),"Utterance",IF(ISNUMBER(SEARCH("Response",D418)),"Response",IF(ISNUMBER(SEARCH("Interaction",D418)),"Interaction",IF(ISNUMBER(SEARCH("System",D418)),"System","")))))</f>
        <v/>
      </c>
      <c r="H418" s="7" t="str">
        <f>IF(G418="Utterance", IF(ISNUMBER(SEARCH("Unrecognized",D418)), "Unrecognized", IF(ISNUMBER(SEARCH("Mismatched",D418)), "Mismatched", IF(ISNUMBER(SEARCH("False Positive",D418)), "False Positive", "Irrelevant"))), "")</f>
        <v/>
      </c>
      <c r="I418" s="7" t="s">
        <v>294</v>
      </c>
      <c r="J418" s="7" t="s">
        <v>259</v>
      </c>
      <c r="K418" s="7" t="s">
        <v>198</v>
      </c>
      <c r="L418" s="9">
        <v>45016</v>
      </c>
      <c r="M418" s="10">
        <v>0.53562500000000002</v>
      </c>
      <c r="N418" s="11">
        <v>204440003487089</v>
      </c>
      <c r="O418" s="7">
        <f>IF(LEN(TRIM($A418))=0,0,LEN($A418)-LEN(SUBSTITUTE($A418," ",""))+1)</f>
        <v>5</v>
      </c>
      <c r="P418">
        <f>IF(D418="", "", COUNTIF($D$1:$D$2273, D418))</f>
        <v>176</v>
      </c>
    </row>
    <row r="419" spans="1:16" ht="16" hidden="1" x14ac:dyDescent="0.2">
      <c r="A419" s="8" t="s">
        <v>3</v>
      </c>
      <c r="C419" s="7" t="s">
        <v>4</v>
      </c>
      <c r="F419" s="7" t="str">
        <f>IF(OR(E419="Success",E419="Qualified Success"),"Current",IF(E419="Failure",IF(RIGHT(D419,6)="Future","Future",IF(RIGHT(D419,10)="Irrelevant","Irrelevant","Current")),""))</f>
        <v/>
      </c>
      <c r="G419" s="7" t="str">
        <f>IF(OR(ISBLANK(D419),D419="Unclassifiable &gt;"),"",IF(ISNUMBER(SEARCH("Utterance",D419)),"Utterance",IF(ISNUMBER(SEARCH("Response",D419)),"Response",IF(ISNUMBER(SEARCH("Interaction",D419)),"Interaction",IF(ISNUMBER(SEARCH("System",D419)),"System","")))))</f>
        <v/>
      </c>
      <c r="K419" s="7" t="s">
        <v>198</v>
      </c>
      <c r="L419" s="9">
        <v>45016</v>
      </c>
      <c r="M419" s="10">
        <v>0.53563657407407406</v>
      </c>
      <c r="N419" s="11">
        <v>204440003487089</v>
      </c>
      <c r="P419" t="str">
        <f>IF(D419="", "", COUNTIF($D$1:$D$2273, D419))</f>
        <v/>
      </c>
    </row>
    <row r="420" spans="1:16" ht="48" hidden="1" x14ac:dyDescent="0.2">
      <c r="A420" s="8" t="s">
        <v>5</v>
      </c>
      <c r="C420" s="7" t="s">
        <v>4</v>
      </c>
      <c r="F420" s="7" t="str">
        <f>IF(OR(E420="Success",E420="Qualified Success"),"Current",IF(E420="Failure",IF(RIGHT(D420,6)="Future","Future",IF(RIGHT(D420,10)="Irrelevant","Irrelevant","Current")),""))</f>
        <v/>
      </c>
      <c r="G420" s="7" t="str">
        <f>IF(OR(ISBLANK(D420),D420="Unclassifiable &gt;"),"",IF(ISNUMBER(SEARCH("Utterance",D420)),"Utterance",IF(ISNUMBER(SEARCH("Response",D420)),"Response",IF(ISNUMBER(SEARCH("Interaction",D420)),"Interaction",IF(ISNUMBER(SEARCH("System",D420)),"System","")))))</f>
        <v/>
      </c>
      <c r="K420" s="7" t="s">
        <v>198</v>
      </c>
      <c r="L420" s="9">
        <v>45016</v>
      </c>
      <c r="M420" s="10">
        <v>0.53563657407407406</v>
      </c>
      <c r="N420" s="11">
        <v>204440003487089</v>
      </c>
      <c r="P420" t="str">
        <f>IF(D420="", "", COUNTIF($D$1:$D$2273, D420))</f>
        <v/>
      </c>
    </row>
    <row r="421" spans="1:16" ht="192" hidden="1" x14ac:dyDescent="0.2">
      <c r="A421" s="8" t="s">
        <v>458</v>
      </c>
      <c r="C421" s="7" t="s">
        <v>4</v>
      </c>
      <c r="F421" s="7" t="str">
        <f>IF(OR(E421="Success",E421="Qualified Success"),"Current",IF(E421="Failure",IF(RIGHT(D421,6)="Future","Future",IF(RIGHT(D421,10)="Irrelevant","Irrelevant","Current")),""))</f>
        <v/>
      </c>
      <c r="G421" s="7" t="str">
        <f>IF(OR(ISBLANK(D421),D421="Unclassifiable &gt;"),"",IF(ISNUMBER(SEARCH("Utterance",D421)),"Utterance",IF(ISNUMBER(SEARCH("Response",D421)),"Response",IF(ISNUMBER(SEARCH("Interaction",D421)),"Interaction",IF(ISNUMBER(SEARCH("System",D421)),"System","")))))</f>
        <v/>
      </c>
      <c r="K421" s="7" t="s">
        <v>198</v>
      </c>
      <c r="L421" s="9">
        <v>45016</v>
      </c>
      <c r="M421" s="10">
        <v>0.53563657407407406</v>
      </c>
      <c r="N421" s="11">
        <v>204440003487089</v>
      </c>
      <c r="P421" t="str">
        <f>IF(D421="", "", COUNTIF($D$1:$D$2273, D421))</f>
        <v/>
      </c>
    </row>
    <row r="422" spans="1:16" ht="16" hidden="1" x14ac:dyDescent="0.2">
      <c r="A422" s="36" t="s">
        <v>6</v>
      </c>
      <c r="C422" s="7" t="s">
        <v>2</v>
      </c>
      <c r="D422" s="7" t="s">
        <v>206</v>
      </c>
      <c r="E422" s="7" t="str">
        <f>IF(OR(D422="", D422="___"),"", LEFT(D422,FIND(" &gt;",D422)-1))</f>
        <v>Success</v>
      </c>
      <c r="F422" s="7" t="str">
        <f>IF(OR(E422="Success",E422="Qualified Success"),"Current",IF(E422="Failure",IF(RIGHT(D422,6)="Future","Future",IF(RIGHT(D422,10)="Irrelevant","Irrelevant","Current")),""))</f>
        <v>Current</v>
      </c>
      <c r="G422" s="7" t="str">
        <f>IF(OR(ISBLANK(D422),D422="Unclassifiable &gt;"),"",IF(ISNUMBER(SEARCH("Utterance",D422)),"Utterance",IF(ISNUMBER(SEARCH("Response",D422)),"Response",IF(ISNUMBER(SEARCH("Interaction",D422)),"Interaction",IF(ISNUMBER(SEARCH("System",D422)),"System","")))))</f>
        <v/>
      </c>
      <c r="H422" s="7" t="str">
        <f>IF(G422="Utterance", IF(ISNUMBER(SEARCH("Unrecognized",D422)), "Unrecognized", IF(ISNUMBER(SEARCH("Mismatched",D422)), "Mismatched", IF(ISNUMBER(SEARCH("False Positive",D422)), "False Positive", "Irrelevant"))), "")</f>
        <v/>
      </c>
      <c r="J422" s="7" t="s">
        <v>266</v>
      </c>
      <c r="K422" s="7" t="s">
        <v>198</v>
      </c>
      <c r="L422" s="9">
        <v>45016</v>
      </c>
      <c r="M422" s="10">
        <v>0.53600694444444441</v>
      </c>
      <c r="N422" s="11">
        <v>204440003487089</v>
      </c>
      <c r="O422" s="7">
        <f>IF(LEN(TRIM($A422))=0,0,LEN($A422)-LEN(SUBSTITUTE($A422," ",""))+1)</f>
        <v>1</v>
      </c>
      <c r="P422">
        <f>IF(D422="", "", COUNTIF($D$1:$D$2273, D422))</f>
        <v>176</v>
      </c>
    </row>
    <row r="423" spans="1:16" ht="16" hidden="1" x14ac:dyDescent="0.2">
      <c r="A423" s="8" t="s">
        <v>7</v>
      </c>
      <c r="C423" s="7" t="s">
        <v>4</v>
      </c>
      <c r="F423" s="7" t="str">
        <f>IF(OR(E423="Success",E423="Qualified Success"),"Current",IF(E423="Failure",IF(RIGHT(D423,6)="Future","Future",IF(RIGHT(D423,10)="Irrelevant","Irrelevant","Current")),""))</f>
        <v/>
      </c>
      <c r="G423" s="7" t="str">
        <f>IF(OR(ISBLANK(D423),D423="Unclassifiable &gt;"),"",IF(ISNUMBER(SEARCH("Utterance",D423)),"Utterance",IF(ISNUMBER(SEARCH("Response",D423)),"Response",IF(ISNUMBER(SEARCH("Interaction",D423)),"Interaction",IF(ISNUMBER(SEARCH("System",D423)),"System","")))))</f>
        <v/>
      </c>
      <c r="K423" s="7" t="s">
        <v>198</v>
      </c>
      <c r="L423" s="9">
        <v>45016</v>
      </c>
      <c r="M423" s="10">
        <v>0.53600694444444441</v>
      </c>
      <c r="N423" s="11">
        <v>204440003487089</v>
      </c>
      <c r="P423" t="str">
        <f>IF(D423="", "", COUNTIF($D$1:$D$2273, D423))</f>
        <v/>
      </c>
    </row>
    <row r="424" spans="1:16" ht="16" hidden="1" x14ac:dyDescent="0.2">
      <c r="A424" s="36" t="s">
        <v>62</v>
      </c>
      <c r="C424" s="7" t="s">
        <v>2</v>
      </c>
      <c r="D424" s="7" t="s">
        <v>206</v>
      </c>
      <c r="E424" s="7" t="str">
        <f>IF(OR(D424="", D424="___"),"", LEFT(D424,FIND(" &gt;",D424)-1))</f>
        <v>Success</v>
      </c>
      <c r="F424" s="7" t="str">
        <f>IF(OR(E424="Success",E424="Qualified Success"),"Current",IF(E424="Failure",IF(RIGHT(D424,6)="Future","Future",IF(RIGHT(D424,10)="Irrelevant","Irrelevant","Current")),""))</f>
        <v>Current</v>
      </c>
      <c r="G424" s="7" t="str">
        <f>IF(OR(ISBLANK(D424),D424="Unclassifiable &gt;"),"",IF(ISNUMBER(SEARCH("Utterance",D424)),"Utterance",IF(ISNUMBER(SEARCH("Response",D424)),"Response",IF(ISNUMBER(SEARCH("Interaction",D424)),"Interaction",IF(ISNUMBER(SEARCH("System",D424)),"System","")))))</f>
        <v/>
      </c>
      <c r="H424" s="7" t="str">
        <f>IF(G424="Utterance", IF(ISNUMBER(SEARCH("Unrecognized",D424)), "Unrecognized", IF(ISNUMBER(SEARCH("Mismatched",D424)), "Mismatched", IF(ISNUMBER(SEARCH("False Positive",D424)), "False Positive", "Irrelevant"))), "")</f>
        <v/>
      </c>
      <c r="J424" s="7" t="s">
        <v>339</v>
      </c>
      <c r="K424" s="7" t="s">
        <v>198</v>
      </c>
      <c r="L424" s="9">
        <v>45016</v>
      </c>
      <c r="M424" s="10">
        <v>0.53637731481481488</v>
      </c>
      <c r="N424" s="11">
        <v>204440003491882</v>
      </c>
      <c r="O424" s="7">
        <f>IF(LEN(TRIM($A424))=0,0,LEN($A424)-LEN(SUBSTITUTE($A424," ",""))+1)</f>
        <v>12</v>
      </c>
      <c r="P424">
        <f>IF(D424="", "", COUNTIF($D$1:$D$2273, D424))</f>
        <v>176</v>
      </c>
    </row>
    <row r="425" spans="1:16" ht="112" hidden="1" x14ac:dyDescent="0.2">
      <c r="A425" s="8" t="s">
        <v>399</v>
      </c>
      <c r="C425" s="7" t="s">
        <v>4</v>
      </c>
      <c r="F425" s="7" t="str">
        <f>IF(OR(E425="Success",E425="Qualified Success"),"Current",IF(E425="Failure",IF(RIGHT(D425,6)="Future","Future",IF(RIGHT(D425,10)="Irrelevant","Irrelevant","Current")),""))</f>
        <v/>
      </c>
      <c r="G425" s="7" t="str">
        <f>IF(OR(ISBLANK(D425),D425="Unclassifiable &gt;"),"",IF(ISNUMBER(SEARCH("Utterance",D425)),"Utterance",IF(ISNUMBER(SEARCH("Response",D425)),"Response",IF(ISNUMBER(SEARCH("Interaction",D425)),"Interaction",IF(ISNUMBER(SEARCH("System",D425)),"System","")))))</f>
        <v/>
      </c>
      <c r="K425" s="7" t="s">
        <v>198</v>
      </c>
      <c r="L425" s="9">
        <v>45016</v>
      </c>
      <c r="M425" s="10">
        <v>0.53638888888888892</v>
      </c>
      <c r="N425" s="11">
        <v>204440003491882</v>
      </c>
      <c r="P425" t="str">
        <f>IF(D425="", "", COUNTIF($D$1:$D$2273, D425))</f>
        <v/>
      </c>
    </row>
    <row r="426" spans="1:16" ht="16" hidden="1" x14ac:dyDescent="0.2">
      <c r="A426" s="36" t="s">
        <v>10</v>
      </c>
      <c r="C426" s="7" t="s">
        <v>2</v>
      </c>
      <c r="D426" s="7" t="s">
        <v>206</v>
      </c>
      <c r="E426" s="7" t="str">
        <f>IF(OR(D426="", D426="___"),"", LEFT(D426,FIND(" &gt;",D426)-1))</f>
        <v>Success</v>
      </c>
      <c r="F426" s="7" t="str">
        <f>IF(OR(E426="Success",E426="Qualified Success"),"Current",IF(E426="Failure",IF(RIGHT(D426,6)="Future","Future",IF(RIGHT(D426,10)="Irrelevant","Irrelevant","Current")),""))</f>
        <v>Current</v>
      </c>
      <c r="G426" s="7" t="str">
        <f>IF(OR(ISBLANK(D426),D426="Unclassifiable &gt;"),"",IF(ISNUMBER(SEARCH("Utterance",D426)),"Utterance",IF(ISNUMBER(SEARCH("Response",D426)),"Response",IF(ISNUMBER(SEARCH("Interaction",D426)),"Interaction",IF(ISNUMBER(SEARCH("System",D426)),"System","")))))</f>
        <v/>
      </c>
      <c r="H426" s="7" t="str">
        <f>IF(G426="Utterance", IF(ISNUMBER(SEARCH("Unrecognized",D426)), "Unrecognized", IF(ISNUMBER(SEARCH("Mismatched",D426)), "Mismatched", IF(ISNUMBER(SEARCH("False Positive",D426)), "False Positive", "Irrelevant"))), "")</f>
        <v/>
      </c>
      <c r="I426" s="7" t="s">
        <v>294</v>
      </c>
      <c r="J426" s="7" t="s">
        <v>330</v>
      </c>
      <c r="K426" s="7" t="s">
        <v>198</v>
      </c>
      <c r="L426" s="9">
        <v>45016</v>
      </c>
      <c r="M426" s="10">
        <v>0.53671296296296289</v>
      </c>
      <c r="N426" s="11">
        <v>204440003487089</v>
      </c>
      <c r="O426" s="7">
        <f>IF(LEN(TRIM($A426))=0,0,LEN($A426)-LEN(SUBSTITUTE($A426," ",""))+1)</f>
        <v>9</v>
      </c>
      <c r="P426">
        <f>IF(D426="", "", COUNTIF($D$1:$D$2273, D426))</f>
        <v>176</v>
      </c>
    </row>
    <row r="427" spans="1:16" ht="16" hidden="1" x14ac:dyDescent="0.2">
      <c r="A427" s="8" t="s">
        <v>3</v>
      </c>
      <c r="C427" s="7" t="s">
        <v>4</v>
      </c>
      <c r="F427" s="7" t="str">
        <f>IF(OR(E427="Success",E427="Qualified Success"),"Current",IF(E427="Failure",IF(RIGHT(D427,6)="Future","Future",IF(RIGHT(D427,10)="Irrelevant","Irrelevant","Current")),""))</f>
        <v/>
      </c>
      <c r="G427" s="7" t="str">
        <f>IF(OR(ISBLANK(D427),D427="Unclassifiable &gt;"),"",IF(ISNUMBER(SEARCH("Utterance",D427)),"Utterance",IF(ISNUMBER(SEARCH("Response",D427)),"Response",IF(ISNUMBER(SEARCH("Interaction",D427)),"Interaction",IF(ISNUMBER(SEARCH("System",D427)),"System","")))))</f>
        <v/>
      </c>
      <c r="K427" s="7" t="s">
        <v>198</v>
      </c>
      <c r="L427" s="9">
        <v>45016</v>
      </c>
      <c r="M427" s="10">
        <v>0.53672453703703704</v>
      </c>
      <c r="N427" s="11">
        <v>204440003487089</v>
      </c>
      <c r="P427" t="str">
        <f>IF(D427="", "", COUNTIF($D$1:$D$2273, D427))</f>
        <v/>
      </c>
    </row>
    <row r="428" spans="1:16" ht="48" hidden="1" x14ac:dyDescent="0.2">
      <c r="A428" s="8" t="s">
        <v>5</v>
      </c>
      <c r="C428" s="7" t="s">
        <v>4</v>
      </c>
      <c r="F428" s="7" t="str">
        <f>IF(OR(E428="Success",E428="Qualified Success"),"Current",IF(E428="Failure",IF(RIGHT(D428,6)="Future","Future",IF(RIGHT(D428,10)="Irrelevant","Irrelevant","Current")),""))</f>
        <v/>
      </c>
      <c r="G428" s="7" t="str">
        <f>IF(OR(ISBLANK(D428),D428="Unclassifiable &gt;"),"",IF(ISNUMBER(SEARCH("Utterance",D428)),"Utterance",IF(ISNUMBER(SEARCH("Response",D428)),"Response",IF(ISNUMBER(SEARCH("Interaction",D428)),"Interaction",IF(ISNUMBER(SEARCH("System",D428)),"System","")))))</f>
        <v/>
      </c>
      <c r="K428" s="7" t="s">
        <v>198</v>
      </c>
      <c r="L428" s="9">
        <v>45016</v>
      </c>
      <c r="M428" s="10">
        <v>0.53672453703703704</v>
      </c>
      <c r="N428" s="11">
        <v>204440003487089</v>
      </c>
      <c r="P428" t="str">
        <f>IF(D428="", "", COUNTIF($D$1:$D$2273, D428))</f>
        <v/>
      </c>
    </row>
    <row r="429" spans="1:16" ht="192" hidden="1" x14ac:dyDescent="0.2">
      <c r="A429" s="8" t="s">
        <v>458</v>
      </c>
      <c r="C429" s="7" t="s">
        <v>4</v>
      </c>
      <c r="F429" s="7" t="str">
        <f>IF(OR(E429="Success",E429="Qualified Success"),"Current",IF(E429="Failure",IF(RIGHT(D429,6)="Future","Future",IF(RIGHT(D429,10)="Irrelevant","Irrelevant","Current")),""))</f>
        <v/>
      </c>
      <c r="G429" s="7" t="str">
        <f>IF(OR(ISBLANK(D429),D429="Unclassifiable &gt;"),"",IF(ISNUMBER(SEARCH("Utterance",D429)),"Utterance",IF(ISNUMBER(SEARCH("Response",D429)),"Response",IF(ISNUMBER(SEARCH("Interaction",D429)),"Interaction",IF(ISNUMBER(SEARCH("System",D429)),"System","")))))</f>
        <v/>
      </c>
      <c r="K429" s="7" t="s">
        <v>198</v>
      </c>
      <c r="L429" s="9">
        <v>45016</v>
      </c>
      <c r="M429" s="10">
        <v>0.53672453703703704</v>
      </c>
      <c r="N429" s="11">
        <v>204440003487089</v>
      </c>
      <c r="P429" t="str">
        <f>IF(D429="", "", COUNTIF($D$1:$D$2273, D429))</f>
        <v/>
      </c>
    </row>
    <row r="430" spans="1:16" ht="16" hidden="1" x14ac:dyDescent="0.2">
      <c r="A430" s="36" t="s">
        <v>21</v>
      </c>
      <c r="B430" s="7" t="s">
        <v>296</v>
      </c>
      <c r="C430" s="7" t="s">
        <v>2</v>
      </c>
      <c r="D430" s="7" t="s">
        <v>206</v>
      </c>
      <c r="E430" s="7" t="str">
        <f>IF(OR(D430="", D430="___"),"", LEFT(D430,FIND(" &gt;",D430)-1))</f>
        <v>Success</v>
      </c>
      <c r="F430" s="7" t="str">
        <f>IF(OR(E430="Success",E430="Qualified Success"),"Current",IF(E430="Failure",IF(RIGHT(D430,6)="Future","Future",IF(RIGHT(D430,10)="Irrelevant","Irrelevant","Current")),""))</f>
        <v>Current</v>
      </c>
      <c r="G430" s="7" t="str">
        <f>IF(OR(ISBLANK(D430),D430="Unclassifiable &gt;"),"",IF(ISNUMBER(SEARCH("Utterance",D430)),"Utterance",IF(ISNUMBER(SEARCH("Response",D430)),"Response",IF(ISNUMBER(SEARCH("Interaction",D430)),"Interaction",IF(ISNUMBER(SEARCH("System",D430)),"System","")))))</f>
        <v/>
      </c>
      <c r="H430" s="7" t="str">
        <f>IF(G430="Utterance", IF(ISNUMBER(SEARCH("Unrecognized",D430)), "Unrecognized", IF(ISNUMBER(SEARCH("Mismatched",D430)), "Mismatched", IF(ISNUMBER(SEARCH("False Positive",D430)), "False Positive", "Irrelevant"))), "")</f>
        <v/>
      </c>
      <c r="J430" s="7" t="s">
        <v>332</v>
      </c>
      <c r="K430" s="7" t="s">
        <v>198</v>
      </c>
      <c r="L430" s="9">
        <v>45016</v>
      </c>
      <c r="M430" s="10">
        <v>0.5372569444444445</v>
      </c>
      <c r="N430" s="11">
        <v>204440003487089</v>
      </c>
      <c r="O430" s="7">
        <f>IF(LEN(TRIM($A430))=0,0,LEN($A430)-LEN(SUBSTITUTE($A430," ",""))+1)</f>
        <v>4</v>
      </c>
      <c r="P430">
        <f>IF(D430="", "", COUNTIF($D$1:$D$2273, D430))</f>
        <v>176</v>
      </c>
    </row>
    <row r="431" spans="1:16" ht="48" hidden="1" x14ac:dyDescent="0.2">
      <c r="A431" s="8" t="s">
        <v>383</v>
      </c>
      <c r="C431" s="7" t="s">
        <v>4</v>
      </c>
      <c r="F431" s="7" t="str">
        <f>IF(OR(E431="Success",E431="Qualified Success"),"Current",IF(E431="Failure",IF(RIGHT(D431,6)="Future","Future",IF(RIGHT(D431,10)="Irrelevant","Irrelevant","Current")),""))</f>
        <v/>
      </c>
      <c r="G431" s="7" t="str">
        <f>IF(OR(ISBLANK(D431),D431="Unclassifiable &gt;"),"",IF(ISNUMBER(SEARCH("Utterance",D431)),"Utterance",IF(ISNUMBER(SEARCH("Response",D431)),"Response",IF(ISNUMBER(SEARCH("Interaction",D431)),"Interaction",IF(ISNUMBER(SEARCH("System",D431)),"System","")))))</f>
        <v/>
      </c>
      <c r="K431" s="7" t="s">
        <v>198</v>
      </c>
      <c r="L431" s="9">
        <v>45016</v>
      </c>
      <c r="M431" s="10">
        <v>0.5372569444444445</v>
      </c>
      <c r="N431" s="11">
        <v>204440003487089</v>
      </c>
      <c r="P431" t="str">
        <f>IF(D431="", "", COUNTIF($D$1:$D$2273, D431))</f>
        <v/>
      </c>
    </row>
    <row r="432" spans="1:16" ht="16" hidden="1" x14ac:dyDescent="0.2">
      <c r="A432" s="36" t="s">
        <v>20</v>
      </c>
      <c r="C432" s="7" t="s">
        <v>2</v>
      </c>
      <c r="D432" s="7" t="s">
        <v>208</v>
      </c>
      <c r="E432" s="7" t="str">
        <f>IF(OR(D432="", D432="___"),"", LEFT(D432,FIND(" &gt;",D432)-1))</f>
        <v>Failure</v>
      </c>
      <c r="F432" s="7" t="str">
        <f>IF(OR(E432="Success",E432="Qualified Success"),"Current",IF(E432="Failure",IF(RIGHT(D432,6)="Future","Future",IF(RIGHT(D432,10)="Irrelevant","Irrelevant","Current")),""))</f>
        <v>Current</v>
      </c>
      <c r="G432" s="7" t="str">
        <f>IF(OR(ISBLANK(D432),D432="Unclassifiable &gt;"),"",IF(ISNUMBER(SEARCH("Utterance",D432)),"Utterance",IF(ISNUMBER(SEARCH("Response",D432)),"Response",IF(ISNUMBER(SEARCH("Interaction",D432)),"Interaction",IF(ISNUMBER(SEARCH("System",D432)),"System","")))))</f>
        <v>Utterance</v>
      </c>
      <c r="H432" s="7" t="str">
        <f>IF(G432="Utterance", IF(ISNUMBER(SEARCH("Unrecognized",D432)), "Unrecognized", IF(ISNUMBER(SEARCH("Mismatched",D432)), "Mismatched", IF(ISNUMBER(SEARCH("False Positive",D432)), "False Positive", "Irrelevant"))), "")</f>
        <v>Mismatched</v>
      </c>
      <c r="J432" s="7" t="s">
        <v>336</v>
      </c>
      <c r="K432" s="7" t="s">
        <v>198</v>
      </c>
      <c r="L432" s="9">
        <v>45016</v>
      </c>
      <c r="M432" s="10">
        <v>0.53803240740740743</v>
      </c>
      <c r="N432" s="11">
        <v>202000651239482</v>
      </c>
      <c r="O432" s="7">
        <f>IF(LEN(TRIM($A432))=0,0,LEN($A432)-LEN(SUBSTITUTE($A432," ",""))+1)</f>
        <v>1</v>
      </c>
      <c r="P432">
        <f>IF(D432="", "", COUNTIF($D$1:$D$2273, D432))</f>
        <v>32</v>
      </c>
    </row>
    <row r="433" spans="1:16" ht="80" hidden="1" x14ac:dyDescent="0.2">
      <c r="A433" s="8" t="s">
        <v>387</v>
      </c>
      <c r="C433" s="7" t="s">
        <v>4</v>
      </c>
      <c r="F433" s="7" t="str">
        <f>IF(OR(E433="Success",E433="Qualified Success"),"Current",IF(E433="Failure",IF(RIGHT(D433,6)="Future","Future",IF(RIGHT(D433,10)="Irrelevant","Irrelevant","Current")),""))</f>
        <v/>
      </c>
      <c r="G433" s="7" t="str">
        <f>IF(OR(ISBLANK(D433),D433="Unclassifiable &gt;"),"",IF(ISNUMBER(SEARCH("Utterance",D433)),"Utterance",IF(ISNUMBER(SEARCH("Response",D433)),"Response",IF(ISNUMBER(SEARCH("Interaction",D433)),"Interaction",IF(ISNUMBER(SEARCH("System",D433)),"System","")))))</f>
        <v/>
      </c>
      <c r="K433" s="7" t="s">
        <v>198</v>
      </c>
      <c r="L433" s="9">
        <v>45016</v>
      </c>
      <c r="M433" s="10">
        <v>0.53804398148148147</v>
      </c>
      <c r="N433" s="11">
        <v>202000651239482</v>
      </c>
      <c r="P433" t="str">
        <f>IF(D433="", "", COUNTIF($D$1:$D$2273, D433))</f>
        <v/>
      </c>
    </row>
    <row r="434" spans="1:16" ht="16" hidden="1" x14ac:dyDescent="0.2">
      <c r="A434" s="36" t="s">
        <v>181</v>
      </c>
      <c r="C434" s="7" t="s">
        <v>2</v>
      </c>
      <c r="D434" s="7" t="s">
        <v>208</v>
      </c>
      <c r="E434" s="7" t="str">
        <f>IF(OR(D434="", D434="___"),"", LEFT(D434,FIND(" &gt;",D434)-1))</f>
        <v>Failure</v>
      </c>
      <c r="F434" s="7" t="str">
        <f>IF(OR(E434="Success",E434="Qualified Success"),"Current",IF(E434="Failure",IF(RIGHT(D434,6)="Future","Future",IF(RIGHT(D434,10)="Irrelevant","Irrelevant","Current")),""))</f>
        <v>Current</v>
      </c>
      <c r="G434" s="7" t="str">
        <f>IF(OR(ISBLANK(D434),D434="Unclassifiable &gt;"),"",IF(ISNUMBER(SEARCH("Utterance",D434)),"Utterance",IF(ISNUMBER(SEARCH("Response",D434)),"Response",IF(ISNUMBER(SEARCH("Interaction",D434)),"Interaction",IF(ISNUMBER(SEARCH("System",D434)),"System","")))))</f>
        <v>Utterance</v>
      </c>
      <c r="H434" s="7" t="str">
        <f>IF(G434="Utterance", IF(ISNUMBER(SEARCH("Unrecognized",D434)), "Unrecognized", IF(ISNUMBER(SEARCH("Mismatched",D434)), "Mismatched", IF(ISNUMBER(SEARCH("False Positive",D434)), "False Positive", "Irrelevant"))), "")</f>
        <v>Mismatched</v>
      </c>
      <c r="J434" s="7" t="s">
        <v>330</v>
      </c>
      <c r="K434" s="7" t="s">
        <v>198</v>
      </c>
      <c r="L434" s="9">
        <v>45016</v>
      </c>
      <c r="M434" s="10">
        <v>0.53815972222222219</v>
      </c>
      <c r="N434" s="11">
        <v>513003143371196</v>
      </c>
      <c r="O434" s="7">
        <f>IF(LEN(TRIM($A434))=0,0,LEN($A434)-LEN(SUBSTITUTE($A434," ",""))+1)</f>
        <v>4</v>
      </c>
      <c r="P434">
        <f>IF(D434="", "", COUNTIF($D$1:$D$2273, D434))</f>
        <v>32</v>
      </c>
    </row>
    <row r="435" spans="1:16" ht="64" hidden="1" x14ac:dyDescent="0.2">
      <c r="A435" s="8" t="s">
        <v>435</v>
      </c>
      <c r="C435" s="7" t="s">
        <v>4</v>
      </c>
      <c r="F435" s="7" t="str">
        <f>IF(OR(E435="Success",E435="Qualified Success"),"Current",IF(E435="Failure",IF(RIGHT(D435,6)="Future","Future",IF(RIGHT(D435,10)="Irrelevant","Irrelevant","Current")),""))</f>
        <v/>
      </c>
      <c r="G435" s="7" t="str">
        <f>IF(OR(ISBLANK(D435),D435="Unclassifiable &gt;"),"",IF(ISNUMBER(SEARCH("Utterance",D435)),"Utterance",IF(ISNUMBER(SEARCH("Response",D435)),"Response",IF(ISNUMBER(SEARCH("Interaction",D435)),"Interaction",IF(ISNUMBER(SEARCH("System",D435)),"System","")))))</f>
        <v/>
      </c>
      <c r="K435" s="7" t="s">
        <v>198</v>
      </c>
      <c r="L435" s="9">
        <v>45016</v>
      </c>
      <c r="M435" s="10">
        <v>0.53815972222222219</v>
      </c>
      <c r="N435" s="11">
        <v>513003143371196</v>
      </c>
      <c r="P435" t="str">
        <f>IF(D435="", "", COUNTIF($D$1:$D$2273, D435))</f>
        <v/>
      </c>
    </row>
    <row r="436" spans="1:16" ht="16" hidden="1" x14ac:dyDescent="0.2">
      <c r="A436" s="36" t="s">
        <v>24</v>
      </c>
      <c r="C436" s="7" t="s">
        <v>2</v>
      </c>
      <c r="D436" s="7" t="s">
        <v>208</v>
      </c>
      <c r="E436" s="7" t="str">
        <f>IF(OR(D436="", D436="___"),"", LEFT(D436,FIND(" &gt;",D436)-1))</f>
        <v>Failure</v>
      </c>
      <c r="F436" s="7" t="str">
        <f>IF(OR(E436="Success",E436="Qualified Success"),"Current",IF(E436="Failure",IF(RIGHT(D436,6)="Future","Future",IF(RIGHT(D436,10)="Irrelevant","Irrelevant","Current")),""))</f>
        <v>Current</v>
      </c>
      <c r="G436" s="7" t="str">
        <f>IF(OR(ISBLANK(D436),D436="Unclassifiable &gt;"),"",IF(ISNUMBER(SEARCH("Utterance",D436)),"Utterance",IF(ISNUMBER(SEARCH("Response",D436)),"Response",IF(ISNUMBER(SEARCH("Interaction",D436)),"Interaction",IF(ISNUMBER(SEARCH("System",D436)),"System","")))))</f>
        <v>Utterance</v>
      </c>
      <c r="H436" s="7" t="str">
        <f>IF(G436="Utterance", IF(ISNUMBER(SEARCH("Unrecognized",D436)), "Unrecognized", IF(ISNUMBER(SEARCH("Mismatched",D436)), "Mismatched", IF(ISNUMBER(SEARCH("False Positive",D436)), "False Positive", "Irrelevant"))), "")</f>
        <v>Mismatched</v>
      </c>
      <c r="J436" s="7" t="s">
        <v>330</v>
      </c>
      <c r="K436" s="7" t="s">
        <v>198</v>
      </c>
      <c r="L436" s="9">
        <v>45016</v>
      </c>
      <c r="M436" s="10">
        <v>0.53828703703703706</v>
      </c>
      <c r="N436" s="11">
        <v>513003143371196</v>
      </c>
      <c r="O436" s="7">
        <f>IF(LEN(TRIM($A436))=0,0,LEN($A436)-LEN(SUBSTITUTE($A436," ",""))+1)</f>
        <v>1</v>
      </c>
      <c r="P436">
        <f>IF(D436="", "", COUNTIF($D$1:$D$2273, D436))</f>
        <v>32</v>
      </c>
    </row>
    <row r="437" spans="1:16" ht="112" hidden="1" x14ac:dyDescent="0.2">
      <c r="A437" s="8" t="s">
        <v>442</v>
      </c>
      <c r="C437" s="7" t="s">
        <v>4</v>
      </c>
      <c r="F437" s="7" t="str">
        <f>IF(OR(E437="Success",E437="Qualified Success"),"Current",IF(E437="Failure",IF(RIGHT(D437,6)="Future","Future",IF(RIGHT(D437,10)="Irrelevant","Irrelevant","Current")),""))</f>
        <v/>
      </c>
      <c r="G437" s="7" t="str">
        <f>IF(OR(ISBLANK(D437),D437="Unclassifiable &gt;"),"",IF(ISNUMBER(SEARCH("Utterance",D437)),"Utterance",IF(ISNUMBER(SEARCH("Response",D437)),"Response",IF(ISNUMBER(SEARCH("Interaction",D437)),"Interaction",IF(ISNUMBER(SEARCH("System",D437)),"System","")))))</f>
        <v/>
      </c>
      <c r="K437" s="7" t="s">
        <v>198</v>
      </c>
      <c r="L437" s="9">
        <v>45016</v>
      </c>
      <c r="M437" s="10">
        <v>0.53828703703703706</v>
      </c>
      <c r="N437" s="11">
        <v>513003143371196</v>
      </c>
      <c r="P437" t="str">
        <f>IF(D437="", "", COUNTIF($D$1:$D$2273, D437))</f>
        <v/>
      </c>
    </row>
    <row r="438" spans="1:16" ht="32" hidden="1" x14ac:dyDescent="0.2">
      <c r="A438" s="36" t="s">
        <v>39</v>
      </c>
      <c r="C438" s="7" t="s">
        <v>2</v>
      </c>
      <c r="D438" s="7" t="s">
        <v>217</v>
      </c>
      <c r="E438" s="7" t="str">
        <f>IF(OR(D438="", D438="___"),"", LEFT(D438,FIND(" &gt;",D438)-1))</f>
        <v>Failure</v>
      </c>
      <c r="F438" s="7" t="str">
        <f>IF(OR(E438="Success",E438="Qualified Success"),"Current",IF(E438="Failure",IF(RIGHT(D438,6)="Future","Future",IF(RIGHT(D438,10)="Irrelevant","Irrelevant","Current")),""))</f>
        <v>Current</v>
      </c>
      <c r="G438" s="7" t="str">
        <f>IF(OR(ISBLANK(D438),D438="Unclassifiable &gt;"),"",IF(ISNUMBER(SEARCH("Utterance",D438)),"Utterance",IF(ISNUMBER(SEARCH("Response",D438)),"Response",IF(ISNUMBER(SEARCH("Interaction",D438)),"Interaction",IF(ISNUMBER(SEARCH("System",D438)),"System","")))))</f>
        <v>Interaction</v>
      </c>
      <c r="H438" s="7" t="str">
        <f>IF(G438="Utterance", IF(ISNUMBER(SEARCH("Unrecognized",D438)), "Unrecognized", IF(ISNUMBER(SEARCH("Mismatched",D438)), "Mismatched", IF(ISNUMBER(SEARCH("False Positive",D438)), "False Positive", "Irrelevant"))), "")</f>
        <v/>
      </c>
      <c r="J438" s="7" t="s">
        <v>25</v>
      </c>
      <c r="K438" s="7" t="s">
        <v>198</v>
      </c>
      <c r="L438" s="9">
        <v>45016</v>
      </c>
      <c r="M438" s="10">
        <v>0.53831018518518514</v>
      </c>
      <c r="N438" s="11">
        <v>204440003487089</v>
      </c>
      <c r="O438" s="7">
        <f>IF(LEN(TRIM($A438))=0,0,LEN($A438)-LEN(SUBSTITUTE($A438," ",""))+1)</f>
        <v>39</v>
      </c>
      <c r="P438">
        <f>IF(D438="", "", COUNTIF($D$1:$D$2273, D438))</f>
        <v>29</v>
      </c>
    </row>
    <row r="439" spans="1:16" ht="48" hidden="1" x14ac:dyDescent="0.2">
      <c r="A439" s="8" t="s">
        <v>40</v>
      </c>
      <c r="C439" s="7" t="s">
        <v>4</v>
      </c>
      <c r="F439" s="7" t="str">
        <f>IF(OR(E439="Success",E439="Qualified Success"),"Current",IF(E439="Failure",IF(RIGHT(D439,6)="Future","Future",IF(RIGHT(D439,10)="Irrelevant","Irrelevant","Current")),""))</f>
        <v/>
      </c>
      <c r="G439" s="7" t="str">
        <f>IF(OR(ISBLANK(D439),D439="Unclassifiable &gt;"),"",IF(ISNUMBER(SEARCH("Utterance",D439)),"Utterance",IF(ISNUMBER(SEARCH("Response",D439)),"Response",IF(ISNUMBER(SEARCH("Interaction",D439)),"Interaction",IF(ISNUMBER(SEARCH("System",D439)),"System","")))))</f>
        <v/>
      </c>
      <c r="K439" s="7" t="s">
        <v>198</v>
      </c>
      <c r="L439" s="9">
        <v>45016</v>
      </c>
      <c r="M439" s="10">
        <v>0.53831018518518514</v>
      </c>
      <c r="N439" s="11">
        <v>204440003487089</v>
      </c>
      <c r="P439" t="str">
        <f>IF(D439="", "", COUNTIF($D$1:$D$2273, D439))</f>
        <v/>
      </c>
    </row>
    <row r="440" spans="1:16" ht="16" hidden="1" x14ac:dyDescent="0.2">
      <c r="A440" s="36" t="s">
        <v>180</v>
      </c>
      <c r="C440" s="7" t="s">
        <v>2</v>
      </c>
      <c r="D440" s="7" t="s">
        <v>217</v>
      </c>
      <c r="E440" s="7" t="str">
        <f>IF(OR(D440="", D440="___"),"", LEFT(D440,FIND(" &gt;",D440)-1))</f>
        <v>Failure</v>
      </c>
      <c r="F440" s="7" t="str">
        <f>IF(OR(E440="Success",E440="Qualified Success"),"Current",IF(E440="Failure",IF(RIGHT(D440,6)="Future","Future",IF(RIGHT(D440,10)="Irrelevant","Irrelevant","Current")),""))</f>
        <v>Current</v>
      </c>
      <c r="G440" s="7" t="str">
        <f>IF(OR(ISBLANK(D440),D440="Unclassifiable &gt;"),"",IF(ISNUMBER(SEARCH("Utterance",D440)),"Utterance",IF(ISNUMBER(SEARCH("Response",D440)),"Response",IF(ISNUMBER(SEARCH("Interaction",D440)),"Interaction",IF(ISNUMBER(SEARCH("System",D440)),"System","")))))</f>
        <v>Interaction</v>
      </c>
      <c r="H440" s="7" t="str">
        <f>IF(G440="Utterance", IF(ISNUMBER(SEARCH("Unrecognized",D440)), "Unrecognized", IF(ISNUMBER(SEARCH("Mismatched",D440)), "Mismatched", IF(ISNUMBER(SEARCH("False Positive",D440)), "False Positive", "Irrelevant"))), "")</f>
        <v/>
      </c>
      <c r="J440" s="7" t="s">
        <v>336</v>
      </c>
      <c r="K440" s="7" t="s">
        <v>198</v>
      </c>
      <c r="L440" s="9">
        <v>45016</v>
      </c>
      <c r="M440" s="10">
        <v>0.5386805555555555</v>
      </c>
      <c r="N440" s="11">
        <v>513003143371196</v>
      </c>
      <c r="O440" s="7">
        <f>IF(LEN(TRIM($A440))=0,0,LEN($A440)-LEN(SUBSTITUTE($A440," ",""))+1)</f>
        <v>11</v>
      </c>
      <c r="P440">
        <f>IF(D440="", "", COUNTIF($D$1:$D$2273, D440))</f>
        <v>29</v>
      </c>
    </row>
    <row r="441" spans="1:16" ht="32" hidden="1" x14ac:dyDescent="0.2">
      <c r="A441" s="8" t="s">
        <v>381</v>
      </c>
      <c r="C441" s="7" t="s">
        <v>4</v>
      </c>
      <c r="F441" s="7" t="str">
        <f>IF(OR(E441="Success",E441="Qualified Success"),"Current",IF(E441="Failure",IF(RIGHT(D441,6)="Future","Future",IF(RIGHT(D441,10)="Irrelevant","Irrelevant","Current")),""))</f>
        <v/>
      </c>
      <c r="G441" s="7" t="str">
        <f>IF(OR(ISBLANK(D441),D441="Unclassifiable &gt;"),"",IF(ISNUMBER(SEARCH("Utterance",D441)),"Utterance",IF(ISNUMBER(SEARCH("Response",D441)),"Response",IF(ISNUMBER(SEARCH("Interaction",D441)),"Interaction",IF(ISNUMBER(SEARCH("System",D441)),"System","")))))</f>
        <v/>
      </c>
      <c r="K441" s="7" t="s">
        <v>198</v>
      </c>
      <c r="L441" s="9">
        <v>45016</v>
      </c>
      <c r="M441" s="10">
        <v>0.5386805555555555</v>
      </c>
      <c r="N441" s="11">
        <v>513003143371196</v>
      </c>
      <c r="P441" t="str">
        <f>IF(D441="", "", COUNTIF($D$1:$D$2273, D441))</f>
        <v/>
      </c>
    </row>
    <row r="442" spans="1:16" ht="32" hidden="1" x14ac:dyDescent="0.2">
      <c r="A442" s="36" t="s">
        <v>391</v>
      </c>
      <c r="C442" s="7" t="s">
        <v>2</v>
      </c>
      <c r="D442" s="7" t="s">
        <v>217</v>
      </c>
      <c r="E442" s="7" t="str">
        <f>IF(OR(D442="", D442="___"),"", LEFT(D442,FIND(" &gt;",D442)-1))</f>
        <v>Failure</v>
      </c>
      <c r="F442" s="7" t="str">
        <f>IF(OR(E442="Success",E442="Qualified Success"),"Current",IF(E442="Failure",IF(RIGHT(D442,6)="Future","Future",IF(RIGHT(D442,10)="Irrelevant","Irrelevant","Current")),""))</f>
        <v>Current</v>
      </c>
      <c r="G442" s="7" t="str">
        <f>IF(OR(ISBLANK(D442),D442="Unclassifiable &gt;"),"",IF(ISNUMBER(SEARCH("Utterance",D442)),"Utterance",IF(ISNUMBER(SEARCH("Response",D442)),"Response",IF(ISNUMBER(SEARCH("Interaction",D442)),"Interaction",IF(ISNUMBER(SEARCH("System",D442)),"System","")))))</f>
        <v>Interaction</v>
      </c>
      <c r="H442" s="7" t="str">
        <f>IF(G442="Utterance", IF(ISNUMBER(SEARCH("Unrecognized",D442)), "Unrecognized", IF(ISNUMBER(SEARCH("Mismatched",D442)), "Mismatched", IF(ISNUMBER(SEARCH("False Positive",D442)), "False Positive", "Irrelevant"))), "")</f>
        <v/>
      </c>
      <c r="J442" s="7" t="s">
        <v>25</v>
      </c>
      <c r="K442" s="7" t="s">
        <v>198</v>
      </c>
      <c r="L442" s="9">
        <v>45016</v>
      </c>
      <c r="M442" s="10">
        <v>0.53989583333333335</v>
      </c>
      <c r="N442" s="11">
        <v>513003482955225</v>
      </c>
      <c r="O442" s="7">
        <f>IF(LEN(TRIM($A442))=0,0,LEN($A442)-LEN(SUBSTITUTE($A442," ",""))+1)</f>
        <v>26</v>
      </c>
      <c r="P442">
        <f>IF(D442="", "", COUNTIF($D$1:$D$2273, D442))</f>
        <v>29</v>
      </c>
    </row>
    <row r="443" spans="1:16" ht="64" hidden="1" x14ac:dyDescent="0.2">
      <c r="A443" s="8" t="s">
        <v>423</v>
      </c>
      <c r="C443" s="7" t="s">
        <v>4</v>
      </c>
      <c r="F443" s="7" t="str">
        <f>IF(OR(E443="Success",E443="Qualified Success"),"Current",IF(E443="Failure",IF(RIGHT(D443,6)="Future","Future",IF(RIGHT(D443,10)="Irrelevant","Irrelevant","Current")),""))</f>
        <v/>
      </c>
      <c r="G443" s="7" t="str">
        <f>IF(OR(ISBLANK(D443),D443="Unclassifiable &gt;"),"",IF(ISNUMBER(SEARCH("Utterance",D443)),"Utterance",IF(ISNUMBER(SEARCH("Response",D443)),"Response",IF(ISNUMBER(SEARCH("Interaction",D443)),"Interaction",IF(ISNUMBER(SEARCH("System",D443)),"System","")))))</f>
        <v/>
      </c>
      <c r="K443" s="7" t="s">
        <v>198</v>
      </c>
      <c r="L443" s="9">
        <v>45016</v>
      </c>
      <c r="M443" s="10">
        <v>0.53990740740740739</v>
      </c>
      <c r="N443" s="11">
        <v>513003482955225</v>
      </c>
      <c r="P443" t="str">
        <f>IF(D443="", "", COUNTIF($D$1:$D$2273, D443))</f>
        <v/>
      </c>
    </row>
    <row r="444" spans="1:16" ht="16" hidden="1" x14ac:dyDescent="0.2">
      <c r="A444" s="36" t="s">
        <v>187</v>
      </c>
      <c r="C444" s="7" t="s">
        <v>2</v>
      </c>
      <c r="D444" s="7" t="s">
        <v>217</v>
      </c>
      <c r="E444" s="7" t="str">
        <f>IF(OR(D444="", D444="___"),"", LEFT(D444,FIND(" &gt;",D444)-1))</f>
        <v>Failure</v>
      </c>
      <c r="F444" s="7" t="str">
        <f>IF(OR(E444="Success",E444="Qualified Success"),"Current",IF(E444="Failure",IF(RIGHT(D444,6)="Future","Future",IF(RIGHT(D444,10)="Irrelevant","Irrelevant","Current")),""))</f>
        <v>Current</v>
      </c>
      <c r="G444" s="7" t="str">
        <f>IF(OR(ISBLANK(D444),D444="Unclassifiable &gt;"),"",IF(ISNUMBER(SEARCH("Utterance",D444)),"Utterance",IF(ISNUMBER(SEARCH("Response",D444)),"Response",IF(ISNUMBER(SEARCH("Interaction",D444)),"Interaction",IF(ISNUMBER(SEARCH("System",D444)),"System","")))))</f>
        <v>Interaction</v>
      </c>
      <c r="H444" s="7" t="str">
        <f>IF(G444="Utterance", IF(ISNUMBER(SEARCH("Unrecognized",D444)), "Unrecognized", IF(ISNUMBER(SEARCH("Mismatched",D444)), "Mismatched", IF(ISNUMBER(SEARCH("False Positive",D444)), "False Positive", "Irrelevant"))), "")</f>
        <v/>
      </c>
      <c r="J444" s="7" t="s">
        <v>330</v>
      </c>
      <c r="K444" s="7" t="s">
        <v>198</v>
      </c>
      <c r="L444" s="9">
        <v>45016</v>
      </c>
      <c r="M444" s="10">
        <v>0.54168981481481482</v>
      </c>
      <c r="N444" s="11">
        <v>513003218912266</v>
      </c>
      <c r="O444" s="7">
        <f>IF(LEN(TRIM($A444))=0,0,LEN($A444)-LEN(SUBSTITUTE($A444," ",""))+1)</f>
        <v>6</v>
      </c>
      <c r="P444">
        <f>IF(D444="", "", COUNTIF($D$1:$D$2273, D444))</f>
        <v>29</v>
      </c>
    </row>
    <row r="445" spans="1:16" ht="48" hidden="1" x14ac:dyDescent="0.2">
      <c r="A445" s="8" t="s">
        <v>40</v>
      </c>
      <c r="C445" s="7" t="s">
        <v>4</v>
      </c>
      <c r="F445" s="7" t="str">
        <f>IF(OR(E445="Success",E445="Qualified Success"),"Current",IF(E445="Failure",IF(RIGHT(D445,6)="Future","Future",IF(RIGHT(D445,10)="Irrelevant","Irrelevant","Current")),""))</f>
        <v/>
      </c>
      <c r="G445" s="7" t="str">
        <f>IF(OR(ISBLANK(D445),D445="Unclassifiable &gt;"),"",IF(ISNUMBER(SEARCH("Utterance",D445)),"Utterance",IF(ISNUMBER(SEARCH("Response",D445)),"Response",IF(ISNUMBER(SEARCH("Interaction",D445)),"Interaction",IF(ISNUMBER(SEARCH("System",D445)),"System","")))))</f>
        <v/>
      </c>
      <c r="K445" s="7" t="s">
        <v>198</v>
      </c>
      <c r="L445" s="9">
        <v>45016</v>
      </c>
      <c r="M445" s="10">
        <v>0.54168981481481482</v>
      </c>
      <c r="N445" s="11">
        <v>513003218912266</v>
      </c>
      <c r="P445" t="str">
        <f>IF(D445="", "", COUNTIF($D$1:$D$2273, D445))</f>
        <v/>
      </c>
    </row>
    <row r="446" spans="1:16" ht="16" hidden="1" x14ac:dyDescent="0.2">
      <c r="A446" s="36" t="s">
        <v>65</v>
      </c>
      <c r="C446" s="7" t="s">
        <v>2</v>
      </c>
      <c r="D446" s="7" t="s">
        <v>206</v>
      </c>
      <c r="E446" s="7" t="str">
        <f>IF(OR(D446="", D446="___"),"", LEFT(D446,FIND(" &gt;",D446)-1))</f>
        <v>Success</v>
      </c>
      <c r="F446" s="7" t="str">
        <f>IF(OR(E446="Success",E446="Qualified Success"),"Current",IF(E446="Failure",IF(RIGHT(D446,6)="Future","Future",IF(RIGHT(D446,10)="Irrelevant","Irrelevant","Current")),""))</f>
        <v>Current</v>
      </c>
      <c r="G446" s="7" t="str">
        <f>IF(OR(ISBLANK(D446),D446="Unclassifiable &gt;"),"",IF(ISNUMBER(SEARCH("Utterance",D446)),"Utterance",IF(ISNUMBER(SEARCH("Response",D446)),"Response",IF(ISNUMBER(SEARCH("Interaction",D446)),"Interaction",IF(ISNUMBER(SEARCH("System",D446)),"System","")))))</f>
        <v/>
      </c>
      <c r="H446" s="7" t="str">
        <f>IF(G446="Utterance", IF(ISNUMBER(SEARCH("Unrecognized",D446)), "Unrecognized", IF(ISNUMBER(SEARCH("Mismatched",D446)), "Mismatched", IF(ISNUMBER(SEARCH("False Positive",D446)), "False Positive", "Irrelevant"))), "")</f>
        <v/>
      </c>
      <c r="J446" s="7" t="s">
        <v>342</v>
      </c>
      <c r="K446" s="7" t="s">
        <v>198</v>
      </c>
      <c r="L446" s="9">
        <v>45016</v>
      </c>
      <c r="M446" s="10">
        <v>0.54493055555555558</v>
      </c>
      <c r="N446" s="11">
        <v>204440003503128</v>
      </c>
      <c r="O446" s="7">
        <f>IF(LEN(TRIM($A446))=0,0,LEN($A446)-LEN(SUBSTITUTE($A446," ",""))+1)</f>
        <v>2</v>
      </c>
      <c r="P446">
        <f>IF(D446="", "", COUNTIF($D$1:$D$2273, D446))</f>
        <v>176</v>
      </c>
    </row>
    <row r="447" spans="1:16" ht="64" hidden="1" x14ac:dyDescent="0.2">
      <c r="A447" s="8" t="s">
        <v>441</v>
      </c>
      <c r="C447" s="7" t="s">
        <v>4</v>
      </c>
      <c r="F447" s="7" t="str">
        <f>IF(OR(E447="Success",E447="Qualified Success"),"Current",IF(E447="Failure",IF(RIGHT(D447,6)="Future","Future",IF(RIGHT(D447,10)="Irrelevant","Irrelevant","Current")),""))</f>
        <v/>
      </c>
      <c r="G447" s="7" t="str">
        <f>IF(OR(ISBLANK(D447),D447="Unclassifiable &gt;"),"",IF(ISNUMBER(SEARCH("Utterance",D447)),"Utterance",IF(ISNUMBER(SEARCH("Response",D447)),"Response",IF(ISNUMBER(SEARCH("Interaction",D447)),"Interaction",IF(ISNUMBER(SEARCH("System",D447)),"System","")))))</f>
        <v/>
      </c>
      <c r="K447" s="7" t="s">
        <v>198</v>
      </c>
      <c r="L447" s="9">
        <v>45016</v>
      </c>
      <c r="M447" s="10">
        <v>0.54493055555555558</v>
      </c>
      <c r="N447" s="11">
        <v>204440003503128</v>
      </c>
      <c r="P447" t="str">
        <f>IF(D447="", "", COUNTIF($D$1:$D$2273, D447))</f>
        <v/>
      </c>
    </row>
    <row r="448" spans="1:16" ht="16" hidden="1" x14ac:dyDescent="0.2">
      <c r="A448" s="36" t="s">
        <v>48</v>
      </c>
      <c r="B448" s="7" t="s">
        <v>296</v>
      </c>
      <c r="C448" s="7" t="s">
        <v>2</v>
      </c>
      <c r="D448" s="7" t="s">
        <v>206</v>
      </c>
      <c r="E448" s="7" t="str">
        <f>IF(OR(D448="", D448="___"),"", LEFT(D448,FIND(" &gt;",D448)-1))</f>
        <v>Success</v>
      </c>
      <c r="F448" s="7" t="str">
        <f>IF(OR(E448="Success",E448="Qualified Success"),"Current",IF(E448="Failure",IF(RIGHT(D448,6)="Future","Future",IF(RIGHT(D448,10)="Irrelevant","Irrelevant","Current")),""))</f>
        <v>Current</v>
      </c>
      <c r="G448" s="7" t="str">
        <f>IF(OR(ISBLANK(D448),D448="Unclassifiable &gt;"),"",IF(ISNUMBER(SEARCH("Utterance",D448)),"Utterance",IF(ISNUMBER(SEARCH("Response",D448)),"Response",IF(ISNUMBER(SEARCH("Interaction",D448)),"Interaction",IF(ISNUMBER(SEARCH("System",D448)),"System","")))))</f>
        <v/>
      </c>
      <c r="H448" s="7" t="str">
        <f>IF(G448="Utterance", IF(ISNUMBER(SEARCH("Unrecognized",D448)), "Unrecognized", IF(ISNUMBER(SEARCH("Mismatched",D448)), "Mismatched", IF(ISNUMBER(SEARCH("False Positive",D448)), "False Positive", "Irrelevant"))), "")</f>
        <v/>
      </c>
      <c r="J448" s="7" t="s">
        <v>342</v>
      </c>
      <c r="K448" s="7" t="s">
        <v>198</v>
      </c>
      <c r="L448" s="9">
        <v>45016</v>
      </c>
      <c r="M448" s="10">
        <v>0.54553240740740738</v>
      </c>
      <c r="N448" s="11">
        <v>513003604764608</v>
      </c>
      <c r="O448" s="7">
        <f>IF(LEN(TRIM($A448))=0,0,LEN($A448)-LEN(SUBSTITUTE($A448," ",""))+1)</f>
        <v>4</v>
      </c>
      <c r="P448">
        <f>IF(D448="", "", COUNTIF($D$1:$D$2273, D448))</f>
        <v>176</v>
      </c>
    </row>
    <row r="449" spans="1:16" ht="16" hidden="1" x14ac:dyDescent="0.2">
      <c r="A449" s="8" t="s">
        <v>192</v>
      </c>
      <c r="C449" s="7" t="s">
        <v>4</v>
      </c>
      <c r="F449" s="7" t="str">
        <f>IF(OR(E449="Success",E449="Qualified Success"),"Current",IF(E449="Failure",IF(RIGHT(D449,6)="Future","Future",IF(RIGHT(D449,10)="Irrelevant","Irrelevant","Current")),""))</f>
        <v/>
      </c>
      <c r="G449" s="7" t="str">
        <f>IF(OR(ISBLANK(D449),D449="Unclassifiable &gt;"),"",IF(ISNUMBER(SEARCH("Utterance",D449)),"Utterance",IF(ISNUMBER(SEARCH("Response",D449)),"Response",IF(ISNUMBER(SEARCH("Interaction",D449)),"Interaction",IF(ISNUMBER(SEARCH("System",D449)),"System","")))))</f>
        <v/>
      </c>
      <c r="K449" s="7" t="s">
        <v>198</v>
      </c>
      <c r="L449" s="9">
        <v>45016</v>
      </c>
      <c r="M449" s="10">
        <v>0.54556712962962961</v>
      </c>
      <c r="N449" s="11">
        <v>513003604764608</v>
      </c>
      <c r="P449" t="str">
        <f>IF(D449="", "", COUNTIF($D$1:$D$2273, D449))</f>
        <v/>
      </c>
    </row>
    <row r="450" spans="1:16" ht="16" x14ac:dyDescent="0.2">
      <c r="A450" s="36" t="s">
        <v>33</v>
      </c>
      <c r="B450" s="7" t="s">
        <v>296</v>
      </c>
      <c r="C450" s="7" t="s">
        <v>2</v>
      </c>
      <c r="D450" s="7" t="s">
        <v>222</v>
      </c>
      <c r="E450" s="7" t="str">
        <f>IF(OR(D450="", D450="___"),"", LEFT(D450,FIND(" &gt;",D450)-1))</f>
        <v>Failure</v>
      </c>
      <c r="F450" s="7" t="str">
        <f>IF(OR(E450="Success",E450="Qualified Success"),"Current",IF(E450="Failure",IF(RIGHT(D450,6)="Future","Future",IF(RIGHT(D450,10)="Irrelevant","Irrelevant","Current")),""))</f>
        <v>Current</v>
      </c>
      <c r="G450" s="7" t="str">
        <f>IF(OR(ISBLANK(D450),D450="Unclassifiable &gt;"),"",IF(ISNUMBER(SEARCH("Utterance",D450)),"Utterance",IF(ISNUMBER(SEARCH("Response",D450)),"Response",IF(ISNUMBER(SEARCH("Interaction",D450)),"Interaction",IF(ISNUMBER(SEARCH("System",D450)),"System","")))))</f>
        <v>System</v>
      </c>
      <c r="H450" s="7" t="str">
        <f>IF(G450="Utterance", IF(ISNUMBER(SEARCH("Unrecognized",D450)), "Unrecognized", IF(ISNUMBER(SEARCH("Mismatched",D450)), "Mismatched", IF(ISNUMBER(SEARCH("False Positive",D450)), "False Positive", "Irrelevant"))), "")</f>
        <v/>
      </c>
      <c r="I450" s="7" t="s">
        <v>295</v>
      </c>
      <c r="J450" s="7" t="s">
        <v>331</v>
      </c>
      <c r="K450" s="7" t="s">
        <v>198</v>
      </c>
      <c r="L450" s="9">
        <v>45016</v>
      </c>
      <c r="M450" s="10">
        <v>0.54578703703703701</v>
      </c>
      <c r="N450" s="11">
        <v>513003604764608</v>
      </c>
      <c r="O450" s="7">
        <f>IF(LEN(TRIM($A450))=0,0,LEN($A450)-LEN(SUBSTITUTE($A450," ",""))+1)</f>
        <v>4</v>
      </c>
      <c r="P450">
        <f>IF(D450="", "", COUNTIF($D$1:$D$2273, D450))</f>
        <v>10</v>
      </c>
    </row>
    <row r="451" spans="1:16" ht="144" hidden="1" x14ac:dyDescent="0.2">
      <c r="A451" s="8" t="s">
        <v>371</v>
      </c>
      <c r="C451" s="7" t="s">
        <v>4</v>
      </c>
      <c r="F451" s="7" t="str">
        <f>IF(OR(E451="Success",E451="Qualified Success"),"Current",IF(E451="Failure",IF(RIGHT(D451,6)="Future","Future",IF(RIGHT(D451,10)="Irrelevant","Irrelevant","Current")),""))</f>
        <v/>
      </c>
      <c r="G451" s="7" t="str">
        <f>IF(OR(ISBLANK(D451),D451="Unclassifiable &gt;"),"",IF(ISNUMBER(SEARCH("Utterance",D451)),"Utterance",IF(ISNUMBER(SEARCH("Response",D451)),"Response",IF(ISNUMBER(SEARCH("Interaction",D451)),"Interaction",IF(ISNUMBER(SEARCH("System",D451)),"System","")))))</f>
        <v/>
      </c>
      <c r="K451" s="7" t="s">
        <v>198</v>
      </c>
      <c r="L451" s="9">
        <v>45016</v>
      </c>
      <c r="M451" s="10">
        <v>0.54579861111111116</v>
      </c>
      <c r="N451" s="11">
        <v>513003604764608</v>
      </c>
      <c r="P451" t="str">
        <f>IF(D451="", "", COUNTIF($D$1:$D$2273, D451))</f>
        <v/>
      </c>
    </row>
    <row r="452" spans="1:16" ht="16" hidden="1" x14ac:dyDescent="0.2">
      <c r="A452" s="36" t="s">
        <v>26</v>
      </c>
      <c r="B452" s="7" t="s">
        <v>296</v>
      </c>
      <c r="C452" s="7" t="s">
        <v>2</v>
      </c>
      <c r="D452" s="7" t="s">
        <v>206</v>
      </c>
      <c r="E452" s="7" t="str">
        <f>IF(OR(D452="", D452="___"),"", LEFT(D452,FIND(" &gt;",D452)-1))</f>
        <v>Success</v>
      </c>
      <c r="F452" s="7" t="str">
        <f>IF(OR(E452="Success",E452="Qualified Success"),"Current",IF(E452="Failure",IF(RIGHT(D452,6)="Future","Future",IF(RIGHT(D452,10)="Irrelevant","Irrelevant","Current")),""))</f>
        <v>Current</v>
      </c>
      <c r="G452" s="7" t="str">
        <f>IF(OR(ISBLANK(D452),D452="Unclassifiable &gt;"),"",IF(ISNUMBER(SEARCH("Utterance",D452)),"Utterance",IF(ISNUMBER(SEARCH("Response",D452)),"Response",IF(ISNUMBER(SEARCH("Interaction",D452)),"Interaction",IF(ISNUMBER(SEARCH("System",D452)),"System","")))))</f>
        <v/>
      </c>
      <c r="H452" s="7" t="str">
        <f>IF(G452="Utterance", IF(ISNUMBER(SEARCH("Unrecognized",D452)), "Unrecognized", IF(ISNUMBER(SEARCH("Mismatched",D452)), "Mismatched", IF(ISNUMBER(SEARCH("False Positive",D452)), "False Positive", "Irrelevant"))), "")</f>
        <v/>
      </c>
      <c r="J452" s="7" t="s">
        <v>332</v>
      </c>
      <c r="K452" s="7" t="s">
        <v>198</v>
      </c>
      <c r="L452" s="9">
        <v>45016</v>
      </c>
      <c r="M452" s="10">
        <v>0.54613425925925929</v>
      </c>
      <c r="N452" s="11">
        <v>513003604764608</v>
      </c>
      <c r="O452" s="7">
        <f>IF(LEN(TRIM($A452))=0,0,LEN($A452)-LEN(SUBSTITUTE($A452," ",""))+1)</f>
        <v>3</v>
      </c>
      <c r="P452">
        <f>IF(D452="", "", COUNTIF($D$1:$D$2273, D452))</f>
        <v>176</v>
      </c>
    </row>
    <row r="453" spans="1:16" ht="48" hidden="1" x14ac:dyDescent="0.2">
      <c r="A453" s="8" t="s">
        <v>383</v>
      </c>
      <c r="C453" s="7" t="s">
        <v>4</v>
      </c>
      <c r="F453" s="7" t="str">
        <f>IF(OR(E453="Success",E453="Qualified Success"),"Current",IF(E453="Failure",IF(RIGHT(D453,6)="Future","Future",IF(RIGHT(D453,10)="Irrelevant","Irrelevant","Current")),""))</f>
        <v/>
      </c>
      <c r="G453" s="7" t="str">
        <f>IF(OR(ISBLANK(D453),D453="Unclassifiable &gt;"),"",IF(ISNUMBER(SEARCH("Utterance",D453)),"Utterance",IF(ISNUMBER(SEARCH("Response",D453)),"Response",IF(ISNUMBER(SEARCH("Interaction",D453)),"Interaction",IF(ISNUMBER(SEARCH("System",D453)),"System","")))))</f>
        <v/>
      </c>
      <c r="K453" s="7" t="s">
        <v>198</v>
      </c>
      <c r="L453" s="9">
        <v>45016</v>
      </c>
      <c r="M453" s="10">
        <v>0.54613425925925929</v>
      </c>
      <c r="N453" s="11">
        <v>513003604764608</v>
      </c>
      <c r="P453" t="str">
        <f>IF(D453="", "", COUNTIF($D$1:$D$2273, D453))</f>
        <v/>
      </c>
    </row>
    <row r="454" spans="1:16" ht="16" hidden="1" x14ac:dyDescent="0.2">
      <c r="A454" s="36" t="s">
        <v>112</v>
      </c>
      <c r="C454" s="7" t="s">
        <v>2</v>
      </c>
      <c r="D454" s="7" t="s">
        <v>206</v>
      </c>
      <c r="E454" s="7" t="str">
        <f>IF(OR(D454="", D454="___"),"", LEFT(D454,FIND(" &gt;",D454)-1))</f>
        <v>Success</v>
      </c>
      <c r="F454" s="7" t="str">
        <f>IF(OR(E454="Success",E454="Qualified Success"),"Current",IF(E454="Failure",IF(RIGHT(D454,6)="Future","Future",IF(RIGHT(D454,10)="Irrelevant","Irrelevant","Current")),""))</f>
        <v>Current</v>
      </c>
      <c r="G454" s="7" t="str">
        <f>IF(OR(ISBLANK(D454),D454="Unclassifiable &gt;"),"",IF(ISNUMBER(SEARCH("Utterance",D454)),"Utterance",IF(ISNUMBER(SEARCH("Response",D454)),"Response",IF(ISNUMBER(SEARCH("Interaction",D454)),"Interaction",IF(ISNUMBER(SEARCH("System",D454)),"System","")))))</f>
        <v/>
      </c>
      <c r="H454" s="7" t="str">
        <f>IF(G454="Utterance", IF(ISNUMBER(SEARCH("Unrecognized",D454)), "Unrecognized", IF(ISNUMBER(SEARCH("Mismatched",D454)), "Mismatched", IF(ISNUMBER(SEARCH("False Positive",D454)), "False Positive", "Irrelevant"))), "")</f>
        <v/>
      </c>
      <c r="J454" s="7" t="s">
        <v>337</v>
      </c>
      <c r="K454" s="7" t="s">
        <v>198</v>
      </c>
      <c r="L454" s="9">
        <v>45016</v>
      </c>
      <c r="M454" s="10">
        <v>0.54910879629629628</v>
      </c>
      <c r="N454" s="11">
        <v>204440003510902</v>
      </c>
      <c r="O454" s="7">
        <f>IF(LEN(TRIM($A454))=0,0,LEN($A454)-LEN(SUBSTITUTE($A454," ",""))+1)</f>
        <v>2</v>
      </c>
      <c r="P454">
        <f>IF(D454="", "", COUNTIF($D$1:$D$2273, D454))</f>
        <v>176</v>
      </c>
    </row>
    <row r="455" spans="1:16" ht="16" hidden="1" x14ac:dyDescent="0.2">
      <c r="A455" s="8" t="s">
        <v>401</v>
      </c>
      <c r="C455" s="7" t="s">
        <v>4</v>
      </c>
      <c r="F455" s="7" t="str">
        <f>IF(OR(E455="Success",E455="Qualified Success"),"Current",IF(E455="Failure",IF(RIGHT(D455,6)="Future","Future",IF(RIGHT(D455,10)="Irrelevant","Irrelevant","Current")),""))</f>
        <v/>
      </c>
      <c r="G455" s="7" t="str">
        <f>IF(OR(ISBLANK(D455),D455="Unclassifiable &gt;"),"",IF(ISNUMBER(SEARCH("Utterance",D455)),"Utterance",IF(ISNUMBER(SEARCH("Response",D455)),"Response",IF(ISNUMBER(SEARCH("Interaction",D455)),"Interaction",IF(ISNUMBER(SEARCH("System",D455)),"System","")))))</f>
        <v/>
      </c>
      <c r="K455" s="7" t="s">
        <v>198</v>
      </c>
      <c r="L455" s="9">
        <v>45016</v>
      </c>
      <c r="M455" s="10">
        <v>0.54912037037037031</v>
      </c>
      <c r="N455" s="11">
        <v>204440003510902</v>
      </c>
      <c r="P455" t="str">
        <f>IF(D455="", "", COUNTIF($D$1:$D$2273, D455))</f>
        <v/>
      </c>
    </row>
    <row r="456" spans="1:16" ht="16" hidden="1" x14ac:dyDescent="0.2">
      <c r="A456" s="36" t="s">
        <v>159</v>
      </c>
      <c r="C456" s="7" t="s">
        <v>2</v>
      </c>
      <c r="D456" s="7" t="s">
        <v>217</v>
      </c>
      <c r="E456" s="7" t="str">
        <f>IF(OR(D456="", D456="___"),"", LEFT(D456,FIND(" &gt;",D456)-1))</f>
        <v>Failure</v>
      </c>
      <c r="F456" s="7" t="str">
        <f>IF(OR(E456="Success",E456="Qualified Success"),"Current",IF(E456="Failure",IF(RIGHT(D456,6)="Future","Future",IF(RIGHT(D456,10)="Irrelevant","Irrelevant","Current")),""))</f>
        <v>Current</v>
      </c>
      <c r="G456" s="7" t="str">
        <f>IF(OR(ISBLANK(D456),D456="Unclassifiable &gt;"),"",IF(ISNUMBER(SEARCH("Utterance",D456)),"Utterance",IF(ISNUMBER(SEARCH("Response",D456)),"Response",IF(ISNUMBER(SEARCH("Interaction",D456)),"Interaction",IF(ISNUMBER(SEARCH("System",D456)),"System","")))))</f>
        <v>Interaction</v>
      </c>
      <c r="H456" s="7" t="str">
        <f>IF(G456="Utterance", IF(ISNUMBER(SEARCH("Unrecognized",D456)), "Unrecognized", IF(ISNUMBER(SEARCH("Mismatched",D456)), "Mismatched", IF(ISNUMBER(SEARCH("False Positive",D456)), "False Positive", "Irrelevant"))), "")</f>
        <v/>
      </c>
      <c r="J456" s="7" t="s">
        <v>243</v>
      </c>
      <c r="K456" s="7" t="s">
        <v>198</v>
      </c>
      <c r="L456" s="9">
        <v>45016</v>
      </c>
      <c r="M456" s="10">
        <v>0.5493865740740741</v>
      </c>
      <c r="N456" s="11">
        <v>202000762932968</v>
      </c>
      <c r="O456" s="7">
        <f>IF(LEN(TRIM($A456))=0,0,LEN($A456)-LEN(SUBSTITUTE($A456," ",""))+1)</f>
        <v>2</v>
      </c>
      <c r="P456">
        <f>IF(D456="", "", COUNTIF($D$1:$D$2273, D456))</f>
        <v>29</v>
      </c>
    </row>
    <row r="457" spans="1:16" ht="112" hidden="1" x14ac:dyDescent="0.2">
      <c r="A457" s="8" t="s">
        <v>424</v>
      </c>
      <c r="C457" s="7" t="s">
        <v>4</v>
      </c>
      <c r="F457" s="7" t="str">
        <f>IF(OR(E457="Success",E457="Qualified Success"),"Current",IF(E457="Failure",IF(RIGHT(D457,6)="Future","Future",IF(RIGHT(D457,10)="Irrelevant","Irrelevant","Current")),""))</f>
        <v/>
      </c>
      <c r="G457" s="7" t="str">
        <f>IF(OR(ISBLANK(D457),D457="Unclassifiable &gt;"),"",IF(ISNUMBER(SEARCH("Utterance",D457)),"Utterance",IF(ISNUMBER(SEARCH("Response",D457)),"Response",IF(ISNUMBER(SEARCH("Interaction",D457)),"Interaction",IF(ISNUMBER(SEARCH("System",D457)),"System","")))))</f>
        <v/>
      </c>
      <c r="K457" s="7" t="s">
        <v>198</v>
      </c>
      <c r="L457" s="9">
        <v>45016</v>
      </c>
      <c r="M457" s="10">
        <v>0.5493865740740741</v>
      </c>
      <c r="N457" s="11">
        <v>202000762932968</v>
      </c>
      <c r="P457" t="str">
        <f>IF(D457="", "", COUNTIF($D$1:$D$2273, D457))</f>
        <v/>
      </c>
    </row>
    <row r="458" spans="1:16" ht="16" hidden="1" x14ac:dyDescent="0.2">
      <c r="A458" s="36" t="s">
        <v>175</v>
      </c>
      <c r="C458" s="7" t="s">
        <v>2</v>
      </c>
      <c r="D458" s="7" t="s">
        <v>206</v>
      </c>
      <c r="E458" s="7" t="str">
        <f>IF(OR(D458="", D458="___"),"", LEFT(D458,FIND(" &gt;",D458)-1))</f>
        <v>Success</v>
      </c>
      <c r="F458" s="7" t="str">
        <f>IF(OR(E458="Success",E458="Qualified Success"),"Current",IF(E458="Failure",IF(RIGHT(D458,6)="Future","Future",IF(RIGHT(D458,10)="Irrelevant","Irrelevant","Current")),""))</f>
        <v>Current</v>
      </c>
      <c r="G458" s="7" t="str">
        <f>IF(OR(ISBLANK(D458),D458="Unclassifiable &gt;"),"",IF(ISNUMBER(SEARCH("Utterance",D458)),"Utterance",IF(ISNUMBER(SEARCH("Response",D458)),"Response",IF(ISNUMBER(SEARCH("Interaction",D458)),"Interaction",IF(ISNUMBER(SEARCH("System",D458)),"System","")))))</f>
        <v/>
      </c>
      <c r="H458" s="7" t="str">
        <f>IF(G458="Utterance", IF(ISNUMBER(SEARCH("Unrecognized",D458)), "Unrecognized", IF(ISNUMBER(SEARCH("Mismatched",D458)), "Mismatched", IF(ISNUMBER(SEARCH("False Positive",D458)), "False Positive", "Irrelevant"))), "")</f>
        <v/>
      </c>
      <c r="J458" s="7" t="s">
        <v>329</v>
      </c>
      <c r="K458" s="7" t="s">
        <v>198</v>
      </c>
      <c r="L458" s="9">
        <v>45016</v>
      </c>
      <c r="M458" s="10">
        <v>0.55126157407407406</v>
      </c>
      <c r="N458" s="11">
        <v>513002676441285</v>
      </c>
      <c r="O458" s="7">
        <f>IF(LEN(TRIM($A458))=0,0,LEN($A458)-LEN(SUBSTITUTE($A458," ",""))+1)</f>
        <v>2</v>
      </c>
      <c r="P458">
        <f>IF(D458="", "", COUNTIF($D$1:$D$2273, D458))</f>
        <v>176</v>
      </c>
    </row>
    <row r="459" spans="1:16" ht="112" hidden="1" x14ac:dyDescent="0.2">
      <c r="A459" s="8" t="s">
        <v>388</v>
      </c>
      <c r="C459" s="7" t="s">
        <v>4</v>
      </c>
      <c r="F459" s="7" t="str">
        <f>IF(OR(E459="Success",E459="Qualified Success"),"Current",IF(E459="Failure",IF(RIGHT(D459,6)="Future","Future",IF(RIGHT(D459,10)="Irrelevant","Irrelevant","Current")),""))</f>
        <v/>
      </c>
      <c r="G459" s="7" t="str">
        <f>IF(OR(ISBLANK(D459),D459="Unclassifiable &gt;"),"",IF(ISNUMBER(SEARCH("Utterance",D459)),"Utterance",IF(ISNUMBER(SEARCH("Response",D459)),"Response",IF(ISNUMBER(SEARCH("Interaction",D459)),"Interaction",IF(ISNUMBER(SEARCH("System",D459)),"System","")))))</f>
        <v/>
      </c>
      <c r="K459" s="7" t="s">
        <v>198</v>
      </c>
      <c r="L459" s="9">
        <v>45016</v>
      </c>
      <c r="M459" s="10">
        <v>0.55126157407407406</v>
      </c>
      <c r="N459" s="11">
        <v>513002676441285</v>
      </c>
      <c r="P459" t="str">
        <f>IF(D459="", "", COUNTIF($D$1:$D$2273, D459))</f>
        <v/>
      </c>
    </row>
    <row r="460" spans="1:16" ht="16" hidden="1" x14ac:dyDescent="0.2">
      <c r="A460" s="36" t="s">
        <v>23</v>
      </c>
      <c r="C460" s="7" t="s">
        <v>2</v>
      </c>
      <c r="D460" s="7" t="s">
        <v>206</v>
      </c>
      <c r="E460" s="7" t="str">
        <f>IF(OR(D460="", D460="___"),"", LEFT(D460,FIND(" &gt;",D460)-1))</f>
        <v>Success</v>
      </c>
      <c r="F460" s="7" t="str">
        <f>IF(OR(E460="Success",E460="Qualified Success"),"Current",IF(E460="Failure",IF(RIGHT(D460,6)="Future","Future",IF(RIGHT(D460,10)="Irrelevant","Irrelevant","Current")),""))</f>
        <v>Current</v>
      </c>
      <c r="G460" s="7" t="str">
        <f>IF(OR(ISBLANK(D460),D460="Unclassifiable &gt;"),"",IF(ISNUMBER(SEARCH("Utterance",D460)),"Utterance",IF(ISNUMBER(SEARCH("Response",D460)),"Response",IF(ISNUMBER(SEARCH("Interaction",D460)),"Interaction",IF(ISNUMBER(SEARCH("System",D460)),"System","")))))</f>
        <v/>
      </c>
      <c r="H460" s="7" t="str">
        <f>IF(G460="Utterance", IF(ISNUMBER(SEARCH("Unrecognized",D460)), "Unrecognized", IF(ISNUMBER(SEARCH("Mismatched",D460)), "Mismatched", IF(ISNUMBER(SEARCH("False Positive",D460)), "False Positive", "Irrelevant"))), "")</f>
        <v/>
      </c>
      <c r="J460" s="7" t="s">
        <v>332</v>
      </c>
      <c r="K460" s="7" t="s">
        <v>198</v>
      </c>
      <c r="L460" s="9">
        <v>45016</v>
      </c>
      <c r="M460" s="10">
        <v>0.55180555555555555</v>
      </c>
      <c r="N460" s="11">
        <v>513002676441285</v>
      </c>
      <c r="O460" s="7">
        <f>IF(LEN(TRIM($A460))=0,0,LEN($A460)-LEN(SUBSTITUTE($A460," ",""))+1)</f>
        <v>2</v>
      </c>
      <c r="P460">
        <f>IF(D460="", "", COUNTIF($D$1:$D$2273, D460))</f>
        <v>176</v>
      </c>
    </row>
    <row r="461" spans="1:16" ht="48" hidden="1" x14ac:dyDescent="0.2">
      <c r="A461" s="8" t="s">
        <v>383</v>
      </c>
      <c r="C461" s="7" t="s">
        <v>4</v>
      </c>
      <c r="F461" s="7" t="str">
        <f>IF(OR(E461="Success",E461="Qualified Success"),"Current",IF(E461="Failure",IF(RIGHT(D461,6)="Future","Future",IF(RIGHT(D461,10)="Irrelevant","Irrelevant","Current")),""))</f>
        <v/>
      </c>
      <c r="G461" s="7" t="str">
        <f>IF(OR(ISBLANK(D461),D461="Unclassifiable &gt;"),"",IF(ISNUMBER(SEARCH("Utterance",D461)),"Utterance",IF(ISNUMBER(SEARCH("Response",D461)),"Response",IF(ISNUMBER(SEARCH("Interaction",D461)),"Interaction",IF(ISNUMBER(SEARCH("System",D461)),"System","")))))</f>
        <v/>
      </c>
      <c r="K461" s="7" t="s">
        <v>198</v>
      </c>
      <c r="L461" s="9">
        <v>45016</v>
      </c>
      <c r="M461" s="10">
        <v>0.55180555555555555</v>
      </c>
      <c r="N461" s="11">
        <v>513002676441285</v>
      </c>
      <c r="P461" t="str">
        <f>IF(D461="", "", COUNTIF($D$1:$D$2273, D461))</f>
        <v/>
      </c>
    </row>
    <row r="462" spans="1:16" ht="16" hidden="1" x14ac:dyDescent="0.2">
      <c r="A462" s="36" t="s">
        <v>102</v>
      </c>
      <c r="C462" s="7" t="s">
        <v>2</v>
      </c>
      <c r="D462" s="7" t="s">
        <v>206</v>
      </c>
      <c r="E462" s="7" t="str">
        <f>IF(OR(D462="", D462="___"),"", LEFT(D462,FIND(" &gt;",D462)-1))</f>
        <v>Success</v>
      </c>
      <c r="F462" s="7" t="str">
        <f>IF(OR(E462="Success",E462="Qualified Success"),"Current",IF(E462="Failure",IF(RIGHT(D462,6)="Future","Future",IF(RIGHT(D462,10)="Irrelevant","Irrelevant","Current")),""))</f>
        <v>Current</v>
      </c>
      <c r="G462" s="7" t="str">
        <f>IF(OR(ISBLANK(D462),D462="Unclassifiable &gt;"),"",IF(ISNUMBER(SEARCH("Utterance",D462)),"Utterance",IF(ISNUMBER(SEARCH("Response",D462)),"Response",IF(ISNUMBER(SEARCH("Interaction",D462)),"Interaction",IF(ISNUMBER(SEARCH("System",D462)),"System","")))))</f>
        <v/>
      </c>
      <c r="H462" s="7" t="str">
        <f>IF(G462="Utterance", IF(ISNUMBER(SEARCH("Unrecognized",D462)), "Unrecognized", IF(ISNUMBER(SEARCH("Mismatched",D462)), "Mismatched", IF(ISNUMBER(SEARCH("False Positive",D462)), "False Positive", "Irrelevant"))), "")</f>
        <v/>
      </c>
      <c r="J462" s="7" t="s">
        <v>262</v>
      </c>
      <c r="K462" s="7" t="s">
        <v>198</v>
      </c>
      <c r="L462" s="9">
        <v>45016</v>
      </c>
      <c r="M462" s="10">
        <v>0.55812499999999998</v>
      </c>
      <c r="N462" s="11">
        <v>204440003506706</v>
      </c>
      <c r="O462" s="7">
        <f>IF(LEN(TRIM($A462))=0,0,LEN($A462)-LEN(SUBSTITUTE($A462," ",""))+1)</f>
        <v>6</v>
      </c>
      <c r="P462">
        <f>IF(D462="", "", COUNTIF($D$1:$D$2273, D462))</f>
        <v>176</v>
      </c>
    </row>
    <row r="463" spans="1:16" ht="32" hidden="1" x14ac:dyDescent="0.2">
      <c r="A463" s="8" t="s">
        <v>450</v>
      </c>
      <c r="C463" s="7" t="s">
        <v>4</v>
      </c>
      <c r="F463" s="7" t="str">
        <f>IF(OR(E463="Success",E463="Qualified Success"),"Current",IF(E463="Failure",IF(RIGHT(D463,6)="Future","Future",IF(RIGHT(D463,10)="Irrelevant","Irrelevant","Current")),""))</f>
        <v/>
      </c>
      <c r="G463" s="7" t="str">
        <f>IF(OR(ISBLANK(D463),D463="Unclassifiable &gt;"),"",IF(ISNUMBER(SEARCH("Utterance",D463)),"Utterance",IF(ISNUMBER(SEARCH("Response",D463)),"Response",IF(ISNUMBER(SEARCH("Interaction",D463)),"Interaction",IF(ISNUMBER(SEARCH("System",D463)),"System","")))))</f>
        <v/>
      </c>
      <c r="K463" s="7" t="s">
        <v>198</v>
      </c>
      <c r="L463" s="9">
        <v>45016</v>
      </c>
      <c r="M463" s="10">
        <v>0.55812499999999998</v>
      </c>
      <c r="N463" s="11">
        <v>204440003506706</v>
      </c>
      <c r="P463" t="str">
        <f>IF(D463="", "", COUNTIF($D$1:$D$2273, D463))</f>
        <v/>
      </c>
    </row>
    <row r="464" spans="1:16" ht="16" hidden="1" x14ac:dyDescent="0.2">
      <c r="A464" s="36" t="s">
        <v>19</v>
      </c>
      <c r="C464" s="7" t="s">
        <v>2</v>
      </c>
      <c r="D464" s="7" t="s">
        <v>206</v>
      </c>
      <c r="E464" s="7" t="str">
        <f>IF(OR(D464="", D464="___"),"", LEFT(D464,FIND(" &gt;",D464)-1))</f>
        <v>Success</v>
      </c>
      <c r="F464" s="7" t="str">
        <f>IF(OR(E464="Success",E464="Qualified Success"),"Current",IF(E464="Failure",IF(RIGHT(D464,6)="Future","Future",IF(RIGHT(D464,10)="Irrelevant","Irrelevant","Current")),""))</f>
        <v>Current</v>
      </c>
      <c r="G464" s="7" t="str">
        <f>IF(OR(ISBLANK(D464),D464="Unclassifiable &gt;"),"",IF(ISNUMBER(SEARCH("Utterance",D464)),"Utterance",IF(ISNUMBER(SEARCH("Response",D464)),"Response",IF(ISNUMBER(SEARCH("Interaction",D464)),"Interaction",IF(ISNUMBER(SEARCH("System",D464)),"System","")))))</f>
        <v/>
      </c>
      <c r="H464" s="7" t="str">
        <f>IF(G464="Utterance", IF(ISNUMBER(SEARCH("Unrecognized",D464)), "Unrecognized", IF(ISNUMBER(SEARCH("Mismatched",D464)), "Mismatched", IF(ISNUMBER(SEARCH("False Positive",D464)), "False Positive", "Irrelevant"))), "")</f>
        <v/>
      </c>
      <c r="J464" s="7" t="s">
        <v>335</v>
      </c>
      <c r="K464" s="7" t="s">
        <v>198</v>
      </c>
      <c r="L464" s="9">
        <v>45016</v>
      </c>
      <c r="M464" s="10">
        <v>0.55862268518518521</v>
      </c>
      <c r="N464" s="11">
        <v>204440003511292</v>
      </c>
      <c r="O464" s="7">
        <f>IF(LEN(TRIM($A464))=0,0,LEN($A464)-LEN(SUBSTITUTE($A464," ",""))+1)</f>
        <v>3</v>
      </c>
      <c r="P464">
        <f>IF(D464="", "", COUNTIF($D$1:$D$2273, D464))</f>
        <v>176</v>
      </c>
    </row>
    <row r="465" spans="1:16" ht="144" hidden="1" x14ac:dyDescent="0.2">
      <c r="A465" s="8" t="s">
        <v>385</v>
      </c>
      <c r="C465" s="7" t="s">
        <v>4</v>
      </c>
      <c r="F465" s="7" t="str">
        <f>IF(OR(E465="Success",E465="Qualified Success"),"Current",IF(E465="Failure",IF(RIGHT(D465,6)="Future","Future",IF(RIGHT(D465,10)="Irrelevant","Irrelevant","Current")),""))</f>
        <v/>
      </c>
      <c r="G465" s="7" t="str">
        <f>IF(OR(ISBLANK(D465),D465="Unclassifiable &gt;"),"",IF(ISNUMBER(SEARCH("Utterance",D465)),"Utterance",IF(ISNUMBER(SEARCH("Response",D465)),"Response",IF(ISNUMBER(SEARCH("Interaction",D465)),"Interaction",IF(ISNUMBER(SEARCH("System",D465)),"System","")))))</f>
        <v/>
      </c>
      <c r="K465" s="7" t="s">
        <v>198</v>
      </c>
      <c r="L465" s="9">
        <v>45016</v>
      </c>
      <c r="M465" s="10">
        <v>0.55863425925925925</v>
      </c>
      <c r="N465" s="11">
        <v>204440003511292</v>
      </c>
      <c r="P465" t="str">
        <f>IF(D465="", "", COUNTIF($D$1:$D$2273, D465))</f>
        <v/>
      </c>
    </row>
    <row r="466" spans="1:16" ht="16" hidden="1" x14ac:dyDescent="0.2">
      <c r="A466" s="36" t="s">
        <v>81</v>
      </c>
      <c r="C466" s="7" t="s">
        <v>2</v>
      </c>
      <c r="D466" s="7" t="s">
        <v>206</v>
      </c>
      <c r="E466" s="7" t="str">
        <f>IF(OR(D466="", D466="___"),"", LEFT(D466,FIND(" &gt;",D466)-1))</f>
        <v>Success</v>
      </c>
      <c r="F466" s="7" t="str">
        <f>IF(OR(E466="Success",E466="Qualified Success"),"Current",IF(E466="Failure",IF(RIGHT(D466,6)="Future","Future",IF(RIGHT(D466,10)="Irrelevant","Irrelevant","Current")),""))</f>
        <v>Current</v>
      </c>
      <c r="G466" s="7" t="str">
        <f>IF(OR(ISBLANK(D466),D466="Unclassifiable &gt;"),"",IF(ISNUMBER(SEARCH("Utterance",D466)),"Utterance",IF(ISNUMBER(SEARCH("Response",D466)),"Response",IF(ISNUMBER(SEARCH("Interaction",D466)),"Interaction",IF(ISNUMBER(SEARCH("System",D466)),"System","")))))</f>
        <v/>
      </c>
      <c r="H466" s="7" t="str">
        <f>IF(G466="Utterance", IF(ISNUMBER(SEARCH("Unrecognized",D466)), "Unrecognized", IF(ISNUMBER(SEARCH("Mismatched",D466)), "Mismatched", IF(ISNUMBER(SEARCH("False Positive",D466)), "False Positive", "Irrelevant"))), "")</f>
        <v/>
      </c>
      <c r="J466" s="7" t="s">
        <v>340</v>
      </c>
      <c r="K466" s="7" t="s">
        <v>198</v>
      </c>
      <c r="L466" s="9">
        <v>45016</v>
      </c>
      <c r="M466" s="10">
        <v>0.55983796296296295</v>
      </c>
      <c r="N466" s="11">
        <v>204440003510727</v>
      </c>
      <c r="O466" s="7">
        <f>IF(LEN(TRIM($A466))=0,0,LEN($A466)-LEN(SUBSTITUTE($A466," ",""))+1)</f>
        <v>1</v>
      </c>
      <c r="P466">
        <f>IF(D466="", "", COUNTIF($D$1:$D$2273, D466))</f>
        <v>176</v>
      </c>
    </row>
    <row r="467" spans="1:16" ht="80" hidden="1" x14ac:dyDescent="0.2">
      <c r="A467" s="8" t="s">
        <v>378</v>
      </c>
      <c r="C467" s="7" t="s">
        <v>4</v>
      </c>
      <c r="F467" s="7" t="str">
        <f>IF(OR(E467="Success",E467="Qualified Success"),"Current",IF(E467="Failure",IF(RIGHT(D467,6)="Future","Future",IF(RIGHT(D467,10)="Irrelevant","Irrelevant","Current")),""))</f>
        <v/>
      </c>
      <c r="G467" s="7" t="str">
        <f>IF(OR(ISBLANK(D467),D467="Unclassifiable &gt;"),"",IF(ISNUMBER(SEARCH("Utterance",D467)),"Utterance",IF(ISNUMBER(SEARCH("Response",D467)),"Response",IF(ISNUMBER(SEARCH("Interaction",D467)),"Interaction",IF(ISNUMBER(SEARCH("System",D467)),"System","")))))</f>
        <v/>
      </c>
      <c r="K467" s="7" t="s">
        <v>198</v>
      </c>
      <c r="L467" s="9">
        <v>45016</v>
      </c>
      <c r="M467" s="10">
        <v>0.55984953703703699</v>
      </c>
      <c r="N467" s="11">
        <v>204440003510727</v>
      </c>
      <c r="P467" t="str">
        <f>IF(D467="", "", COUNTIF($D$1:$D$2273, D467))</f>
        <v/>
      </c>
    </row>
    <row r="468" spans="1:16" ht="16" hidden="1" x14ac:dyDescent="0.2">
      <c r="A468" s="36" t="s">
        <v>195</v>
      </c>
      <c r="C468" s="7" t="s">
        <v>2</v>
      </c>
      <c r="D468" s="7" t="s">
        <v>228</v>
      </c>
      <c r="E468" s="7" t="str">
        <f>IF(OR(D468="", D468="___"),"", LEFT(D468,FIND(" &gt;",D468)-1))</f>
        <v>Qualified Success</v>
      </c>
      <c r="F468" s="7" t="str">
        <f>IF(OR(E468="Success",E468="Qualified Success"),"Current",IF(E468="Failure",IF(RIGHT(D468,6)="Future","Future",IF(RIGHT(D468,10)="Irrelevant","Irrelevant","Current")),""))</f>
        <v>Current</v>
      </c>
      <c r="G468" s="7" t="str">
        <f>IF(OR(ISBLANK(D468),D468="Unclassifiable &gt;"),"",IF(ISNUMBER(SEARCH("Utterance",D468)),"Utterance",IF(ISNUMBER(SEARCH("Response",D468)),"Response",IF(ISNUMBER(SEARCH("Interaction",D468)),"Interaction",IF(ISNUMBER(SEARCH("System",D468)),"System","")))))</f>
        <v>Response</v>
      </c>
      <c r="H468" s="7" t="str">
        <f>IF(G468="Utterance", IF(ISNUMBER(SEARCH("Unrecognized",D468)), "Unrecognized", IF(ISNUMBER(SEARCH("Mismatched",D468)), "Mismatched", IF(ISNUMBER(SEARCH("False Positive",D468)), "False Positive", "Irrelevant"))), "")</f>
        <v/>
      </c>
      <c r="J468" s="7" t="s">
        <v>246</v>
      </c>
      <c r="K468" s="7" t="s">
        <v>198</v>
      </c>
      <c r="L468" s="9">
        <v>45016</v>
      </c>
      <c r="M468" s="10">
        <v>0.5604513888888889</v>
      </c>
      <c r="N468" s="11">
        <v>513003533432923</v>
      </c>
      <c r="O468" s="7">
        <f>IF(LEN(TRIM($A468))=0,0,LEN($A468)-LEN(SUBSTITUTE($A468," ",""))+1)</f>
        <v>2</v>
      </c>
      <c r="P468">
        <f>IF(D468="", "", COUNTIF($D$1:$D$2273, D468))</f>
        <v>10</v>
      </c>
    </row>
    <row r="469" spans="1:16" ht="80" hidden="1" x14ac:dyDescent="0.2">
      <c r="A469" s="8" t="s">
        <v>409</v>
      </c>
      <c r="C469" s="7" t="s">
        <v>4</v>
      </c>
      <c r="F469" s="7" t="str">
        <f>IF(OR(E469="Success",E469="Qualified Success"),"Current",IF(E469="Failure",IF(RIGHT(D469,6)="Future","Future",IF(RIGHT(D469,10)="Irrelevant","Irrelevant","Current")),""))</f>
        <v/>
      </c>
      <c r="G469" s="7" t="str">
        <f>IF(OR(ISBLANK(D469),D469="Unclassifiable &gt;"),"",IF(ISNUMBER(SEARCH("Utterance",D469)),"Utterance",IF(ISNUMBER(SEARCH("Response",D469)),"Response",IF(ISNUMBER(SEARCH("Interaction",D469)),"Interaction",IF(ISNUMBER(SEARCH("System",D469)),"System","")))))</f>
        <v/>
      </c>
      <c r="K469" s="7" t="s">
        <v>198</v>
      </c>
      <c r="L469" s="9">
        <v>45016</v>
      </c>
      <c r="M469" s="10">
        <v>0.5604513888888889</v>
      </c>
      <c r="N469" s="11">
        <v>513003533432923</v>
      </c>
      <c r="P469" t="str">
        <f>IF(D469="", "", COUNTIF($D$1:$D$2273, D469))</f>
        <v/>
      </c>
    </row>
    <row r="470" spans="1:16" ht="16" hidden="1" x14ac:dyDescent="0.2">
      <c r="A470" s="36" t="s">
        <v>83</v>
      </c>
      <c r="C470" s="7" t="s">
        <v>2</v>
      </c>
      <c r="D470" s="7" t="s">
        <v>208</v>
      </c>
      <c r="E470" s="7" t="str">
        <f>IF(OR(D470="", D470="___"),"", LEFT(D470,FIND(" &gt;",D470)-1))</f>
        <v>Failure</v>
      </c>
      <c r="F470" s="7" t="str">
        <f>IF(OR(E470="Success",E470="Qualified Success"),"Current",IF(E470="Failure",IF(RIGHT(D470,6)="Future","Future",IF(RIGHT(D470,10)="Irrelevant","Irrelevant","Current")),""))</f>
        <v>Current</v>
      </c>
      <c r="G470" s="7" t="str">
        <f>IF(OR(ISBLANK(D470),D470="Unclassifiable &gt;"),"",IF(ISNUMBER(SEARCH("Utterance",D470)),"Utterance",IF(ISNUMBER(SEARCH("Response",D470)),"Response",IF(ISNUMBER(SEARCH("Interaction",D470)),"Interaction",IF(ISNUMBER(SEARCH("System",D470)),"System","")))))</f>
        <v>Utterance</v>
      </c>
      <c r="H470" s="7" t="str">
        <f>IF(G470="Utterance", IF(ISNUMBER(SEARCH("Unrecognized",D470)), "Unrecognized", IF(ISNUMBER(SEARCH("Mismatched",D470)), "Mismatched", IF(ISNUMBER(SEARCH("False Positive",D470)), "False Positive", "Irrelevant"))), "")</f>
        <v>Mismatched</v>
      </c>
      <c r="J470" s="7" t="s">
        <v>341</v>
      </c>
      <c r="K470" s="7" t="s">
        <v>198</v>
      </c>
      <c r="L470" s="9">
        <v>45016</v>
      </c>
      <c r="M470" s="10">
        <v>0.56238425925925928</v>
      </c>
      <c r="N470" s="11">
        <v>204440003501200</v>
      </c>
      <c r="O470" s="7">
        <f>IF(LEN(TRIM($A470))=0,0,LEN($A470)-LEN(SUBSTITUTE($A470," ",""))+1)</f>
        <v>2</v>
      </c>
      <c r="P470">
        <f>IF(D470="", "", COUNTIF($D$1:$D$2273, D470))</f>
        <v>32</v>
      </c>
    </row>
    <row r="471" spans="1:16" ht="32" hidden="1" x14ac:dyDescent="0.2">
      <c r="A471" s="8" t="s">
        <v>389</v>
      </c>
      <c r="C471" s="7" t="s">
        <v>4</v>
      </c>
      <c r="F471" s="7" t="str">
        <f>IF(OR(E471="Success",E471="Qualified Success"),"Current",IF(E471="Failure",IF(RIGHT(D471,6)="Future","Future",IF(RIGHT(D471,10)="Irrelevant","Irrelevant","Current")),""))</f>
        <v/>
      </c>
      <c r="G471" s="7" t="str">
        <f>IF(OR(ISBLANK(D471),D471="Unclassifiable &gt;"),"",IF(ISNUMBER(SEARCH("Utterance",D471)),"Utterance",IF(ISNUMBER(SEARCH("Response",D471)),"Response",IF(ISNUMBER(SEARCH("Interaction",D471)),"Interaction",IF(ISNUMBER(SEARCH("System",D471)),"System","")))))</f>
        <v/>
      </c>
      <c r="K471" s="7" t="s">
        <v>198</v>
      </c>
      <c r="L471" s="9">
        <v>45016</v>
      </c>
      <c r="M471" s="10">
        <v>0.56238425925925928</v>
      </c>
      <c r="N471" s="11">
        <v>204440003501200</v>
      </c>
      <c r="P471" t="str">
        <f>IF(D471="", "", COUNTIF($D$1:$D$2273, D471))</f>
        <v/>
      </c>
    </row>
    <row r="472" spans="1:16" ht="16" hidden="1" x14ac:dyDescent="0.2">
      <c r="A472" s="36" t="s">
        <v>52</v>
      </c>
      <c r="C472" s="7" t="s">
        <v>2</v>
      </c>
      <c r="D472" s="7" t="s">
        <v>206</v>
      </c>
      <c r="E472" s="7" t="str">
        <f>IF(OR(D472="", D472="___"),"", LEFT(D472,FIND(" &gt;",D472)-1))</f>
        <v>Success</v>
      </c>
      <c r="F472" s="7" t="str">
        <f>IF(OR(E472="Success",E472="Qualified Success"),"Current",IF(E472="Failure",IF(RIGHT(D472,6)="Future","Future",IF(RIGHT(D472,10)="Irrelevant","Irrelevant","Current")),""))</f>
        <v>Current</v>
      </c>
      <c r="G472" s="7" t="str">
        <f>IF(OR(ISBLANK(D472),D472="Unclassifiable &gt;"),"",IF(ISNUMBER(SEARCH("Utterance",D472)),"Utterance",IF(ISNUMBER(SEARCH("Response",D472)),"Response",IF(ISNUMBER(SEARCH("Interaction",D472)),"Interaction",IF(ISNUMBER(SEARCH("System",D472)),"System","")))))</f>
        <v/>
      </c>
      <c r="H472" s="7" t="str">
        <f>IF(G472="Utterance", IF(ISNUMBER(SEARCH("Unrecognized",D472)), "Unrecognized", IF(ISNUMBER(SEARCH("Mismatched",D472)), "Mismatched", IF(ISNUMBER(SEARCH("False Positive",D472)), "False Positive", "Irrelevant"))), "")</f>
        <v/>
      </c>
      <c r="J472" s="7" t="s">
        <v>337</v>
      </c>
      <c r="K472" s="7" t="s">
        <v>198</v>
      </c>
      <c r="L472" s="9">
        <v>45016</v>
      </c>
      <c r="M472" s="10">
        <v>0.57074074074074077</v>
      </c>
      <c r="N472" s="11">
        <v>204440003491074</v>
      </c>
      <c r="O472" s="7">
        <f>IF(LEN(TRIM($A472))=0,0,LEN($A472)-LEN(SUBSTITUTE($A472," ",""))+1)</f>
        <v>5</v>
      </c>
      <c r="P472">
        <f>IF(D472="", "", COUNTIF($D$1:$D$2273, D472))</f>
        <v>176</v>
      </c>
    </row>
    <row r="473" spans="1:16" ht="16" hidden="1" x14ac:dyDescent="0.2">
      <c r="A473" s="8" t="s">
        <v>401</v>
      </c>
      <c r="C473" s="7" t="s">
        <v>4</v>
      </c>
      <c r="F473" s="7" t="str">
        <f>IF(OR(E473="Success",E473="Qualified Success"),"Current",IF(E473="Failure",IF(RIGHT(D473,6)="Future","Future",IF(RIGHT(D473,10)="Irrelevant","Irrelevant","Current")),""))</f>
        <v/>
      </c>
      <c r="G473" s="7" t="str">
        <f>IF(OR(ISBLANK(D473),D473="Unclassifiable &gt;"),"",IF(ISNUMBER(SEARCH("Utterance",D473)),"Utterance",IF(ISNUMBER(SEARCH("Response",D473)),"Response",IF(ISNUMBER(SEARCH("Interaction",D473)),"Interaction",IF(ISNUMBER(SEARCH("System",D473)),"System","")))))</f>
        <v/>
      </c>
      <c r="K473" s="7" t="s">
        <v>198</v>
      </c>
      <c r="L473" s="9">
        <v>45016</v>
      </c>
      <c r="M473" s="10">
        <v>0.57074074074074077</v>
      </c>
      <c r="N473" s="11">
        <v>204440003491074</v>
      </c>
      <c r="P473" t="str">
        <f>IF(D473="", "", COUNTIF($D$1:$D$2273, D473))</f>
        <v/>
      </c>
    </row>
    <row r="474" spans="1:16" ht="16" hidden="1" x14ac:dyDescent="0.2">
      <c r="A474" s="36" t="s">
        <v>53</v>
      </c>
      <c r="C474" s="7" t="s">
        <v>2</v>
      </c>
      <c r="D474" s="7" t="s">
        <v>206</v>
      </c>
      <c r="E474" s="7" t="str">
        <f>IF(OR(D474="", D474="___"),"", LEFT(D474,FIND(" &gt;",D474)-1))</f>
        <v>Success</v>
      </c>
      <c r="F474" s="7" t="str">
        <f>IF(OR(E474="Success",E474="Qualified Success"),"Current",IF(E474="Failure",IF(RIGHT(D474,6)="Future","Future",IF(RIGHT(D474,10)="Irrelevant","Irrelevant","Current")),""))</f>
        <v>Current</v>
      </c>
      <c r="G474" s="7" t="str">
        <f>IF(OR(ISBLANK(D474),D474="Unclassifiable &gt;"),"",IF(ISNUMBER(SEARCH("Utterance",D474)),"Utterance",IF(ISNUMBER(SEARCH("Response",D474)),"Response",IF(ISNUMBER(SEARCH("Interaction",D474)),"Interaction",IF(ISNUMBER(SEARCH("System",D474)),"System","")))))</f>
        <v/>
      </c>
      <c r="H474" s="7" t="str">
        <f>IF(G474="Utterance", IF(ISNUMBER(SEARCH("Unrecognized",D474)), "Unrecognized", IF(ISNUMBER(SEARCH("Mismatched",D474)), "Mismatched", IF(ISNUMBER(SEARCH("False Positive",D474)), "False Positive", "Irrelevant"))), "")</f>
        <v/>
      </c>
      <c r="J474" s="7" t="s">
        <v>337</v>
      </c>
      <c r="K474" s="7" t="s">
        <v>198</v>
      </c>
      <c r="L474" s="9">
        <v>45016</v>
      </c>
      <c r="M474" s="10">
        <v>0.57094907407407403</v>
      </c>
      <c r="N474" s="11">
        <v>204440003491074</v>
      </c>
      <c r="O474" s="7">
        <f>IF(LEN(TRIM($A474))=0,0,LEN($A474)-LEN(SUBSTITUTE($A474," ",""))+1)</f>
        <v>3</v>
      </c>
      <c r="P474">
        <f>IF(D474="", "", COUNTIF($D$1:$D$2273, D474))</f>
        <v>176</v>
      </c>
    </row>
    <row r="475" spans="1:16" ht="16" hidden="1" x14ac:dyDescent="0.2">
      <c r="A475" s="8" t="s">
        <v>401</v>
      </c>
      <c r="C475" s="7" t="s">
        <v>4</v>
      </c>
      <c r="F475" s="7" t="str">
        <f>IF(OR(E475="Success",E475="Qualified Success"),"Current",IF(E475="Failure",IF(RIGHT(D475,6)="Future","Future",IF(RIGHT(D475,10)="Irrelevant","Irrelevant","Current")),""))</f>
        <v/>
      </c>
      <c r="G475" s="7" t="str">
        <f>IF(OR(ISBLANK(D475),D475="Unclassifiable &gt;"),"",IF(ISNUMBER(SEARCH("Utterance",D475)),"Utterance",IF(ISNUMBER(SEARCH("Response",D475)),"Response",IF(ISNUMBER(SEARCH("Interaction",D475)),"Interaction",IF(ISNUMBER(SEARCH("System",D475)),"System","")))))</f>
        <v/>
      </c>
      <c r="K475" s="7" t="s">
        <v>198</v>
      </c>
      <c r="L475" s="9">
        <v>45016</v>
      </c>
      <c r="M475" s="10">
        <v>0.57094907407407403</v>
      </c>
      <c r="N475" s="11">
        <v>204440003491074</v>
      </c>
      <c r="P475" t="str">
        <f>IF(D475="", "", COUNTIF($D$1:$D$2273, D475))</f>
        <v/>
      </c>
    </row>
    <row r="476" spans="1:16" ht="16" hidden="1" x14ac:dyDescent="0.2">
      <c r="A476" s="36" t="s">
        <v>54</v>
      </c>
      <c r="C476" s="7" t="s">
        <v>2</v>
      </c>
      <c r="D476" s="7" t="s">
        <v>206</v>
      </c>
      <c r="E476" s="7" t="str">
        <f>IF(OR(D476="", D476="___"),"", LEFT(D476,FIND(" &gt;",D476)-1))</f>
        <v>Success</v>
      </c>
      <c r="F476" s="7" t="str">
        <f>IF(OR(E476="Success",E476="Qualified Success"),"Current",IF(E476="Failure",IF(RIGHT(D476,6)="Future","Future",IF(RIGHT(D476,10)="Irrelevant","Irrelevant","Current")),""))</f>
        <v>Current</v>
      </c>
      <c r="G476" s="7" t="str">
        <f>IF(OR(ISBLANK(D476),D476="Unclassifiable &gt;"),"",IF(ISNUMBER(SEARCH("Utterance",D476)),"Utterance",IF(ISNUMBER(SEARCH("Response",D476)),"Response",IF(ISNUMBER(SEARCH("Interaction",D476)),"Interaction",IF(ISNUMBER(SEARCH("System",D476)),"System","")))))</f>
        <v/>
      </c>
      <c r="H476" s="7" t="str">
        <f>IF(G476="Utterance", IF(ISNUMBER(SEARCH("Unrecognized",D476)), "Unrecognized", IF(ISNUMBER(SEARCH("Mismatched",D476)), "Mismatched", IF(ISNUMBER(SEARCH("False Positive",D476)), "False Positive", "Irrelevant"))), "")</f>
        <v/>
      </c>
      <c r="J476" s="7" t="s">
        <v>337</v>
      </c>
      <c r="K476" s="7" t="s">
        <v>198</v>
      </c>
      <c r="L476" s="9">
        <v>45016</v>
      </c>
      <c r="M476" s="10">
        <v>0.57111111111111112</v>
      </c>
      <c r="N476" s="11">
        <v>204440003491074</v>
      </c>
      <c r="O476" s="7">
        <f>IF(LEN(TRIM($A476))=0,0,LEN($A476)-LEN(SUBSTITUTE($A476," ",""))+1)</f>
        <v>3</v>
      </c>
      <c r="P476">
        <f>IF(D476="", "", COUNTIF($D$1:$D$2273, D476))</f>
        <v>176</v>
      </c>
    </row>
    <row r="477" spans="1:16" ht="96" hidden="1" x14ac:dyDescent="0.2">
      <c r="A477" s="8" t="s">
        <v>416</v>
      </c>
      <c r="C477" s="7" t="s">
        <v>4</v>
      </c>
      <c r="F477" s="7" t="str">
        <f>IF(OR(E477="Success",E477="Qualified Success"),"Current",IF(E477="Failure",IF(RIGHT(D477,6)="Future","Future",IF(RIGHT(D477,10)="Irrelevant","Irrelevant","Current")),""))</f>
        <v/>
      </c>
      <c r="G477" s="7" t="str">
        <f>IF(OR(ISBLANK(D477),D477="Unclassifiable &gt;"),"",IF(ISNUMBER(SEARCH("Utterance",D477)),"Utterance",IF(ISNUMBER(SEARCH("Response",D477)),"Response",IF(ISNUMBER(SEARCH("Interaction",D477)),"Interaction",IF(ISNUMBER(SEARCH("System",D477)),"System","")))))</f>
        <v/>
      </c>
      <c r="K477" s="7" t="s">
        <v>198</v>
      </c>
      <c r="L477" s="9">
        <v>45016</v>
      </c>
      <c r="M477" s="10">
        <v>0.57111111111111112</v>
      </c>
      <c r="N477" s="11">
        <v>204440003491074</v>
      </c>
      <c r="P477" t="str">
        <f>IF(D477="", "", COUNTIF($D$1:$D$2273, D477))</f>
        <v/>
      </c>
    </row>
    <row r="478" spans="1:16" ht="16" hidden="1" x14ac:dyDescent="0.2">
      <c r="A478" s="36" t="s">
        <v>26</v>
      </c>
      <c r="B478" s="7" t="s">
        <v>296</v>
      </c>
      <c r="C478" s="7" t="s">
        <v>2</v>
      </c>
      <c r="D478" s="7" t="s">
        <v>206</v>
      </c>
      <c r="E478" s="7" t="str">
        <f>IF(OR(D478="", D478="___"),"", LEFT(D478,FIND(" &gt;",D478)-1))</f>
        <v>Success</v>
      </c>
      <c r="F478" s="7" t="str">
        <f>IF(OR(E478="Success",E478="Qualified Success"),"Current",IF(E478="Failure",IF(RIGHT(D478,6)="Future","Future",IF(RIGHT(D478,10)="Irrelevant","Irrelevant","Current")),""))</f>
        <v>Current</v>
      </c>
      <c r="G478" s="7" t="str">
        <f>IF(OR(ISBLANK(D478),D478="Unclassifiable &gt;"),"",IF(ISNUMBER(SEARCH("Utterance",D478)),"Utterance",IF(ISNUMBER(SEARCH("Response",D478)),"Response",IF(ISNUMBER(SEARCH("Interaction",D478)),"Interaction",IF(ISNUMBER(SEARCH("System",D478)),"System","")))))</f>
        <v/>
      </c>
      <c r="H478" s="7" t="str">
        <f>IF(G478="Utterance", IF(ISNUMBER(SEARCH("Unrecognized",D478)), "Unrecognized", IF(ISNUMBER(SEARCH("Mismatched",D478)), "Mismatched", IF(ISNUMBER(SEARCH("False Positive",D478)), "False Positive", "Irrelevant"))), "")</f>
        <v/>
      </c>
      <c r="J478" s="7" t="s">
        <v>332</v>
      </c>
      <c r="K478" s="7" t="s">
        <v>198</v>
      </c>
      <c r="L478" s="9">
        <v>45016</v>
      </c>
      <c r="M478" s="10">
        <v>0.57171296296296303</v>
      </c>
      <c r="N478" s="11">
        <v>204440003487089</v>
      </c>
      <c r="O478" s="7">
        <f>IF(LEN(TRIM($A478))=0,0,LEN($A478)-LEN(SUBSTITUTE($A478," ",""))+1)</f>
        <v>3</v>
      </c>
      <c r="P478">
        <f>IF(D478="", "", COUNTIF($D$1:$D$2273, D478))</f>
        <v>176</v>
      </c>
    </row>
    <row r="479" spans="1:16" ht="48" hidden="1" x14ac:dyDescent="0.2">
      <c r="A479" s="8" t="s">
        <v>383</v>
      </c>
      <c r="C479" s="7" t="s">
        <v>4</v>
      </c>
      <c r="F479" s="7" t="str">
        <f>IF(OR(E479="Success",E479="Qualified Success"),"Current",IF(E479="Failure",IF(RIGHT(D479,6)="Future","Future",IF(RIGHT(D479,10)="Irrelevant","Irrelevant","Current")),""))</f>
        <v/>
      </c>
      <c r="G479" s="7" t="str">
        <f>IF(OR(ISBLANK(D479),D479="Unclassifiable &gt;"),"",IF(ISNUMBER(SEARCH("Utterance",D479)),"Utterance",IF(ISNUMBER(SEARCH("Response",D479)),"Response",IF(ISNUMBER(SEARCH("Interaction",D479)),"Interaction",IF(ISNUMBER(SEARCH("System",D479)),"System","")))))</f>
        <v/>
      </c>
      <c r="K479" s="7" t="s">
        <v>198</v>
      </c>
      <c r="L479" s="9">
        <v>45016</v>
      </c>
      <c r="M479" s="10">
        <v>0.57171296296296303</v>
      </c>
      <c r="N479" s="11">
        <v>204440003487089</v>
      </c>
      <c r="P479" t="str">
        <f>IF(D479="", "", COUNTIF($D$1:$D$2273, D479))</f>
        <v/>
      </c>
    </row>
    <row r="480" spans="1:16" ht="16" hidden="1" x14ac:dyDescent="0.2">
      <c r="A480" s="36" t="s">
        <v>28</v>
      </c>
      <c r="C480" s="7" t="s">
        <v>2</v>
      </c>
      <c r="D480" s="7" t="s">
        <v>206</v>
      </c>
      <c r="E480" s="7" t="str">
        <f>IF(OR(D480="", D480="___"),"", LEFT(D480,FIND(" &gt;",D480)-1))</f>
        <v>Success</v>
      </c>
      <c r="F480" s="7" t="str">
        <f>IF(OR(E480="Success",E480="Qualified Success"),"Current",IF(E480="Failure",IF(RIGHT(D480,6)="Future","Future",IF(RIGHT(D480,10)="Irrelevant","Irrelevant","Current")),""))</f>
        <v>Current</v>
      </c>
      <c r="G480" s="7" t="str">
        <f>IF(OR(ISBLANK(D480),D480="Unclassifiable &gt;"),"",IF(ISNUMBER(SEARCH("Utterance",D480)),"Utterance",IF(ISNUMBER(SEARCH("Response",D480)),"Response",IF(ISNUMBER(SEARCH("Interaction",D480)),"Interaction",IF(ISNUMBER(SEARCH("System",D480)),"System","")))))</f>
        <v/>
      </c>
      <c r="H480" s="7" t="str">
        <f>IF(G480="Utterance", IF(ISNUMBER(SEARCH("Unrecognized",D480)), "Unrecognized", IF(ISNUMBER(SEARCH("Mismatched",D480)), "Mismatched", IF(ISNUMBER(SEARCH("False Positive",D480)), "False Positive", "Irrelevant"))), "")</f>
        <v/>
      </c>
      <c r="J480" s="7" t="s">
        <v>243</v>
      </c>
      <c r="K480" s="7" t="s">
        <v>198</v>
      </c>
      <c r="L480" s="9">
        <v>45016</v>
      </c>
      <c r="M480" s="10">
        <v>0.57857638888888896</v>
      </c>
      <c r="N480" s="11">
        <v>204440003486752</v>
      </c>
      <c r="O480" s="7">
        <f>IF(LEN(TRIM($A480))=0,0,LEN($A480)-LEN(SUBSTITUTE($A480," ",""))+1)</f>
        <v>3</v>
      </c>
      <c r="P480">
        <f>IF(D480="", "", COUNTIF($D$1:$D$2273, D480))</f>
        <v>176</v>
      </c>
    </row>
    <row r="481" spans="1:16" ht="32" hidden="1" x14ac:dyDescent="0.2">
      <c r="A481" s="8" t="s">
        <v>389</v>
      </c>
      <c r="C481" s="7" t="s">
        <v>4</v>
      </c>
      <c r="F481" s="7" t="str">
        <f>IF(OR(E481="Success",E481="Qualified Success"),"Current",IF(E481="Failure",IF(RIGHT(D481,6)="Future","Future",IF(RIGHT(D481,10)="Irrelevant","Irrelevant","Current")),""))</f>
        <v/>
      </c>
      <c r="G481" s="7" t="str">
        <f>IF(OR(ISBLANK(D481),D481="Unclassifiable &gt;"),"",IF(ISNUMBER(SEARCH("Utterance",D481)),"Utterance",IF(ISNUMBER(SEARCH("Response",D481)),"Response",IF(ISNUMBER(SEARCH("Interaction",D481)),"Interaction",IF(ISNUMBER(SEARCH("System",D481)),"System","")))))</f>
        <v/>
      </c>
      <c r="K481" s="7" t="s">
        <v>198</v>
      </c>
      <c r="L481" s="9">
        <v>45016</v>
      </c>
      <c r="M481" s="10">
        <v>0.57857638888888896</v>
      </c>
      <c r="N481" s="11">
        <v>204440003486752</v>
      </c>
      <c r="P481" t="str">
        <f>IF(D481="", "", COUNTIF($D$1:$D$2273, D481))</f>
        <v/>
      </c>
    </row>
    <row r="482" spans="1:16" ht="16" hidden="1" x14ac:dyDescent="0.2">
      <c r="A482" s="36" t="s">
        <v>21</v>
      </c>
      <c r="B482" s="7" t="s">
        <v>296</v>
      </c>
      <c r="C482" s="7" t="s">
        <v>2</v>
      </c>
      <c r="D482" s="7" t="s">
        <v>206</v>
      </c>
      <c r="E482" s="7" t="str">
        <f>IF(OR(D482="", D482="___"),"", LEFT(D482,FIND(" &gt;",D482)-1))</f>
        <v>Success</v>
      </c>
      <c r="F482" s="7" t="str">
        <f>IF(OR(E482="Success",E482="Qualified Success"),"Current",IF(E482="Failure",IF(RIGHT(D482,6)="Future","Future",IF(RIGHT(D482,10)="Irrelevant","Irrelevant","Current")),""))</f>
        <v>Current</v>
      </c>
      <c r="G482" s="7" t="str">
        <f>IF(OR(ISBLANK(D482),D482="Unclassifiable &gt;"),"",IF(ISNUMBER(SEARCH("Utterance",D482)),"Utterance",IF(ISNUMBER(SEARCH("Response",D482)),"Response",IF(ISNUMBER(SEARCH("Interaction",D482)),"Interaction",IF(ISNUMBER(SEARCH("System",D482)),"System","")))))</f>
        <v/>
      </c>
      <c r="H482" s="7" t="str">
        <f>IF(G482="Utterance", IF(ISNUMBER(SEARCH("Unrecognized",D482)), "Unrecognized", IF(ISNUMBER(SEARCH("Mismatched",D482)), "Mismatched", IF(ISNUMBER(SEARCH("False Positive",D482)), "False Positive", "Irrelevant"))), "")</f>
        <v/>
      </c>
      <c r="J482" s="7" t="s">
        <v>332</v>
      </c>
      <c r="K482" s="7" t="s">
        <v>198</v>
      </c>
      <c r="L482" s="9">
        <v>45016</v>
      </c>
      <c r="M482" s="10">
        <v>0.58199074074074075</v>
      </c>
      <c r="N482" s="11">
        <v>204440003503729</v>
      </c>
      <c r="O482" s="7">
        <f>IF(LEN(TRIM($A482))=0,0,LEN($A482)-LEN(SUBSTITUTE($A482," ",""))+1)</f>
        <v>4</v>
      </c>
      <c r="P482">
        <f>IF(D482="", "", COUNTIF($D$1:$D$2273, D482))</f>
        <v>176</v>
      </c>
    </row>
    <row r="483" spans="1:16" ht="48" hidden="1" x14ac:dyDescent="0.2">
      <c r="A483" s="8" t="s">
        <v>383</v>
      </c>
      <c r="C483" s="7" t="s">
        <v>4</v>
      </c>
      <c r="F483" s="7" t="str">
        <f>IF(OR(E483="Success",E483="Qualified Success"),"Current",IF(E483="Failure",IF(RIGHT(D483,6)="Future","Future",IF(RIGHT(D483,10)="Irrelevant","Irrelevant","Current")),""))</f>
        <v/>
      </c>
      <c r="G483" s="7" t="str">
        <f>IF(OR(ISBLANK(D483),D483="Unclassifiable &gt;"),"",IF(ISNUMBER(SEARCH("Utterance",D483)),"Utterance",IF(ISNUMBER(SEARCH("Response",D483)),"Response",IF(ISNUMBER(SEARCH("Interaction",D483)),"Interaction",IF(ISNUMBER(SEARCH("System",D483)),"System","")))))</f>
        <v/>
      </c>
      <c r="K483" s="7" t="s">
        <v>198</v>
      </c>
      <c r="L483" s="9">
        <v>45016</v>
      </c>
      <c r="M483" s="10">
        <v>0.58199074074074075</v>
      </c>
      <c r="N483" s="11">
        <v>204440003503729</v>
      </c>
      <c r="P483" t="str">
        <f>IF(D483="", "", COUNTIF($D$1:$D$2273, D483))</f>
        <v/>
      </c>
    </row>
    <row r="484" spans="1:16" ht="16" x14ac:dyDescent="0.2">
      <c r="A484" s="36" t="s">
        <v>33</v>
      </c>
      <c r="B484" s="7" t="s">
        <v>296</v>
      </c>
      <c r="C484" s="7" t="s">
        <v>2</v>
      </c>
      <c r="D484" s="7" t="s">
        <v>206</v>
      </c>
      <c r="E484" s="7" t="str">
        <f>IF(OR(D484="", D484="___"),"", LEFT(D484,FIND(" &gt;",D484)-1))</f>
        <v>Success</v>
      </c>
      <c r="F484" s="7" t="str">
        <f>IF(OR(E484="Success",E484="Qualified Success"),"Current",IF(E484="Failure",IF(RIGHT(D484,6)="Future","Future",IF(RIGHT(D484,10)="Irrelevant","Irrelevant","Current")),""))</f>
        <v>Current</v>
      </c>
      <c r="G484" s="7" t="str">
        <f>IF(OR(ISBLANK(D484),D484="Unclassifiable &gt;"),"",IF(ISNUMBER(SEARCH("Utterance",D484)),"Utterance",IF(ISNUMBER(SEARCH("Response",D484)),"Response",IF(ISNUMBER(SEARCH("Interaction",D484)),"Interaction",IF(ISNUMBER(SEARCH("System",D484)),"System","")))))</f>
        <v/>
      </c>
      <c r="H484" s="7" t="str">
        <f>IF(G484="Utterance", IF(ISNUMBER(SEARCH("Unrecognized",D484)), "Unrecognized", IF(ISNUMBER(SEARCH("Mismatched",D484)), "Mismatched", IF(ISNUMBER(SEARCH("False Positive",D484)), "False Positive", "Irrelevant"))), "")</f>
        <v/>
      </c>
      <c r="J484" s="7" t="s">
        <v>331</v>
      </c>
      <c r="K484" s="7" t="s">
        <v>198</v>
      </c>
      <c r="L484" s="9">
        <v>45016</v>
      </c>
      <c r="M484" s="10">
        <v>0.58498842592592593</v>
      </c>
      <c r="N484" s="11">
        <v>204440003498598</v>
      </c>
      <c r="O484" s="7">
        <f>IF(LEN(TRIM($A484))=0,0,LEN($A484)-LEN(SUBSTITUTE($A484," ",""))+1)</f>
        <v>4</v>
      </c>
      <c r="P484">
        <f>IF(D484="", "", COUNTIF($D$1:$D$2273, D484))</f>
        <v>176</v>
      </c>
    </row>
    <row r="485" spans="1:16" ht="16" hidden="1" x14ac:dyDescent="0.2">
      <c r="A485" s="36" t="s">
        <v>352</v>
      </c>
      <c r="C485" s="7" t="s">
        <v>2</v>
      </c>
      <c r="D485" s="7" t="s">
        <v>228</v>
      </c>
      <c r="E485" s="7" t="str">
        <f>IF(OR(D485="", D485="___"),"", LEFT(D485,FIND(" &gt;",D485)-1))</f>
        <v>Qualified Success</v>
      </c>
      <c r="F485" s="7" t="str">
        <f>IF(OR(E485="Success",E485="Qualified Success"),"Current",IF(E485="Failure",IF(RIGHT(D485,6)="Future","Future",IF(RIGHT(D485,10)="Irrelevant","Irrelevant","Current")),""))</f>
        <v>Current</v>
      </c>
      <c r="G485" s="7" t="str">
        <f>IF(OR(ISBLANK(D485),D485="Unclassifiable &gt;"),"",IF(ISNUMBER(SEARCH("Utterance",D485)),"Utterance",IF(ISNUMBER(SEARCH("Response",D485)),"Response",IF(ISNUMBER(SEARCH("Interaction",D485)),"Interaction",IF(ISNUMBER(SEARCH("System",D485)),"System","")))))</f>
        <v>Response</v>
      </c>
      <c r="H485" s="7" t="str">
        <f>IF(G485="Utterance", IF(ISNUMBER(SEARCH("Unrecognized",D485)), "Unrecognized", IF(ISNUMBER(SEARCH("Mismatched",D485)), "Mismatched", IF(ISNUMBER(SEARCH("False Positive",D485)), "False Positive", "Irrelevant"))), "")</f>
        <v/>
      </c>
      <c r="J485" s="7" t="s">
        <v>243</v>
      </c>
      <c r="K485" s="7" t="s">
        <v>198</v>
      </c>
      <c r="L485" s="9">
        <v>45016</v>
      </c>
      <c r="M485" s="10">
        <v>0.58518518518518514</v>
      </c>
      <c r="N485" s="11">
        <v>204440003507715</v>
      </c>
      <c r="O485" s="7">
        <f>IF(LEN(TRIM($A485))=0,0,LEN($A485)-LEN(SUBSTITUTE($A485," ",""))+1)</f>
        <v>13</v>
      </c>
      <c r="P485">
        <f>IF(D485="", "", COUNTIF($D$1:$D$2273, D485))</f>
        <v>10</v>
      </c>
    </row>
    <row r="486" spans="1:16" ht="32" hidden="1" x14ac:dyDescent="0.2">
      <c r="A486" s="8" t="s">
        <v>381</v>
      </c>
      <c r="C486" s="7" t="s">
        <v>4</v>
      </c>
      <c r="F486" s="7" t="str">
        <f>IF(OR(E486="Success",E486="Qualified Success"),"Current",IF(E486="Failure",IF(RIGHT(D486,6)="Future","Future",IF(RIGHT(D486,10)="Irrelevant","Irrelevant","Current")),""))</f>
        <v/>
      </c>
      <c r="G486" s="7" t="str">
        <f>IF(OR(ISBLANK(D486),D486="Unclassifiable &gt;"),"",IF(ISNUMBER(SEARCH("Utterance",D486)),"Utterance",IF(ISNUMBER(SEARCH("Response",D486)),"Response",IF(ISNUMBER(SEARCH("Interaction",D486)),"Interaction",IF(ISNUMBER(SEARCH("System",D486)),"System","")))))</f>
        <v/>
      </c>
      <c r="K486" s="7" t="s">
        <v>198</v>
      </c>
      <c r="L486" s="9">
        <v>45016</v>
      </c>
      <c r="M486" s="10">
        <v>0.58518518518518514</v>
      </c>
      <c r="N486" s="11">
        <v>204440003507715</v>
      </c>
      <c r="P486" t="str">
        <f>IF(D486="", "", COUNTIF($D$1:$D$2273, D486))</f>
        <v/>
      </c>
    </row>
    <row r="487" spans="1:16" ht="224" hidden="1" x14ac:dyDescent="0.2">
      <c r="A487" s="8" t="s">
        <v>360</v>
      </c>
      <c r="C487" s="7" t="s">
        <v>4</v>
      </c>
      <c r="F487" s="7" t="str">
        <f>IF(OR(E487="Success",E487="Qualified Success"),"Current",IF(E487="Failure",IF(RIGHT(D487,6)="Future","Future",IF(RIGHT(D487,10)="Irrelevant","Irrelevant","Current")),""))</f>
        <v/>
      </c>
      <c r="G487" s="7" t="str">
        <f>IF(OR(ISBLANK(D487),D487="Unclassifiable &gt;"),"",IF(ISNUMBER(SEARCH("Utterance",D487)),"Utterance",IF(ISNUMBER(SEARCH("Response",D487)),"Response",IF(ISNUMBER(SEARCH("Interaction",D487)),"Interaction",IF(ISNUMBER(SEARCH("System",D487)),"System","")))))</f>
        <v/>
      </c>
      <c r="K487" s="7" t="s">
        <v>198</v>
      </c>
      <c r="L487" s="9">
        <v>45016</v>
      </c>
      <c r="M487" s="10">
        <v>0.58526620370370364</v>
      </c>
      <c r="N487" s="11">
        <v>204440003498598</v>
      </c>
      <c r="P487" t="str">
        <f>IF(D487="", "", COUNTIF($D$1:$D$2273, D487))</f>
        <v/>
      </c>
    </row>
    <row r="488" spans="1:16" ht="16" hidden="1" x14ac:dyDescent="0.2">
      <c r="A488" s="36" t="s">
        <v>103</v>
      </c>
      <c r="C488" s="7" t="s">
        <v>2</v>
      </c>
      <c r="D488" s="7" t="s">
        <v>217</v>
      </c>
      <c r="E488" s="7" t="str">
        <f>IF(OR(D488="", D488="___"),"", LEFT(D488,FIND(" &gt;",D488)-1))</f>
        <v>Failure</v>
      </c>
      <c r="F488" s="7" t="str">
        <f>IF(OR(E488="Success",E488="Qualified Success"),"Current",IF(E488="Failure",IF(RIGHT(D488,6)="Future","Future",IF(RIGHT(D488,10)="Irrelevant","Irrelevant","Current")),""))</f>
        <v>Current</v>
      </c>
      <c r="G488" s="7" t="str">
        <f>IF(OR(ISBLANK(D488),D488="Unclassifiable &gt;"),"",IF(ISNUMBER(SEARCH("Utterance",D488)),"Utterance",IF(ISNUMBER(SEARCH("Response",D488)),"Response",IF(ISNUMBER(SEARCH("Interaction",D488)),"Interaction",IF(ISNUMBER(SEARCH("System",D488)),"System","")))))</f>
        <v>Interaction</v>
      </c>
      <c r="H488" s="7" t="str">
        <f>IF(G488="Utterance", IF(ISNUMBER(SEARCH("Unrecognized",D488)), "Unrecognized", IF(ISNUMBER(SEARCH("Mismatched",D488)), "Mismatched", IF(ISNUMBER(SEARCH("False Positive",D488)), "False Positive", "Irrelevant"))), "")</f>
        <v/>
      </c>
      <c r="J488" s="7" t="s">
        <v>329</v>
      </c>
      <c r="K488" s="7" t="s">
        <v>198</v>
      </c>
      <c r="L488" s="9">
        <v>45016</v>
      </c>
      <c r="M488" s="10">
        <v>0.58612268518518518</v>
      </c>
      <c r="N488" s="11">
        <v>204440003507114</v>
      </c>
      <c r="O488" s="7">
        <f>IF(LEN(TRIM($A488))=0,0,LEN($A488)-LEN(SUBSTITUTE($A488," ",""))+1)</f>
        <v>19</v>
      </c>
      <c r="P488">
        <f>IF(D488="", "", COUNTIF($D$1:$D$2273, D488))</f>
        <v>29</v>
      </c>
    </row>
    <row r="489" spans="1:16" ht="64" hidden="1" x14ac:dyDescent="0.2">
      <c r="A489" s="8" t="s">
        <v>415</v>
      </c>
      <c r="C489" s="7" t="s">
        <v>4</v>
      </c>
      <c r="F489" s="7" t="str">
        <f>IF(OR(E489="Success",E489="Qualified Success"),"Current",IF(E489="Failure",IF(RIGHT(D489,6)="Future","Future",IF(RIGHT(D489,10)="Irrelevant","Irrelevant","Current")),""))</f>
        <v/>
      </c>
      <c r="G489" s="7" t="str">
        <f>IF(OR(ISBLANK(D489),D489="Unclassifiable &gt;"),"",IF(ISNUMBER(SEARCH("Utterance",D489)),"Utterance",IF(ISNUMBER(SEARCH("Response",D489)),"Response",IF(ISNUMBER(SEARCH("Interaction",D489)),"Interaction",IF(ISNUMBER(SEARCH("System",D489)),"System","")))))</f>
        <v/>
      </c>
      <c r="K489" s="7" t="s">
        <v>198</v>
      </c>
      <c r="L489" s="9">
        <v>45016</v>
      </c>
      <c r="M489" s="10">
        <v>0.58612268518518518</v>
      </c>
      <c r="N489" s="11">
        <v>204440003507114</v>
      </c>
      <c r="P489" t="str">
        <f>IF(D489="", "", COUNTIF($D$1:$D$2273, D489))</f>
        <v/>
      </c>
    </row>
    <row r="490" spans="1:16" ht="16" hidden="1" x14ac:dyDescent="0.2">
      <c r="A490" s="36" t="s">
        <v>104</v>
      </c>
      <c r="C490" s="7" t="s">
        <v>2</v>
      </c>
      <c r="D490" s="7" t="s">
        <v>206</v>
      </c>
      <c r="E490" s="7" t="str">
        <f>IF(OR(D490="", D490="___"),"", LEFT(D490,FIND(" &gt;",D490)-1))</f>
        <v>Success</v>
      </c>
      <c r="F490" s="7" t="str">
        <f>IF(OR(E490="Success",E490="Qualified Success"),"Current",IF(E490="Failure",IF(RIGHT(D490,6)="Future","Future",IF(RIGHT(D490,10)="Irrelevant","Irrelevant","Current")),""))</f>
        <v>Current</v>
      </c>
      <c r="G490" s="7" t="str">
        <f>IF(OR(ISBLANK(D490),D490="Unclassifiable &gt;"),"",IF(ISNUMBER(SEARCH("Utterance",D490)),"Utterance",IF(ISNUMBER(SEARCH("Response",D490)),"Response",IF(ISNUMBER(SEARCH("Interaction",D490)),"Interaction",IF(ISNUMBER(SEARCH("System",D490)),"System","")))))</f>
        <v/>
      </c>
      <c r="H490" s="7" t="str">
        <f>IF(G490="Utterance", IF(ISNUMBER(SEARCH("Unrecognized",D490)), "Unrecognized", IF(ISNUMBER(SEARCH("Mismatched",D490)), "Mismatched", IF(ISNUMBER(SEARCH("False Positive",D490)), "False Positive", "Irrelevant"))), "")</f>
        <v/>
      </c>
      <c r="J490" s="7" t="s">
        <v>338</v>
      </c>
      <c r="K490" s="7" t="s">
        <v>198</v>
      </c>
      <c r="L490" s="9">
        <v>45016</v>
      </c>
      <c r="M490" s="10">
        <v>0.58650462962962957</v>
      </c>
      <c r="N490" s="11">
        <v>204440003507114</v>
      </c>
      <c r="O490" s="7">
        <f>IF(LEN(TRIM($A490))=0,0,LEN($A490)-LEN(SUBSTITUTE($A490," ",""))+1)</f>
        <v>14</v>
      </c>
      <c r="P490">
        <f>IF(D490="", "", COUNTIF($D$1:$D$2273, D490))</f>
        <v>176</v>
      </c>
    </row>
    <row r="491" spans="1:16" ht="112" hidden="1" x14ac:dyDescent="0.2">
      <c r="A491" s="8" t="s">
        <v>436</v>
      </c>
      <c r="C491" s="7" t="s">
        <v>4</v>
      </c>
      <c r="F491" s="7" t="str">
        <f>IF(OR(E491="Success",E491="Qualified Success"),"Current",IF(E491="Failure",IF(RIGHT(D491,6)="Future","Future",IF(RIGHT(D491,10)="Irrelevant","Irrelevant","Current")),""))</f>
        <v/>
      </c>
      <c r="G491" s="7" t="str">
        <f>IF(OR(ISBLANK(D491),D491="Unclassifiable &gt;"),"",IF(ISNUMBER(SEARCH("Utterance",D491)),"Utterance",IF(ISNUMBER(SEARCH("Response",D491)),"Response",IF(ISNUMBER(SEARCH("Interaction",D491)),"Interaction",IF(ISNUMBER(SEARCH("System",D491)),"System","")))))</f>
        <v/>
      </c>
      <c r="K491" s="7" t="s">
        <v>198</v>
      </c>
      <c r="L491" s="9">
        <v>45016</v>
      </c>
      <c r="M491" s="10">
        <v>0.58650462962962957</v>
      </c>
      <c r="N491" s="11">
        <v>204440003507114</v>
      </c>
      <c r="P491" t="str">
        <f>IF(D491="", "", COUNTIF($D$1:$D$2273, D491))</f>
        <v/>
      </c>
    </row>
    <row r="492" spans="1:16" ht="16" hidden="1" x14ac:dyDescent="0.2">
      <c r="A492" s="36" t="s">
        <v>97</v>
      </c>
      <c r="C492" s="7" t="s">
        <v>2</v>
      </c>
      <c r="D492" s="7" t="s">
        <v>206</v>
      </c>
      <c r="E492" s="7" t="str">
        <f>IF(OR(D492="", D492="___"),"", LEFT(D492,FIND(" &gt;",D492)-1))</f>
        <v>Success</v>
      </c>
      <c r="F492" s="7" t="str">
        <f>IF(OR(E492="Success",E492="Qualified Success"),"Current",IF(E492="Failure",IF(RIGHT(D492,6)="Future","Future",IF(RIGHT(D492,10)="Irrelevant","Irrelevant","Current")),""))</f>
        <v>Current</v>
      </c>
      <c r="G492" s="7" t="str">
        <f>IF(OR(ISBLANK(D492),D492="Unclassifiable &gt;"),"",IF(ISNUMBER(SEARCH("Utterance",D492)),"Utterance",IF(ISNUMBER(SEARCH("Response",D492)),"Response",IF(ISNUMBER(SEARCH("Interaction",D492)),"Interaction",IF(ISNUMBER(SEARCH("System",D492)),"System","")))))</f>
        <v/>
      </c>
      <c r="H492" s="7" t="str">
        <f>IF(G492="Utterance", IF(ISNUMBER(SEARCH("Unrecognized",D492)), "Unrecognized", IF(ISNUMBER(SEARCH("Mismatched",D492)), "Mismatched", IF(ISNUMBER(SEARCH("False Positive",D492)), "False Positive", "Irrelevant"))), "")</f>
        <v/>
      </c>
      <c r="J492" s="7" t="s">
        <v>330</v>
      </c>
      <c r="K492" s="7" t="s">
        <v>198</v>
      </c>
      <c r="L492" s="9">
        <v>45016</v>
      </c>
      <c r="M492" s="10">
        <v>0.58726851851851858</v>
      </c>
      <c r="N492" s="11">
        <v>513001757701880</v>
      </c>
      <c r="O492" s="7">
        <f>IF(LEN(TRIM($A492))=0,0,LEN($A492)-LEN(SUBSTITUTE($A492," ",""))+1)</f>
        <v>2</v>
      </c>
      <c r="P492">
        <f>IF(D492="", "", COUNTIF($D$1:$D$2273, D492))</f>
        <v>176</v>
      </c>
    </row>
    <row r="493" spans="1:16" ht="16" hidden="1" x14ac:dyDescent="0.2">
      <c r="A493" s="8" t="s">
        <v>418</v>
      </c>
      <c r="C493" s="7" t="s">
        <v>4</v>
      </c>
      <c r="F493" s="7" t="str">
        <f>IF(OR(E493="Success",E493="Qualified Success"),"Current",IF(E493="Failure",IF(RIGHT(D493,6)="Future","Future",IF(RIGHT(D493,10)="Irrelevant","Irrelevant","Current")),""))</f>
        <v/>
      </c>
      <c r="G493" s="7" t="str">
        <f>IF(OR(ISBLANK(D493),D493="Unclassifiable &gt;"),"",IF(ISNUMBER(SEARCH("Utterance",D493)),"Utterance",IF(ISNUMBER(SEARCH("Response",D493)),"Response",IF(ISNUMBER(SEARCH("Interaction",D493)),"Interaction",IF(ISNUMBER(SEARCH("System",D493)),"System","")))))</f>
        <v/>
      </c>
      <c r="K493" s="7" t="s">
        <v>198</v>
      </c>
      <c r="L493" s="9">
        <v>45016</v>
      </c>
      <c r="M493" s="10">
        <v>0.58726851851851858</v>
      </c>
      <c r="N493" s="11">
        <v>513001757701880</v>
      </c>
      <c r="P493" t="str">
        <f>IF(D493="", "", COUNTIF($D$1:$D$2273, D493))</f>
        <v/>
      </c>
    </row>
    <row r="494" spans="1:16" ht="16" hidden="1" x14ac:dyDescent="0.2">
      <c r="A494" s="36" t="s">
        <v>164</v>
      </c>
      <c r="C494" s="7" t="s">
        <v>2</v>
      </c>
      <c r="D494" s="7" t="s">
        <v>217</v>
      </c>
      <c r="E494" s="7" t="str">
        <f>IF(OR(D494="", D494="___"),"", LEFT(D494,FIND(" &gt;",D494)-1))</f>
        <v>Failure</v>
      </c>
      <c r="F494" s="7" t="str">
        <f>IF(OR(E494="Success",E494="Qualified Success"),"Current",IF(E494="Failure",IF(RIGHT(D494,6)="Future","Future",IF(RIGHT(D494,10)="Irrelevant","Irrelevant","Current")),""))</f>
        <v>Current</v>
      </c>
      <c r="G494" s="7" t="str">
        <f>IF(OR(ISBLANK(D494),D494="Unclassifiable &gt;"),"",IF(ISNUMBER(SEARCH("Utterance",D494)),"Utterance",IF(ISNUMBER(SEARCH("Response",D494)),"Response",IF(ISNUMBER(SEARCH("Interaction",D494)),"Interaction",IF(ISNUMBER(SEARCH("System",D494)),"System","")))))</f>
        <v>Interaction</v>
      </c>
      <c r="H494" s="7" t="str">
        <f>IF(G494="Utterance", IF(ISNUMBER(SEARCH("Unrecognized",D494)), "Unrecognized", IF(ISNUMBER(SEARCH("Mismatched",D494)), "Mismatched", IF(ISNUMBER(SEARCH("False Positive",D494)), "False Positive", "Irrelevant"))), "")</f>
        <v/>
      </c>
      <c r="J494" s="7" t="s">
        <v>329</v>
      </c>
      <c r="K494" s="7" t="s">
        <v>198</v>
      </c>
      <c r="L494" s="9">
        <v>45016</v>
      </c>
      <c r="M494" s="10">
        <v>0.59506944444444443</v>
      </c>
      <c r="N494" s="11">
        <v>513001947256487</v>
      </c>
      <c r="O494" s="7">
        <f>IF(LEN(TRIM($A494))=0,0,LEN($A494)-LEN(SUBSTITUTE($A494," ",""))+1)</f>
        <v>2</v>
      </c>
      <c r="P494">
        <f>IF(D494="", "", COUNTIF($D$1:$D$2273, D494))</f>
        <v>29</v>
      </c>
    </row>
    <row r="495" spans="1:16" ht="128" hidden="1" x14ac:dyDescent="0.2">
      <c r="A495" s="8" t="s">
        <v>372</v>
      </c>
      <c r="C495" s="7" t="s">
        <v>4</v>
      </c>
      <c r="F495" s="7" t="str">
        <f>IF(OR(E495="Success",E495="Qualified Success"),"Current",IF(E495="Failure",IF(RIGHT(D495,6)="Future","Future",IF(RIGHT(D495,10)="Irrelevant","Irrelevant","Current")),""))</f>
        <v/>
      </c>
      <c r="G495" s="7" t="str">
        <f>IF(OR(ISBLANK(D495),D495="Unclassifiable &gt;"),"",IF(ISNUMBER(SEARCH("Utterance",D495)),"Utterance",IF(ISNUMBER(SEARCH("Response",D495)),"Response",IF(ISNUMBER(SEARCH("Interaction",D495)),"Interaction",IF(ISNUMBER(SEARCH("System",D495)),"System","")))))</f>
        <v/>
      </c>
      <c r="K495" s="7" t="s">
        <v>198</v>
      </c>
      <c r="L495" s="9">
        <v>45016</v>
      </c>
      <c r="M495" s="10">
        <v>0.59509259259259262</v>
      </c>
      <c r="N495" s="11">
        <v>513001947256487</v>
      </c>
      <c r="P495" t="str">
        <f>IF(D495="", "", COUNTIF($D$1:$D$2273, D495))</f>
        <v/>
      </c>
    </row>
    <row r="496" spans="1:16" ht="16" hidden="1" x14ac:dyDescent="0.2">
      <c r="A496" s="36" t="s">
        <v>165</v>
      </c>
      <c r="C496" s="7" t="s">
        <v>2</v>
      </c>
      <c r="D496" s="7" t="s">
        <v>222</v>
      </c>
      <c r="E496" s="7" t="str">
        <f>IF(OR(D496="", D496="___"),"", LEFT(D496,FIND(" &gt;",D496)-1))</f>
        <v>Failure</v>
      </c>
      <c r="F496" s="7" t="str">
        <f>IF(OR(E496="Success",E496="Qualified Success"),"Current",IF(E496="Failure",IF(RIGHT(D496,6)="Future","Future",IF(RIGHT(D496,10)="Irrelevant","Irrelevant","Current")),""))</f>
        <v>Current</v>
      </c>
      <c r="G496" s="7" t="str">
        <f>IF(OR(ISBLANK(D496),D496="Unclassifiable &gt;"),"",IF(ISNUMBER(SEARCH("Utterance",D496)),"Utterance",IF(ISNUMBER(SEARCH("Response",D496)),"Response",IF(ISNUMBER(SEARCH("Interaction",D496)),"Interaction",IF(ISNUMBER(SEARCH("System",D496)),"System","")))))</f>
        <v>System</v>
      </c>
      <c r="H496" s="7" t="str">
        <f>IF(G496="Utterance", IF(ISNUMBER(SEARCH("Unrecognized",D496)), "Unrecognized", IF(ISNUMBER(SEARCH("Mismatched",D496)), "Mismatched", IF(ISNUMBER(SEARCH("False Positive",D496)), "False Positive", "Irrelevant"))), "")</f>
        <v/>
      </c>
      <c r="I496" s="7" t="s">
        <v>460</v>
      </c>
      <c r="J496" s="7" t="s">
        <v>329</v>
      </c>
      <c r="K496" s="7" t="s">
        <v>198</v>
      </c>
      <c r="L496" s="9">
        <v>45016</v>
      </c>
      <c r="M496" s="10">
        <v>0.5953356481481481</v>
      </c>
      <c r="N496" s="11">
        <v>513001947256487</v>
      </c>
      <c r="O496" s="7">
        <f>IF(LEN(TRIM($A496))=0,0,LEN($A496)-LEN(SUBSTITUTE($A496," ",""))+1)</f>
        <v>2</v>
      </c>
      <c r="P496">
        <f>IF(D496="", "", COUNTIF($D$1:$D$2273, D496))</f>
        <v>10</v>
      </c>
    </row>
    <row r="497" spans="1:16" ht="16" hidden="1" x14ac:dyDescent="0.2">
      <c r="A497" s="8" t="s">
        <v>460</v>
      </c>
      <c r="C497" s="7" t="s">
        <v>4</v>
      </c>
      <c r="F497" s="7" t="str">
        <f>IF(OR(E497="Success",E497="Qualified Success"),"Current",IF(E497="Failure",IF(RIGHT(D497,6)="Future","Future",IF(RIGHT(D497,10)="Irrelevant","Irrelevant","Current")),""))</f>
        <v/>
      </c>
      <c r="G497" s="7" t="str">
        <f>IF(OR(ISBLANK(D497),D497="Unclassifiable &gt;"),"",IF(ISNUMBER(SEARCH("Utterance",D497)),"Utterance",IF(ISNUMBER(SEARCH("Response",D497)),"Response",IF(ISNUMBER(SEARCH("Interaction",D497)),"Interaction",IF(ISNUMBER(SEARCH("System",D497)),"System","")))))</f>
        <v/>
      </c>
      <c r="K497" s="7" t="s">
        <v>198</v>
      </c>
      <c r="L497" s="9">
        <v>45016</v>
      </c>
      <c r="M497" s="10">
        <v>0.5953356481481481</v>
      </c>
      <c r="N497" s="11">
        <v>513001947256487</v>
      </c>
      <c r="P497" t="str">
        <f>IF(D497="", "", COUNTIF($D$1:$D$2273, D497))</f>
        <v/>
      </c>
    </row>
    <row r="498" spans="1:16" ht="16" hidden="1" x14ac:dyDescent="0.2">
      <c r="A498" s="36" t="s">
        <v>166</v>
      </c>
      <c r="C498" s="7" t="s">
        <v>2</v>
      </c>
      <c r="D498" s="7" t="s">
        <v>222</v>
      </c>
      <c r="E498" s="7" t="str">
        <f>IF(OR(D498="", D498="___"),"", LEFT(D498,FIND(" &gt;",D498)-1))</f>
        <v>Failure</v>
      </c>
      <c r="F498" s="7" t="str">
        <f>IF(OR(E498="Success",E498="Qualified Success"),"Current",IF(E498="Failure",IF(RIGHT(D498,6)="Future","Future",IF(RIGHT(D498,10)="Irrelevant","Irrelevant","Current")),""))</f>
        <v>Current</v>
      </c>
      <c r="G498" s="7" t="str">
        <f>IF(OR(ISBLANK(D498),D498="Unclassifiable &gt;"),"",IF(ISNUMBER(SEARCH("Utterance",D498)),"Utterance",IF(ISNUMBER(SEARCH("Response",D498)),"Response",IF(ISNUMBER(SEARCH("Interaction",D498)),"Interaction",IF(ISNUMBER(SEARCH("System",D498)),"System","")))))</f>
        <v>System</v>
      </c>
      <c r="H498" s="7" t="str">
        <f>IF(G498="Utterance", IF(ISNUMBER(SEARCH("Unrecognized",D498)), "Unrecognized", IF(ISNUMBER(SEARCH("Mismatched",D498)), "Mismatched", IF(ISNUMBER(SEARCH("False Positive",D498)), "False Positive", "Irrelevant"))), "")</f>
        <v/>
      </c>
      <c r="I498" s="7" t="s">
        <v>460</v>
      </c>
      <c r="J498" s="7" t="s">
        <v>329</v>
      </c>
      <c r="K498" s="7" t="s">
        <v>198</v>
      </c>
      <c r="L498" s="9">
        <v>45016</v>
      </c>
      <c r="M498" s="10">
        <v>0.59564814814814815</v>
      </c>
      <c r="N498" s="11">
        <v>513001947256487</v>
      </c>
      <c r="O498" s="7">
        <f>IF(LEN(TRIM($A498))=0,0,LEN($A498)-LEN(SUBSTITUTE($A498," ",""))+1)</f>
        <v>9</v>
      </c>
      <c r="P498">
        <f>IF(D498="", "", COUNTIF($D$1:$D$2273, D498))</f>
        <v>10</v>
      </c>
    </row>
    <row r="499" spans="1:16" ht="16" hidden="1" x14ac:dyDescent="0.2">
      <c r="A499" s="8" t="s">
        <v>460</v>
      </c>
      <c r="C499" s="7" t="s">
        <v>4</v>
      </c>
      <c r="F499" s="7" t="str">
        <f>IF(OR(E499="Success",E499="Qualified Success"),"Current",IF(E499="Failure",IF(RIGHT(D499,6)="Future","Future",IF(RIGHT(D499,10)="Irrelevant","Irrelevant","Current")),""))</f>
        <v/>
      </c>
      <c r="G499" s="7" t="str">
        <f>IF(OR(ISBLANK(D499),D499="Unclassifiable &gt;"),"",IF(ISNUMBER(SEARCH("Utterance",D499)),"Utterance",IF(ISNUMBER(SEARCH("Response",D499)),"Response",IF(ISNUMBER(SEARCH("Interaction",D499)),"Interaction",IF(ISNUMBER(SEARCH("System",D499)),"System","")))))</f>
        <v/>
      </c>
      <c r="K499" s="7" t="s">
        <v>198</v>
      </c>
      <c r="L499" s="9">
        <v>45016</v>
      </c>
      <c r="M499" s="10">
        <v>0.59564814814814815</v>
      </c>
      <c r="N499" s="11">
        <v>513001947256487</v>
      </c>
      <c r="P499" t="str">
        <f>IF(D499="", "", COUNTIF($D$1:$D$2273, D499))</f>
        <v/>
      </c>
    </row>
    <row r="500" spans="1:16" ht="16" hidden="1" x14ac:dyDescent="0.2">
      <c r="A500" s="36" t="s">
        <v>45</v>
      </c>
      <c r="B500" s="7" t="s">
        <v>296</v>
      </c>
      <c r="C500" s="7" t="s">
        <v>2</v>
      </c>
      <c r="D500" s="7" t="s">
        <v>222</v>
      </c>
      <c r="E500" s="7" t="str">
        <f>IF(OR(D500="", D500="___"),"", LEFT(D500,FIND(" &gt;",D500)-1))</f>
        <v>Failure</v>
      </c>
      <c r="F500" s="7" t="str">
        <f>IF(OR(E500="Success",E500="Qualified Success"),"Current",IF(E500="Failure",IF(RIGHT(D500,6)="Future","Future",IF(RIGHT(D500,10)="Irrelevant","Irrelevant","Current")),""))</f>
        <v>Current</v>
      </c>
      <c r="G500" s="7" t="str">
        <f>IF(OR(ISBLANK(D500),D500="Unclassifiable &gt;"),"",IF(ISNUMBER(SEARCH("Utterance",D500)),"Utterance",IF(ISNUMBER(SEARCH("Response",D500)),"Response",IF(ISNUMBER(SEARCH("Interaction",D500)),"Interaction",IF(ISNUMBER(SEARCH("System",D500)),"System","")))))</f>
        <v>System</v>
      </c>
      <c r="H500" s="7" t="str">
        <f>IF(G500="Utterance", IF(ISNUMBER(SEARCH("Unrecognized",D500)), "Unrecognized", IF(ISNUMBER(SEARCH("Mismatched",D500)), "Mismatched", IF(ISNUMBER(SEARCH("False Positive",D500)), "False Positive", "Irrelevant"))), "")</f>
        <v/>
      </c>
      <c r="I500" s="7" t="s">
        <v>460</v>
      </c>
      <c r="J500" s="7" t="s">
        <v>243</v>
      </c>
      <c r="K500" s="7" t="s">
        <v>198</v>
      </c>
      <c r="L500" s="9">
        <v>45016</v>
      </c>
      <c r="M500" s="10">
        <v>0.59570601851851845</v>
      </c>
      <c r="N500" s="11">
        <v>513001947256487</v>
      </c>
      <c r="O500" s="7">
        <f>IF(LEN(TRIM($A500))=0,0,LEN($A500)-LEN(SUBSTITUTE($A500," ",""))+1)</f>
        <v>3</v>
      </c>
      <c r="P500">
        <f>IF(D500="", "", COUNTIF($D$1:$D$2273, D500))</f>
        <v>10</v>
      </c>
    </row>
    <row r="501" spans="1:16" ht="16" hidden="1" x14ac:dyDescent="0.2">
      <c r="A501" s="8" t="s">
        <v>460</v>
      </c>
      <c r="C501" s="7" t="s">
        <v>4</v>
      </c>
      <c r="F501" s="7" t="str">
        <f>IF(OR(E501="Success",E501="Qualified Success"),"Current",IF(E501="Failure",IF(RIGHT(D501,6)="Future","Future",IF(RIGHT(D501,10)="Irrelevant","Irrelevant","Current")),""))</f>
        <v/>
      </c>
      <c r="G501" s="7" t="str">
        <f>IF(OR(ISBLANK(D501),D501="Unclassifiable &gt;"),"",IF(ISNUMBER(SEARCH("Utterance",D501)),"Utterance",IF(ISNUMBER(SEARCH("Response",D501)),"Response",IF(ISNUMBER(SEARCH("Interaction",D501)),"Interaction",IF(ISNUMBER(SEARCH("System",D501)),"System","")))))</f>
        <v/>
      </c>
      <c r="K501" s="7" t="s">
        <v>198</v>
      </c>
      <c r="L501" s="9">
        <v>45016</v>
      </c>
      <c r="M501" s="10">
        <v>0.59570601851851845</v>
      </c>
      <c r="N501" s="11">
        <v>513001947256487</v>
      </c>
      <c r="P501" t="str">
        <f>IF(D501="", "", COUNTIF($D$1:$D$2273, D501))</f>
        <v/>
      </c>
    </row>
    <row r="502" spans="1:16" ht="16" x14ac:dyDescent="0.2">
      <c r="A502" s="36" t="s">
        <v>67</v>
      </c>
      <c r="B502" s="7" t="s">
        <v>296</v>
      </c>
      <c r="C502" s="7" t="s">
        <v>2</v>
      </c>
      <c r="D502" s="7" t="s">
        <v>222</v>
      </c>
      <c r="E502" s="7" t="str">
        <f>IF(OR(D502="", D502="___"),"", LEFT(D502,FIND(" &gt;",D502)-1))</f>
        <v>Failure</v>
      </c>
      <c r="F502" s="7" t="str">
        <f>IF(OR(E502="Success",E502="Qualified Success"),"Current",IF(E502="Failure",IF(RIGHT(D502,6)="Future","Future",IF(RIGHT(D502,10)="Irrelevant","Irrelevant","Current")),""))</f>
        <v>Current</v>
      </c>
      <c r="G502" s="7" t="str">
        <f>IF(OR(ISBLANK(D502),D502="Unclassifiable &gt;"),"",IF(ISNUMBER(SEARCH("Utterance",D502)),"Utterance",IF(ISNUMBER(SEARCH("Response",D502)),"Response",IF(ISNUMBER(SEARCH("Interaction",D502)),"Interaction",IF(ISNUMBER(SEARCH("System",D502)),"System","")))))</f>
        <v>System</v>
      </c>
      <c r="H502" s="7" t="str">
        <f>IF(G502="Utterance", IF(ISNUMBER(SEARCH("Unrecognized",D502)), "Unrecognized", IF(ISNUMBER(SEARCH("Mismatched",D502)), "Mismatched", IF(ISNUMBER(SEARCH("False Positive",D502)), "False Positive", "Irrelevant"))), "")</f>
        <v/>
      </c>
      <c r="I502" s="7" t="s">
        <v>460</v>
      </c>
      <c r="J502" s="7" t="s">
        <v>331</v>
      </c>
      <c r="K502" s="7" t="s">
        <v>198</v>
      </c>
      <c r="L502" s="9">
        <v>45016</v>
      </c>
      <c r="M502" s="10">
        <v>0.59578703703703706</v>
      </c>
      <c r="N502" s="11">
        <v>513001947256487</v>
      </c>
      <c r="O502" s="7">
        <f>IF(LEN(TRIM($A502))=0,0,LEN($A502)-LEN(SUBSTITUTE($A502," ",""))+1)</f>
        <v>4</v>
      </c>
      <c r="P502">
        <f>IF(D502="", "", COUNTIF($D$1:$D$2273, D502))</f>
        <v>10</v>
      </c>
    </row>
    <row r="503" spans="1:16" ht="16" hidden="1" x14ac:dyDescent="0.2">
      <c r="A503" s="8" t="s">
        <v>460</v>
      </c>
      <c r="C503" s="7" t="s">
        <v>4</v>
      </c>
      <c r="F503" s="7" t="str">
        <f>IF(OR(E503="Success",E503="Qualified Success"),"Current",IF(E503="Failure",IF(RIGHT(D503,6)="Future","Future",IF(RIGHT(D503,10)="Irrelevant","Irrelevant","Current")),""))</f>
        <v/>
      </c>
      <c r="G503" s="7" t="str">
        <f>IF(OR(ISBLANK(D503),D503="Unclassifiable &gt;"),"",IF(ISNUMBER(SEARCH("Utterance",D503)),"Utterance",IF(ISNUMBER(SEARCH("Response",D503)),"Response",IF(ISNUMBER(SEARCH("Interaction",D503)),"Interaction",IF(ISNUMBER(SEARCH("System",D503)),"System","")))))</f>
        <v/>
      </c>
      <c r="K503" s="7" t="s">
        <v>198</v>
      </c>
      <c r="L503" s="9">
        <v>45016</v>
      </c>
      <c r="M503" s="10">
        <v>0.59578703703703706</v>
      </c>
      <c r="N503" s="11">
        <v>513001947256487</v>
      </c>
      <c r="P503" t="str">
        <f>IF(D503="", "", COUNTIF($D$1:$D$2273, D503))</f>
        <v/>
      </c>
    </row>
    <row r="504" spans="1:16" ht="16" hidden="1" x14ac:dyDescent="0.2">
      <c r="A504" s="36" t="s">
        <v>172</v>
      </c>
      <c r="C504" s="7" t="s">
        <v>2</v>
      </c>
      <c r="D504" s="7" t="s">
        <v>206</v>
      </c>
      <c r="E504" s="7" t="str">
        <f>IF(OR(D504="", D504="___"),"", LEFT(D504,FIND(" &gt;",D504)-1))</f>
        <v>Success</v>
      </c>
      <c r="F504" s="7" t="str">
        <f>IF(OR(E504="Success",E504="Qualified Success"),"Current",IF(E504="Failure",IF(RIGHT(D504,6)="Future","Future",IF(RIGHT(D504,10)="Irrelevant","Irrelevant","Current")),""))</f>
        <v>Current</v>
      </c>
      <c r="G504" s="7" t="str">
        <f>IF(OR(ISBLANK(D504),D504="Unclassifiable &gt;"),"",IF(ISNUMBER(SEARCH("Utterance",D504)),"Utterance",IF(ISNUMBER(SEARCH("Response",D504)),"Response",IF(ISNUMBER(SEARCH("Interaction",D504)),"Interaction",IF(ISNUMBER(SEARCH("System",D504)),"System","")))))</f>
        <v/>
      </c>
      <c r="H504" s="7" t="str">
        <f>IF(G504="Utterance", IF(ISNUMBER(SEARCH("Unrecognized",D504)), "Unrecognized", IF(ISNUMBER(SEARCH("Mismatched",D504)), "Mismatched", IF(ISNUMBER(SEARCH("False Positive",D504)), "False Positive", "Irrelevant"))), "")</f>
        <v/>
      </c>
      <c r="J504" s="7" t="s">
        <v>339</v>
      </c>
      <c r="K504" s="7" t="s">
        <v>198</v>
      </c>
      <c r="L504" s="9">
        <v>45016</v>
      </c>
      <c r="M504" s="10">
        <v>0.60398148148148145</v>
      </c>
      <c r="N504" s="11">
        <v>513002593850898</v>
      </c>
      <c r="O504" s="7">
        <f>IF(LEN(TRIM($A504))=0,0,LEN($A504)-LEN(SUBSTITUTE($A504," ",""))+1)</f>
        <v>3</v>
      </c>
      <c r="P504">
        <f>IF(D504="", "", COUNTIF($D$1:$D$2273, D504))</f>
        <v>176</v>
      </c>
    </row>
    <row r="505" spans="1:16" ht="32" hidden="1" x14ac:dyDescent="0.2">
      <c r="A505" s="8" t="s">
        <v>353</v>
      </c>
      <c r="C505" s="7" t="s">
        <v>4</v>
      </c>
      <c r="F505" s="7" t="str">
        <f>IF(OR(E505="Success",E505="Qualified Success"),"Current",IF(E505="Failure",IF(RIGHT(D505,6)="Future","Future",IF(RIGHT(D505,10)="Irrelevant","Irrelevant","Current")),""))</f>
        <v/>
      </c>
      <c r="G505" s="7" t="str">
        <f>IF(OR(ISBLANK(D505),D505="Unclassifiable &gt;"),"",IF(ISNUMBER(SEARCH("Utterance",D505)),"Utterance",IF(ISNUMBER(SEARCH("Response",D505)),"Response",IF(ISNUMBER(SEARCH("Interaction",D505)),"Interaction",IF(ISNUMBER(SEARCH("System",D505)),"System","")))))</f>
        <v/>
      </c>
      <c r="K505" s="7" t="s">
        <v>198</v>
      </c>
      <c r="L505" s="9">
        <v>45016</v>
      </c>
      <c r="M505" s="10">
        <v>0.60400462962962964</v>
      </c>
      <c r="N505" s="11">
        <v>513002593850898</v>
      </c>
      <c r="P505" t="str">
        <f>IF(D505="", "", COUNTIF($D$1:$D$2273, D505))</f>
        <v/>
      </c>
    </row>
    <row r="506" spans="1:16" ht="16" hidden="1" x14ac:dyDescent="0.2">
      <c r="A506" s="36" t="s">
        <v>176</v>
      </c>
      <c r="C506" s="7" t="s">
        <v>2</v>
      </c>
      <c r="D506" s="7" t="s">
        <v>217</v>
      </c>
      <c r="E506" s="7" t="str">
        <f>IF(OR(D506="", D506="___"),"", LEFT(D506,FIND(" &gt;",D506)-1))</f>
        <v>Failure</v>
      </c>
      <c r="F506" s="7" t="str">
        <f>IF(OR(E506="Success",E506="Qualified Success"),"Current",IF(E506="Failure",IF(RIGHT(D506,6)="Future","Future",IF(RIGHT(D506,10)="Irrelevant","Irrelevant","Current")),""))</f>
        <v>Current</v>
      </c>
      <c r="G506" s="7" t="str">
        <f>IF(OR(ISBLANK(D506),D506="Unclassifiable &gt;"),"",IF(ISNUMBER(SEARCH("Utterance",D506)),"Utterance",IF(ISNUMBER(SEARCH("Response",D506)),"Response",IF(ISNUMBER(SEARCH("Interaction",D506)),"Interaction",IF(ISNUMBER(SEARCH("System",D506)),"System","")))))</f>
        <v>Interaction</v>
      </c>
      <c r="H506" s="7" t="str">
        <f>IF(G506="Utterance", IF(ISNUMBER(SEARCH("Unrecognized",D506)), "Unrecognized", IF(ISNUMBER(SEARCH("Mismatched",D506)), "Mismatched", IF(ISNUMBER(SEARCH("False Positive",D506)), "False Positive", "Irrelevant"))), "")</f>
        <v/>
      </c>
      <c r="J506" s="7" t="s">
        <v>336</v>
      </c>
      <c r="K506" s="7" t="s">
        <v>198</v>
      </c>
      <c r="L506" s="9">
        <v>45016</v>
      </c>
      <c r="M506" s="10">
        <v>0.60428240740740746</v>
      </c>
      <c r="N506" s="11">
        <v>513002936171640</v>
      </c>
      <c r="O506" s="7">
        <f>IF(LEN(TRIM($A506))=0,0,LEN($A506)-LEN(SUBSTITUTE($A506," ",""))+1)</f>
        <v>3</v>
      </c>
      <c r="P506">
        <f>IF(D506="", "", COUNTIF($D$1:$D$2273, D506))</f>
        <v>29</v>
      </c>
    </row>
    <row r="507" spans="1:16" ht="48" hidden="1" x14ac:dyDescent="0.2">
      <c r="A507" s="8" t="s">
        <v>437</v>
      </c>
      <c r="C507" s="7" t="s">
        <v>4</v>
      </c>
      <c r="F507" s="7" t="str">
        <f>IF(OR(E507="Success",E507="Qualified Success"),"Current",IF(E507="Failure",IF(RIGHT(D507,6)="Future","Future",IF(RIGHT(D507,10)="Irrelevant","Irrelevant","Current")),""))</f>
        <v/>
      </c>
      <c r="G507" s="7" t="str">
        <f>IF(OR(ISBLANK(D507),D507="Unclassifiable &gt;"),"",IF(ISNUMBER(SEARCH("Utterance",D507)),"Utterance",IF(ISNUMBER(SEARCH("Response",D507)),"Response",IF(ISNUMBER(SEARCH("Interaction",D507)),"Interaction",IF(ISNUMBER(SEARCH("System",D507)),"System","")))))</f>
        <v/>
      </c>
      <c r="K507" s="7" t="s">
        <v>198</v>
      </c>
      <c r="L507" s="9">
        <v>45016</v>
      </c>
      <c r="M507" s="10">
        <v>0.60430555555555554</v>
      </c>
      <c r="N507" s="11">
        <v>513002936171640</v>
      </c>
      <c r="P507" t="str">
        <f>IF(D507="", "", COUNTIF($D$1:$D$2273, D507))</f>
        <v/>
      </c>
    </row>
    <row r="508" spans="1:16" ht="16" hidden="1" x14ac:dyDescent="0.2">
      <c r="A508" s="36" t="s">
        <v>153</v>
      </c>
      <c r="C508" s="7" t="s">
        <v>2</v>
      </c>
      <c r="D508" s="7" t="s">
        <v>228</v>
      </c>
      <c r="E508" s="7" t="str">
        <f>IF(OR(D508="", D508="___"),"", LEFT(D508,FIND(" &gt;",D508)-1))</f>
        <v>Qualified Success</v>
      </c>
      <c r="F508" s="7" t="str">
        <f>IF(OR(E508="Success",E508="Qualified Success"),"Current",IF(E508="Failure",IF(RIGHT(D508,6)="Future","Future",IF(RIGHT(D508,10)="Irrelevant","Irrelevant","Current")),""))</f>
        <v>Current</v>
      </c>
      <c r="G508" s="7" t="str">
        <f>IF(OR(ISBLANK(D508),D508="Unclassifiable &gt;"),"",IF(ISNUMBER(SEARCH("Utterance",D508)),"Utterance",IF(ISNUMBER(SEARCH("Response",D508)),"Response",IF(ISNUMBER(SEARCH("Interaction",D508)),"Interaction",IF(ISNUMBER(SEARCH("System",D508)),"System","")))))</f>
        <v>Response</v>
      </c>
      <c r="H508" s="7" t="str">
        <f>IF(G508="Utterance", IF(ISNUMBER(SEARCH("Unrecognized",D508)), "Unrecognized", IF(ISNUMBER(SEARCH("Mismatched",D508)), "Mismatched", IF(ISNUMBER(SEARCH("False Positive",D508)), "False Positive", "Irrelevant"))), "")</f>
        <v/>
      </c>
      <c r="J508" s="7" t="s">
        <v>243</v>
      </c>
      <c r="K508" s="7" t="s">
        <v>198</v>
      </c>
      <c r="L508" s="9">
        <v>45016</v>
      </c>
      <c r="M508" s="10">
        <v>0.6114236111111111</v>
      </c>
      <c r="N508" s="11">
        <v>202000617129792</v>
      </c>
      <c r="O508" s="7">
        <f>IF(LEN(TRIM($A508))=0,0,LEN($A508)-LEN(SUBSTITUTE($A508," ",""))+1)</f>
        <v>3</v>
      </c>
      <c r="P508">
        <f>IF(D508="", "", COUNTIF($D$1:$D$2273, D508))</f>
        <v>10</v>
      </c>
    </row>
    <row r="509" spans="1:16" ht="32" hidden="1" x14ac:dyDescent="0.2">
      <c r="A509" s="8" t="s">
        <v>381</v>
      </c>
      <c r="C509" s="7" t="s">
        <v>4</v>
      </c>
      <c r="F509" s="7" t="str">
        <f>IF(OR(E509="Success",E509="Qualified Success"),"Current",IF(E509="Failure",IF(RIGHT(D509,6)="Future","Future",IF(RIGHT(D509,10)="Irrelevant","Irrelevant","Current")),""))</f>
        <v/>
      </c>
      <c r="G509" s="7" t="str">
        <f>IF(OR(ISBLANK(D509),D509="Unclassifiable &gt;"),"",IF(ISNUMBER(SEARCH("Utterance",D509)),"Utterance",IF(ISNUMBER(SEARCH("Response",D509)),"Response",IF(ISNUMBER(SEARCH("Interaction",D509)),"Interaction",IF(ISNUMBER(SEARCH("System",D509)),"System","")))))</f>
        <v/>
      </c>
      <c r="K509" s="7" t="s">
        <v>198</v>
      </c>
      <c r="L509" s="9">
        <v>45016</v>
      </c>
      <c r="M509" s="10">
        <v>0.6114236111111111</v>
      </c>
      <c r="N509" s="11">
        <v>202000617129792</v>
      </c>
      <c r="P509" t="str">
        <f>IF(D509="", "", COUNTIF($D$1:$D$2273, D509))</f>
        <v/>
      </c>
    </row>
    <row r="510" spans="1:16" ht="16" hidden="1" x14ac:dyDescent="0.2">
      <c r="A510" s="36" t="s">
        <v>127</v>
      </c>
      <c r="C510" s="7" t="s">
        <v>2</v>
      </c>
      <c r="D510" s="7" t="s">
        <v>206</v>
      </c>
      <c r="E510" s="7" t="str">
        <f>IF(OR(D510="", D510="___"),"", LEFT(D510,FIND(" &gt;",D510)-1))</f>
        <v>Success</v>
      </c>
      <c r="F510" s="7" t="str">
        <f>IF(OR(E510="Success",E510="Qualified Success"),"Current",IF(E510="Failure",IF(RIGHT(D510,6)="Future","Future",IF(RIGHT(D510,10)="Irrelevant","Irrelevant","Current")),""))</f>
        <v>Current</v>
      </c>
      <c r="G510" s="7" t="str">
        <f>IF(OR(ISBLANK(D510),D510="Unclassifiable &gt;"),"",IF(ISNUMBER(SEARCH("Utterance",D510)),"Utterance",IF(ISNUMBER(SEARCH("Response",D510)),"Response",IF(ISNUMBER(SEARCH("Interaction",D510)),"Interaction",IF(ISNUMBER(SEARCH("System",D510)),"System","")))))</f>
        <v/>
      </c>
      <c r="H510" s="7" t="str">
        <f>IF(G510="Utterance", IF(ISNUMBER(SEARCH("Unrecognized",D510)), "Unrecognized", IF(ISNUMBER(SEARCH("Mismatched",D510)), "Mismatched", IF(ISNUMBER(SEARCH("False Positive",D510)), "False Positive", "Irrelevant"))), "")</f>
        <v/>
      </c>
      <c r="J510" s="7" t="s">
        <v>249</v>
      </c>
      <c r="K510" s="7" t="s">
        <v>198</v>
      </c>
      <c r="L510" s="9">
        <v>45016</v>
      </c>
      <c r="M510" s="10">
        <v>0.61197916666666663</v>
      </c>
      <c r="N510" s="11">
        <v>202000204876712</v>
      </c>
      <c r="O510" s="7">
        <f>IF(LEN(TRIM($A510))=0,0,LEN($A510)-LEN(SUBSTITUTE($A510," ",""))+1)</f>
        <v>1</v>
      </c>
      <c r="P510">
        <f>IF(D510="", "", COUNTIF($D$1:$D$2273, D510))</f>
        <v>176</v>
      </c>
    </row>
    <row r="511" spans="1:16" ht="48" hidden="1" x14ac:dyDescent="0.2">
      <c r="A511" s="8" t="s">
        <v>451</v>
      </c>
      <c r="C511" s="7" t="s">
        <v>4</v>
      </c>
      <c r="F511" s="7" t="str">
        <f>IF(OR(E511="Success",E511="Qualified Success"),"Current",IF(E511="Failure",IF(RIGHT(D511,6)="Future","Future",IF(RIGHT(D511,10)="Irrelevant","Irrelevant","Current")),""))</f>
        <v/>
      </c>
      <c r="G511" s="7" t="str">
        <f>IF(OR(ISBLANK(D511),D511="Unclassifiable &gt;"),"",IF(ISNUMBER(SEARCH("Utterance",D511)),"Utterance",IF(ISNUMBER(SEARCH("Response",D511)),"Response",IF(ISNUMBER(SEARCH("Interaction",D511)),"Interaction",IF(ISNUMBER(SEARCH("System",D511)),"System","")))))</f>
        <v/>
      </c>
      <c r="K511" s="7" t="s">
        <v>198</v>
      </c>
      <c r="L511" s="9">
        <v>45016</v>
      </c>
      <c r="M511" s="10">
        <v>0.61197916666666663</v>
      </c>
      <c r="N511" s="11">
        <v>202000204876712</v>
      </c>
      <c r="P511" t="str">
        <f>IF(D511="", "", COUNTIF($D$1:$D$2273, D511))</f>
        <v/>
      </c>
    </row>
    <row r="512" spans="1:16" ht="16" hidden="1" x14ac:dyDescent="0.2">
      <c r="A512" s="36" t="s">
        <v>113</v>
      </c>
      <c r="C512" s="7" t="s">
        <v>2</v>
      </c>
      <c r="D512" s="7" t="s">
        <v>206</v>
      </c>
      <c r="E512" s="7" t="str">
        <f>IF(OR(D512="", D512="___"),"", LEFT(D512,FIND(" &gt;",D512)-1))</f>
        <v>Success</v>
      </c>
      <c r="F512" s="7" t="str">
        <f>IF(OR(E512="Success",E512="Qualified Success"),"Current",IF(E512="Failure",IF(RIGHT(D512,6)="Future","Future",IF(RIGHT(D512,10)="Irrelevant","Irrelevant","Current")),""))</f>
        <v>Current</v>
      </c>
      <c r="G512" s="7" t="str">
        <f>IF(OR(ISBLANK(D512),D512="Unclassifiable &gt;"),"",IF(ISNUMBER(SEARCH("Utterance",D512)),"Utterance",IF(ISNUMBER(SEARCH("Response",D512)),"Response",IF(ISNUMBER(SEARCH("Interaction",D512)),"Interaction",IF(ISNUMBER(SEARCH("System",D512)),"System","")))))</f>
        <v/>
      </c>
      <c r="H512" s="7" t="str">
        <f>IF(G512="Utterance", IF(ISNUMBER(SEARCH("Unrecognized",D512)), "Unrecognized", IF(ISNUMBER(SEARCH("Mismatched",D512)), "Mismatched", IF(ISNUMBER(SEARCH("False Positive",D512)), "False Positive", "Irrelevant"))), "")</f>
        <v/>
      </c>
      <c r="J512" s="7" t="s">
        <v>339</v>
      </c>
      <c r="K512" s="7" t="s">
        <v>198</v>
      </c>
      <c r="L512" s="9">
        <v>45016</v>
      </c>
      <c r="M512" s="10">
        <v>0.61311342592592599</v>
      </c>
      <c r="N512" s="11">
        <v>204440003511068</v>
      </c>
      <c r="O512" s="7">
        <f>IF(LEN(TRIM($A512))=0,0,LEN($A512)-LEN(SUBSTITUTE($A512," ",""))+1)</f>
        <v>2</v>
      </c>
      <c r="P512">
        <f>IF(D512="", "", COUNTIF($D$1:$D$2273, D512))</f>
        <v>176</v>
      </c>
    </row>
    <row r="513" spans="1:16" ht="128" hidden="1" x14ac:dyDescent="0.2">
      <c r="A513" s="8" t="s">
        <v>438</v>
      </c>
      <c r="C513" s="7" t="s">
        <v>4</v>
      </c>
      <c r="F513" s="7" t="str">
        <f>IF(OR(E513="Success",E513="Qualified Success"),"Current",IF(E513="Failure",IF(RIGHT(D513,6)="Future","Future",IF(RIGHT(D513,10)="Irrelevant","Irrelevant","Current")),""))</f>
        <v/>
      </c>
      <c r="G513" s="7" t="str">
        <f>IF(OR(ISBLANK(D513),D513="Unclassifiable &gt;"),"",IF(ISNUMBER(SEARCH("Utterance",D513)),"Utterance",IF(ISNUMBER(SEARCH("Response",D513)),"Response",IF(ISNUMBER(SEARCH("Interaction",D513)),"Interaction",IF(ISNUMBER(SEARCH("System",D513)),"System","")))))</f>
        <v/>
      </c>
      <c r="K513" s="7" t="s">
        <v>198</v>
      </c>
      <c r="L513" s="9">
        <v>45016</v>
      </c>
      <c r="M513" s="10">
        <v>0.61313657407407407</v>
      </c>
      <c r="N513" s="11">
        <v>204440003511068</v>
      </c>
      <c r="P513" t="str">
        <f>IF(D513="", "", COUNTIF($D$1:$D$2273, D513))</f>
        <v/>
      </c>
    </row>
    <row r="514" spans="1:16" ht="16" hidden="1" x14ac:dyDescent="0.2">
      <c r="A514" s="36" t="s">
        <v>78</v>
      </c>
      <c r="C514" s="7" t="s">
        <v>2</v>
      </c>
      <c r="D514" s="7" t="s">
        <v>206</v>
      </c>
      <c r="E514" s="7" t="str">
        <f>IF(OR(D514="", D514="___"),"", LEFT(D514,FIND(" &gt;",D514)-1))</f>
        <v>Success</v>
      </c>
      <c r="F514" s="7" t="str">
        <f>IF(OR(E514="Success",E514="Qualified Success"),"Current",IF(E514="Failure",IF(RIGHT(D514,6)="Future","Future",IF(RIGHT(D514,10)="Irrelevant","Irrelevant","Current")),""))</f>
        <v>Current</v>
      </c>
      <c r="G514" s="7" t="str">
        <f>IF(OR(ISBLANK(D514),D514="Unclassifiable &gt;"),"",IF(ISNUMBER(SEARCH("Utterance",D514)),"Utterance",IF(ISNUMBER(SEARCH("Response",D514)),"Response",IF(ISNUMBER(SEARCH("Interaction",D514)),"Interaction",IF(ISNUMBER(SEARCH("System",D514)),"System","")))))</f>
        <v/>
      </c>
      <c r="H514" s="7" t="str">
        <f>IF(G514="Utterance", IF(ISNUMBER(SEARCH("Unrecognized",D514)), "Unrecognized", IF(ISNUMBER(SEARCH("Mismatched",D514)), "Mismatched", IF(ISNUMBER(SEARCH("False Positive",D514)), "False Positive", "Irrelevant"))), "")</f>
        <v/>
      </c>
      <c r="J514" s="7" t="s">
        <v>339</v>
      </c>
      <c r="K514" s="7" t="s">
        <v>198</v>
      </c>
      <c r="L514" s="9">
        <v>45016</v>
      </c>
      <c r="M514" s="10">
        <v>0.61833333333333329</v>
      </c>
      <c r="N514" s="11">
        <v>204440003499516</v>
      </c>
      <c r="O514" s="7">
        <f>IF(LEN(TRIM($A514))=0,0,LEN($A514)-LEN(SUBSTITUTE($A514," ",""))+1)</f>
        <v>5</v>
      </c>
      <c r="P514">
        <f>IF(D514="", "", COUNTIF($D$1:$D$2273, D514))</f>
        <v>176</v>
      </c>
    </row>
    <row r="515" spans="1:16" ht="128" hidden="1" x14ac:dyDescent="0.2">
      <c r="A515" s="8" t="s">
        <v>438</v>
      </c>
      <c r="C515" s="7" t="s">
        <v>4</v>
      </c>
      <c r="F515" s="7" t="str">
        <f>IF(OR(E515="Success",E515="Qualified Success"),"Current",IF(E515="Failure",IF(RIGHT(D515,6)="Future","Future",IF(RIGHT(D515,10)="Irrelevant","Irrelevant","Current")),""))</f>
        <v/>
      </c>
      <c r="G515" s="7" t="str">
        <f>IF(OR(ISBLANK(D515),D515="Unclassifiable &gt;"),"",IF(ISNUMBER(SEARCH("Utterance",D515)),"Utterance",IF(ISNUMBER(SEARCH("Response",D515)),"Response",IF(ISNUMBER(SEARCH("Interaction",D515)),"Interaction",IF(ISNUMBER(SEARCH("System",D515)),"System","")))))</f>
        <v/>
      </c>
      <c r="K515" s="7" t="s">
        <v>198</v>
      </c>
      <c r="L515" s="9">
        <v>45016</v>
      </c>
      <c r="M515" s="10">
        <v>0.61834490740740744</v>
      </c>
      <c r="N515" s="11">
        <v>204440003499516</v>
      </c>
      <c r="P515" t="str">
        <f>IF(D515="", "", COUNTIF($D$1:$D$2273, D515))</f>
        <v/>
      </c>
    </row>
    <row r="516" spans="1:16" ht="16" hidden="1" x14ac:dyDescent="0.2">
      <c r="A516" s="36" t="s">
        <v>66</v>
      </c>
      <c r="C516" s="7" t="s">
        <v>2</v>
      </c>
      <c r="D516" s="7" t="s">
        <v>206</v>
      </c>
      <c r="E516" s="7" t="str">
        <f>IF(OR(D516="", D516="___"),"", LEFT(D516,FIND(" &gt;",D516)-1))</f>
        <v>Success</v>
      </c>
      <c r="F516" s="7" t="str">
        <f>IF(OR(E516="Success",E516="Qualified Success"),"Current",IF(E516="Failure",IF(RIGHT(D516,6)="Future","Future",IF(RIGHT(D516,10)="Irrelevant","Irrelevant","Current")),""))</f>
        <v>Current</v>
      </c>
      <c r="G516" s="7" t="str">
        <f>IF(OR(ISBLANK(D516),D516="Unclassifiable &gt;"),"",IF(ISNUMBER(SEARCH("Utterance",D516)),"Utterance",IF(ISNUMBER(SEARCH("Response",D516)),"Response",IF(ISNUMBER(SEARCH("Interaction",D516)),"Interaction",IF(ISNUMBER(SEARCH("System",D516)),"System","")))))</f>
        <v/>
      </c>
      <c r="H516" s="7" t="str">
        <f>IF(G516="Utterance", IF(ISNUMBER(SEARCH("Unrecognized",D516)), "Unrecognized", IF(ISNUMBER(SEARCH("Mismatched",D516)), "Mismatched", IF(ISNUMBER(SEARCH("False Positive",D516)), "False Positive", "Irrelevant"))), "")</f>
        <v/>
      </c>
      <c r="J516" s="7" t="s">
        <v>243</v>
      </c>
      <c r="K516" s="7" t="s">
        <v>198</v>
      </c>
      <c r="L516" s="9">
        <v>45016</v>
      </c>
      <c r="M516" s="10">
        <v>0.62699074074074079</v>
      </c>
      <c r="N516" s="11">
        <v>204440003492793</v>
      </c>
      <c r="O516" s="7">
        <f>IF(LEN(TRIM($A516))=0,0,LEN($A516)-LEN(SUBSTITUTE($A516," ",""))+1)</f>
        <v>2</v>
      </c>
      <c r="P516">
        <f>IF(D516="", "", COUNTIF($D$1:$D$2273, D516))</f>
        <v>176</v>
      </c>
    </row>
    <row r="517" spans="1:16" ht="32" hidden="1" x14ac:dyDescent="0.2">
      <c r="A517" s="8" t="s">
        <v>389</v>
      </c>
      <c r="C517" s="7" t="s">
        <v>4</v>
      </c>
      <c r="F517" s="7" t="str">
        <f>IF(OR(E517="Success",E517="Qualified Success"),"Current",IF(E517="Failure",IF(RIGHT(D517,6)="Future","Future",IF(RIGHT(D517,10)="Irrelevant","Irrelevant","Current")),""))</f>
        <v/>
      </c>
      <c r="G517" s="7" t="str">
        <f>IF(OR(ISBLANK(D517),D517="Unclassifiable &gt;"),"",IF(ISNUMBER(SEARCH("Utterance",D517)),"Utterance",IF(ISNUMBER(SEARCH("Response",D517)),"Response",IF(ISNUMBER(SEARCH("Interaction",D517)),"Interaction",IF(ISNUMBER(SEARCH("System",D517)),"System","")))))</f>
        <v/>
      </c>
      <c r="K517" s="7" t="s">
        <v>198</v>
      </c>
      <c r="L517" s="9">
        <v>45016</v>
      </c>
      <c r="M517" s="10">
        <v>0.62699074074074079</v>
      </c>
      <c r="N517" s="11">
        <v>204440003492793</v>
      </c>
      <c r="P517" t="str">
        <f>IF(D517="", "", COUNTIF($D$1:$D$2273, D517))</f>
        <v/>
      </c>
    </row>
    <row r="518" spans="1:16" ht="16" hidden="1" x14ac:dyDescent="0.2">
      <c r="A518" s="36" t="s">
        <v>36</v>
      </c>
      <c r="B518" s="7" t="s">
        <v>296</v>
      </c>
      <c r="C518" s="7" t="s">
        <v>2</v>
      </c>
      <c r="D518" s="7" t="s">
        <v>206</v>
      </c>
      <c r="E518" s="7" t="str">
        <f>IF(OR(D518="", D518="___"),"", LEFT(D518,FIND(" &gt;",D518)-1))</f>
        <v>Success</v>
      </c>
      <c r="F518" s="7" t="str">
        <f>IF(OR(E518="Success",E518="Qualified Success"),"Current",IF(E518="Failure",IF(RIGHT(D518,6)="Future","Future",IF(RIGHT(D518,10)="Irrelevant","Irrelevant","Current")),""))</f>
        <v>Current</v>
      </c>
      <c r="G518" s="7" t="str">
        <f>IF(OR(ISBLANK(D518),D518="Unclassifiable &gt;"),"",IF(ISNUMBER(SEARCH("Utterance",D518)),"Utterance",IF(ISNUMBER(SEARCH("Response",D518)),"Response",IF(ISNUMBER(SEARCH("Interaction",D518)),"Interaction",IF(ISNUMBER(SEARCH("System",D518)),"System","")))))</f>
        <v/>
      </c>
      <c r="H518" s="7" t="str">
        <f>IF(G518="Utterance", IF(ISNUMBER(SEARCH("Unrecognized",D518)), "Unrecognized", IF(ISNUMBER(SEARCH("Mismatched",D518)), "Mismatched", IF(ISNUMBER(SEARCH("False Positive",D518)), "False Positive", "Irrelevant"))), "")</f>
        <v/>
      </c>
      <c r="J518" s="7" t="s">
        <v>243</v>
      </c>
      <c r="K518" s="7" t="s">
        <v>198</v>
      </c>
      <c r="L518" s="9">
        <v>45016</v>
      </c>
      <c r="M518" s="10">
        <v>0.6278125</v>
      </c>
      <c r="N518" s="11">
        <v>202000622889121</v>
      </c>
      <c r="O518" s="7">
        <f>IF(LEN(TRIM($A518))=0,0,LEN($A518)-LEN(SUBSTITUTE($A518," ",""))+1)</f>
        <v>3</v>
      </c>
      <c r="P518">
        <f>IF(D518="", "", COUNTIF($D$1:$D$2273, D518))</f>
        <v>176</v>
      </c>
    </row>
    <row r="519" spans="1:16" ht="32" hidden="1" x14ac:dyDescent="0.2">
      <c r="A519" s="8" t="s">
        <v>381</v>
      </c>
      <c r="C519" s="7" t="s">
        <v>4</v>
      </c>
      <c r="F519" s="7" t="str">
        <f>IF(OR(E519="Success",E519="Qualified Success"),"Current",IF(E519="Failure",IF(RIGHT(D519,6)="Future","Future",IF(RIGHT(D519,10)="Irrelevant","Irrelevant","Current")),""))</f>
        <v/>
      </c>
      <c r="G519" s="7" t="str">
        <f>IF(OR(ISBLANK(D519),D519="Unclassifiable &gt;"),"",IF(ISNUMBER(SEARCH("Utterance",D519)),"Utterance",IF(ISNUMBER(SEARCH("Response",D519)),"Response",IF(ISNUMBER(SEARCH("Interaction",D519)),"Interaction",IF(ISNUMBER(SEARCH("System",D519)),"System","")))))</f>
        <v/>
      </c>
      <c r="K519" s="7" t="s">
        <v>198</v>
      </c>
      <c r="L519" s="9">
        <v>45016</v>
      </c>
      <c r="M519" s="10">
        <v>0.6278125</v>
      </c>
      <c r="N519" s="11">
        <v>202000622889121</v>
      </c>
      <c r="P519" t="str">
        <f>IF(D519="", "", COUNTIF($D$1:$D$2273, D519))</f>
        <v/>
      </c>
    </row>
    <row r="520" spans="1:16" ht="16" hidden="1" x14ac:dyDescent="0.2">
      <c r="A520" s="36" t="s">
        <v>154</v>
      </c>
      <c r="C520" s="7" t="s">
        <v>2</v>
      </c>
      <c r="D520" s="7" t="s">
        <v>208</v>
      </c>
      <c r="E520" s="7" t="str">
        <f>IF(OR(D520="", D520="___"),"", LEFT(D520,FIND(" &gt;",D520)-1))</f>
        <v>Failure</v>
      </c>
      <c r="F520" s="7" t="str">
        <f>IF(OR(E520="Success",E520="Qualified Success"),"Current",IF(E520="Failure",IF(RIGHT(D520,6)="Future","Future",IF(RIGHT(D520,10)="Irrelevant","Irrelevant","Current")),""))</f>
        <v>Current</v>
      </c>
      <c r="G520" s="7" t="str">
        <f>IF(OR(ISBLANK(D520),D520="Unclassifiable &gt;"),"",IF(ISNUMBER(SEARCH("Utterance",D520)),"Utterance",IF(ISNUMBER(SEARCH("Response",D520)),"Response",IF(ISNUMBER(SEARCH("Interaction",D520)),"Interaction",IF(ISNUMBER(SEARCH("System",D520)),"System","")))))</f>
        <v>Utterance</v>
      </c>
      <c r="H520" s="7" t="str">
        <f>IF(G520="Utterance", IF(ISNUMBER(SEARCH("Unrecognized",D520)), "Unrecognized", IF(ISNUMBER(SEARCH("Mismatched",D520)), "Mismatched", IF(ISNUMBER(SEARCH("False Positive",D520)), "False Positive", "Irrelevant"))), "")</f>
        <v>Mismatched</v>
      </c>
      <c r="J520" s="7" t="s">
        <v>249</v>
      </c>
      <c r="K520" s="7" t="s">
        <v>198</v>
      </c>
      <c r="L520" s="9">
        <v>45016</v>
      </c>
      <c r="M520" s="10">
        <v>0.62817129629629631</v>
      </c>
      <c r="N520" s="11">
        <v>202000622889121</v>
      </c>
      <c r="O520" s="7">
        <f>IF(LEN(TRIM($A520))=0,0,LEN($A520)-LEN(SUBSTITUTE($A520," ",""))+1)</f>
        <v>2</v>
      </c>
      <c r="P520">
        <f>IF(D520="", "", COUNTIF($D$1:$D$2273, D520))</f>
        <v>32</v>
      </c>
    </row>
    <row r="521" spans="1:16" ht="64" hidden="1" x14ac:dyDescent="0.2">
      <c r="A521" s="8" t="s">
        <v>392</v>
      </c>
      <c r="C521" s="7" t="s">
        <v>4</v>
      </c>
      <c r="F521" s="7" t="str">
        <f>IF(OR(E521="Success",E521="Qualified Success"),"Current",IF(E521="Failure",IF(RIGHT(D521,6)="Future","Future",IF(RIGHT(D521,10)="Irrelevant","Irrelevant","Current")),""))</f>
        <v/>
      </c>
      <c r="G521" s="7" t="str">
        <f>IF(OR(ISBLANK(D521),D521="Unclassifiable &gt;"),"",IF(ISNUMBER(SEARCH("Utterance",D521)),"Utterance",IF(ISNUMBER(SEARCH("Response",D521)),"Response",IF(ISNUMBER(SEARCH("Interaction",D521)),"Interaction",IF(ISNUMBER(SEARCH("System",D521)),"System","")))))</f>
        <v/>
      </c>
      <c r="K521" s="7" t="s">
        <v>198</v>
      </c>
      <c r="L521" s="9">
        <v>45016</v>
      </c>
      <c r="M521" s="10">
        <v>0.62817129629629631</v>
      </c>
      <c r="N521" s="11">
        <v>202000622889121</v>
      </c>
      <c r="P521" t="str">
        <f>IF(D521="", "", COUNTIF($D$1:$D$2273, D521))</f>
        <v/>
      </c>
    </row>
    <row r="522" spans="1:16" ht="16" hidden="1" x14ac:dyDescent="0.2">
      <c r="A522" s="36" t="s">
        <v>85</v>
      </c>
      <c r="C522" s="7" t="s">
        <v>2</v>
      </c>
      <c r="D522" s="7" t="s">
        <v>206</v>
      </c>
      <c r="E522" s="7" t="str">
        <f>IF(OR(D522="", D522="___"),"", LEFT(D522,FIND(" &gt;",D522)-1))</f>
        <v>Success</v>
      </c>
      <c r="F522" s="7" t="str">
        <f>IF(OR(E522="Success",E522="Qualified Success"),"Current",IF(E522="Failure",IF(RIGHT(D522,6)="Future","Future",IF(RIGHT(D522,10)="Irrelevant","Irrelevant","Current")),""))</f>
        <v>Current</v>
      </c>
      <c r="G522" s="7" t="str">
        <f>IF(OR(ISBLANK(D522),D522="Unclassifiable &gt;"),"",IF(ISNUMBER(SEARCH("Utterance",D522)),"Utterance",IF(ISNUMBER(SEARCH("Response",D522)),"Response",IF(ISNUMBER(SEARCH("Interaction",D522)),"Interaction",IF(ISNUMBER(SEARCH("System",D522)),"System","")))))</f>
        <v/>
      </c>
      <c r="H522" s="7" t="str">
        <f>IF(G522="Utterance", IF(ISNUMBER(SEARCH("Unrecognized",D522)), "Unrecognized", IF(ISNUMBER(SEARCH("Mismatched",D522)), "Mismatched", IF(ISNUMBER(SEARCH("False Positive",D522)), "False Positive", "Irrelevant"))), "")</f>
        <v/>
      </c>
      <c r="J522" s="7" t="s">
        <v>335</v>
      </c>
      <c r="K522" s="7" t="s">
        <v>198</v>
      </c>
      <c r="L522" s="9">
        <v>45016</v>
      </c>
      <c r="M522" s="10">
        <v>0.63519675925925922</v>
      </c>
      <c r="N522" s="11">
        <v>204440003503414</v>
      </c>
      <c r="O522" s="7">
        <f>IF(LEN(TRIM($A522))=0,0,LEN($A522)-LEN(SUBSTITUTE($A522," ",""))+1)</f>
        <v>2</v>
      </c>
      <c r="P522">
        <f>IF(D522="", "", COUNTIF($D$1:$D$2273, D522))</f>
        <v>176</v>
      </c>
    </row>
    <row r="523" spans="1:16" ht="48" hidden="1" x14ac:dyDescent="0.2">
      <c r="A523" s="8" t="s">
        <v>439</v>
      </c>
      <c r="C523" s="7" t="s">
        <v>4</v>
      </c>
      <c r="F523" s="7" t="str">
        <f>IF(OR(E523="Success",E523="Qualified Success"),"Current",IF(E523="Failure",IF(RIGHT(D523,6)="Future","Future",IF(RIGHT(D523,10)="Irrelevant","Irrelevant","Current")),""))</f>
        <v/>
      </c>
      <c r="G523" s="7" t="str">
        <f>IF(OR(ISBLANK(D523),D523="Unclassifiable &gt;"),"",IF(ISNUMBER(SEARCH("Utterance",D523)),"Utterance",IF(ISNUMBER(SEARCH("Response",D523)),"Response",IF(ISNUMBER(SEARCH("Interaction",D523)),"Interaction",IF(ISNUMBER(SEARCH("System",D523)),"System","")))))</f>
        <v/>
      </c>
      <c r="K523" s="7" t="s">
        <v>198</v>
      </c>
      <c r="L523" s="9">
        <v>45016</v>
      </c>
      <c r="M523" s="10">
        <v>0.63519675925925922</v>
      </c>
      <c r="N523" s="11">
        <v>204440003503414</v>
      </c>
      <c r="P523" t="str">
        <f>IF(D523="", "", COUNTIF($D$1:$D$2273, D523))</f>
        <v/>
      </c>
    </row>
    <row r="524" spans="1:16" ht="16" hidden="1" x14ac:dyDescent="0.2">
      <c r="A524" s="36" t="s">
        <v>21</v>
      </c>
      <c r="B524" s="7" t="s">
        <v>296</v>
      </c>
      <c r="C524" s="7" t="s">
        <v>2</v>
      </c>
      <c r="D524" s="7" t="s">
        <v>206</v>
      </c>
      <c r="E524" s="7" t="str">
        <f>IF(OR(D524="", D524="___"),"", LEFT(D524,FIND(" &gt;",D524)-1))</f>
        <v>Success</v>
      </c>
      <c r="F524" s="7" t="str">
        <f>IF(OR(E524="Success",E524="Qualified Success"),"Current",IF(E524="Failure",IF(RIGHT(D524,6)="Future","Future",IF(RIGHT(D524,10)="Irrelevant","Irrelevant","Current")),""))</f>
        <v>Current</v>
      </c>
      <c r="G524" s="7" t="str">
        <f>IF(OR(ISBLANK(D524),D524="Unclassifiable &gt;"),"",IF(ISNUMBER(SEARCH("Utterance",D524)),"Utterance",IF(ISNUMBER(SEARCH("Response",D524)),"Response",IF(ISNUMBER(SEARCH("Interaction",D524)),"Interaction",IF(ISNUMBER(SEARCH("System",D524)),"System","")))))</f>
        <v/>
      </c>
      <c r="H524" s="7" t="str">
        <f>IF(G524="Utterance", IF(ISNUMBER(SEARCH("Unrecognized",D524)), "Unrecognized", IF(ISNUMBER(SEARCH("Mismatched",D524)), "Mismatched", IF(ISNUMBER(SEARCH("False Positive",D524)), "False Positive", "Irrelevant"))), "")</f>
        <v/>
      </c>
      <c r="J524" s="7" t="s">
        <v>332</v>
      </c>
      <c r="K524" s="7" t="s">
        <v>198</v>
      </c>
      <c r="L524" s="9">
        <v>45016</v>
      </c>
      <c r="M524" s="10">
        <v>0.64050925925925928</v>
      </c>
      <c r="N524" s="11">
        <v>202000291627643</v>
      </c>
      <c r="O524" s="7">
        <f>IF(LEN(TRIM($A524))=0,0,LEN($A524)-LEN(SUBSTITUTE($A524," ",""))+1)</f>
        <v>4</v>
      </c>
      <c r="P524">
        <f>IF(D524="", "", COUNTIF($D$1:$D$2273, D524))</f>
        <v>176</v>
      </c>
    </row>
    <row r="525" spans="1:16" ht="48" hidden="1" x14ac:dyDescent="0.2">
      <c r="A525" s="8" t="s">
        <v>383</v>
      </c>
      <c r="C525" s="7" t="s">
        <v>4</v>
      </c>
      <c r="F525" s="7" t="str">
        <f>IF(OR(E525="Success",E525="Qualified Success"),"Current",IF(E525="Failure",IF(RIGHT(D525,6)="Future","Future",IF(RIGHT(D525,10)="Irrelevant","Irrelevant","Current")),""))</f>
        <v/>
      </c>
      <c r="G525" s="7" t="str">
        <f>IF(OR(ISBLANK(D525),D525="Unclassifiable &gt;"),"",IF(ISNUMBER(SEARCH("Utterance",D525)),"Utterance",IF(ISNUMBER(SEARCH("Response",D525)),"Response",IF(ISNUMBER(SEARCH("Interaction",D525)),"Interaction",IF(ISNUMBER(SEARCH("System",D525)),"System","")))))</f>
        <v/>
      </c>
      <c r="K525" s="7" t="s">
        <v>198</v>
      </c>
      <c r="L525" s="9">
        <v>45016</v>
      </c>
      <c r="M525" s="10">
        <v>0.64050925925925928</v>
      </c>
      <c r="N525" s="11">
        <v>202000291627643</v>
      </c>
      <c r="P525" t="str">
        <f>IF(D525="", "", COUNTIF($D$1:$D$2273, D525))</f>
        <v/>
      </c>
    </row>
    <row r="526" spans="1:16" ht="16" hidden="1" x14ac:dyDescent="0.2">
      <c r="A526" s="36" t="s">
        <v>160</v>
      </c>
      <c r="C526" s="7" t="s">
        <v>2</v>
      </c>
      <c r="D526" s="7" t="s">
        <v>206</v>
      </c>
      <c r="E526" s="7" t="str">
        <f>IF(OR(D526="", D526="___"),"", LEFT(D526,FIND(" &gt;",D526)-1))</f>
        <v>Success</v>
      </c>
      <c r="F526" s="7" t="str">
        <f>IF(OR(E526="Success",E526="Qualified Success"),"Current",IF(E526="Failure",IF(RIGHT(D526,6)="Future","Future",IF(RIGHT(D526,10)="Irrelevant","Irrelevant","Current")),""))</f>
        <v>Current</v>
      </c>
      <c r="G526" s="7" t="str">
        <f>IF(OR(ISBLANK(D526),D526="Unclassifiable &gt;"),"",IF(ISNUMBER(SEARCH("Utterance",D526)),"Utterance",IF(ISNUMBER(SEARCH("Response",D526)),"Response",IF(ISNUMBER(SEARCH("Interaction",D526)),"Interaction",IF(ISNUMBER(SEARCH("System",D526)),"System","")))))</f>
        <v/>
      </c>
      <c r="H526" s="7" t="str">
        <f>IF(G526="Utterance", IF(ISNUMBER(SEARCH("Unrecognized",D526)), "Unrecognized", IF(ISNUMBER(SEARCH("Mismatched",D526)), "Mismatched", IF(ISNUMBER(SEARCH("False Positive",D526)), "False Positive", "Irrelevant"))), "")</f>
        <v/>
      </c>
      <c r="J526" s="7" t="s">
        <v>329</v>
      </c>
      <c r="K526" s="7" t="s">
        <v>198</v>
      </c>
      <c r="L526" s="9">
        <v>45016</v>
      </c>
      <c r="M526" s="10">
        <v>0.64175925925925925</v>
      </c>
      <c r="N526" s="11">
        <v>202000807698468</v>
      </c>
      <c r="O526" s="7">
        <f>IF(LEN(TRIM($A526))=0,0,LEN($A526)-LEN(SUBSTITUTE($A526," ",""))+1)</f>
        <v>6</v>
      </c>
      <c r="P526">
        <f>IF(D526="", "", COUNTIF($D$1:$D$2273, D526))</f>
        <v>176</v>
      </c>
    </row>
    <row r="527" spans="1:16" ht="64" hidden="1" x14ac:dyDescent="0.2">
      <c r="A527" s="8" t="s">
        <v>411</v>
      </c>
      <c r="C527" s="7" t="s">
        <v>4</v>
      </c>
      <c r="F527" s="7" t="str">
        <f>IF(OR(E527="Success",E527="Qualified Success"),"Current",IF(E527="Failure",IF(RIGHT(D527,6)="Future","Future",IF(RIGHT(D527,10)="Irrelevant","Irrelevant","Current")),""))</f>
        <v/>
      </c>
      <c r="G527" s="7" t="str">
        <f>IF(OR(ISBLANK(D527),D527="Unclassifiable &gt;"),"",IF(ISNUMBER(SEARCH("Utterance",D527)),"Utterance",IF(ISNUMBER(SEARCH("Response",D527)),"Response",IF(ISNUMBER(SEARCH("Interaction",D527)),"Interaction",IF(ISNUMBER(SEARCH("System",D527)),"System","")))))</f>
        <v/>
      </c>
      <c r="K527" s="7" t="s">
        <v>198</v>
      </c>
      <c r="L527" s="9">
        <v>45016</v>
      </c>
      <c r="M527" s="10">
        <v>0.64175925925925925</v>
      </c>
      <c r="N527" s="11">
        <v>202000807698468</v>
      </c>
      <c r="P527" t="str">
        <f>IF(D527="", "", COUNTIF($D$1:$D$2273, D527))</f>
        <v/>
      </c>
    </row>
    <row r="528" spans="1:16" ht="16" hidden="1" x14ac:dyDescent="0.2">
      <c r="A528" s="36" t="s">
        <v>114</v>
      </c>
      <c r="C528" s="7" t="s">
        <v>2</v>
      </c>
      <c r="D528" s="7" t="s">
        <v>206</v>
      </c>
      <c r="E528" s="7" t="str">
        <f>IF(OR(D528="", D528="___"),"", LEFT(D528,FIND(" &gt;",D528)-1))</f>
        <v>Success</v>
      </c>
      <c r="F528" s="7" t="str">
        <f>IF(OR(E528="Success",E528="Qualified Success"),"Current",IF(E528="Failure",IF(RIGHT(D528,6)="Future","Future",IF(RIGHT(D528,10)="Irrelevant","Irrelevant","Current")),""))</f>
        <v>Current</v>
      </c>
      <c r="G528" s="7" t="str">
        <f>IF(OR(ISBLANK(D528),D528="Unclassifiable &gt;"),"",IF(ISNUMBER(SEARCH("Utterance",D528)),"Utterance",IF(ISNUMBER(SEARCH("Response",D528)),"Response",IF(ISNUMBER(SEARCH("Interaction",D528)),"Interaction",IF(ISNUMBER(SEARCH("System",D528)),"System","")))))</f>
        <v/>
      </c>
      <c r="H528" s="7" t="str">
        <f>IF(G528="Utterance", IF(ISNUMBER(SEARCH("Unrecognized",D528)), "Unrecognized", IF(ISNUMBER(SEARCH("Mismatched",D528)), "Mismatched", IF(ISNUMBER(SEARCH("False Positive",D528)), "False Positive", "Irrelevant"))), "")</f>
        <v/>
      </c>
      <c r="J528" s="7" t="s">
        <v>330</v>
      </c>
      <c r="K528" s="7" t="s">
        <v>198</v>
      </c>
      <c r="L528" s="9">
        <v>45016</v>
      </c>
      <c r="M528" s="10">
        <v>0.64374999999999993</v>
      </c>
      <c r="N528" s="11">
        <v>204440003537595</v>
      </c>
      <c r="O528" s="7">
        <f>IF(LEN(TRIM($A528))=0,0,LEN($A528)-LEN(SUBSTITUTE($A528," ",""))+1)</f>
        <v>4</v>
      </c>
      <c r="P528">
        <f>IF(D528="", "", COUNTIF($D$1:$D$2273, D528))</f>
        <v>176</v>
      </c>
    </row>
    <row r="529" spans="1:16" ht="48" hidden="1" x14ac:dyDescent="0.2">
      <c r="A529" s="8" t="s">
        <v>440</v>
      </c>
      <c r="C529" s="7" t="s">
        <v>4</v>
      </c>
      <c r="F529" s="7" t="str">
        <f>IF(OR(E529="Success",E529="Qualified Success"),"Current",IF(E529="Failure",IF(RIGHT(D529,6)="Future","Future",IF(RIGHT(D529,10)="Irrelevant","Irrelevant","Current")),""))</f>
        <v/>
      </c>
      <c r="G529" s="7" t="str">
        <f>IF(OR(ISBLANK(D529),D529="Unclassifiable &gt;"),"",IF(ISNUMBER(SEARCH("Utterance",D529)),"Utterance",IF(ISNUMBER(SEARCH("Response",D529)),"Response",IF(ISNUMBER(SEARCH("Interaction",D529)),"Interaction",IF(ISNUMBER(SEARCH("System",D529)),"System","")))))</f>
        <v/>
      </c>
      <c r="K529" s="7" t="s">
        <v>198</v>
      </c>
      <c r="L529" s="9">
        <v>45016</v>
      </c>
      <c r="M529" s="10">
        <v>0.64374999999999993</v>
      </c>
      <c r="N529" s="11">
        <v>204440003537595</v>
      </c>
      <c r="P529" t="str">
        <f>IF(D529="", "", COUNTIF($D$1:$D$2273, D529))</f>
        <v/>
      </c>
    </row>
    <row r="530" spans="1:16" ht="16" hidden="1" x14ac:dyDescent="0.2">
      <c r="A530" s="36" t="s">
        <v>173</v>
      </c>
      <c r="C530" s="7" t="s">
        <v>2</v>
      </c>
      <c r="D530" s="7" t="s">
        <v>206</v>
      </c>
      <c r="E530" s="7" t="str">
        <f>IF(OR(D530="", D530="___"),"", LEFT(D530,FIND(" &gt;",D530)-1))</f>
        <v>Success</v>
      </c>
      <c r="F530" s="7" t="str">
        <f>IF(OR(E530="Success",E530="Qualified Success"),"Current",IF(E530="Failure",IF(RIGHT(D530,6)="Future","Future",IF(RIGHT(D530,10)="Irrelevant","Irrelevant","Current")),""))</f>
        <v>Current</v>
      </c>
      <c r="G530" s="7" t="str">
        <f>IF(OR(ISBLANK(D530),D530="Unclassifiable &gt;"),"",IF(ISNUMBER(SEARCH("Utterance",D530)),"Utterance",IF(ISNUMBER(SEARCH("Response",D530)),"Response",IF(ISNUMBER(SEARCH("Interaction",D530)),"Interaction",IF(ISNUMBER(SEARCH("System",D530)),"System","")))))</f>
        <v/>
      </c>
      <c r="H530" s="7" t="str">
        <f>IF(G530="Utterance", IF(ISNUMBER(SEARCH("Unrecognized",D530)), "Unrecognized", IF(ISNUMBER(SEARCH("Mismatched",D530)), "Mismatched", IF(ISNUMBER(SEARCH("False Positive",D530)), "False Positive", "Irrelevant"))), "")</f>
        <v/>
      </c>
      <c r="J530" s="7" t="s">
        <v>339</v>
      </c>
      <c r="K530" s="7" t="s">
        <v>198</v>
      </c>
      <c r="L530" s="9">
        <v>45016</v>
      </c>
      <c r="M530" s="10">
        <v>0.64643518518518517</v>
      </c>
      <c r="N530" s="11">
        <v>513002593850898</v>
      </c>
      <c r="O530" s="7">
        <f>IF(LEN(TRIM($A530))=0,0,LEN($A530)-LEN(SUBSTITUTE($A530," ",""))+1)</f>
        <v>5</v>
      </c>
      <c r="P530">
        <f>IF(D530="", "", COUNTIF($D$1:$D$2273, D530))</f>
        <v>176</v>
      </c>
    </row>
    <row r="531" spans="1:16" ht="16" hidden="1" x14ac:dyDescent="0.2">
      <c r="A531" s="36" t="s">
        <v>174</v>
      </c>
      <c r="C531" s="7" t="s">
        <v>2</v>
      </c>
      <c r="D531" s="7" t="s">
        <v>206</v>
      </c>
      <c r="E531" s="7" t="str">
        <f>IF(OR(D531="", D531="___"),"", LEFT(D531,FIND(" &gt;",D531)-1))</f>
        <v>Success</v>
      </c>
      <c r="F531" s="7" t="str">
        <f>IF(OR(E531="Success",E531="Qualified Success"),"Current",IF(E531="Failure",IF(RIGHT(D531,6)="Future","Future",IF(RIGHT(D531,10)="Irrelevant","Irrelevant","Current")),""))</f>
        <v>Current</v>
      </c>
      <c r="G531" s="7" t="str">
        <f>IF(OR(ISBLANK(D531),D531="Unclassifiable &gt;"),"",IF(ISNUMBER(SEARCH("Utterance",D531)),"Utterance",IF(ISNUMBER(SEARCH("Response",D531)),"Response",IF(ISNUMBER(SEARCH("Interaction",D531)),"Interaction",IF(ISNUMBER(SEARCH("System",D531)),"System","")))))</f>
        <v/>
      </c>
      <c r="H531" s="7" t="str">
        <f>IF(G531="Utterance", IF(ISNUMBER(SEARCH("Unrecognized",D531)), "Unrecognized", IF(ISNUMBER(SEARCH("Mismatched",D531)), "Mismatched", IF(ISNUMBER(SEARCH("False Positive",D531)), "False Positive", "Irrelevant"))), "")</f>
        <v/>
      </c>
      <c r="J531" s="7" t="s">
        <v>339</v>
      </c>
      <c r="K531" s="7" t="s">
        <v>198</v>
      </c>
      <c r="L531" s="9">
        <v>45016</v>
      </c>
      <c r="M531" s="10">
        <v>0.64673611111111107</v>
      </c>
      <c r="N531" s="11">
        <v>513002593850898</v>
      </c>
      <c r="O531" s="7">
        <f>IF(LEN(TRIM($A531))=0,0,LEN($A531)-LEN(SUBSTITUTE($A531," ",""))+1)</f>
        <v>3</v>
      </c>
      <c r="P531">
        <f>IF(D531="", "", COUNTIF($D$1:$D$2273, D531))</f>
        <v>176</v>
      </c>
    </row>
    <row r="532" spans="1:16" ht="96" hidden="1" x14ac:dyDescent="0.2">
      <c r="A532" s="8" t="s">
        <v>400</v>
      </c>
      <c r="C532" s="7" t="s">
        <v>4</v>
      </c>
      <c r="F532" s="7" t="str">
        <f>IF(OR(E532="Success",E532="Qualified Success"),"Current",IF(E532="Failure",IF(RIGHT(D532,6)="Future","Future",IF(RIGHT(D532,10)="Irrelevant","Irrelevant","Current")),""))</f>
        <v/>
      </c>
      <c r="G532" s="7" t="str">
        <f>IF(OR(ISBLANK(D532),D532="Unclassifiable &gt;"),"",IF(ISNUMBER(SEARCH("Utterance",D532)),"Utterance",IF(ISNUMBER(SEARCH("Response",D532)),"Response",IF(ISNUMBER(SEARCH("Interaction",D532)),"Interaction",IF(ISNUMBER(SEARCH("System",D532)),"System","")))))</f>
        <v/>
      </c>
      <c r="K532" s="7" t="s">
        <v>198</v>
      </c>
      <c r="L532" s="9">
        <v>45016</v>
      </c>
      <c r="M532" s="10">
        <v>0.64673611111111107</v>
      </c>
      <c r="N532" s="11">
        <v>513002593850898</v>
      </c>
      <c r="P532" t="str">
        <f>IF(D532="", "", COUNTIF($D$1:$D$2273, D532))</f>
        <v/>
      </c>
    </row>
    <row r="533" spans="1:16" ht="96" hidden="1" x14ac:dyDescent="0.2">
      <c r="A533" s="8" t="s">
        <v>400</v>
      </c>
      <c r="C533" s="7" t="s">
        <v>4</v>
      </c>
      <c r="F533" s="7" t="str">
        <f>IF(OR(E533="Success",E533="Qualified Success"),"Current",IF(E533="Failure",IF(RIGHT(D533,6)="Future","Future",IF(RIGHT(D533,10)="Irrelevant","Irrelevant","Current")),""))</f>
        <v/>
      </c>
      <c r="G533" s="7" t="str">
        <f>IF(OR(ISBLANK(D533),D533="Unclassifiable &gt;"),"",IF(ISNUMBER(SEARCH("Utterance",D533)),"Utterance",IF(ISNUMBER(SEARCH("Response",D533)),"Response",IF(ISNUMBER(SEARCH("Interaction",D533)),"Interaction",IF(ISNUMBER(SEARCH("System",D533)),"System","")))))</f>
        <v/>
      </c>
      <c r="K533" s="7" t="s">
        <v>198</v>
      </c>
      <c r="L533" s="9">
        <v>45016</v>
      </c>
      <c r="M533" s="10">
        <v>0.64673611111111107</v>
      </c>
      <c r="N533" s="11">
        <v>513002593850898</v>
      </c>
      <c r="P533" t="str">
        <f>IF(D533="", "", COUNTIF($D$1:$D$2273, D533))</f>
        <v/>
      </c>
    </row>
    <row r="534" spans="1:16" ht="16" hidden="1" x14ac:dyDescent="0.2">
      <c r="A534" s="36" t="s">
        <v>70</v>
      </c>
      <c r="B534" s="7" t="s">
        <v>296</v>
      </c>
      <c r="C534" s="7" t="s">
        <v>2</v>
      </c>
      <c r="D534" s="7" t="s">
        <v>206</v>
      </c>
      <c r="E534" s="7" t="str">
        <f>IF(OR(D534="", D534="___"),"", LEFT(D534,FIND(" &gt;",D534)-1))</f>
        <v>Success</v>
      </c>
      <c r="F534" s="7" t="str">
        <f>IF(OR(E534="Success",E534="Qualified Success"),"Current",IF(E534="Failure",IF(RIGHT(D534,6)="Future","Future",IF(RIGHT(D534,10)="Irrelevant","Irrelevant","Current")),""))</f>
        <v>Current</v>
      </c>
      <c r="G534" s="7" t="str">
        <f>IF(OR(ISBLANK(D534),D534="Unclassifiable &gt;"),"",IF(ISNUMBER(SEARCH("Utterance",D534)),"Utterance",IF(ISNUMBER(SEARCH("Response",D534)),"Response",IF(ISNUMBER(SEARCH("Interaction",D534)),"Interaction",IF(ISNUMBER(SEARCH("System",D534)),"System","")))))</f>
        <v/>
      </c>
      <c r="H534" s="7" t="str">
        <f>IF(G534="Utterance", IF(ISNUMBER(SEARCH("Unrecognized",D534)), "Unrecognized", IF(ISNUMBER(SEARCH("Mismatched",D534)), "Mismatched", IF(ISNUMBER(SEARCH("False Positive",D534)), "False Positive", "Irrelevant"))), "")</f>
        <v/>
      </c>
      <c r="J534" s="7" t="s">
        <v>253</v>
      </c>
      <c r="K534" s="7" t="s">
        <v>198</v>
      </c>
      <c r="L534" s="9">
        <v>45016</v>
      </c>
      <c r="M534" s="10">
        <v>0.64770833333333333</v>
      </c>
      <c r="N534" s="11">
        <v>513003490429870</v>
      </c>
      <c r="O534" s="7">
        <f>IF(LEN(TRIM($A534))=0,0,LEN($A534)-LEN(SUBSTITUTE($A534," ",""))+1)</f>
        <v>3</v>
      </c>
      <c r="P534">
        <f>IF(D534="", "", COUNTIF($D$1:$D$2273, D534))</f>
        <v>176</v>
      </c>
    </row>
    <row r="535" spans="1:16" ht="32" hidden="1" x14ac:dyDescent="0.2">
      <c r="A535" s="8" t="s">
        <v>407</v>
      </c>
      <c r="C535" s="7" t="s">
        <v>4</v>
      </c>
      <c r="F535" s="7" t="str">
        <f>IF(OR(E535="Success",E535="Qualified Success"),"Current",IF(E535="Failure",IF(RIGHT(D535,6)="Future","Future",IF(RIGHT(D535,10)="Irrelevant","Irrelevant","Current")),""))</f>
        <v/>
      </c>
      <c r="G535" s="7" t="str">
        <f>IF(OR(ISBLANK(D535),D535="Unclassifiable &gt;"),"",IF(ISNUMBER(SEARCH("Utterance",D535)),"Utterance",IF(ISNUMBER(SEARCH("Response",D535)),"Response",IF(ISNUMBER(SEARCH("Interaction",D535)),"Interaction",IF(ISNUMBER(SEARCH("System",D535)),"System","")))))</f>
        <v/>
      </c>
      <c r="K535" s="7" t="s">
        <v>198</v>
      </c>
      <c r="L535" s="9">
        <v>45016</v>
      </c>
      <c r="M535" s="10">
        <v>0.64771990740740748</v>
      </c>
      <c r="N535" s="11">
        <v>513003490429870</v>
      </c>
      <c r="P535" t="str">
        <f>IF(D535="", "", COUNTIF($D$1:$D$2273, D535))</f>
        <v/>
      </c>
    </row>
    <row r="536" spans="1:16" ht="16" hidden="1" x14ac:dyDescent="0.2">
      <c r="A536" s="36" t="s">
        <v>48</v>
      </c>
      <c r="B536" s="7" t="s">
        <v>296</v>
      </c>
      <c r="C536" s="7" t="s">
        <v>2</v>
      </c>
      <c r="D536" s="7" t="s">
        <v>206</v>
      </c>
      <c r="E536" s="7" t="str">
        <f>IF(OR(D536="", D536="___"),"", LEFT(D536,FIND(" &gt;",D536)-1))</f>
        <v>Success</v>
      </c>
      <c r="F536" s="7" t="str">
        <f>IF(OR(E536="Success",E536="Qualified Success"),"Current",IF(E536="Failure",IF(RIGHT(D536,6)="Future","Future",IF(RIGHT(D536,10)="Irrelevant","Irrelevant","Current")),""))</f>
        <v>Current</v>
      </c>
      <c r="G536" s="7" t="str">
        <f>IF(OR(ISBLANK(D536),D536="Unclassifiable &gt;"),"",IF(ISNUMBER(SEARCH("Utterance",D536)),"Utterance",IF(ISNUMBER(SEARCH("Response",D536)),"Response",IF(ISNUMBER(SEARCH("Interaction",D536)),"Interaction",IF(ISNUMBER(SEARCH("System",D536)),"System","")))))</f>
        <v/>
      </c>
      <c r="H536" s="7" t="str">
        <f>IF(G536="Utterance", IF(ISNUMBER(SEARCH("Unrecognized",D536)), "Unrecognized", IF(ISNUMBER(SEARCH("Mismatched",D536)), "Mismatched", IF(ISNUMBER(SEARCH("False Positive",D536)), "False Positive", "Irrelevant"))), "")</f>
        <v/>
      </c>
      <c r="J536" s="7" t="s">
        <v>342</v>
      </c>
      <c r="K536" s="7" t="s">
        <v>198</v>
      </c>
      <c r="L536" s="9">
        <v>45016</v>
      </c>
      <c r="M536" s="10">
        <v>0.64802083333333338</v>
      </c>
      <c r="N536" s="11">
        <v>513003490429870</v>
      </c>
      <c r="O536" s="7">
        <f>IF(LEN(TRIM($A536))=0,0,LEN($A536)-LEN(SUBSTITUTE($A536," ",""))+1)</f>
        <v>4</v>
      </c>
      <c r="P536">
        <f>IF(D536="", "", COUNTIF($D$1:$D$2273, D536))</f>
        <v>176</v>
      </c>
    </row>
    <row r="537" spans="1:16" ht="16" hidden="1" x14ac:dyDescent="0.2">
      <c r="A537" s="8" t="s">
        <v>205</v>
      </c>
      <c r="C537" s="7" t="s">
        <v>4</v>
      </c>
      <c r="F537" s="7" t="str">
        <f>IF(OR(E537="Success",E537="Qualified Success"),"Current",IF(E537="Failure",IF(RIGHT(D537,6)="Future","Future",IF(RIGHT(D537,10)="Irrelevant","Irrelevant","Current")),""))</f>
        <v/>
      </c>
      <c r="G537" s="7" t="str">
        <f>IF(OR(ISBLANK(D537),D537="Unclassifiable &gt;"),"",IF(ISNUMBER(SEARCH("Utterance",D537)),"Utterance",IF(ISNUMBER(SEARCH("Response",D537)),"Response",IF(ISNUMBER(SEARCH("Interaction",D537)),"Interaction",IF(ISNUMBER(SEARCH("System",D537)),"System","")))))</f>
        <v/>
      </c>
      <c r="K537" s="7" t="s">
        <v>198</v>
      </c>
      <c r="L537" s="9">
        <v>45016</v>
      </c>
      <c r="M537" s="10">
        <v>0.64803240740740742</v>
      </c>
      <c r="N537" s="11">
        <v>513003490429870</v>
      </c>
      <c r="P537" t="str">
        <f>IF(D537="", "", COUNTIF($D$1:$D$2273, D537))</f>
        <v/>
      </c>
    </row>
    <row r="538" spans="1:16" ht="16" hidden="1" x14ac:dyDescent="0.2">
      <c r="A538" s="8" t="s">
        <v>406</v>
      </c>
      <c r="C538" s="7" t="s">
        <v>4</v>
      </c>
      <c r="F538" s="7" t="str">
        <f>IF(OR(E538="Success",E538="Qualified Success"),"Current",IF(E538="Failure",IF(RIGHT(D538,6)="Future","Future",IF(RIGHT(D538,10)="Irrelevant","Irrelevant","Current")),""))</f>
        <v/>
      </c>
      <c r="G538" s="7" t="str">
        <f>IF(OR(ISBLANK(D538),D538="Unclassifiable &gt;"),"",IF(ISNUMBER(SEARCH("Utterance",D538)),"Utterance",IF(ISNUMBER(SEARCH("Response",D538)),"Response",IF(ISNUMBER(SEARCH("Interaction",D538)),"Interaction",IF(ISNUMBER(SEARCH("System",D538)),"System","")))))</f>
        <v/>
      </c>
      <c r="K538" s="7" t="s">
        <v>198</v>
      </c>
      <c r="L538" s="9">
        <v>45016</v>
      </c>
      <c r="M538" s="10">
        <v>0.64803240740740742</v>
      </c>
      <c r="N538" s="11">
        <v>513003490429870</v>
      </c>
      <c r="P538" t="str">
        <f>IF(D538="", "", COUNTIF($D$1:$D$2273, D538))</f>
        <v/>
      </c>
    </row>
    <row r="539" spans="1:16" ht="16" hidden="1" x14ac:dyDescent="0.2">
      <c r="A539" s="36" t="s">
        <v>21</v>
      </c>
      <c r="B539" s="7" t="s">
        <v>296</v>
      </c>
      <c r="C539" s="7" t="s">
        <v>2</v>
      </c>
      <c r="D539" s="7" t="s">
        <v>206</v>
      </c>
      <c r="E539" s="7" t="str">
        <f>IF(OR(D539="", D539="___"),"", LEFT(D539,FIND(" &gt;",D539)-1))</f>
        <v>Success</v>
      </c>
      <c r="F539" s="7" t="str">
        <f>IF(OR(E539="Success",E539="Qualified Success"),"Current",IF(E539="Failure",IF(RIGHT(D539,6)="Future","Future",IF(RIGHT(D539,10)="Irrelevant","Irrelevant","Current")),""))</f>
        <v>Current</v>
      </c>
      <c r="G539" s="7" t="str">
        <f>IF(OR(ISBLANK(D539),D539="Unclassifiable &gt;"),"",IF(ISNUMBER(SEARCH("Utterance",D539)),"Utterance",IF(ISNUMBER(SEARCH("Response",D539)),"Response",IF(ISNUMBER(SEARCH("Interaction",D539)),"Interaction",IF(ISNUMBER(SEARCH("System",D539)),"System","")))))</f>
        <v/>
      </c>
      <c r="H539" s="7" t="str">
        <f>IF(G539="Utterance", IF(ISNUMBER(SEARCH("Unrecognized",D539)), "Unrecognized", IF(ISNUMBER(SEARCH("Mismatched",D539)), "Mismatched", IF(ISNUMBER(SEARCH("False Positive",D539)), "False Positive", "Irrelevant"))), "")</f>
        <v/>
      </c>
      <c r="J539" s="7" t="s">
        <v>332</v>
      </c>
      <c r="K539" s="7" t="s">
        <v>198</v>
      </c>
      <c r="L539" s="9">
        <v>45016</v>
      </c>
      <c r="M539" s="10">
        <v>0.64841435185185181</v>
      </c>
      <c r="N539" s="11">
        <v>513003490429870</v>
      </c>
      <c r="O539" s="7">
        <f>IF(LEN(TRIM($A539))=0,0,LEN($A539)-LEN(SUBSTITUTE($A539," ",""))+1)</f>
        <v>4</v>
      </c>
      <c r="P539">
        <f>IF(D539="", "", COUNTIF($D$1:$D$2273, D539))</f>
        <v>176</v>
      </c>
    </row>
    <row r="540" spans="1:16" ht="48" hidden="1" x14ac:dyDescent="0.2">
      <c r="A540" s="8" t="s">
        <v>383</v>
      </c>
      <c r="C540" s="7" t="s">
        <v>4</v>
      </c>
      <c r="K540" s="7" t="s">
        <v>198</v>
      </c>
      <c r="L540" s="9">
        <v>45016</v>
      </c>
      <c r="M540" s="10">
        <v>0.64841435185185181</v>
      </c>
      <c r="N540" s="11">
        <v>513003490429870</v>
      </c>
      <c r="P540" t="str">
        <f>IF(D540="", "", COUNTIF($D$1:$D$2273, D540))</f>
        <v/>
      </c>
    </row>
  </sheetData>
  <autoFilter ref="A1:O540" xr:uid="{00000000-0001-0000-0000-000000000000}">
    <filterColumn colId="9">
      <filters>
        <filter val="Absenses"/>
      </filters>
    </filterColumn>
  </autoFilter>
  <sortState xmlns:xlrd2="http://schemas.microsoft.com/office/spreadsheetml/2017/richdata2" ref="A2:O540">
    <sortCondition ref="L2:L540"/>
    <sortCondition ref="M2:M540"/>
  </sortState>
  <pageMargins left="0.7" right="0.7" top="0.75" bottom="0.75" header="0.3" footer="0.3"/>
  <headerFooter>
    <oddHeader>&amp;C&amp;G</oddHeader>
  </headerFooter>
  <extLst>
    <ext xmlns:x14="http://schemas.microsoft.com/office/spreadsheetml/2009/9/main" uri="{CCE6A557-97BC-4b89-ADB6-D9C93CAAB3DF}">
      <x14:dataValidations xmlns:xm="http://schemas.microsoft.com/office/excel/2006/main" count="1">
        <x14:dataValidation type="list" allowBlank="1" showInputMessage="1" showErrorMessage="1" xr:uid="{FB27D655-E0DE-E648-898B-B3D1C9CA21D8}">
          <x14:formula1>
            <xm:f>'Menu And Tips'!$A$1:$A$26</xm:f>
          </x14:formula1>
          <xm:sqref>D1:D1048576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C1266-F38F-D940-A887-76509A695443}">
  <dimension ref="A2:H63"/>
  <sheetViews>
    <sheetView workbookViewId="0"/>
  </sheetViews>
  <sheetFormatPr baseColWidth="10" defaultRowHeight="15" x14ac:dyDescent="0.2"/>
  <cols>
    <col min="1" max="1" width="13.6640625" bestFit="1" customWidth="1"/>
    <col min="2" max="2" width="14.83203125" bestFit="1" customWidth="1"/>
    <col min="3" max="3" width="14.5" bestFit="1" customWidth="1"/>
    <col min="4" max="4" width="7" bestFit="1" customWidth="1"/>
    <col min="5" max="5" width="10" bestFit="1" customWidth="1"/>
    <col min="7" max="7" width="13" customWidth="1"/>
    <col min="8" max="8" width="15" customWidth="1"/>
  </cols>
  <sheetData>
    <row r="2" spans="1:8" x14ac:dyDescent="0.2">
      <c r="A2" s="14" t="s">
        <v>322</v>
      </c>
      <c r="B2" t="s">
        <v>2</v>
      </c>
    </row>
    <row r="4" spans="1:8" x14ac:dyDescent="0.2">
      <c r="A4" s="14" t="s">
        <v>308</v>
      </c>
      <c r="B4" s="14" t="s">
        <v>278</v>
      </c>
    </row>
    <row r="5" spans="1:8" x14ac:dyDescent="0.2">
      <c r="A5" s="14" t="s">
        <v>302</v>
      </c>
      <c r="B5" t="s">
        <v>275</v>
      </c>
      <c r="C5" t="s">
        <v>276</v>
      </c>
      <c r="D5" t="s">
        <v>277</v>
      </c>
      <c r="E5" t="s">
        <v>273</v>
      </c>
      <c r="F5" s="23" t="s">
        <v>287</v>
      </c>
      <c r="G5" s="23" t="s">
        <v>288</v>
      </c>
      <c r="H5" s="23" t="s">
        <v>311</v>
      </c>
    </row>
    <row r="6" spans="1:8" x14ac:dyDescent="0.2">
      <c r="A6" s="16">
        <v>1</v>
      </c>
      <c r="B6" s="34">
        <v>176</v>
      </c>
      <c r="C6" s="34">
        <v>22</v>
      </c>
      <c r="D6" s="34">
        <v>267</v>
      </c>
      <c r="E6" s="34">
        <v>465</v>
      </c>
      <c r="F6" s="26">
        <f>GETPIVOTDATA("text",$A$4,"What","Failure","# of Words",1)/GETPIVOTDATA("text",$A$4)</f>
        <v>3.5512510088781278E-2</v>
      </c>
      <c r="G6" s="26">
        <f>SUM(GETPIVOTDATA("text",$A$4,"What","Qualified Success","# of Words",1)+GETPIVOTDATA("text",$A$4,"What","Success","# of Words",1))/GETPIVOTDATA("text",$A$4)</f>
        <v>5.8313155770782887E-2</v>
      </c>
      <c r="H6" s="26">
        <f>GETPIVOTDATA("text",$A$4,"# of Words",1)/GETPIVOTDATA("text",$A$4)</f>
        <v>9.3825665859564158E-2</v>
      </c>
    </row>
    <row r="7" spans="1:8" x14ac:dyDescent="0.2">
      <c r="A7" s="16">
        <v>2</v>
      </c>
      <c r="B7" s="34">
        <v>264</v>
      </c>
      <c r="C7" s="34">
        <v>35</v>
      </c>
      <c r="D7" s="34">
        <v>480</v>
      </c>
      <c r="E7" s="34">
        <v>779</v>
      </c>
      <c r="F7" s="26">
        <f>GETPIVOTDATA("text",$A$4,"What","Failure","# of Words",2)/GETPIVOTDATA("text",$A$4)</f>
        <v>5.3268765133171914E-2</v>
      </c>
      <c r="G7" s="26">
        <f>SUM(GETPIVOTDATA("text",$A$4,"What","Qualified Success","# of Words",2)+GETPIVOTDATA("text",$A$4,"What","Success","# of Words",2))/GETPIVOTDATA("text",$A$4)</f>
        <v>0.10391444713478612</v>
      </c>
      <c r="H7" s="26">
        <f>GETPIVOTDATA("text",$A$4,"# of Words",2)/GETPIVOTDATA("text",$A$4)</f>
        <v>0.15718321226795803</v>
      </c>
    </row>
    <row r="8" spans="1:8" x14ac:dyDescent="0.2">
      <c r="A8" s="16">
        <v>3</v>
      </c>
      <c r="B8" s="34">
        <v>146</v>
      </c>
      <c r="C8" s="34">
        <v>29</v>
      </c>
      <c r="D8" s="34">
        <v>885</v>
      </c>
      <c r="E8" s="34">
        <v>1060</v>
      </c>
      <c r="F8" s="26">
        <f>GETPIVOTDATA("text",$A$4,"What","Failure","# of Words",3)/GETPIVOTDATA("text",$A$4)</f>
        <v>2.9459241323648102E-2</v>
      </c>
      <c r="G8" s="26">
        <f>SUM(GETPIVOTDATA("text",$A$4,"What","Qualified Success","# of Words",3)+GETPIVOTDATA("text",$A$4,"What","Success","# of Words",3))/GETPIVOTDATA("text",$A$4)</f>
        <v>0.18442292171105731</v>
      </c>
      <c r="H8" s="26">
        <f>GETPIVOTDATA("text",$A$4,"# of Words",3)/GETPIVOTDATA("text",$A$4)</f>
        <v>0.21388216303470542</v>
      </c>
    </row>
    <row r="9" spans="1:8" x14ac:dyDescent="0.2">
      <c r="A9" s="16">
        <v>4</v>
      </c>
      <c r="B9" s="34">
        <v>135</v>
      </c>
      <c r="C9" s="34">
        <v>19</v>
      </c>
      <c r="D9" s="34">
        <v>786</v>
      </c>
      <c r="E9" s="34">
        <v>940</v>
      </c>
      <c r="F9" s="26">
        <f>GETPIVOTDATA("text",$A$4,"What","Failure","# of Words",4)/GETPIVOTDATA("text",$A$4)</f>
        <v>2.7239709443099273E-2</v>
      </c>
      <c r="G9" s="26">
        <f>SUM(GETPIVOTDATA("text",$A$4,"What","Qualified Success","# of Words",4)+GETPIVOTDATA("text",$A$4,"What","Success","# of Words",4))/GETPIVOTDATA("text",$A$4)</f>
        <v>0.16242937853107345</v>
      </c>
      <c r="H9" s="26">
        <f>GETPIVOTDATA("text",$A$4,"# of Words",4)/GETPIVOTDATA("text",$A$4)</f>
        <v>0.18966908797417273</v>
      </c>
    </row>
    <row r="10" spans="1:8" x14ac:dyDescent="0.2">
      <c r="A10" s="16">
        <v>5</v>
      </c>
      <c r="B10" s="34">
        <v>96</v>
      </c>
      <c r="C10" s="34">
        <v>27</v>
      </c>
      <c r="D10" s="34">
        <v>205</v>
      </c>
      <c r="E10" s="34">
        <v>328</v>
      </c>
      <c r="F10" s="26">
        <f>GETPIVOTDATA("text",$A$4,"What","Failure","# of Words",5)/GETPIVOTDATA("text",$A$4)</f>
        <v>1.9370460048426151E-2</v>
      </c>
      <c r="G10" s="26">
        <f>SUM(GETPIVOTDATA("text",$A$4,"What","Qualified Success","# of Words",5)+GETPIVOTDATA("text",$A$4,"What","Success","# of Words",5))/GETPIVOTDATA("text",$A$4)</f>
        <v>4.6811945117029866E-2</v>
      </c>
      <c r="H10" s="26">
        <f>GETPIVOTDATA("text",$A$4,"# of Words",5)/GETPIVOTDATA("text",$A$4)</f>
        <v>6.618240516545601E-2</v>
      </c>
    </row>
    <row r="11" spans="1:8" x14ac:dyDescent="0.2">
      <c r="A11" s="16">
        <v>6</v>
      </c>
      <c r="B11" s="34">
        <v>102</v>
      </c>
      <c r="C11" s="34">
        <v>25</v>
      </c>
      <c r="D11" s="34">
        <v>337</v>
      </c>
      <c r="E11" s="34">
        <v>464</v>
      </c>
      <c r="F11" s="26">
        <f>GETPIVOTDATA("text",$A$4,"What","Failure","# of Words",6)/GETPIVOTDATA("text",$A$4)</f>
        <v>2.0581113801452784E-2</v>
      </c>
      <c r="G11" s="26">
        <f>SUM(GETPIVOTDATA("text",$A$4,"What","Qualified Success","# of Words",6)+GETPIVOTDATA("text",$A$4,"What","Success","# of Words",6))/GETPIVOTDATA("text",$A$4)</f>
        <v>7.304277643260694E-2</v>
      </c>
      <c r="H11" s="26">
        <f>GETPIVOTDATA("text",$A$4,"# of Words",6)/GETPIVOTDATA("text",$A$4)</f>
        <v>9.3623890234059731E-2</v>
      </c>
    </row>
    <row r="12" spans="1:8" x14ac:dyDescent="0.2">
      <c r="A12" s="16">
        <v>7</v>
      </c>
      <c r="B12" s="34">
        <v>65</v>
      </c>
      <c r="C12" s="34">
        <v>14</v>
      </c>
      <c r="D12" s="34">
        <v>147</v>
      </c>
      <c r="E12" s="34">
        <v>226</v>
      </c>
      <c r="F12" s="26">
        <f>GETPIVOTDATA("text",$A$4,"What","Failure","# of Words",7)/GETPIVOTDATA("text",$A$4)</f>
        <v>1.3115415657788539E-2</v>
      </c>
      <c r="G12" s="26">
        <f>SUM(GETPIVOTDATA("text",$A$4,"What","Qualified Success","# of Words",7)+GETPIVOTDATA("text",$A$4,"What","Success","# of Words",7))/GETPIVOTDATA("text",$A$4)</f>
        <v>3.2485875706214688E-2</v>
      </c>
      <c r="H12" s="26">
        <f>GETPIVOTDATA("text",$A$4,"# of Words",7)/GETPIVOTDATA("text",$A$4)</f>
        <v>4.5601291364003226E-2</v>
      </c>
    </row>
    <row r="13" spans="1:8" x14ac:dyDescent="0.2">
      <c r="A13" s="16">
        <v>8</v>
      </c>
      <c r="B13" s="34">
        <v>47</v>
      </c>
      <c r="C13" s="34">
        <v>12</v>
      </c>
      <c r="D13" s="34">
        <v>69</v>
      </c>
      <c r="E13" s="34">
        <v>128</v>
      </c>
      <c r="F13" s="26">
        <f>GETPIVOTDATA("text",$A$4,"What","Failure","# of Words",8)/GETPIVOTDATA("text",$A$4)</f>
        <v>9.4834543987086361E-3</v>
      </c>
      <c r="G13" s="26">
        <f>SUM(GETPIVOTDATA("text",$A$4,"What","Qualified Success","# of Words",8)+GETPIVOTDATA("text",$A$4,"What","Success","# of Words",8))/GETPIVOTDATA("text",$A$4)</f>
        <v>1.6343825665859565E-2</v>
      </c>
      <c r="H13" s="26">
        <f>GETPIVOTDATA("text",$A$4,"# of Words",8)/GETPIVOTDATA("text",$A$4)</f>
        <v>2.5827280064568199E-2</v>
      </c>
    </row>
    <row r="14" spans="1:8" x14ac:dyDescent="0.2">
      <c r="A14" s="16">
        <v>9</v>
      </c>
      <c r="B14" s="34">
        <v>68</v>
      </c>
      <c r="C14" s="34">
        <v>18</v>
      </c>
      <c r="D14" s="34">
        <v>48</v>
      </c>
      <c r="E14" s="34">
        <v>134</v>
      </c>
      <c r="F14" s="26">
        <f>GETPIVOTDATA("text",$A$4,"What","Failure","# of Words",9)/GETPIVOTDATA("text",$A$4)</f>
        <v>1.3720742534301856E-2</v>
      </c>
      <c r="G14" s="26">
        <f>SUM(GETPIVOTDATA("text",$A$4,"What","Qualified Success","# of Words",9)+GETPIVOTDATA("text",$A$4,"What","Success","# of Words",9))/GETPIVOTDATA("text",$A$4)</f>
        <v>1.3317191283292978E-2</v>
      </c>
      <c r="H14" s="26">
        <f>GETPIVOTDATA("text",$A$4,"# of Words",9)/GETPIVOTDATA("text",$A$4)</f>
        <v>2.7037933817594836E-2</v>
      </c>
    </row>
    <row r="15" spans="1:8" x14ac:dyDescent="0.2">
      <c r="A15" s="16">
        <v>10</v>
      </c>
      <c r="B15" s="34">
        <v>33</v>
      </c>
      <c r="C15" s="34">
        <v>13</v>
      </c>
      <c r="D15" s="34">
        <v>32</v>
      </c>
      <c r="E15" s="34">
        <v>78</v>
      </c>
      <c r="F15" s="26">
        <f>GETPIVOTDATA("text",$A$4,"What","Failure","# of Words",10)/GETPIVOTDATA("text",$A$4)</f>
        <v>6.6585956416464892E-3</v>
      </c>
      <c r="G15" s="26">
        <f>SUM(GETPIVOTDATA("text",$A$4,"What","Qualified Success","# of Words",10)+GETPIVOTDATA("text",$A$4,"What","Success","# of Words",10))/GETPIVOTDATA("text",$A$4)</f>
        <v>9.0799031476997572E-3</v>
      </c>
      <c r="H15" s="26">
        <f>GETPIVOTDATA("text",$A$4,"# of Words",10)/GETPIVOTDATA("text",$A$4)</f>
        <v>1.5738498789346248E-2</v>
      </c>
    </row>
    <row r="16" spans="1:8" x14ac:dyDescent="0.2">
      <c r="A16" s="16">
        <v>11</v>
      </c>
      <c r="B16" s="34">
        <v>25</v>
      </c>
      <c r="C16" s="34">
        <v>6</v>
      </c>
      <c r="D16" s="34">
        <v>46</v>
      </c>
      <c r="E16" s="34">
        <v>77</v>
      </c>
      <c r="F16" s="25"/>
      <c r="G16" s="25"/>
      <c r="H16" s="25"/>
    </row>
    <row r="17" spans="1:8" x14ac:dyDescent="0.2">
      <c r="A17" s="16">
        <v>12</v>
      </c>
      <c r="B17" s="34">
        <v>13</v>
      </c>
      <c r="C17" s="34">
        <v>3</v>
      </c>
      <c r="D17" s="34">
        <v>8</v>
      </c>
      <c r="E17" s="34">
        <v>24</v>
      </c>
      <c r="F17" s="25"/>
      <c r="G17" s="25"/>
      <c r="H17" s="25"/>
    </row>
    <row r="18" spans="1:8" x14ac:dyDescent="0.2">
      <c r="A18" s="16">
        <v>13</v>
      </c>
      <c r="B18" s="34">
        <v>12</v>
      </c>
      <c r="C18" s="34">
        <v>4</v>
      </c>
      <c r="D18" s="34">
        <v>14</v>
      </c>
      <c r="E18" s="34">
        <v>30</v>
      </c>
      <c r="F18" s="25"/>
      <c r="G18" s="25"/>
      <c r="H18" s="25"/>
    </row>
    <row r="19" spans="1:8" x14ac:dyDescent="0.2">
      <c r="A19" s="16">
        <v>14</v>
      </c>
      <c r="B19" s="34">
        <v>10</v>
      </c>
      <c r="C19" s="34">
        <v>1</v>
      </c>
      <c r="D19" s="34">
        <v>13</v>
      </c>
      <c r="E19" s="34">
        <v>24</v>
      </c>
      <c r="F19" s="25"/>
      <c r="G19" s="25"/>
      <c r="H19" s="25"/>
    </row>
    <row r="20" spans="1:8" x14ac:dyDescent="0.2">
      <c r="A20" s="16">
        <v>15</v>
      </c>
      <c r="B20" s="34">
        <v>9</v>
      </c>
      <c r="C20" s="34">
        <v>2</v>
      </c>
      <c r="D20" s="34">
        <v>10</v>
      </c>
      <c r="E20" s="34">
        <v>21</v>
      </c>
      <c r="F20" s="25"/>
      <c r="G20" s="25"/>
      <c r="H20" s="25"/>
    </row>
    <row r="21" spans="1:8" x14ac:dyDescent="0.2">
      <c r="A21" s="16">
        <v>16</v>
      </c>
      <c r="B21" s="34">
        <v>6</v>
      </c>
      <c r="C21" s="34">
        <v>3</v>
      </c>
      <c r="D21" s="34">
        <v>7</v>
      </c>
      <c r="E21" s="34">
        <v>16</v>
      </c>
      <c r="F21" s="25"/>
      <c r="G21" s="25"/>
      <c r="H21" s="25"/>
    </row>
    <row r="22" spans="1:8" x14ac:dyDescent="0.2">
      <c r="A22" s="16">
        <v>17</v>
      </c>
      <c r="B22" s="34">
        <v>11</v>
      </c>
      <c r="C22" s="34">
        <v>1</v>
      </c>
      <c r="D22" s="34">
        <v>5</v>
      </c>
      <c r="E22" s="34">
        <v>17</v>
      </c>
      <c r="F22" s="25"/>
      <c r="G22" s="25"/>
      <c r="H22" s="25"/>
    </row>
    <row r="23" spans="1:8" x14ac:dyDescent="0.2">
      <c r="A23" s="16">
        <v>18</v>
      </c>
      <c r="B23" s="34">
        <v>3</v>
      </c>
      <c r="C23" s="34">
        <v>1</v>
      </c>
      <c r="D23" s="34">
        <v>5</v>
      </c>
      <c r="E23" s="34">
        <v>9</v>
      </c>
      <c r="F23" s="25"/>
      <c r="G23" s="25"/>
      <c r="H23" s="25"/>
    </row>
    <row r="24" spans="1:8" x14ac:dyDescent="0.2">
      <c r="A24" s="16">
        <v>19</v>
      </c>
      <c r="B24" s="34">
        <v>6</v>
      </c>
      <c r="C24" s="34">
        <v>1</v>
      </c>
      <c r="D24" s="34">
        <v>3</v>
      </c>
      <c r="E24" s="34">
        <v>10</v>
      </c>
      <c r="F24" s="25"/>
      <c r="G24" s="25"/>
      <c r="H24" s="25"/>
    </row>
    <row r="25" spans="1:8" x14ac:dyDescent="0.2">
      <c r="A25" s="16">
        <v>20</v>
      </c>
      <c r="B25" s="34">
        <v>4</v>
      </c>
      <c r="C25" s="34">
        <v>1</v>
      </c>
      <c r="D25" s="34">
        <v>6</v>
      </c>
      <c r="E25" s="34">
        <v>11</v>
      </c>
      <c r="F25" s="25"/>
      <c r="G25" s="25"/>
      <c r="H25" s="25"/>
    </row>
    <row r="26" spans="1:8" x14ac:dyDescent="0.2">
      <c r="A26" s="16">
        <v>21</v>
      </c>
      <c r="B26" s="34">
        <v>4</v>
      </c>
      <c r="C26" s="34"/>
      <c r="D26" s="34">
        <v>3</v>
      </c>
      <c r="E26" s="34">
        <v>7</v>
      </c>
      <c r="F26" s="25"/>
      <c r="G26" s="25"/>
      <c r="H26" s="25"/>
    </row>
    <row r="27" spans="1:8" x14ac:dyDescent="0.2">
      <c r="A27" s="16">
        <v>22</v>
      </c>
      <c r="B27" s="34">
        <v>4</v>
      </c>
      <c r="C27" s="34"/>
      <c r="D27" s="34">
        <v>5</v>
      </c>
      <c r="E27" s="34">
        <v>9</v>
      </c>
      <c r="F27" s="25"/>
      <c r="G27" s="25"/>
      <c r="H27" s="25"/>
    </row>
    <row r="28" spans="1:8" x14ac:dyDescent="0.2">
      <c r="A28" s="16">
        <v>23</v>
      </c>
      <c r="B28" s="34">
        <v>3</v>
      </c>
      <c r="C28" s="34">
        <v>1</v>
      </c>
      <c r="D28" s="34">
        <v>1</v>
      </c>
      <c r="E28" s="34">
        <v>5</v>
      </c>
      <c r="F28" s="25"/>
      <c r="G28" s="25"/>
      <c r="H28" s="25"/>
    </row>
    <row r="29" spans="1:8" x14ac:dyDescent="0.2">
      <c r="A29" s="16">
        <v>24</v>
      </c>
      <c r="B29" s="34">
        <v>4</v>
      </c>
      <c r="C29" s="34">
        <v>1</v>
      </c>
      <c r="D29" s="34"/>
      <c r="E29" s="34">
        <v>5</v>
      </c>
      <c r="F29" s="25"/>
      <c r="G29" s="25"/>
      <c r="H29" s="25"/>
    </row>
    <row r="30" spans="1:8" x14ac:dyDescent="0.2">
      <c r="A30" s="16">
        <v>25</v>
      </c>
      <c r="B30" s="34">
        <v>2</v>
      </c>
      <c r="C30" s="34">
        <v>1</v>
      </c>
      <c r="D30" s="34">
        <v>2</v>
      </c>
      <c r="E30" s="34">
        <v>5</v>
      </c>
      <c r="F30" s="25"/>
      <c r="G30" s="25"/>
      <c r="H30" s="25"/>
    </row>
    <row r="31" spans="1:8" x14ac:dyDescent="0.2">
      <c r="A31" s="16">
        <v>26</v>
      </c>
      <c r="B31" s="34">
        <v>2</v>
      </c>
      <c r="C31" s="34"/>
      <c r="D31" s="34">
        <v>2</v>
      </c>
      <c r="E31" s="34">
        <v>4</v>
      </c>
      <c r="F31" s="25"/>
      <c r="G31" s="25"/>
      <c r="H31" s="25"/>
    </row>
    <row r="32" spans="1:8" x14ac:dyDescent="0.2">
      <c r="A32" s="16">
        <v>27</v>
      </c>
      <c r="B32" s="34">
        <v>2</v>
      </c>
      <c r="C32" s="34"/>
      <c r="D32" s="34">
        <v>4</v>
      </c>
      <c r="E32" s="34">
        <v>6</v>
      </c>
      <c r="F32" s="25"/>
      <c r="G32" s="25"/>
      <c r="H32" s="25"/>
    </row>
    <row r="33" spans="1:8" x14ac:dyDescent="0.2">
      <c r="A33" s="16">
        <v>28</v>
      </c>
      <c r="B33" s="34">
        <v>9</v>
      </c>
      <c r="C33" s="34">
        <v>1</v>
      </c>
      <c r="D33" s="34">
        <v>3</v>
      </c>
      <c r="E33" s="34">
        <v>13</v>
      </c>
      <c r="F33" s="25"/>
      <c r="G33" s="25"/>
      <c r="H33" s="25"/>
    </row>
    <row r="34" spans="1:8" x14ac:dyDescent="0.2">
      <c r="A34" s="16">
        <v>29</v>
      </c>
      <c r="B34" s="34">
        <v>3</v>
      </c>
      <c r="C34" s="34"/>
      <c r="D34" s="34"/>
      <c r="E34" s="34">
        <v>3</v>
      </c>
      <c r="F34" s="25"/>
      <c r="G34" s="25"/>
      <c r="H34" s="25"/>
    </row>
    <row r="35" spans="1:8" x14ac:dyDescent="0.2">
      <c r="A35" s="16">
        <v>30</v>
      </c>
      <c r="B35" s="34">
        <v>3</v>
      </c>
      <c r="C35" s="34"/>
      <c r="D35" s="34">
        <v>2</v>
      </c>
      <c r="E35" s="34">
        <v>5</v>
      </c>
      <c r="F35" s="25"/>
      <c r="G35" s="25"/>
      <c r="H35" s="25"/>
    </row>
    <row r="36" spans="1:8" x14ac:dyDescent="0.2">
      <c r="A36" s="16">
        <v>31</v>
      </c>
      <c r="B36" s="34"/>
      <c r="C36" s="34">
        <v>1</v>
      </c>
      <c r="D36" s="34">
        <v>1</v>
      </c>
      <c r="E36" s="34">
        <v>2</v>
      </c>
      <c r="F36" s="25"/>
      <c r="G36" s="25"/>
      <c r="H36" s="25"/>
    </row>
    <row r="37" spans="1:8" x14ac:dyDescent="0.2">
      <c r="A37" s="16">
        <v>32</v>
      </c>
      <c r="B37" s="34">
        <v>2</v>
      </c>
      <c r="C37" s="34"/>
      <c r="D37" s="34">
        <v>1</v>
      </c>
      <c r="E37" s="34">
        <v>3</v>
      </c>
      <c r="F37" s="25"/>
      <c r="G37" s="25"/>
      <c r="H37" s="25"/>
    </row>
    <row r="38" spans="1:8" x14ac:dyDescent="0.2">
      <c r="A38" s="16">
        <v>33</v>
      </c>
      <c r="B38" s="34"/>
      <c r="C38" s="34">
        <v>2</v>
      </c>
      <c r="D38" s="34"/>
      <c r="E38" s="34">
        <v>2</v>
      </c>
      <c r="F38" s="25"/>
      <c r="G38" s="25"/>
      <c r="H38" s="25"/>
    </row>
    <row r="39" spans="1:8" x14ac:dyDescent="0.2">
      <c r="A39" s="16">
        <v>34</v>
      </c>
      <c r="B39" s="34">
        <v>4</v>
      </c>
      <c r="C39" s="34"/>
      <c r="D39" s="34">
        <v>2</v>
      </c>
      <c r="E39" s="34">
        <v>6</v>
      </c>
      <c r="F39" s="25"/>
      <c r="G39" s="25"/>
      <c r="H39" s="25"/>
    </row>
    <row r="40" spans="1:8" x14ac:dyDescent="0.2">
      <c r="A40" s="16">
        <v>35</v>
      </c>
      <c r="B40" s="34">
        <v>1</v>
      </c>
      <c r="C40" s="34"/>
      <c r="D40" s="34"/>
      <c r="E40" s="34">
        <v>1</v>
      </c>
      <c r="F40" s="25"/>
      <c r="G40" s="25"/>
      <c r="H40" s="25"/>
    </row>
    <row r="41" spans="1:8" x14ac:dyDescent="0.2">
      <c r="A41" s="16">
        <v>36</v>
      </c>
      <c r="B41" s="34">
        <v>4</v>
      </c>
      <c r="C41" s="34"/>
      <c r="D41" s="34">
        <v>1</v>
      </c>
      <c r="E41" s="34">
        <v>5</v>
      </c>
      <c r="F41" s="25"/>
      <c r="G41" s="25"/>
      <c r="H41" s="25"/>
    </row>
    <row r="42" spans="1:8" x14ac:dyDescent="0.2">
      <c r="A42" s="16">
        <v>38</v>
      </c>
      <c r="B42" s="34">
        <v>1</v>
      </c>
      <c r="C42" s="34"/>
      <c r="D42" s="34"/>
      <c r="E42" s="34">
        <v>1</v>
      </c>
      <c r="F42" s="25"/>
      <c r="G42" s="25"/>
      <c r="H42" s="25"/>
    </row>
    <row r="43" spans="1:8" x14ac:dyDescent="0.2">
      <c r="A43" s="16">
        <v>39</v>
      </c>
      <c r="B43" s="34">
        <v>3</v>
      </c>
      <c r="C43" s="34"/>
      <c r="D43" s="34">
        <v>1</v>
      </c>
      <c r="E43" s="34">
        <v>4</v>
      </c>
      <c r="F43" s="25"/>
      <c r="G43" s="25"/>
      <c r="H43" s="25"/>
    </row>
    <row r="44" spans="1:8" x14ac:dyDescent="0.2">
      <c r="A44" s="16">
        <v>40</v>
      </c>
      <c r="B44" s="34"/>
      <c r="C44" s="34">
        <v>2</v>
      </c>
      <c r="D44" s="34"/>
      <c r="E44" s="34">
        <v>2</v>
      </c>
      <c r="F44" s="25"/>
      <c r="G44" s="25"/>
      <c r="H44" s="25"/>
    </row>
    <row r="45" spans="1:8" x14ac:dyDescent="0.2">
      <c r="A45" s="16">
        <v>43</v>
      </c>
      <c r="B45" s="34">
        <v>1</v>
      </c>
      <c r="C45" s="34">
        <v>1</v>
      </c>
      <c r="D45" s="34"/>
      <c r="E45" s="34">
        <v>2</v>
      </c>
      <c r="F45" s="25"/>
      <c r="G45" s="25"/>
      <c r="H45" s="25"/>
    </row>
    <row r="46" spans="1:8" x14ac:dyDescent="0.2">
      <c r="A46" s="16">
        <v>44</v>
      </c>
      <c r="B46" s="34"/>
      <c r="C46" s="34"/>
      <c r="D46" s="34">
        <v>1</v>
      </c>
      <c r="E46" s="34">
        <v>1</v>
      </c>
      <c r="F46" s="25"/>
      <c r="G46" s="25"/>
      <c r="H46" s="25"/>
    </row>
    <row r="47" spans="1:8" x14ac:dyDescent="0.2">
      <c r="A47" s="16">
        <v>46</v>
      </c>
      <c r="B47" s="34"/>
      <c r="C47" s="34"/>
      <c r="D47" s="34">
        <v>1</v>
      </c>
      <c r="E47" s="34">
        <v>1</v>
      </c>
      <c r="F47" s="25"/>
      <c r="G47" s="25"/>
      <c r="H47" s="25"/>
    </row>
    <row r="48" spans="1:8" x14ac:dyDescent="0.2">
      <c r="A48" s="16">
        <v>48</v>
      </c>
      <c r="B48" s="34">
        <v>1</v>
      </c>
      <c r="C48" s="34">
        <v>1</v>
      </c>
      <c r="D48" s="34"/>
      <c r="E48" s="34">
        <v>2</v>
      </c>
      <c r="F48" s="25"/>
      <c r="G48" s="25"/>
      <c r="H48" s="25"/>
    </row>
    <row r="49" spans="1:8" x14ac:dyDescent="0.2">
      <c r="A49" s="16">
        <v>51</v>
      </c>
      <c r="B49" s="34">
        <v>1</v>
      </c>
      <c r="C49" s="34">
        <v>1</v>
      </c>
      <c r="D49" s="34"/>
      <c r="E49" s="34">
        <v>2</v>
      </c>
      <c r="F49" s="25"/>
      <c r="G49" s="25"/>
      <c r="H49" s="25"/>
    </row>
    <row r="50" spans="1:8" x14ac:dyDescent="0.2">
      <c r="A50" s="16">
        <v>53</v>
      </c>
      <c r="B50" s="34">
        <v>1</v>
      </c>
      <c r="C50" s="34"/>
      <c r="D50" s="34">
        <v>1</v>
      </c>
      <c r="E50" s="34">
        <v>2</v>
      </c>
      <c r="F50" s="25"/>
      <c r="G50" s="25"/>
      <c r="H50" s="25"/>
    </row>
    <row r="51" spans="1:8" x14ac:dyDescent="0.2">
      <c r="A51" s="16">
        <v>55</v>
      </c>
      <c r="B51" s="34">
        <v>1</v>
      </c>
      <c r="C51" s="34"/>
      <c r="D51" s="34"/>
      <c r="E51" s="34">
        <v>1</v>
      </c>
      <c r="F51" s="25"/>
      <c r="G51" s="25"/>
      <c r="H51" s="25"/>
    </row>
    <row r="52" spans="1:8" x14ac:dyDescent="0.2">
      <c r="A52" s="16">
        <v>56</v>
      </c>
      <c r="B52" s="34">
        <v>2</v>
      </c>
      <c r="C52" s="34"/>
      <c r="D52" s="34"/>
      <c r="E52" s="34">
        <v>2</v>
      </c>
      <c r="F52" s="25"/>
      <c r="G52" s="25"/>
      <c r="H52" s="25"/>
    </row>
    <row r="53" spans="1:8" x14ac:dyDescent="0.2">
      <c r="A53" s="16">
        <v>58</v>
      </c>
      <c r="B53" s="34">
        <v>1</v>
      </c>
      <c r="C53" s="34"/>
      <c r="D53" s="34">
        <v>1</v>
      </c>
      <c r="E53" s="34">
        <v>2</v>
      </c>
      <c r="F53" s="25"/>
      <c r="G53" s="25"/>
      <c r="H53" s="25"/>
    </row>
    <row r="54" spans="1:8" x14ac:dyDescent="0.2">
      <c r="A54" s="16">
        <v>59</v>
      </c>
      <c r="B54" s="34"/>
      <c r="C54" s="34">
        <v>1</v>
      </c>
      <c r="D54" s="34"/>
      <c r="E54" s="34">
        <v>1</v>
      </c>
      <c r="F54" s="25"/>
      <c r="G54" s="25"/>
      <c r="H54" s="25"/>
    </row>
    <row r="55" spans="1:8" x14ac:dyDescent="0.2">
      <c r="A55" s="16">
        <v>60</v>
      </c>
      <c r="B55" s="34">
        <v>2</v>
      </c>
      <c r="C55" s="34"/>
      <c r="D55" s="34"/>
      <c r="E55" s="34">
        <v>2</v>
      </c>
      <c r="F55" s="25"/>
      <c r="G55" s="25"/>
      <c r="H55" s="25"/>
    </row>
    <row r="56" spans="1:8" x14ac:dyDescent="0.2">
      <c r="A56" s="16">
        <v>63</v>
      </c>
      <c r="B56" s="34"/>
      <c r="C56" s="34"/>
      <c r="D56" s="34">
        <v>1</v>
      </c>
      <c r="E56" s="34">
        <v>1</v>
      </c>
      <c r="F56" s="25"/>
      <c r="G56" s="25"/>
      <c r="H56" s="25"/>
    </row>
    <row r="57" spans="1:8" x14ac:dyDescent="0.2">
      <c r="A57" s="16">
        <v>78</v>
      </c>
      <c r="B57" s="34"/>
      <c r="C57" s="34"/>
      <c r="D57" s="34">
        <v>3</v>
      </c>
      <c r="E57" s="34">
        <v>3</v>
      </c>
      <c r="F57" s="25"/>
      <c r="G57" s="25"/>
      <c r="H57" s="25"/>
    </row>
    <row r="58" spans="1:8" x14ac:dyDescent="0.2">
      <c r="A58" s="16">
        <v>82</v>
      </c>
      <c r="B58" s="34">
        <v>1</v>
      </c>
      <c r="C58" s="34"/>
      <c r="D58" s="34"/>
      <c r="E58" s="34">
        <v>1</v>
      </c>
      <c r="F58" s="25"/>
      <c r="G58" s="25"/>
      <c r="H58" s="25"/>
    </row>
    <row r="59" spans="1:8" x14ac:dyDescent="0.2">
      <c r="A59" s="16">
        <v>94</v>
      </c>
      <c r="B59" s="34">
        <v>1</v>
      </c>
      <c r="C59" s="34"/>
      <c r="D59" s="34"/>
      <c r="E59" s="34">
        <v>1</v>
      </c>
      <c r="F59" s="25"/>
      <c r="G59" s="25"/>
      <c r="H59" s="25"/>
    </row>
    <row r="60" spans="1:8" x14ac:dyDescent="0.2">
      <c r="A60" s="16">
        <v>101</v>
      </c>
      <c r="B60" s="34"/>
      <c r="C60" s="34"/>
      <c r="D60" s="34">
        <v>1</v>
      </c>
      <c r="E60" s="34">
        <v>1</v>
      </c>
      <c r="F60" s="25"/>
      <c r="G60" s="25"/>
      <c r="H60" s="25"/>
    </row>
    <row r="61" spans="1:8" x14ac:dyDescent="0.2">
      <c r="A61" s="16">
        <v>112</v>
      </c>
      <c r="B61" s="34">
        <v>1</v>
      </c>
      <c r="C61" s="34"/>
      <c r="D61" s="34"/>
      <c r="E61" s="34">
        <v>1</v>
      </c>
      <c r="F61" s="25"/>
      <c r="G61" s="25"/>
      <c r="H61" s="25"/>
    </row>
    <row r="62" spans="1:8" x14ac:dyDescent="0.2">
      <c r="A62" s="16">
        <v>126</v>
      </c>
      <c r="B62" s="34"/>
      <c r="C62" s="34"/>
      <c r="D62" s="34">
        <v>1</v>
      </c>
      <c r="E62" s="34">
        <v>1</v>
      </c>
      <c r="F62" s="25"/>
      <c r="G62" s="25"/>
      <c r="H62" s="25"/>
    </row>
    <row r="63" spans="1:8" x14ac:dyDescent="0.2">
      <c r="A63" s="16" t="s">
        <v>273</v>
      </c>
      <c r="B63" s="34">
        <v>1295</v>
      </c>
      <c r="C63" s="34">
        <v>250</v>
      </c>
      <c r="D63" s="34">
        <v>3411</v>
      </c>
      <c r="E63" s="34">
        <v>4956</v>
      </c>
      <c r="F63" s="25"/>
      <c r="G63" s="25"/>
      <c r="H63" s="2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0FD75-9376-304F-B73F-F5B8F533662A}">
  <dimension ref="A1:B32"/>
  <sheetViews>
    <sheetView workbookViewId="0"/>
  </sheetViews>
  <sheetFormatPr baseColWidth="10" defaultRowHeight="15" x14ac:dyDescent="0.2"/>
  <cols>
    <col min="1" max="1" width="12.1640625" bestFit="1" customWidth="1"/>
    <col min="2" max="2" width="11.1640625" bestFit="1" customWidth="1"/>
  </cols>
  <sheetData>
    <row r="1" spans="1:2" x14ac:dyDescent="0.2">
      <c r="A1" s="14" t="s">
        <v>322</v>
      </c>
      <c r="B1" t="s">
        <v>2</v>
      </c>
    </row>
    <row r="3" spans="1:2" x14ac:dyDescent="0.2">
      <c r="A3" s="14" t="s">
        <v>272</v>
      </c>
      <c r="B3" t="s">
        <v>274</v>
      </c>
    </row>
    <row r="4" spans="1:2" x14ac:dyDescent="0.2">
      <c r="A4" s="15">
        <v>44986</v>
      </c>
      <c r="B4" s="33">
        <v>208</v>
      </c>
    </row>
    <row r="5" spans="1:2" x14ac:dyDescent="0.2">
      <c r="A5" s="15">
        <v>44987</v>
      </c>
      <c r="B5" s="33">
        <v>218</v>
      </c>
    </row>
    <row r="6" spans="1:2" x14ac:dyDescent="0.2">
      <c r="A6" s="15">
        <v>44988</v>
      </c>
      <c r="B6" s="33">
        <v>486</v>
      </c>
    </row>
    <row r="7" spans="1:2" x14ac:dyDescent="0.2">
      <c r="A7" s="15">
        <v>44989</v>
      </c>
      <c r="B7" s="33">
        <v>155</v>
      </c>
    </row>
    <row r="8" spans="1:2" x14ac:dyDescent="0.2">
      <c r="A8" s="15">
        <v>44990</v>
      </c>
      <c r="B8" s="33">
        <v>11</v>
      </c>
    </row>
    <row r="9" spans="1:2" x14ac:dyDescent="0.2">
      <c r="A9" s="15">
        <v>44991</v>
      </c>
      <c r="B9" s="33">
        <v>8</v>
      </c>
    </row>
    <row r="10" spans="1:2" x14ac:dyDescent="0.2">
      <c r="A10" s="15">
        <v>44992</v>
      </c>
      <c r="B10" s="33">
        <v>216</v>
      </c>
    </row>
    <row r="11" spans="1:2" x14ac:dyDescent="0.2">
      <c r="A11" s="15">
        <v>44994</v>
      </c>
      <c r="B11" s="33">
        <v>166</v>
      </c>
    </row>
    <row r="12" spans="1:2" x14ac:dyDescent="0.2">
      <c r="A12" s="15">
        <v>44995</v>
      </c>
      <c r="B12" s="33">
        <v>181</v>
      </c>
    </row>
    <row r="13" spans="1:2" x14ac:dyDescent="0.2">
      <c r="A13" s="15">
        <v>44996</v>
      </c>
      <c r="B13" s="33">
        <v>187</v>
      </c>
    </row>
    <row r="14" spans="1:2" x14ac:dyDescent="0.2">
      <c r="A14" s="15">
        <v>44997</v>
      </c>
      <c r="B14" s="33">
        <v>16</v>
      </c>
    </row>
    <row r="15" spans="1:2" x14ac:dyDescent="0.2">
      <c r="A15" s="15">
        <v>44998</v>
      </c>
      <c r="B15" s="33">
        <v>201</v>
      </c>
    </row>
    <row r="16" spans="1:2" x14ac:dyDescent="0.2">
      <c r="A16" s="15">
        <v>44999</v>
      </c>
      <c r="B16" s="33">
        <v>226</v>
      </c>
    </row>
    <row r="17" spans="1:2" x14ac:dyDescent="0.2">
      <c r="A17" s="15">
        <v>45000</v>
      </c>
      <c r="B17" s="33">
        <v>206</v>
      </c>
    </row>
    <row r="18" spans="1:2" x14ac:dyDescent="0.2">
      <c r="A18" s="15">
        <v>45001</v>
      </c>
      <c r="B18" s="33">
        <v>453</v>
      </c>
    </row>
    <row r="19" spans="1:2" x14ac:dyDescent="0.2">
      <c r="A19" s="15">
        <v>45002</v>
      </c>
      <c r="B19" s="33">
        <v>235</v>
      </c>
    </row>
    <row r="20" spans="1:2" x14ac:dyDescent="0.2">
      <c r="A20" s="15">
        <v>45004</v>
      </c>
      <c r="B20" s="33">
        <v>16</v>
      </c>
    </row>
    <row r="21" spans="1:2" x14ac:dyDescent="0.2">
      <c r="A21" s="15">
        <v>45005</v>
      </c>
      <c r="B21" s="33">
        <v>18</v>
      </c>
    </row>
    <row r="22" spans="1:2" x14ac:dyDescent="0.2">
      <c r="A22" s="15">
        <v>45006</v>
      </c>
      <c r="B22" s="33">
        <v>225</v>
      </c>
    </row>
    <row r="23" spans="1:2" x14ac:dyDescent="0.2">
      <c r="A23" s="15">
        <v>45007</v>
      </c>
      <c r="B23" s="33">
        <v>229</v>
      </c>
    </row>
    <row r="24" spans="1:2" x14ac:dyDescent="0.2">
      <c r="A24" s="15">
        <v>45008</v>
      </c>
      <c r="B24" s="33">
        <v>234</v>
      </c>
    </row>
    <row r="25" spans="1:2" x14ac:dyDescent="0.2">
      <c r="A25" s="15">
        <v>45009</v>
      </c>
      <c r="B25" s="33">
        <v>225</v>
      </c>
    </row>
    <row r="26" spans="1:2" x14ac:dyDescent="0.2">
      <c r="A26" s="15">
        <v>45010</v>
      </c>
      <c r="B26" s="33">
        <v>154</v>
      </c>
    </row>
    <row r="27" spans="1:2" x14ac:dyDescent="0.2">
      <c r="A27" s="15">
        <v>45011</v>
      </c>
      <c r="B27" s="33">
        <v>13</v>
      </c>
    </row>
    <row r="28" spans="1:2" x14ac:dyDescent="0.2">
      <c r="A28" s="15">
        <v>45012</v>
      </c>
      <c r="B28" s="33">
        <v>13</v>
      </c>
    </row>
    <row r="29" spans="1:2" x14ac:dyDescent="0.2">
      <c r="A29" s="15">
        <v>45014</v>
      </c>
      <c r="B29" s="33">
        <v>267</v>
      </c>
    </row>
    <row r="30" spans="1:2" x14ac:dyDescent="0.2">
      <c r="A30" s="15">
        <v>45015</v>
      </c>
      <c r="B30" s="33">
        <v>215</v>
      </c>
    </row>
    <row r="31" spans="1:2" x14ac:dyDescent="0.2">
      <c r="A31" s="15">
        <v>45016</v>
      </c>
      <c r="B31" s="33">
        <v>174</v>
      </c>
    </row>
    <row r="32" spans="1:2" x14ac:dyDescent="0.2">
      <c r="A32" s="15" t="s">
        <v>273</v>
      </c>
      <c r="B32" s="33">
        <v>4956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31596-09EF-E14A-8A50-D9FAAE26A8A9}">
  <dimension ref="A1:AM1709"/>
  <sheetViews>
    <sheetView workbookViewId="0"/>
  </sheetViews>
  <sheetFormatPr baseColWidth="10" defaultRowHeight="15" x14ac:dyDescent="0.2"/>
  <cols>
    <col min="1" max="1" width="11.1640625" bestFit="1" customWidth="1"/>
    <col min="2" max="2" width="14.83203125" bestFit="1" customWidth="1"/>
    <col min="3" max="9" width="6.83203125" bestFit="1" customWidth="1"/>
    <col min="10" max="29" width="7.83203125" bestFit="1" customWidth="1"/>
    <col min="30" max="30" width="10" bestFit="1" customWidth="1"/>
    <col min="31" max="32" width="7.83203125" bestFit="1" customWidth="1"/>
    <col min="33" max="33" width="10" bestFit="1" customWidth="1"/>
  </cols>
  <sheetData>
    <row r="1" spans="1:39" x14ac:dyDescent="0.2">
      <c r="A1" s="14" t="s">
        <v>322</v>
      </c>
      <c r="B1" t="s">
        <v>2</v>
      </c>
    </row>
    <row r="3" spans="1:39" x14ac:dyDescent="0.2">
      <c r="B3" s="14" t="s">
        <v>278</v>
      </c>
    </row>
    <row r="4" spans="1:39" x14ac:dyDescent="0.2">
      <c r="B4" s="19">
        <v>44986</v>
      </c>
      <c r="C4" s="19">
        <v>44987</v>
      </c>
      <c r="D4" s="19">
        <v>44988</v>
      </c>
      <c r="E4" s="19">
        <v>44989</v>
      </c>
      <c r="F4" s="19">
        <v>44990</v>
      </c>
      <c r="G4" s="19">
        <v>44991</v>
      </c>
      <c r="H4" s="19">
        <v>44992</v>
      </c>
      <c r="I4" s="19">
        <v>44994</v>
      </c>
      <c r="J4" s="19">
        <v>44995</v>
      </c>
      <c r="K4" s="19">
        <v>44996</v>
      </c>
      <c r="L4" s="19">
        <v>44997</v>
      </c>
      <c r="M4" s="19">
        <v>44998</v>
      </c>
      <c r="N4" s="19">
        <v>44999</v>
      </c>
      <c r="O4" s="19">
        <v>45000</v>
      </c>
      <c r="P4" s="19">
        <v>45001</v>
      </c>
      <c r="Q4" s="19">
        <v>45002</v>
      </c>
      <c r="R4" s="19">
        <v>45004</v>
      </c>
      <c r="S4" s="19">
        <v>45005</v>
      </c>
      <c r="T4" s="19">
        <v>45006</v>
      </c>
      <c r="U4" s="19">
        <v>45007</v>
      </c>
      <c r="V4" s="19">
        <v>45008</v>
      </c>
      <c r="W4" s="19">
        <v>45009</v>
      </c>
      <c r="X4" s="19">
        <v>45010</v>
      </c>
      <c r="Y4" s="19">
        <v>45011</v>
      </c>
      <c r="Z4" s="19">
        <v>45012</v>
      </c>
      <c r="AA4" s="19">
        <v>45014</v>
      </c>
      <c r="AB4" s="19">
        <v>45015</v>
      </c>
      <c r="AC4" s="19">
        <v>45016</v>
      </c>
      <c r="AD4" s="19" t="s">
        <v>273</v>
      </c>
      <c r="AI4" t="s">
        <v>283</v>
      </c>
      <c r="AK4" t="s">
        <v>280</v>
      </c>
      <c r="AL4" t="s">
        <v>284</v>
      </c>
      <c r="AM4" t="s">
        <v>285</v>
      </c>
    </row>
    <row r="5" spans="1:39" x14ac:dyDescent="0.2">
      <c r="A5" t="s">
        <v>274</v>
      </c>
      <c r="B5" s="33">
        <v>208</v>
      </c>
      <c r="C5" s="33">
        <v>218</v>
      </c>
      <c r="D5" s="33">
        <v>486</v>
      </c>
      <c r="E5" s="33">
        <v>155</v>
      </c>
      <c r="F5" s="33">
        <v>11</v>
      </c>
      <c r="G5" s="33">
        <v>8</v>
      </c>
      <c r="H5" s="33">
        <v>216</v>
      </c>
      <c r="I5" s="33">
        <v>166</v>
      </c>
      <c r="J5" s="33">
        <v>181</v>
      </c>
      <c r="K5" s="33">
        <v>187</v>
      </c>
      <c r="L5" s="33">
        <v>16</v>
      </c>
      <c r="M5" s="33">
        <v>201</v>
      </c>
      <c r="N5" s="33">
        <v>226</v>
      </c>
      <c r="O5" s="33">
        <v>206</v>
      </c>
      <c r="P5" s="33">
        <v>453</v>
      </c>
      <c r="Q5" s="33">
        <v>235</v>
      </c>
      <c r="R5" s="33">
        <v>16</v>
      </c>
      <c r="S5" s="33">
        <v>18</v>
      </c>
      <c r="T5" s="33">
        <v>225</v>
      </c>
      <c r="U5" s="33">
        <v>229</v>
      </c>
      <c r="V5" s="33">
        <v>234</v>
      </c>
      <c r="W5" s="33">
        <v>225</v>
      </c>
      <c r="X5" s="33">
        <v>154</v>
      </c>
      <c r="Y5" s="33">
        <v>13</v>
      </c>
      <c r="Z5" s="33">
        <v>13</v>
      </c>
      <c r="AA5" s="33">
        <v>267</v>
      </c>
      <c r="AB5" s="33">
        <v>215</v>
      </c>
      <c r="AC5" s="33">
        <v>174</v>
      </c>
      <c r="AD5" s="33">
        <v>4956</v>
      </c>
      <c r="AI5">
        <f>COUNTA($B5:$AF5)</f>
        <v>29</v>
      </c>
      <c r="AK5">
        <v>1</v>
      </c>
      <c r="AL5">
        <f>COUNTIF($AI$5:$AI$1709,$AK5)</f>
        <v>0</v>
      </c>
      <c r="AM5" s="17">
        <f>AL5/AL16</f>
        <v>0</v>
      </c>
    </row>
    <row r="6" spans="1:39" x14ac:dyDescent="0.2">
      <c r="AI6">
        <f t="shared" ref="AI6:AI69" si="0">COUNTA($B6:$AF6)</f>
        <v>0</v>
      </c>
      <c r="AK6">
        <v>2</v>
      </c>
      <c r="AL6">
        <f t="shared" ref="AL6:AL15" si="1">COUNTIF($AI$5:$AI$1709,$AK6)</f>
        <v>0</v>
      </c>
      <c r="AM6" s="17">
        <f>AL6/AL16</f>
        <v>0</v>
      </c>
    </row>
    <row r="7" spans="1:39" x14ac:dyDescent="0.2">
      <c r="AI7">
        <f t="shared" si="0"/>
        <v>0</v>
      </c>
      <c r="AK7">
        <v>3</v>
      </c>
      <c r="AL7">
        <f t="shared" si="1"/>
        <v>0</v>
      </c>
      <c r="AM7" s="17">
        <f>AL7/AL16</f>
        <v>0</v>
      </c>
    </row>
    <row r="8" spans="1:39" x14ac:dyDescent="0.2">
      <c r="AI8">
        <f t="shared" si="0"/>
        <v>0</v>
      </c>
      <c r="AK8">
        <v>4</v>
      </c>
      <c r="AL8">
        <f t="shared" si="1"/>
        <v>0</v>
      </c>
      <c r="AM8" s="17">
        <f>AL8/AL16</f>
        <v>0</v>
      </c>
    </row>
    <row r="9" spans="1:39" x14ac:dyDescent="0.2">
      <c r="AI9">
        <f t="shared" si="0"/>
        <v>0</v>
      </c>
      <c r="AK9">
        <v>5</v>
      </c>
      <c r="AL9">
        <f t="shared" si="1"/>
        <v>0</v>
      </c>
      <c r="AM9" s="17">
        <f>AL9/AL16</f>
        <v>0</v>
      </c>
    </row>
    <row r="10" spans="1:39" x14ac:dyDescent="0.2">
      <c r="AI10">
        <f t="shared" si="0"/>
        <v>0</v>
      </c>
      <c r="AK10">
        <v>6</v>
      </c>
      <c r="AL10">
        <f t="shared" si="1"/>
        <v>0</v>
      </c>
      <c r="AM10" s="17">
        <f>AL10/AL16</f>
        <v>0</v>
      </c>
    </row>
    <row r="11" spans="1:39" x14ac:dyDescent="0.2">
      <c r="AI11">
        <f t="shared" si="0"/>
        <v>0</v>
      </c>
      <c r="AK11">
        <v>7</v>
      </c>
      <c r="AL11">
        <f t="shared" si="1"/>
        <v>0</v>
      </c>
      <c r="AM11" s="17">
        <f>AL11/AL16</f>
        <v>0</v>
      </c>
    </row>
    <row r="12" spans="1:39" x14ac:dyDescent="0.2">
      <c r="AI12">
        <f t="shared" si="0"/>
        <v>0</v>
      </c>
      <c r="AK12">
        <v>8</v>
      </c>
      <c r="AL12">
        <f t="shared" si="1"/>
        <v>0</v>
      </c>
      <c r="AM12" s="17">
        <f>AL12/AL16</f>
        <v>0</v>
      </c>
    </row>
    <row r="13" spans="1:39" x14ac:dyDescent="0.2">
      <c r="AI13">
        <f t="shared" si="0"/>
        <v>0</v>
      </c>
      <c r="AK13">
        <v>9</v>
      </c>
      <c r="AL13">
        <f t="shared" si="1"/>
        <v>0</v>
      </c>
      <c r="AM13" s="17">
        <f>AL13/AL16</f>
        <v>0</v>
      </c>
    </row>
    <row r="14" spans="1:39" x14ac:dyDescent="0.2">
      <c r="AI14">
        <f t="shared" si="0"/>
        <v>0</v>
      </c>
      <c r="AK14">
        <v>10</v>
      </c>
      <c r="AL14">
        <f t="shared" si="1"/>
        <v>0</v>
      </c>
      <c r="AM14" s="17">
        <f>AL14/AL16</f>
        <v>0</v>
      </c>
    </row>
    <row r="15" spans="1:39" x14ac:dyDescent="0.2">
      <c r="AI15">
        <f t="shared" si="0"/>
        <v>0</v>
      </c>
      <c r="AK15" t="s">
        <v>286</v>
      </c>
      <c r="AL15">
        <f t="shared" si="1"/>
        <v>1</v>
      </c>
      <c r="AM15" s="17">
        <f>AL15/AL16</f>
        <v>1</v>
      </c>
    </row>
    <row r="16" spans="1:39" x14ac:dyDescent="0.2">
      <c r="AI16">
        <f t="shared" si="0"/>
        <v>0</v>
      </c>
      <c r="AL16">
        <f>SUM(AL5:AL15)</f>
        <v>1</v>
      </c>
      <c r="AM16" s="17">
        <f>SUM(AM5:AM15)</f>
        <v>1</v>
      </c>
    </row>
    <row r="17" spans="35:35" x14ac:dyDescent="0.2">
      <c r="AI17">
        <f t="shared" si="0"/>
        <v>0</v>
      </c>
    </row>
    <row r="18" spans="35:35" x14ac:dyDescent="0.2">
      <c r="AI18">
        <f t="shared" si="0"/>
        <v>0</v>
      </c>
    </row>
    <row r="19" spans="35:35" x14ac:dyDescent="0.2">
      <c r="AI19">
        <f t="shared" si="0"/>
        <v>0</v>
      </c>
    </row>
    <row r="20" spans="35:35" x14ac:dyDescent="0.2">
      <c r="AI20">
        <f t="shared" si="0"/>
        <v>0</v>
      </c>
    </row>
    <row r="21" spans="35:35" x14ac:dyDescent="0.2">
      <c r="AI21">
        <f t="shared" si="0"/>
        <v>0</v>
      </c>
    </row>
    <row r="22" spans="35:35" x14ac:dyDescent="0.2">
      <c r="AI22">
        <f t="shared" si="0"/>
        <v>0</v>
      </c>
    </row>
    <row r="23" spans="35:35" x14ac:dyDescent="0.2">
      <c r="AI23">
        <f t="shared" si="0"/>
        <v>0</v>
      </c>
    </row>
    <row r="24" spans="35:35" x14ac:dyDescent="0.2">
      <c r="AI24">
        <f t="shared" si="0"/>
        <v>0</v>
      </c>
    </row>
    <row r="25" spans="35:35" x14ac:dyDescent="0.2">
      <c r="AI25">
        <f t="shared" si="0"/>
        <v>0</v>
      </c>
    </row>
    <row r="26" spans="35:35" x14ac:dyDescent="0.2">
      <c r="AI26">
        <f t="shared" si="0"/>
        <v>0</v>
      </c>
    </row>
    <row r="27" spans="35:35" x14ac:dyDescent="0.2">
      <c r="AI27">
        <f t="shared" si="0"/>
        <v>0</v>
      </c>
    </row>
    <row r="28" spans="35:35" x14ac:dyDescent="0.2">
      <c r="AI28">
        <f t="shared" si="0"/>
        <v>0</v>
      </c>
    </row>
    <row r="29" spans="35:35" x14ac:dyDescent="0.2">
      <c r="AI29">
        <f t="shared" si="0"/>
        <v>0</v>
      </c>
    </row>
    <row r="30" spans="35:35" x14ac:dyDescent="0.2">
      <c r="AI30">
        <f t="shared" si="0"/>
        <v>0</v>
      </c>
    </row>
    <row r="31" spans="35:35" x14ac:dyDescent="0.2">
      <c r="AI31">
        <f t="shared" si="0"/>
        <v>0</v>
      </c>
    </row>
    <row r="32" spans="35:35" x14ac:dyDescent="0.2">
      <c r="AI32">
        <f t="shared" si="0"/>
        <v>0</v>
      </c>
    </row>
    <row r="33" spans="35:35" x14ac:dyDescent="0.2">
      <c r="AI33">
        <f t="shared" si="0"/>
        <v>0</v>
      </c>
    </row>
    <row r="34" spans="35:35" x14ac:dyDescent="0.2">
      <c r="AI34">
        <f t="shared" si="0"/>
        <v>0</v>
      </c>
    </row>
    <row r="35" spans="35:35" x14ac:dyDescent="0.2">
      <c r="AI35">
        <f t="shared" si="0"/>
        <v>0</v>
      </c>
    </row>
    <row r="36" spans="35:35" x14ac:dyDescent="0.2">
      <c r="AI36">
        <f t="shared" si="0"/>
        <v>0</v>
      </c>
    </row>
    <row r="37" spans="35:35" x14ac:dyDescent="0.2">
      <c r="AI37">
        <f t="shared" si="0"/>
        <v>0</v>
      </c>
    </row>
    <row r="38" spans="35:35" x14ac:dyDescent="0.2">
      <c r="AI38">
        <f t="shared" si="0"/>
        <v>0</v>
      </c>
    </row>
    <row r="39" spans="35:35" x14ac:dyDescent="0.2">
      <c r="AI39">
        <f t="shared" si="0"/>
        <v>0</v>
      </c>
    </row>
    <row r="40" spans="35:35" x14ac:dyDescent="0.2">
      <c r="AI40">
        <f t="shared" si="0"/>
        <v>0</v>
      </c>
    </row>
    <row r="41" spans="35:35" x14ac:dyDescent="0.2">
      <c r="AI41">
        <f t="shared" si="0"/>
        <v>0</v>
      </c>
    </row>
    <row r="42" spans="35:35" x14ac:dyDescent="0.2">
      <c r="AI42">
        <f t="shared" si="0"/>
        <v>0</v>
      </c>
    </row>
    <row r="43" spans="35:35" x14ac:dyDescent="0.2">
      <c r="AI43">
        <f t="shared" si="0"/>
        <v>0</v>
      </c>
    </row>
    <row r="44" spans="35:35" x14ac:dyDescent="0.2">
      <c r="AI44">
        <f t="shared" si="0"/>
        <v>0</v>
      </c>
    </row>
    <row r="45" spans="35:35" x14ac:dyDescent="0.2">
      <c r="AI45">
        <f t="shared" si="0"/>
        <v>0</v>
      </c>
    </row>
    <row r="46" spans="35:35" x14ac:dyDescent="0.2">
      <c r="AI46">
        <f t="shared" si="0"/>
        <v>0</v>
      </c>
    </row>
    <row r="47" spans="35:35" x14ac:dyDescent="0.2">
      <c r="AI47">
        <f t="shared" si="0"/>
        <v>0</v>
      </c>
    </row>
    <row r="48" spans="35:35" x14ac:dyDescent="0.2">
      <c r="AI48">
        <f t="shared" si="0"/>
        <v>0</v>
      </c>
    </row>
    <row r="49" spans="35:35" x14ac:dyDescent="0.2">
      <c r="AI49">
        <f t="shared" si="0"/>
        <v>0</v>
      </c>
    </row>
    <row r="50" spans="35:35" x14ac:dyDescent="0.2">
      <c r="AI50">
        <f t="shared" si="0"/>
        <v>0</v>
      </c>
    </row>
    <row r="51" spans="35:35" x14ac:dyDescent="0.2">
      <c r="AI51">
        <f t="shared" si="0"/>
        <v>0</v>
      </c>
    </row>
    <row r="52" spans="35:35" x14ac:dyDescent="0.2">
      <c r="AI52">
        <f t="shared" si="0"/>
        <v>0</v>
      </c>
    </row>
    <row r="53" spans="35:35" x14ac:dyDescent="0.2">
      <c r="AI53">
        <f t="shared" si="0"/>
        <v>0</v>
      </c>
    </row>
    <row r="54" spans="35:35" x14ac:dyDescent="0.2">
      <c r="AI54">
        <f t="shared" si="0"/>
        <v>0</v>
      </c>
    </row>
    <row r="55" spans="35:35" x14ac:dyDescent="0.2">
      <c r="AI55">
        <f t="shared" si="0"/>
        <v>0</v>
      </c>
    </row>
    <row r="56" spans="35:35" x14ac:dyDescent="0.2">
      <c r="AI56">
        <f t="shared" si="0"/>
        <v>0</v>
      </c>
    </row>
    <row r="57" spans="35:35" x14ac:dyDescent="0.2">
      <c r="AI57">
        <f t="shared" si="0"/>
        <v>0</v>
      </c>
    </row>
    <row r="58" spans="35:35" x14ac:dyDescent="0.2">
      <c r="AI58">
        <f t="shared" si="0"/>
        <v>0</v>
      </c>
    </row>
    <row r="59" spans="35:35" x14ac:dyDescent="0.2">
      <c r="AI59">
        <f t="shared" si="0"/>
        <v>0</v>
      </c>
    </row>
    <row r="60" spans="35:35" x14ac:dyDescent="0.2">
      <c r="AI60">
        <f t="shared" si="0"/>
        <v>0</v>
      </c>
    </row>
    <row r="61" spans="35:35" x14ac:dyDescent="0.2">
      <c r="AI61">
        <f t="shared" si="0"/>
        <v>0</v>
      </c>
    </row>
    <row r="62" spans="35:35" x14ac:dyDescent="0.2">
      <c r="AI62">
        <f t="shared" si="0"/>
        <v>0</v>
      </c>
    </row>
    <row r="63" spans="35:35" x14ac:dyDescent="0.2">
      <c r="AI63">
        <f t="shared" si="0"/>
        <v>0</v>
      </c>
    </row>
    <row r="64" spans="35:35" x14ac:dyDescent="0.2">
      <c r="AI64">
        <f t="shared" si="0"/>
        <v>0</v>
      </c>
    </row>
    <row r="65" spans="35:35" x14ac:dyDescent="0.2">
      <c r="AI65">
        <f t="shared" si="0"/>
        <v>0</v>
      </c>
    </row>
    <row r="66" spans="35:35" x14ac:dyDescent="0.2">
      <c r="AI66">
        <f t="shared" si="0"/>
        <v>0</v>
      </c>
    </row>
    <row r="67" spans="35:35" x14ac:dyDescent="0.2">
      <c r="AI67">
        <f t="shared" si="0"/>
        <v>0</v>
      </c>
    </row>
    <row r="68" spans="35:35" x14ac:dyDescent="0.2">
      <c r="AI68">
        <f t="shared" si="0"/>
        <v>0</v>
      </c>
    </row>
    <row r="69" spans="35:35" x14ac:dyDescent="0.2">
      <c r="AI69">
        <f t="shared" si="0"/>
        <v>0</v>
      </c>
    </row>
    <row r="70" spans="35:35" x14ac:dyDescent="0.2">
      <c r="AI70">
        <f t="shared" ref="AI70:AI133" si="2">COUNTA($B70:$AF70)</f>
        <v>0</v>
      </c>
    </row>
    <row r="71" spans="35:35" x14ac:dyDescent="0.2">
      <c r="AI71">
        <f t="shared" si="2"/>
        <v>0</v>
      </c>
    </row>
    <row r="72" spans="35:35" x14ac:dyDescent="0.2">
      <c r="AI72">
        <f t="shared" si="2"/>
        <v>0</v>
      </c>
    </row>
    <row r="73" spans="35:35" x14ac:dyDescent="0.2">
      <c r="AI73">
        <f t="shared" si="2"/>
        <v>0</v>
      </c>
    </row>
    <row r="74" spans="35:35" x14ac:dyDescent="0.2">
      <c r="AI74">
        <f t="shared" si="2"/>
        <v>0</v>
      </c>
    </row>
    <row r="75" spans="35:35" x14ac:dyDescent="0.2">
      <c r="AI75">
        <f t="shared" si="2"/>
        <v>0</v>
      </c>
    </row>
    <row r="76" spans="35:35" x14ac:dyDescent="0.2">
      <c r="AI76">
        <f t="shared" si="2"/>
        <v>0</v>
      </c>
    </row>
    <row r="77" spans="35:35" x14ac:dyDescent="0.2">
      <c r="AI77">
        <f t="shared" si="2"/>
        <v>0</v>
      </c>
    </row>
    <row r="78" spans="35:35" x14ac:dyDescent="0.2">
      <c r="AI78">
        <f t="shared" si="2"/>
        <v>0</v>
      </c>
    </row>
    <row r="79" spans="35:35" x14ac:dyDescent="0.2">
      <c r="AI79">
        <f t="shared" si="2"/>
        <v>0</v>
      </c>
    </row>
    <row r="80" spans="35:35" x14ac:dyDescent="0.2">
      <c r="AI80">
        <f t="shared" si="2"/>
        <v>0</v>
      </c>
    </row>
    <row r="81" spans="35:35" x14ac:dyDescent="0.2">
      <c r="AI81">
        <f t="shared" si="2"/>
        <v>0</v>
      </c>
    </row>
    <row r="82" spans="35:35" x14ac:dyDescent="0.2">
      <c r="AI82">
        <f t="shared" si="2"/>
        <v>0</v>
      </c>
    </row>
    <row r="83" spans="35:35" x14ac:dyDescent="0.2">
      <c r="AI83">
        <f t="shared" si="2"/>
        <v>0</v>
      </c>
    </row>
    <row r="84" spans="35:35" x14ac:dyDescent="0.2">
      <c r="AI84">
        <f t="shared" si="2"/>
        <v>0</v>
      </c>
    </row>
    <row r="85" spans="35:35" x14ac:dyDescent="0.2">
      <c r="AI85">
        <f t="shared" si="2"/>
        <v>0</v>
      </c>
    </row>
    <row r="86" spans="35:35" x14ac:dyDescent="0.2">
      <c r="AI86">
        <f t="shared" si="2"/>
        <v>0</v>
      </c>
    </row>
    <row r="87" spans="35:35" x14ac:dyDescent="0.2">
      <c r="AI87">
        <f t="shared" si="2"/>
        <v>0</v>
      </c>
    </row>
    <row r="88" spans="35:35" x14ac:dyDescent="0.2">
      <c r="AI88">
        <f t="shared" si="2"/>
        <v>0</v>
      </c>
    </row>
    <row r="89" spans="35:35" x14ac:dyDescent="0.2">
      <c r="AI89">
        <f t="shared" si="2"/>
        <v>0</v>
      </c>
    </row>
    <row r="90" spans="35:35" x14ac:dyDescent="0.2">
      <c r="AI90">
        <f t="shared" si="2"/>
        <v>0</v>
      </c>
    </row>
    <row r="91" spans="35:35" x14ac:dyDescent="0.2">
      <c r="AI91">
        <f t="shared" si="2"/>
        <v>0</v>
      </c>
    </row>
    <row r="92" spans="35:35" x14ac:dyDescent="0.2">
      <c r="AI92">
        <f t="shared" si="2"/>
        <v>0</v>
      </c>
    </row>
    <row r="93" spans="35:35" x14ac:dyDescent="0.2">
      <c r="AI93">
        <f t="shared" si="2"/>
        <v>0</v>
      </c>
    </row>
    <row r="94" spans="35:35" x14ac:dyDescent="0.2">
      <c r="AI94">
        <f t="shared" si="2"/>
        <v>0</v>
      </c>
    </row>
    <row r="95" spans="35:35" x14ac:dyDescent="0.2">
      <c r="AI95">
        <f t="shared" si="2"/>
        <v>0</v>
      </c>
    </row>
    <row r="96" spans="35:35" x14ac:dyDescent="0.2">
      <c r="AI96">
        <f t="shared" si="2"/>
        <v>0</v>
      </c>
    </row>
    <row r="97" spans="35:35" x14ac:dyDescent="0.2">
      <c r="AI97">
        <f t="shared" si="2"/>
        <v>0</v>
      </c>
    </row>
    <row r="98" spans="35:35" x14ac:dyDescent="0.2">
      <c r="AI98">
        <f t="shared" si="2"/>
        <v>0</v>
      </c>
    </row>
    <row r="99" spans="35:35" x14ac:dyDescent="0.2">
      <c r="AI99">
        <f t="shared" si="2"/>
        <v>0</v>
      </c>
    </row>
    <row r="100" spans="35:35" x14ac:dyDescent="0.2">
      <c r="AI100">
        <f t="shared" si="2"/>
        <v>0</v>
      </c>
    </row>
    <row r="101" spans="35:35" x14ac:dyDescent="0.2">
      <c r="AI101">
        <f t="shared" si="2"/>
        <v>0</v>
      </c>
    </row>
    <row r="102" spans="35:35" x14ac:dyDescent="0.2">
      <c r="AI102">
        <f t="shared" si="2"/>
        <v>0</v>
      </c>
    </row>
    <row r="103" spans="35:35" x14ac:dyDescent="0.2">
      <c r="AI103">
        <f t="shared" si="2"/>
        <v>0</v>
      </c>
    </row>
    <row r="104" spans="35:35" x14ac:dyDescent="0.2">
      <c r="AI104">
        <f t="shared" si="2"/>
        <v>0</v>
      </c>
    </row>
    <row r="105" spans="35:35" x14ac:dyDescent="0.2">
      <c r="AI105">
        <f t="shared" si="2"/>
        <v>0</v>
      </c>
    </row>
    <row r="106" spans="35:35" x14ac:dyDescent="0.2">
      <c r="AI106">
        <f t="shared" si="2"/>
        <v>0</v>
      </c>
    </row>
    <row r="107" spans="35:35" x14ac:dyDescent="0.2">
      <c r="AI107">
        <f t="shared" si="2"/>
        <v>0</v>
      </c>
    </row>
    <row r="108" spans="35:35" x14ac:dyDescent="0.2">
      <c r="AI108">
        <f t="shared" si="2"/>
        <v>0</v>
      </c>
    </row>
    <row r="109" spans="35:35" x14ac:dyDescent="0.2">
      <c r="AI109">
        <f t="shared" si="2"/>
        <v>0</v>
      </c>
    </row>
    <row r="110" spans="35:35" x14ac:dyDescent="0.2">
      <c r="AI110">
        <f t="shared" si="2"/>
        <v>0</v>
      </c>
    </row>
    <row r="111" spans="35:35" x14ac:dyDescent="0.2">
      <c r="AI111">
        <f t="shared" si="2"/>
        <v>0</v>
      </c>
    </row>
    <row r="112" spans="35:35" x14ac:dyDescent="0.2">
      <c r="AI112">
        <f t="shared" si="2"/>
        <v>0</v>
      </c>
    </row>
    <row r="113" spans="35:35" x14ac:dyDescent="0.2">
      <c r="AI113">
        <f t="shared" si="2"/>
        <v>0</v>
      </c>
    </row>
    <row r="114" spans="35:35" x14ac:dyDescent="0.2">
      <c r="AI114">
        <f t="shared" si="2"/>
        <v>0</v>
      </c>
    </row>
    <row r="115" spans="35:35" x14ac:dyDescent="0.2">
      <c r="AI115">
        <f t="shared" si="2"/>
        <v>0</v>
      </c>
    </row>
    <row r="116" spans="35:35" x14ac:dyDescent="0.2">
      <c r="AI116">
        <f t="shared" si="2"/>
        <v>0</v>
      </c>
    </row>
    <row r="117" spans="35:35" x14ac:dyDescent="0.2">
      <c r="AI117">
        <f t="shared" si="2"/>
        <v>0</v>
      </c>
    </row>
    <row r="118" spans="35:35" x14ac:dyDescent="0.2">
      <c r="AI118">
        <f t="shared" si="2"/>
        <v>0</v>
      </c>
    </row>
    <row r="119" spans="35:35" x14ac:dyDescent="0.2">
      <c r="AI119">
        <f t="shared" si="2"/>
        <v>0</v>
      </c>
    </row>
    <row r="120" spans="35:35" x14ac:dyDescent="0.2">
      <c r="AI120">
        <f t="shared" si="2"/>
        <v>0</v>
      </c>
    </row>
    <row r="121" spans="35:35" x14ac:dyDescent="0.2">
      <c r="AI121">
        <f t="shared" si="2"/>
        <v>0</v>
      </c>
    </row>
    <row r="122" spans="35:35" x14ac:dyDescent="0.2">
      <c r="AI122">
        <f t="shared" si="2"/>
        <v>0</v>
      </c>
    </row>
    <row r="123" spans="35:35" x14ac:dyDescent="0.2">
      <c r="AI123">
        <f t="shared" si="2"/>
        <v>0</v>
      </c>
    </row>
    <row r="124" spans="35:35" x14ac:dyDescent="0.2">
      <c r="AI124">
        <f t="shared" si="2"/>
        <v>0</v>
      </c>
    </row>
    <row r="125" spans="35:35" x14ac:dyDescent="0.2">
      <c r="AI125">
        <f t="shared" si="2"/>
        <v>0</v>
      </c>
    </row>
    <row r="126" spans="35:35" x14ac:dyDescent="0.2">
      <c r="AI126">
        <f t="shared" si="2"/>
        <v>0</v>
      </c>
    </row>
    <row r="127" spans="35:35" x14ac:dyDescent="0.2">
      <c r="AI127">
        <f t="shared" si="2"/>
        <v>0</v>
      </c>
    </row>
    <row r="128" spans="35:35" x14ac:dyDescent="0.2">
      <c r="AI128">
        <f t="shared" si="2"/>
        <v>0</v>
      </c>
    </row>
    <row r="129" spans="35:35" x14ac:dyDescent="0.2">
      <c r="AI129">
        <f t="shared" si="2"/>
        <v>0</v>
      </c>
    </row>
    <row r="130" spans="35:35" x14ac:dyDescent="0.2">
      <c r="AI130">
        <f t="shared" si="2"/>
        <v>0</v>
      </c>
    </row>
    <row r="131" spans="35:35" x14ac:dyDescent="0.2">
      <c r="AI131">
        <f t="shared" si="2"/>
        <v>0</v>
      </c>
    </row>
    <row r="132" spans="35:35" x14ac:dyDescent="0.2">
      <c r="AI132">
        <f t="shared" si="2"/>
        <v>0</v>
      </c>
    </row>
    <row r="133" spans="35:35" x14ac:dyDescent="0.2">
      <c r="AI133">
        <f t="shared" si="2"/>
        <v>0</v>
      </c>
    </row>
    <row r="134" spans="35:35" x14ac:dyDescent="0.2">
      <c r="AI134">
        <f t="shared" ref="AI134:AI197" si="3">COUNTA($B134:$AF134)</f>
        <v>0</v>
      </c>
    </row>
    <row r="135" spans="35:35" x14ac:dyDescent="0.2">
      <c r="AI135">
        <f t="shared" si="3"/>
        <v>0</v>
      </c>
    </row>
    <row r="136" spans="35:35" x14ac:dyDescent="0.2">
      <c r="AI136">
        <f t="shared" si="3"/>
        <v>0</v>
      </c>
    </row>
    <row r="137" spans="35:35" x14ac:dyDescent="0.2">
      <c r="AI137">
        <f t="shared" si="3"/>
        <v>0</v>
      </c>
    </row>
    <row r="138" spans="35:35" x14ac:dyDescent="0.2">
      <c r="AI138">
        <f t="shared" si="3"/>
        <v>0</v>
      </c>
    </row>
    <row r="139" spans="35:35" x14ac:dyDescent="0.2">
      <c r="AI139">
        <f t="shared" si="3"/>
        <v>0</v>
      </c>
    </row>
    <row r="140" spans="35:35" x14ac:dyDescent="0.2">
      <c r="AI140">
        <f t="shared" si="3"/>
        <v>0</v>
      </c>
    </row>
    <row r="141" spans="35:35" x14ac:dyDescent="0.2">
      <c r="AI141">
        <f t="shared" si="3"/>
        <v>0</v>
      </c>
    </row>
    <row r="142" spans="35:35" x14ac:dyDescent="0.2">
      <c r="AI142">
        <f t="shared" si="3"/>
        <v>0</v>
      </c>
    </row>
    <row r="143" spans="35:35" x14ac:dyDescent="0.2">
      <c r="AI143">
        <f t="shared" si="3"/>
        <v>0</v>
      </c>
    </row>
    <row r="144" spans="35:35" x14ac:dyDescent="0.2">
      <c r="AI144">
        <f t="shared" si="3"/>
        <v>0</v>
      </c>
    </row>
    <row r="145" spans="35:35" x14ac:dyDescent="0.2">
      <c r="AI145">
        <f t="shared" si="3"/>
        <v>0</v>
      </c>
    </row>
    <row r="146" spans="35:35" x14ac:dyDescent="0.2">
      <c r="AI146">
        <f t="shared" si="3"/>
        <v>0</v>
      </c>
    </row>
    <row r="147" spans="35:35" x14ac:dyDescent="0.2">
      <c r="AI147">
        <f t="shared" si="3"/>
        <v>0</v>
      </c>
    </row>
    <row r="148" spans="35:35" x14ac:dyDescent="0.2">
      <c r="AI148">
        <f t="shared" si="3"/>
        <v>0</v>
      </c>
    </row>
    <row r="149" spans="35:35" x14ac:dyDescent="0.2">
      <c r="AI149">
        <f t="shared" si="3"/>
        <v>0</v>
      </c>
    </row>
    <row r="150" spans="35:35" x14ac:dyDescent="0.2">
      <c r="AI150">
        <f t="shared" si="3"/>
        <v>0</v>
      </c>
    </row>
    <row r="151" spans="35:35" x14ac:dyDescent="0.2">
      <c r="AI151">
        <f t="shared" si="3"/>
        <v>0</v>
      </c>
    </row>
    <row r="152" spans="35:35" x14ac:dyDescent="0.2">
      <c r="AI152">
        <f t="shared" si="3"/>
        <v>0</v>
      </c>
    </row>
    <row r="153" spans="35:35" x14ac:dyDescent="0.2">
      <c r="AI153">
        <f t="shared" si="3"/>
        <v>0</v>
      </c>
    </row>
    <row r="154" spans="35:35" x14ac:dyDescent="0.2">
      <c r="AI154">
        <f t="shared" si="3"/>
        <v>0</v>
      </c>
    </row>
    <row r="155" spans="35:35" x14ac:dyDescent="0.2">
      <c r="AI155">
        <f t="shared" si="3"/>
        <v>0</v>
      </c>
    </row>
    <row r="156" spans="35:35" x14ac:dyDescent="0.2">
      <c r="AI156">
        <f t="shared" si="3"/>
        <v>0</v>
      </c>
    </row>
    <row r="157" spans="35:35" x14ac:dyDescent="0.2">
      <c r="AI157">
        <f t="shared" si="3"/>
        <v>0</v>
      </c>
    </row>
    <row r="158" spans="35:35" x14ac:dyDescent="0.2">
      <c r="AI158">
        <f t="shared" si="3"/>
        <v>0</v>
      </c>
    </row>
    <row r="159" spans="35:35" x14ac:dyDescent="0.2">
      <c r="AI159">
        <f t="shared" si="3"/>
        <v>0</v>
      </c>
    </row>
    <row r="160" spans="35:35" x14ac:dyDescent="0.2">
      <c r="AI160">
        <f t="shared" si="3"/>
        <v>0</v>
      </c>
    </row>
    <row r="161" spans="35:35" x14ac:dyDescent="0.2">
      <c r="AI161">
        <f t="shared" si="3"/>
        <v>0</v>
      </c>
    </row>
    <row r="162" spans="35:35" x14ac:dyDescent="0.2">
      <c r="AI162">
        <f t="shared" si="3"/>
        <v>0</v>
      </c>
    </row>
    <row r="163" spans="35:35" x14ac:dyDescent="0.2">
      <c r="AI163">
        <f t="shared" si="3"/>
        <v>0</v>
      </c>
    </row>
    <row r="164" spans="35:35" x14ac:dyDescent="0.2">
      <c r="AI164">
        <f t="shared" si="3"/>
        <v>0</v>
      </c>
    </row>
    <row r="165" spans="35:35" x14ac:dyDescent="0.2">
      <c r="AI165">
        <f t="shared" si="3"/>
        <v>0</v>
      </c>
    </row>
    <row r="166" spans="35:35" x14ac:dyDescent="0.2">
      <c r="AI166">
        <f t="shared" si="3"/>
        <v>0</v>
      </c>
    </row>
    <row r="167" spans="35:35" x14ac:dyDescent="0.2">
      <c r="AI167">
        <f t="shared" si="3"/>
        <v>0</v>
      </c>
    </row>
    <row r="168" spans="35:35" x14ac:dyDescent="0.2">
      <c r="AI168">
        <f t="shared" si="3"/>
        <v>0</v>
      </c>
    </row>
    <row r="169" spans="35:35" x14ac:dyDescent="0.2">
      <c r="AI169">
        <f t="shared" si="3"/>
        <v>0</v>
      </c>
    </row>
    <row r="170" spans="35:35" x14ac:dyDescent="0.2">
      <c r="AI170">
        <f t="shared" si="3"/>
        <v>0</v>
      </c>
    </row>
    <row r="171" spans="35:35" x14ac:dyDescent="0.2">
      <c r="AI171">
        <f t="shared" si="3"/>
        <v>0</v>
      </c>
    </row>
    <row r="172" spans="35:35" x14ac:dyDescent="0.2">
      <c r="AI172">
        <f t="shared" si="3"/>
        <v>0</v>
      </c>
    </row>
    <row r="173" spans="35:35" x14ac:dyDescent="0.2">
      <c r="AI173">
        <f t="shared" si="3"/>
        <v>0</v>
      </c>
    </row>
    <row r="174" spans="35:35" x14ac:dyDescent="0.2">
      <c r="AI174">
        <f t="shared" si="3"/>
        <v>0</v>
      </c>
    </row>
    <row r="175" spans="35:35" x14ac:dyDescent="0.2">
      <c r="AI175">
        <f t="shared" si="3"/>
        <v>0</v>
      </c>
    </row>
    <row r="176" spans="35:35" x14ac:dyDescent="0.2">
      <c r="AI176">
        <f t="shared" si="3"/>
        <v>0</v>
      </c>
    </row>
    <row r="177" spans="35:35" x14ac:dyDescent="0.2">
      <c r="AI177">
        <f t="shared" si="3"/>
        <v>0</v>
      </c>
    </row>
    <row r="178" spans="35:35" x14ac:dyDescent="0.2">
      <c r="AI178">
        <f t="shared" si="3"/>
        <v>0</v>
      </c>
    </row>
    <row r="179" spans="35:35" x14ac:dyDescent="0.2">
      <c r="AI179">
        <f t="shared" si="3"/>
        <v>0</v>
      </c>
    </row>
    <row r="180" spans="35:35" x14ac:dyDescent="0.2">
      <c r="AI180">
        <f t="shared" si="3"/>
        <v>0</v>
      </c>
    </row>
    <row r="181" spans="35:35" x14ac:dyDescent="0.2">
      <c r="AI181">
        <f t="shared" si="3"/>
        <v>0</v>
      </c>
    </row>
    <row r="182" spans="35:35" x14ac:dyDescent="0.2">
      <c r="AI182">
        <f t="shared" si="3"/>
        <v>0</v>
      </c>
    </row>
    <row r="183" spans="35:35" x14ac:dyDescent="0.2">
      <c r="AI183">
        <f t="shared" si="3"/>
        <v>0</v>
      </c>
    </row>
    <row r="184" spans="35:35" x14ac:dyDescent="0.2">
      <c r="AI184">
        <f t="shared" si="3"/>
        <v>0</v>
      </c>
    </row>
    <row r="185" spans="35:35" x14ac:dyDescent="0.2">
      <c r="AI185">
        <f t="shared" si="3"/>
        <v>0</v>
      </c>
    </row>
    <row r="186" spans="35:35" x14ac:dyDescent="0.2">
      <c r="AI186">
        <f t="shared" si="3"/>
        <v>0</v>
      </c>
    </row>
    <row r="187" spans="35:35" x14ac:dyDescent="0.2">
      <c r="AI187">
        <f t="shared" si="3"/>
        <v>0</v>
      </c>
    </row>
    <row r="188" spans="35:35" x14ac:dyDescent="0.2">
      <c r="AI188">
        <f t="shared" si="3"/>
        <v>0</v>
      </c>
    </row>
    <row r="189" spans="35:35" x14ac:dyDescent="0.2">
      <c r="AI189">
        <f t="shared" si="3"/>
        <v>0</v>
      </c>
    </row>
    <row r="190" spans="35:35" x14ac:dyDescent="0.2">
      <c r="AI190">
        <f t="shared" si="3"/>
        <v>0</v>
      </c>
    </row>
    <row r="191" spans="35:35" x14ac:dyDescent="0.2">
      <c r="AI191">
        <f t="shared" si="3"/>
        <v>0</v>
      </c>
    </row>
    <row r="192" spans="35:35" x14ac:dyDescent="0.2">
      <c r="AI192">
        <f t="shared" si="3"/>
        <v>0</v>
      </c>
    </row>
    <row r="193" spans="35:35" x14ac:dyDescent="0.2">
      <c r="AI193">
        <f t="shared" si="3"/>
        <v>0</v>
      </c>
    </row>
    <row r="194" spans="35:35" x14ac:dyDescent="0.2">
      <c r="AI194">
        <f t="shared" si="3"/>
        <v>0</v>
      </c>
    </row>
    <row r="195" spans="35:35" x14ac:dyDescent="0.2">
      <c r="AI195">
        <f t="shared" si="3"/>
        <v>0</v>
      </c>
    </row>
    <row r="196" spans="35:35" x14ac:dyDescent="0.2">
      <c r="AI196">
        <f t="shared" si="3"/>
        <v>0</v>
      </c>
    </row>
    <row r="197" spans="35:35" x14ac:dyDescent="0.2">
      <c r="AI197">
        <f t="shared" si="3"/>
        <v>0</v>
      </c>
    </row>
    <row r="198" spans="35:35" x14ac:dyDescent="0.2">
      <c r="AI198">
        <f t="shared" ref="AI198:AI261" si="4">COUNTA($B198:$AF198)</f>
        <v>0</v>
      </c>
    </row>
    <row r="199" spans="35:35" x14ac:dyDescent="0.2">
      <c r="AI199">
        <f t="shared" si="4"/>
        <v>0</v>
      </c>
    </row>
    <row r="200" spans="35:35" x14ac:dyDescent="0.2">
      <c r="AI200">
        <f t="shared" si="4"/>
        <v>0</v>
      </c>
    </row>
    <row r="201" spans="35:35" x14ac:dyDescent="0.2">
      <c r="AI201">
        <f t="shared" si="4"/>
        <v>0</v>
      </c>
    </row>
    <row r="202" spans="35:35" x14ac:dyDescent="0.2">
      <c r="AI202">
        <f t="shared" si="4"/>
        <v>0</v>
      </c>
    </row>
    <row r="203" spans="35:35" x14ac:dyDescent="0.2">
      <c r="AI203">
        <f t="shared" si="4"/>
        <v>0</v>
      </c>
    </row>
    <row r="204" spans="35:35" x14ac:dyDescent="0.2">
      <c r="AI204">
        <f t="shared" si="4"/>
        <v>0</v>
      </c>
    </row>
    <row r="205" spans="35:35" x14ac:dyDescent="0.2">
      <c r="AI205">
        <f t="shared" si="4"/>
        <v>0</v>
      </c>
    </row>
    <row r="206" spans="35:35" x14ac:dyDescent="0.2">
      <c r="AI206">
        <f t="shared" si="4"/>
        <v>0</v>
      </c>
    </row>
    <row r="207" spans="35:35" x14ac:dyDescent="0.2">
      <c r="AI207">
        <f t="shared" si="4"/>
        <v>0</v>
      </c>
    </row>
    <row r="208" spans="35:35" x14ac:dyDescent="0.2">
      <c r="AI208">
        <f t="shared" si="4"/>
        <v>0</v>
      </c>
    </row>
    <row r="209" spans="35:35" x14ac:dyDescent="0.2">
      <c r="AI209">
        <f t="shared" si="4"/>
        <v>0</v>
      </c>
    </row>
    <row r="210" spans="35:35" x14ac:dyDescent="0.2">
      <c r="AI210">
        <f t="shared" si="4"/>
        <v>0</v>
      </c>
    </row>
    <row r="211" spans="35:35" x14ac:dyDescent="0.2">
      <c r="AI211">
        <f t="shared" si="4"/>
        <v>0</v>
      </c>
    </row>
    <row r="212" spans="35:35" x14ac:dyDescent="0.2">
      <c r="AI212">
        <f t="shared" si="4"/>
        <v>0</v>
      </c>
    </row>
    <row r="213" spans="35:35" x14ac:dyDescent="0.2">
      <c r="AI213">
        <f t="shared" si="4"/>
        <v>0</v>
      </c>
    </row>
    <row r="214" spans="35:35" x14ac:dyDescent="0.2">
      <c r="AI214">
        <f t="shared" si="4"/>
        <v>0</v>
      </c>
    </row>
    <row r="215" spans="35:35" x14ac:dyDescent="0.2">
      <c r="AI215">
        <f t="shared" si="4"/>
        <v>0</v>
      </c>
    </row>
    <row r="216" spans="35:35" x14ac:dyDescent="0.2">
      <c r="AI216">
        <f t="shared" si="4"/>
        <v>0</v>
      </c>
    </row>
    <row r="217" spans="35:35" x14ac:dyDescent="0.2">
      <c r="AI217">
        <f t="shared" si="4"/>
        <v>0</v>
      </c>
    </row>
    <row r="218" spans="35:35" x14ac:dyDescent="0.2">
      <c r="AI218">
        <f t="shared" si="4"/>
        <v>0</v>
      </c>
    </row>
    <row r="219" spans="35:35" x14ac:dyDescent="0.2">
      <c r="AI219">
        <f t="shared" si="4"/>
        <v>0</v>
      </c>
    </row>
    <row r="220" spans="35:35" x14ac:dyDescent="0.2">
      <c r="AI220">
        <f t="shared" si="4"/>
        <v>0</v>
      </c>
    </row>
    <row r="221" spans="35:35" x14ac:dyDescent="0.2">
      <c r="AI221">
        <f t="shared" si="4"/>
        <v>0</v>
      </c>
    </row>
    <row r="222" spans="35:35" x14ac:dyDescent="0.2">
      <c r="AI222">
        <f t="shared" si="4"/>
        <v>0</v>
      </c>
    </row>
    <row r="223" spans="35:35" x14ac:dyDescent="0.2">
      <c r="AI223">
        <f t="shared" si="4"/>
        <v>0</v>
      </c>
    </row>
    <row r="224" spans="35:35" x14ac:dyDescent="0.2">
      <c r="AI224">
        <f t="shared" si="4"/>
        <v>0</v>
      </c>
    </row>
    <row r="225" spans="35:35" x14ac:dyDescent="0.2">
      <c r="AI225">
        <f t="shared" si="4"/>
        <v>0</v>
      </c>
    </row>
    <row r="226" spans="35:35" x14ac:dyDescent="0.2">
      <c r="AI226">
        <f t="shared" si="4"/>
        <v>0</v>
      </c>
    </row>
    <row r="227" spans="35:35" x14ac:dyDescent="0.2">
      <c r="AI227">
        <f t="shared" si="4"/>
        <v>0</v>
      </c>
    </row>
    <row r="228" spans="35:35" x14ac:dyDescent="0.2">
      <c r="AI228">
        <f t="shared" si="4"/>
        <v>0</v>
      </c>
    </row>
    <row r="229" spans="35:35" x14ac:dyDescent="0.2">
      <c r="AI229">
        <f t="shared" si="4"/>
        <v>0</v>
      </c>
    </row>
    <row r="230" spans="35:35" x14ac:dyDescent="0.2">
      <c r="AI230">
        <f t="shared" si="4"/>
        <v>0</v>
      </c>
    </row>
    <row r="231" spans="35:35" x14ac:dyDescent="0.2">
      <c r="AI231">
        <f t="shared" si="4"/>
        <v>0</v>
      </c>
    </row>
    <row r="232" spans="35:35" x14ac:dyDescent="0.2">
      <c r="AI232">
        <f t="shared" si="4"/>
        <v>0</v>
      </c>
    </row>
    <row r="233" spans="35:35" x14ac:dyDescent="0.2">
      <c r="AI233">
        <f t="shared" si="4"/>
        <v>0</v>
      </c>
    </row>
    <row r="234" spans="35:35" x14ac:dyDescent="0.2">
      <c r="AI234">
        <f t="shared" si="4"/>
        <v>0</v>
      </c>
    </row>
    <row r="235" spans="35:35" x14ac:dyDescent="0.2">
      <c r="AI235">
        <f t="shared" si="4"/>
        <v>0</v>
      </c>
    </row>
    <row r="236" spans="35:35" x14ac:dyDescent="0.2">
      <c r="AI236">
        <f t="shared" si="4"/>
        <v>0</v>
      </c>
    </row>
    <row r="237" spans="35:35" x14ac:dyDescent="0.2">
      <c r="AI237">
        <f t="shared" si="4"/>
        <v>0</v>
      </c>
    </row>
    <row r="238" spans="35:35" x14ac:dyDescent="0.2">
      <c r="AI238">
        <f t="shared" si="4"/>
        <v>0</v>
      </c>
    </row>
    <row r="239" spans="35:35" x14ac:dyDescent="0.2">
      <c r="AI239">
        <f t="shared" si="4"/>
        <v>0</v>
      </c>
    </row>
    <row r="240" spans="35:35" x14ac:dyDescent="0.2">
      <c r="AI240">
        <f t="shared" si="4"/>
        <v>0</v>
      </c>
    </row>
    <row r="241" spans="35:35" x14ac:dyDescent="0.2">
      <c r="AI241">
        <f t="shared" si="4"/>
        <v>0</v>
      </c>
    </row>
    <row r="242" spans="35:35" x14ac:dyDescent="0.2">
      <c r="AI242">
        <f t="shared" si="4"/>
        <v>0</v>
      </c>
    </row>
    <row r="243" spans="35:35" x14ac:dyDescent="0.2">
      <c r="AI243">
        <f t="shared" si="4"/>
        <v>0</v>
      </c>
    </row>
    <row r="244" spans="35:35" x14ac:dyDescent="0.2">
      <c r="AI244">
        <f t="shared" si="4"/>
        <v>0</v>
      </c>
    </row>
    <row r="245" spans="35:35" x14ac:dyDescent="0.2">
      <c r="AI245">
        <f t="shared" si="4"/>
        <v>0</v>
      </c>
    </row>
    <row r="246" spans="35:35" x14ac:dyDescent="0.2">
      <c r="AI246">
        <f t="shared" si="4"/>
        <v>0</v>
      </c>
    </row>
    <row r="247" spans="35:35" x14ac:dyDescent="0.2">
      <c r="AI247">
        <f t="shared" si="4"/>
        <v>0</v>
      </c>
    </row>
    <row r="248" spans="35:35" x14ac:dyDescent="0.2">
      <c r="AI248">
        <f t="shared" si="4"/>
        <v>0</v>
      </c>
    </row>
    <row r="249" spans="35:35" x14ac:dyDescent="0.2">
      <c r="AI249">
        <f t="shared" si="4"/>
        <v>0</v>
      </c>
    </row>
    <row r="250" spans="35:35" x14ac:dyDescent="0.2">
      <c r="AI250">
        <f t="shared" si="4"/>
        <v>0</v>
      </c>
    </row>
    <row r="251" spans="35:35" x14ac:dyDescent="0.2">
      <c r="AI251">
        <f t="shared" si="4"/>
        <v>0</v>
      </c>
    </row>
    <row r="252" spans="35:35" x14ac:dyDescent="0.2">
      <c r="AI252">
        <f t="shared" si="4"/>
        <v>0</v>
      </c>
    </row>
    <row r="253" spans="35:35" x14ac:dyDescent="0.2">
      <c r="AI253">
        <f t="shared" si="4"/>
        <v>0</v>
      </c>
    </row>
    <row r="254" spans="35:35" x14ac:dyDescent="0.2">
      <c r="AI254">
        <f t="shared" si="4"/>
        <v>0</v>
      </c>
    </row>
    <row r="255" spans="35:35" x14ac:dyDescent="0.2">
      <c r="AI255">
        <f t="shared" si="4"/>
        <v>0</v>
      </c>
    </row>
    <row r="256" spans="35:35" x14ac:dyDescent="0.2">
      <c r="AI256">
        <f t="shared" si="4"/>
        <v>0</v>
      </c>
    </row>
    <row r="257" spans="35:35" x14ac:dyDescent="0.2">
      <c r="AI257">
        <f t="shared" si="4"/>
        <v>0</v>
      </c>
    </row>
    <row r="258" spans="35:35" x14ac:dyDescent="0.2">
      <c r="AI258">
        <f t="shared" si="4"/>
        <v>0</v>
      </c>
    </row>
    <row r="259" spans="35:35" x14ac:dyDescent="0.2">
      <c r="AI259">
        <f t="shared" si="4"/>
        <v>0</v>
      </c>
    </row>
    <row r="260" spans="35:35" x14ac:dyDescent="0.2">
      <c r="AI260">
        <f t="shared" si="4"/>
        <v>0</v>
      </c>
    </row>
    <row r="261" spans="35:35" x14ac:dyDescent="0.2">
      <c r="AI261">
        <f t="shared" si="4"/>
        <v>0</v>
      </c>
    </row>
    <row r="262" spans="35:35" x14ac:dyDescent="0.2">
      <c r="AI262">
        <f t="shared" ref="AI262:AI325" si="5">COUNTA($B262:$AF262)</f>
        <v>0</v>
      </c>
    </row>
    <row r="263" spans="35:35" x14ac:dyDescent="0.2">
      <c r="AI263">
        <f t="shared" si="5"/>
        <v>0</v>
      </c>
    </row>
    <row r="264" spans="35:35" x14ac:dyDescent="0.2">
      <c r="AI264">
        <f t="shared" si="5"/>
        <v>0</v>
      </c>
    </row>
    <row r="265" spans="35:35" x14ac:dyDescent="0.2">
      <c r="AI265">
        <f t="shared" si="5"/>
        <v>0</v>
      </c>
    </row>
    <row r="266" spans="35:35" x14ac:dyDescent="0.2">
      <c r="AI266">
        <f t="shared" si="5"/>
        <v>0</v>
      </c>
    </row>
    <row r="267" spans="35:35" x14ac:dyDescent="0.2">
      <c r="AI267">
        <f t="shared" si="5"/>
        <v>0</v>
      </c>
    </row>
    <row r="268" spans="35:35" x14ac:dyDescent="0.2">
      <c r="AI268">
        <f t="shared" si="5"/>
        <v>0</v>
      </c>
    </row>
    <row r="269" spans="35:35" x14ac:dyDescent="0.2">
      <c r="AI269">
        <f t="shared" si="5"/>
        <v>0</v>
      </c>
    </row>
    <row r="270" spans="35:35" x14ac:dyDescent="0.2">
      <c r="AI270">
        <f t="shared" si="5"/>
        <v>0</v>
      </c>
    </row>
    <row r="271" spans="35:35" x14ac:dyDescent="0.2">
      <c r="AI271">
        <f t="shared" si="5"/>
        <v>0</v>
      </c>
    </row>
    <row r="272" spans="35:35" x14ac:dyDescent="0.2">
      <c r="AI272">
        <f t="shared" si="5"/>
        <v>0</v>
      </c>
    </row>
    <row r="273" spans="35:35" x14ac:dyDescent="0.2">
      <c r="AI273">
        <f t="shared" si="5"/>
        <v>0</v>
      </c>
    </row>
    <row r="274" spans="35:35" x14ac:dyDescent="0.2">
      <c r="AI274">
        <f t="shared" si="5"/>
        <v>0</v>
      </c>
    </row>
    <row r="275" spans="35:35" x14ac:dyDescent="0.2">
      <c r="AI275">
        <f t="shared" si="5"/>
        <v>0</v>
      </c>
    </row>
    <row r="276" spans="35:35" x14ac:dyDescent="0.2">
      <c r="AI276">
        <f t="shared" si="5"/>
        <v>0</v>
      </c>
    </row>
    <row r="277" spans="35:35" x14ac:dyDescent="0.2">
      <c r="AI277">
        <f t="shared" si="5"/>
        <v>0</v>
      </c>
    </row>
    <row r="278" spans="35:35" x14ac:dyDescent="0.2">
      <c r="AI278">
        <f t="shared" si="5"/>
        <v>0</v>
      </c>
    </row>
    <row r="279" spans="35:35" x14ac:dyDescent="0.2">
      <c r="AI279">
        <f t="shared" si="5"/>
        <v>0</v>
      </c>
    </row>
    <row r="280" spans="35:35" x14ac:dyDescent="0.2">
      <c r="AI280">
        <f t="shared" si="5"/>
        <v>0</v>
      </c>
    </row>
    <row r="281" spans="35:35" x14ac:dyDescent="0.2">
      <c r="AI281">
        <f t="shared" si="5"/>
        <v>0</v>
      </c>
    </row>
    <row r="282" spans="35:35" x14ac:dyDescent="0.2">
      <c r="AI282">
        <f t="shared" si="5"/>
        <v>0</v>
      </c>
    </row>
    <row r="283" spans="35:35" x14ac:dyDescent="0.2">
      <c r="AI283">
        <f t="shared" si="5"/>
        <v>0</v>
      </c>
    </row>
    <row r="284" spans="35:35" x14ac:dyDescent="0.2">
      <c r="AI284">
        <f t="shared" si="5"/>
        <v>0</v>
      </c>
    </row>
    <row r="285" spans="35:35" x14ac:dyDescent="0.2">
      <c r="AI285">
        <f t="shared" si="5"/>
        <v>0</v>
      </c>
    </row>
    <row r="286" spans="35:35" x14ac:dyDescent="0.2">
      <c r="AI286">
        <f t="shared" si="5"/>
        <v>0</v>
      </c>
    </row>
    <row r="287" spans="35:35" x14ac:dyDescent="0.2">
      <c r="AI287">
        <f t="shared" si="5"/>
        <v>0</v>
      </c>
    </row>
    <row r="288" spans="35:35" x14ac:dyDescent="0.2">
      <c r="AI288">
        <f t="shared" si="5"/>
        <v>0</v>
      </c>
    </row>
    <row r="289" spans="35:35" x14ac:dyDescent="0.2">
      <c r="AI289">
        <f t="shared" si="5"/>
        <v>0</v>
      </c>
    </row>
    <row r="290" spans="35:35" x14ac:dyDescent="0.2">
      <c r="AI290">
        <f t="shared" si="5"/>
        <v>0</v>
      </c>
    </row>
    <row r="291" spans="35:35" x14ac:dyDescent="0.2">
      <c r="AI291">
        <f t="shared" si="5"/>
        <v>0</v>
      </c>
    </row>
    <row r="292" spans="35:35" x14ac:dyDescent="0.2">
      <c r="AI292">
        <f t="shared" si="5"/>
        <v>0</v>
      </c>
    </row>
    <row r="293" spans="35:35" x14ac:dyDescent="0.2">
      <c r="AI293">
        <f t="shared" si="5"/>
        <v>0</v>
      </c>
    </row>
    <row r="294" spans="35:35" x14ac:dyDescent="0.2">
      <c r="AI294">
        <f t="shared" si="5"/>
        <v>0</v>
      </c>
    </row>
    <row r="295" spans="35:35" x14ac:dyDescent="0.2">
      <c r="AI295">
        <f t="shared" si="5"/>
        <v>0</v>
      </c>
    </row>
    <row r="296" spans="35:35" x14ac:dyDescent="0.2">
      <c r="AI296">
        <f t="shared" si="5"/>
        <v>0</v>
      </c>
    </row>
    <row r="297" spans="35:35" x14ac:dyDescent="0.2">
      <c r="AI297">
        <f t="shared" si="5"/>
        <v>0</v>
      </c>
    </row>
    <row r="298" spans="35:35" x14ac:dyDescent="0.2">
      <c r="AI298">
        <f t="shared" si="5"/>
        <v>0</v>
      </c>
    </row>
    <row r="299" spans="35:35" x14ac:dyDescent="0.2">
      <c r="AI299">
        <f t="shared" si="5"/>
        <v>0</v>
      </c>
    </row>
    <row r="300" spans="35:35" x14ac:dyDescent="0.2">
      <c r="AI300">
        <f t="shared" si="5"/>
        <v>0</v>
      </c>
    </row>
    <row r="301" spans="35:35" x14ac:dyDescent="0.2">
      <c r="AI301">
        <f t="shared" si="5"/>
        <v>0</v>
      </c>
    </row>
    <row r="302" spans="35:35" x14ac:dyDescent="0.2">
      <c r="AI302">
        <f t="shared" si="5"/>
        <v>0</v>
      </c>
    </row>
    <row r="303" spans="35:35" x14ac:dyDescent="0.2">
      <c r="AI303">
        <f t="shared" si="5"/>
        <v>0</v>
      </c>
    </row>
    <row r="304" spans="35:35" x14ac:dyDescent="0.2">
      <c r="AI304">
        <f t="shared" si="5"/>
        <v>0</v>
      </c>
    </row>
    <row r="305" spans="35:35" x14ac:dyDescent="0.2">
      <c r="AI305">
        <f t="shared" si="5"/>
        <v>0</v>
      </c>
    </row>
    <row r="306" spans="35:35" x14ac:dyDescent="0.2">
      <c r="AI306">
        <f t="shared" si="5"/>
        <v>0</v>
      </c>
    </row>
    <row r="307" spans="35:35" x14ac:dyDescent="0.2">
      <c r="AI307">
        <f t="shared" si="5"/>
        <v>0</v>
      </c>
    </row>
    <row r="308" spans="35:35" x14ac:dyDescent="0.2">
      <c r="AI308">
        <f t="shared" si="5"/>
        <v>0</v>
      </c>
    </row>
    <row r="309" spans="35:35" x14ac:dyDescent="0.2">
      <c r="AI309">
        <f t="shared" si="5"/>
        <v>0</v>
      </c>
    </row>
    <row r="310" spans="35:35" x14ac:dyDescent="0.2">
      <c r="AI310">
        <f t="shared" si="5"/>
        <v>0</v>
      </c>
    </row>
    <row r="311" spans="35:35" x14ac:dyDescent="0.2">
      <c r="AI311">
        <f t="shared" si="5"/>
        <v>0</v>
      </c>
    </row>
    <row r="312" spans="35:35" x14ac:dyDescent="0.2">
      <c r="AI312">
        <f t="shared" si="5"/>
        <v>0</v>
      </c>
    </row>
    <row r="313" spans="35:35" x14ac:dyDescent="0.2">
      <c r="AI313">
        <f t="shared" si="5"/>
        <v>0</v>
      </c>
    </row>
    <row r="314" spans="35:35" x14ac:dyDescent="0.2">
      <c r="AI314">
        <f t="shared" si="5"/>
        <v>0</v>
      </c>
    </row>
    <row r="315" spans="35:35" x14ac:dyDescent="0.2">
      <c r="AI315">
        <f t="shared" si="5"/>
        <v>0</v>
      </c>
    </row>
    <row r="316" spans="35:35" x14ac:dyDescent="0.2">
      <c r="AI316">
        <f t="shared" si="5"/>
        <v>0</v>
      </c>
    </row>
    <row r="317" spans="35:35" x14ac:dyDescent="0.2">
      <c r="AI317">
        <f t="shared" si="5"/>
        <v>0</v>
      </c>
    </row>
    <row r="318" spans="35:35" x14ac:dyDescent="0.2">
      <c r="AI318">
        <f t="shared" si="5"/>
        <v>0</v>
      </c>
    </row>
    <row r="319" spans="35:35" x14ac:dyDescent="0.2">
      <c r="AI319">
        <f t="shared" si="5"/>
        <v>0</v>
      </c>
    </row>
    <row r="320" spans="35:35" x14ac:dyDescent="0.2">
      <c r="AI320">
        <f t="shared" si="5"/>
        <v>0</v>
      </c>
    </row>
    <row r="321" spans="35:35" x14ac:dyDescent="0.2">
      <c r="AI321">
        <f t="shared" si="5"/>
        <v>0</v>
      </c>
    </row>
    <row r="322" spans="35:35" x14ac:dyDescent="0.2">
      <c r="AI322">
        <f t="shared" si="5"/>
        <v>0</v>
      </c>
    </row>
    <row r="323" spans="35:35" x14ac:dyDescent="0.2">
      <c r="AI323">
        <f t="shared" si="5"/>
        <v>0</v>
      </c>
    </row>
    <row r="324" spans="35:35" x14ac:dyDescent="0.2">
      <c r="AI324">
        <f t="shared" si="5"/>
        <v>0</v>
      </c>
    </row>
    <row r="325" spans="35:35" x14ac:dyDescent="0.2">
      <c r="AI325">
        <f t="shared" si="5"/>
        <v>0</v>
      </c>
    </row>
    <row r="326" spans="35:35" x14ac:dyDescent="0.2">
      <c r="AI326">
        <f t="shared" ref="AI326:AI389" si="6">COUNTA($B326:$AF326)</f>
        <v>0</v>
      </c>
    </row>
    <row r="327" spans="35:35" x14ac:dyDescent="0.2">
      <c r="AI327">
        <f t="shared" si="6"/>
        <v>0</v>
      </c>
    </row>
    <row r="328" spans="35:35" x14ac:dyDescent="0.2">
      <c r="AI328">
        <f t="shared" si="6"/>
        <v>0</v>
      </c>
    </row>
    <row r="329" spans="35:35" x14ac:dyDescent="0.2">
      <c r="AI329">
        <f t="shared" si="6"/>
        <v>0</v>
      </c>
    </row>
    <row r="330" spans="35:35" x14ac:dyDescent="0.2">
      <c r="AI330">
        <f t="shared" si="6"/>
        <v>0</v>
      </c>
    </row>
    <row r="331" spans="35:35" x14ac:dyDescent="0.2">
      <c r="AI331">
        <f t="shared" si="6"/>
        <v>0</v>
      </c>
    </row>
    <row r="332" spans="35:35" x14ac:dyDescent="0.2">
      <c r="AI332">
        <f t="shared" si="6"/>
        <v>0</v>
      </c>
    </row>
    <row r="333" spans="35:35" x14ac:dyDescent="0.2">
      <c r="AI333">
        <f t="shared" si="6"/>
        <v>0</v>
      </c>
    </row>
    <row r="334" spans="35:35" x14ac:dyDescent="0.2">
      <c r="AI334">
        <f t="shared" si="6"/>
        <v>0</v>
      </c>
    </row>
    <row r="335" spans="35:35" x14ac:dyDescent="0.2">
      <c r="AI335">
        <f t="shared" si="6"/>
        <v>0</v>
      </c>
    </row>
    <row r="336" spans="35:35" x14ac:dyDescent="0.2">
      <c r="AI336">
        <f t="shared" si="6"/>
        <v>0</v>
      </c>
    </row>
    <row r="337" spans="35:35" x14ac:dyDescent="0.2">
      <c r="AI337">
        <f t="shared" si="6"/>
        <v>0</v>
      </c>
    </row>
    <row r="338" spans="35:35" x14ac:dyDescent="0.2">
      <c r="AI338">
        <f t="shared" si="6"/>
        <v>0</v>
      </c>
    </row>
    <row r="339" spans="35:35" x14ac:dyDescent="0.2">
      <c r="AI339">
        <f t="shared" si="6"/>
        <v>0</v>
      </c>
    </row>
    <row r="340" spans="35:35" x14ac:dyDescent="0.2">
      <c r="AI340">
        <f t="shared" si="6"/>
        <v>0</v>
      </c>
    </row>
    <row r="341" spans="35:35" x14ac:dyDescent="0.2">
      <c r="AI341">
        <f t="shared" si="6"/>
        <v>0</v>
      </c>
    </row>
    <row r="342" spans="35:35" x14ac:dyDescent="0.2">
      <c r="AI342">
        <f t="shared" si="6"/>
        <v>0</v>
      </c>
    </row>
    <row r="343" spans="35:35" x14ac:dyDescent="0.2">
      <c r="AI343">
        <f t="shared" si="6"/>
        <v>0</v>
      </c>
    </row>
    <row r="344" spans="35:35" x14ac:dyDescent="0.2">
      <c r="AI344">
        <f t="shared" si="6"/>
        <v>0</v>
      </c>
    </row>
    <row r="345" spans="35:35" x14ac:dyDescent="0.2">
      <c r="AI345">
        <f t="shared" si="6"/>
        <v>0</v>
      </c>
    </row>
    <row r="346" spans="35:35" x14ac:dyDescent="0.2">
      <c r="AI346">
        <f t="shared" si="6"/>
        <v>0</v>
      </c>
    </row>
    <row r="347" spans="35:35" x14ac:dyDescent="0.2">
      <c r="AI347">
        <f t="shared" si="6"/>
        <v>0</v>
      </c>
    </row>
    <row r="348" spans="35:35" x14ac:dyDescent="0.2">
      <c r="AI348">
        <f t="shared" si="6"/>
        <v>0</v>
      </c>
    </row>
    <row r="349" spans="35:35" x14ac:dyDescent="0.2">
      <c r="AI349">
        <f t="shared" si="6"/>
        <v>0</v>
      </c>
    </row>
    <row r="350" spans="35:35" x14ac:dyDescent="0.2">
      <c r="AI350">
        <f t="shared" si="6"/>
        <v>0</v>
      </c>
    </row>
    <row r="351" spans="35:35" x14ac:dyDescent="0.2">
      <c r="AI351">
        <f t="shared" si="6"/>
        <v>0</v>
      </c>
    </row>
    <row r="352" spans="35:35" x14ac:dyDescent="0.2">
      <c r="AI352">
        <f t="shared" si="6"/>
        <v>0</v>
      </c>
    </row>
    <row r="353" spans="35:35" x14ac:dyDescent="0.2">
      <c r="AI353">
        <f t="shared" si="6"/>
        <v>0</v>
      </c>
    </row>
    <row r="354" spans="35:35" x14ac:dyDescent="0.2">
      <c r="AI354">
        <f t="shared" si="6"/>
        <v>0</v>
      </c>
    </row>
    <row r="355" spans="35:35" x14ac:dyDescent="0.2">
      <c r="AI355">
        <f t="shared" si="6"/>
        <v>0</v>
      </c>
    </row>
    <row r="356" spans="35:35" x14ac:dyDescent="0.2">
      <c r="AI356">
        <f t="shared" si="6"/>
        <v>0</v>
      </c>
    </row>
    <row r="357" spans="35:35" x14ac:dyDescent="0.2">
      <c r="AI357">
        <f t="shared" si="6"/>
        <v>0</v>
      </c>
    </row>
    <row r="358" spans="35:35" x14ac:dyDescent="0.2">
      <c r="AI358">
        <f t="shared" si="6"/>
        <v>0</v>
      </c>
    </row>
    <row r="359" spans="35:35" x14ac:dyDescent="0.2">
      <c r="AI359">
        <f t="shared" si="6"/>
        <v>0</v>
      </c>
    </row>
    <row r="360" spans="35:35" x14ac:dyDescent="0.2">
      <c r="AI360">
        <f t="shared" si="6"/>
        <v>0</v>
      </c>
    </row>
    <row r="361" spans="35:35" x14ac:dyDescent="0.2">
      <c r="AI361">
        <f t="shared" si="6"/>
        <v>0</v>
      </c>
    </row>
    <row r="362" spans="35:35" x14ac:dyDescent="0.2">
      <c r="AI362">
        <f t="shared" si="6"/>
        <v>0</v>
      </c>
    </row>
    <row r="363" spans="35:35" x14ac:dyDescent="0.2">
      <c r="AI363">
        <f t="shared" si="6"/>
        <v>0</v>
      </c>
    </row>
    <row r="364" spans="35:35" x14ac:dyDescent="0.2">
      <c r="AI364">
        <f t="shared" si="6"/>
        <v>0</v>
      </c>
    </row>
    <row r="365" spans="35:35" x14ac:dyDescent="0.2">
      <c r="AI365">
        <f t="shared" si="6"/>
        <v>0</v>
      </c>
    </row>
    <row r="366" spans="35:35" x14ac:dyDescent="0.2">
      <c r="AI366">
        <f t="shared" si="6"/>
        <v>0</v>
      </c>
    </row>
    <row r="367" spans="35:35" x14ac:dyDescent="0.2">
      <c r="AI367">
        <f t="shared" si="6"/>
        <v>0</v>
      </c>
    </row>
    <row r="368" spans="35:35" x14ac:dyDescent="0.2">
      <c r="AI368">
        <f t="shared" si="6"/>
        <v>0</v>
      </c>
    </row>
    <row r="369" spans="35:35" x14ac:dyDescent="0.2">
      <c r="AI369">
        <f t="shared" si="6"/>
        <v>0</v>
      </c>
    </row>
    <row r="370" spans="35:35" x14ac:dyDescent="0.2">
      <c r="AI370">
        <f t="shared" si="6"/>
        <v>0</v>
      </c>
    </row>
    <row r="371" spans="35:35" x14ac:dyDescent="0.2">
      <c r="AI371">
        <f t="shared" si="6"/>
        <v>0</v>
      </c>
    </row>
    <row r="372" spans="35:35" x14ac:dyDescent="0.2">
      <c r="AI372">
        <f t="shared" si="6"/>
        <v>0</v>
      </c>
    </row>
    <row r="373" spans="35:35" x14ac:dyDescent="0.2">
      <c r="AI373">
        <f t="shared" si="6"/>
        <v>0</v>
      </c>
    </row>
    <row r="374" spans="35:35" x14ac:dyDescent="0.2">
      <c r="AI374">
        <f t="shared" si="6"/>
        <v>0</v>
      </c>
    </row>
    <row r="375" spans="35:35" x14ac:dyDescent="0.2">
      <c r="AI375">
        <f t="shared" si="6"/>
        <v>0</v>
      </c>
    </row>
    <row r="376" spans="35:35" x14ac:dyDescent="0.2">
      <c r="AI376">
        <f t="shared" si="6"/>
        <v>0</v>
      </c>
    </row>
    <row r="377" spans="35:35" x14ac:dyDescent="0.2">
      <c r="AI377">
        <f t="shared" si="6"/>
        <v>0</v>
      </c>
    </row>
    <row r="378" spans="35:35" x14ac:dyDescent="0.2">
      <c r="AI378">
        <f t="shared" si="6"/>
        <v>0</v>
      </c>
    </row>
    <row r="379" spans="35:35" x14ac:dyDescent="0.2">
      <c r="AI379">
        <f t="shared" si="6"/>
        <v>0</v>
      </c>
    </row>
    <row r="380" spans="35:35" x14ac:dyDescent="0.2">
      <c r="AI380">
        <f t="shared" si="6"/>
        <v>0</v>
      </c>
    </row>
    <row r="381" spans="35:35" x14ac:dyDescent="0.2">
      <c r="AI381">
        <f t="shared" si="6"/>
        <v>0</v>
      </c>
    </row>
    <row r="382" spans="35:35" x14ac:dyDescent="0.2">
      <c r="AI382">
        <f t="shared" si="6"/>
        <v>0</v>
      </c>
    </row>
    <row r="383" spans="35:35" x14ac:dyDescent="0.2">
      <c r="AI383">
        <f t="shared" si="6"/>
        <v>0</v>
      </c>
    </row>
    <row r="384" spans="35:35" x14ac:dyDescent="0.2">
      <c r="AI384">
        <f t="shared" si="6"/>
        <v>0</v>
      </c>
    </row>
    <row r="385" spans="35:35" x14ac:dyDescent="0.2">
      <c r="AI385">
        <f t="shared" si="6"/>
        <v>0</v>
      </c>
    </row>
    <row r="386" spans="35:35" x14ac:dyDescent="0.2">
      <c r="AI386">
        <f t="shared" si="6"/>
        <v>0</v>
      </c>
    </row>
    <row r="387" spans="35:35" x14ac:dyDescent="0.2">
      <c r="AI387">
        <f t="shared" si="6"/>
        <v>0</v>
      </c>
    </row>
    <row r="388" spans="35:35" x14ac:dyDescent="0.2">
      <c r="AI388">
        <f t="shared" si="6"/>
        <v>0</v>
      </c>
    </row>
    <row r="389" spans="35:35" x14ac:dyDescent="0.2">
      <c r="AI389">
        <f t="shared" si="6"/>
        <v>0</v>
      </c>
    </row>
    <row r="390" spans="35:35" x14ac:dyDescent="0.2">
      <c r="AI390">
        <f t="shared" ref="AI390:AI453" si="7">COUNTA($B390:$AF390)</f>
        <v>0</v>
      </c>
    </row>
    <row r="391" spans="35:35" x14ac:dyDescent="0.2">
      <c r="AI391">
        <f t="shared" si="7"/>
        <v>0</v>
      </c>
    </row>
    <row r="392" spans="35:35" x14ac:dyDescent="0.2">
      <c r="AI392">
        <f t="shared" si="7"/>
        <v>0</v>
      </c>
    </row>
    <row r="393" spans="35:35" x14ac:dyDescent="0.2">
      <c r="AI393">
        <f t="shared" si="7"/>
        <v>0</v>
      </c>
    </row>
    <row r="394" spans="35:35" x14ac:dyDescent="0.2">
      <c r="AI394">
        <f t="shared" si="7"/>
        <v>0</v>
      </c>
    </row>
    <row r="395" spans="35:35" x14ac:dyDescent="0.2">
      <c r="AI395">
        <f t="shared" si="7"/>
        <v>0</v>
      </c>
    </row>
    <row r="396" spans="35:35" x14ac:dyDescent="0.2">
      <c r="AI396">
        <f t="shared" si="7"/>
        <v>0</v>
      </c>
    </row>
    <row r="397" spans="35:35" x14ac:dyDescent="0.2">
      <c r="AI397">
        <f t="shared" si="7"/>
        <v>0</v>
      </c>
    </row>
    <row r="398" spans="35:35" x14ac:dyDescent="0.2">
      <c r="AI398">
        <f t="shared" si="7"/>
        <v>0</v>
      </c>
    </row>
    <row r="399" spans="35:35" x14ac:dyDescent="0.2">
      <c r="AI399">
        <f t="shared" si="7"/>
        <v>0</v>
      </c>
    </row>
    <row r="400" spans="35:35" x14ac:dyDescent="0.2">
      <c r="AI400">
        <f t="shared" si="7"/>
        <v>0</v>
      </c>
    </row>
    <row r="401" spans="35:35" x14ac:dyDescent="0.2">
      <c r="AI401">
        <f t="shared" si="7"/>
        <v>0</v>
      </c>
    </row>
    <row r="402" spans="35:35" x14ac:dyDescent="0.2">
      <c r="AI402">
        <f t="shared" si="7"/>
        <v>0</v>
      </c>
    </row>
    <row r="403" spans="35:35" x14ac:dyDescent="0.2">
      <c r="AI403">
        <f t="shared" si="7"/>
        <v>0</v>
      </c>
    </row>
    <row r="404" spans="35:35" x14ac:dyDescent="0.2">
      <c r="AI404">
        <f t="shared" si="7"/>
        <v>0</v>
      </c>
    </row>
    <row r="405" spans="35:35" x14ac:dyDescent="0.2">
      <c r="AI405">
        <f t="shared" si="7"/>
        <v>0</v>
      </c>
    </row>
    <row r="406" spans="35:35" x14ac:dyDescent="0.2">
      <c r="AI406">
        <f t="shared" si="7"/>
        <v>0</v>
      </c>
    </row>
    <row r="407" spans="35:35" x14ac:dyDescent="0.2">
      <c r="AI407">
        <f t="shared" si="7"/>
        <v>0</v>
      </c>
    </row>
    <row r="408" spans="35:35" x14ac:dyDescent="0.2">
      <c r="AI408">
        <f t="shared" si="7"/>
        <v>0</v>
      </c>
    </row>
    <row r="409" spans="35:35" x14ac:dyDescent="0.2">
      <c r="AI409">
        <f t="shared" si="7"/>
        <v>0</v>
      </c>
    </row>
    <row r="410" spans="35:35" x14ac:dyDescent="0.2">
      <c r="AI410">
        <f t="shared" si="7"/>
        <v>0</v>
      </c>
    </row>
    <row r="411" spans="35:35" x14ac:dyDescent="0.2">
      <c r="AI411">
        <f t="shared" si="7"/>
        <v>0</v>
      </c>
    </row>
    <row r="412" spans="35:35" x14ac:dyDescent="0.2">
      <c r="AI412">
        <f t="shared" si="7"/>
        <v>0</v>
      </c>
    </row>
    <row r="413" spans="35:35" x14ac:dyDescent="0.2">
      <c r="AI413">
        <f t="shared" si="7"/>
        <v>0</v>
      </c>
    </row>
    <row r="414" spans="35:35" x14ac:dyDescent="0.2">
      <c r="AI414">
        <f t="shared" si="7"/>
        <v>0</v>
      </c>
    </row>
    <row r="415" spans="35:35" x14ac:dyDescent="0.2">
      <c r="AI415">
        <f t="shared" si="7"/>
        <v>0</v>
      </c>
    </row>
    <row r="416" spans="35:35" x14ac:dyDescent="0.2">
      <c r="AI416">
        <f t="shared" si="7"/>
        <v>0</v>
      </c>
    </row>
    <row r="417" spans="35:35" x14ac:dyDescent="0.2">
      <c r="AI417">
        <f t="shared" si="7"/>
        <v>0</v>
      </c>
    </row>
    <row r="418" spans="35:35" x14ac:dyDescent="0.2">
      <c r="AI418">
        <f t="shared" si="7"/>
        <v>0</v>
      </c>
    </row>
    <row r="419" spans="35:35" x14ac:dyDescent="0.2">
      <c r="AI419">
        <f t="shared" si="7"/>
        <v>0</v>
      </c>
    </row>
    <row r="420" spans="35:35" x14ac:dyDescent="0.2">
      <c r="AI420">
        <f t="shared" si="7"/>
        <v>0</v>
      </c>
    </row>
    <row r="421" spans="35:35" x14ac:dyDescent="0.2">
      <c r="AI421">
        <f t="shared" si="7"/>
        <v>0</v>
      </c>
    </row>
    <row r="422" spans="35:35" x14ac:dyDescent="0.2">
      <c r="AI422">
        <f t="shared" si="7"/>
        <v>0</v>
      </c>
    </row>
    <row r="423" spans="35:35" x14ac:dyDescent="0.2">
      <c r="AI423">
        <f t="shared" si="7"/>
        <v>0</v>
      </c>
    </row>
    <row r="424" spans="35:35" x14ac:dyDescent="0.2">
      <c r="AI424">
        <f t="shared" si="7"/>
        <v>0</v>
      </c>
    </row>
    <row r="425" spans="35:35" x14ac:dyDescent="0.2">
      <c r="AI425">
        <f t="shared" si="7"/>
        <v>0</v>
      </c>
    </row>
    <row r="426" spans="35:35" x14ac:dyDescent="0.2">
      <c r="AI426">
        <f t="shared" si="7"/>
        <v>0</v>
      </c>
    </row>
    <row r="427" spans="35:35" x14ac:dyDescent="0.2">
      <c r="AI427">
        <f t="shared" si="7"/>
        <v>0</v>
      </c>
    </row>
    <row r="428" spans="35:35" x14ac:dyDescent="0.2">
      <c r="AI428">
        <f t="shared" si="7"/>
        <v>0</v>
      </c>
    </row>
    <row r="429" spans="35:35" x14ac:dyDescent="0.2">
      <c r="AI429">
        <f t="shared" si="7"/>
        <v>0</v>
      </c>
    </row>
    <row r="430" spans="35:35" x14ac:dyDescent="0.2">
      <c r="AI430">
        <f t="shared" si="7"/>
        <v>0</v>
      </c>
    </row>
    <row r="431" spans="35:35" x14ac:dyDescent="0.2">
      <c r="AI431">
        <f t="shared" si="7"/>
        <v>0</v>
      </c>
    </row>
    <row r="432" spans="35:35" x14ac:dyDescent="0.2">
      <c r="AI432">
        <f t="shared" si="7"/>
        <v>0</v>
      </c>
    </row>
    <row r="433" spans="35:35" x14ac:dyDescent="0.2">
      <c r="AI433">
        <f t="shared" si="7"/>
        <v>0</v>
      </c>
    </row>
    <row r="434" spans="35:35" x14ac:dyDescent="0.2">
      <c r="AI434">
        <f t="shared" si="7"/>
        <v>0</v>
      </c>
    </row>
    <row r="435" spans="35:35" x14ac:dyDescent="0.2">
      <c r="AI435">
        <f t="shared" si="7"/>
        <v>0</v>
      </c>
    </row>
    <row r="436" spans="35:35" x14ac:dyDescent="0.2">
      <c r="AI436">
        <f t="shared" si="7"/>
        <v>0</v>
      </c>
    </row>
    <row r="437" spans="35:35" x14ac:dyDescent="0.2">
      <c r="AI437">
        <f t="shared" si="7"/>
        <v>0</v>
      </c>
    </row>
    <row r="438" spans="35:35" x14ac:dyDescent="0.2">
      <c r="AI438">
        <f t="shared" si="7"/>
        <v>0</v>
      </c>
    </row>
    <row r="439" spans="35:35" x14ac:dyDescent="0.2">
      <c r="AI439">
        <f t="shared" si="7"/>
        <v>0</v>
      </c>
    </row>
    <row r="440" spans="35:35" x14ac:dyDescent="0.2">
      <c r="AI440">
        <f t="shared" si="7"/>
        <v>0</v>
      </c>
    </row>
    <row r="441" spans="35:35" x14ac:dyDescent="0.2">
      <c r="AI441">
        <f t="shared" si="7"/>
        <v>0</v>
      </c>
    </row>
    <row r="442" spans="35:35" x14ac:dyDescent="0.2">
      <c r="AI442">
        <f t="shared" si="7"/>
        <v>0</v>
      </c>
    </row>
    <row r="443" spans="35:35" x14ac:dyDescent="0.2">
      <c r="AI443">
        <f t="shared" si="7"/>
        <v>0</v>
      </c>
    </row>
    <row r="444" spans="35:35" x14ac:dyDescent="0.2">
      <c r="AI444">
        <f t="shared" si="7"/>
        <v>0</v>
      </c>
    </row>
    <row r="445" spans="35:35" x14ac:dyDescent="0.2">
      <c r="AI445">
        <f t="shared" si="7"/>
        <v>0</v>
      </c>
    </row>
    <row r="446" spans="35:35" x14ac:dyDescent="0.2">
      <c r="AI446">
        <f t="shared" si="7"/>
        <v>0</v>
      </c>
    </row>
    <row r="447" spans="35:35" x14ac:dyDescent="0.2">
      <c r="AI447">
        <f t="shared" si="7"/>
        <v>0</v>
      </c>
    </row>
    <row r="448" spans="35:35" x14ac:dyDescent="0.2">
      <c r="AI448">
        <f t="shared" si="7"/>
        <v>0</v>
      </c>
    </row>
    <row r="449" spans="35:35" x14ac:dyDescent="0.2">
      <c r="AI449">
        <f t="shared" si="7"/>
        <v>0</v>
      </c>
    </row>
    <row r="450" spans="35:35" x14ac:dyDescent="0.2">
      <c r="AI450">
        <f t="shared" si="7"/>
        <v>0</v>
      </c>
    </row>
    <row r="451" spans="35:35" x14ac:dyDescent="0.2">
      <c r="AI451">
        <f t="shared" si="7"/>
        <v>0</v>
      </c>
    </row>
    <row r="452" spans="35:35" x14ac:dyDescent="0.2">
      <c r="AI452">
        <f t="shared" si="7"/>
        <v>0</v>
      </c>
    </row>
    <row r="453" spans="35:35" x14ac:dyDescent="0.2">
      <c r="AI453">
        <f t="shared" si="7"/>
        <v>0</v>
      </c>
    </row>
    <row r="454" spans="35:35" x14ac:dyDescent="0.2">
      <c r="AI454">
        <f t="shared" ref="AI454:AI517" si="8">COUNTA($B454:$AF454)</f>
        <v>0</v>
      </c>
    </row>
    <row r="455" spans="35:35" x14ac:dyDescent="0.2">
      <c r="AI455">
        <f t="shared" si="8"/>
        <v>0</v>
      </c>
    </row>
    <row r="456" spans="35:35" x14ac:dyDescent="0.2">
      <c r="AI456">
        <f t="shared" si="8"/>
        <v>0</v>
      </c>
    </row>
    <row r="457" spans="35:35" x14ac:dyDescent="0.2">
      <c r="AI457">
        <f t="shared" si="8"/>
        <v>0</v>
      </c>
    </row>
    <row r="458" spans="35:35" x14ac:dyDescent="0.2">
      <c r="AI458">
        <f t="shared" si="8"/>
        <v>0</v>
      </c>
    </row>
    <row r="459" spans="35:35" x14ac:dyDescent="0.2">
      <c r="AI459">
        <f t="shared" si="8"/>
        <v>0</v>
      </c>
    </row>
    <row r="460" spans="35:35" x14ac:dyDescent="0.2">
      <c r="AI460">
        <f t="shared" si="8"/>
        <v>0</v>
      </c>
    </row>
    <row r="461" spans="35:35" x14ac:dyDescent="0.2">
      <c r="AI461">
        <f t="shared" si="8"/>
        <v>0</v>
      </c>
    </row>
    <row r="462" spans="35:35" x14ac:dyDescent="0.2">
      <c r="AI462">
        <f t="shared" si="8"/>
        <v>0</v>
      </c>
    </row>
    <row r="463" spans="35:35" x14ac:dyDescent="0.2">
      <c r="AI463">
        <f t="shared" si="8"/>
        <v>0</v>
      </c>
    </row>
    <row r="464" spans="35:35" x14ac:dyDescent="0.2">
      <c r="AI464">
        <f t="shared" si="8"/>
        <v>0</v>
      </c>
    </row>
    <row r="465" spans="35:35" x14ac:dyDescent="0.2">
      <c r="AI465">
        <f t="shared" si="8"/>
        <v>0</v>
      </c>
    </row>
    <row r="466" spans="35:35" x14ac:dyDescent="0.2">
      <c r="AI466">
        <f t="shared" si="8"/>
        <v>0</v>
      </c>
    </row>
    <row r="467" spans="35:35" x14ac:dyDescent="0.2">
      <c r="AI467">
        <f t="shared" si="8"/>
        <v>0</v>
      </c>
    </row>
    <row r="468" spans="35:35" x14ac:dyDescent="0.2">
      <c r="AI468">
        <f t="shared" si="8"/>
        <v>0</v>
      </c>
    </row>
    <row r="469" spans="35:35" x14ac:dyDescent="0.2">
      <c r="AI469">
        <f t="shared" si="8"/>
        <v>0</v>
      </c>
    </row>
    <row r="470" spans="35:35" x14ac:dyDescent="0.2">
      <c r="AI470">
        <f t="shared" si="8"/>
        <v>0</v>
      </c>
    </row>
    <row r="471" spans="35:35" x14ac:dyDescent="0.2">
      <c r="AI471">
        <f t="shared" si="8"/>
        <v>0</v>
      </c>
    </row>
    <row r="472" spans="35:35" x14ac:dyDescent="0.2">
      <c r="AI472">
        <f t="shared" si="8"/>
        <v>0</v>
      </c>
    </row>
    <row r="473" spans="35:35" x14ac:dyDescent="0.2">
      <c r="AI473">
        <f t="shared" si="8"/>
        <v>0</v>
      </c>
    </row>
    <row r="474" spans="35:35" x14ac:dyDescent="0.2">
      <c r="AI474">
        <f t="shared" si="8"/>
        <v>0</v>
      </c>
    </row>
    <row r="475" spans="35:35" x14ac:dyDescent="0.2">
      <c r="AI475">
        <f t="shared" si="8"/>
        <v>0</v>
      </c>
    </row>
    <row r="476" spans="35:35" x14ac:dyDescent="0.2">
      <c r="AI476">
        <f t="shared" si="8"/>
        <v>0</v>
      </c>
    </row>
    <row r="477" spans="35:35" x14ac:dyDescent="0.2">
      <c r="AI477">
        <f t="shared" si="8"/>
        <v>0</v>
      </c>
    </row>
    <row r="478" spans="35:35" x14ac:dyDescent="0.2">
      <c r="AI478">
        <f t="shared" si="8"/>
        <v>0</v>
      </c>
    </row>
    <row r="479" spans="35:35" x14ac:dyDescent="0.2">
      <c r="AI479">
        <f t="shared" si="8"/>
        <v>0</v>
      </c>
    </row>
    <row r="480" spans="35:35" x14ac:dyDescent="0.2">
      <c r="AI480">
        <f t="shared" si="8"/>
        <v>0</v>
      </c>
    </row>
    <row r="481" spans="35:35" x14ac:dyDescent="0.2">
      <c r="AI481">
        <f t="shared" si="8"/>
        <v>0</v>
      </c>
    </row>
    <row r="482" spans="35:35" x14ac:dyDescent="0.2">
      <c r="AI482">
        <f t="shared" si="8"/>
        <v>0</v>
      </c>
    </row>
    <row r="483" spans="35:35" x14ac:dyDescent="0.2">
      <c r="AI483">
        <f t="shared" si="8"/>
        <v>0</v>
      </c>
    </row>
    <row r="484" spans="35:35" x14ac:dyDescent="0.2">
      <c r="AI484">
        <f t="shared" si="8"/>
        <v>0</v>
      </c>
    </row>
    <row r="485" spans="35:35" x14ac:dyDescent="0.2">
      <c r="AI485">
        <f t="shared" si="8"/>
        <v>0</v>
      </c>
    </row>
    <row r="486" spans="35:35" x14ac:dyDescent="0.2">
      <c r="AI486">
        <f t="shared" si="8"/>
        <v>0</v>
      </c>
    </row>
    <row r="487" spans="35:35" x14ac:dyDescent="0.2">
      <c r="AI487">
        <f t="shared" si="8"/>
        <v>0</v>
      </c>
    </row>
    <row r="488" spans="35:35" x14ac:dyDescent="0.2">
      <c r="AI488">
        <f t="shared" si="8"/>
        <v>0</v>
      </c>
    </row>
    <row r="489" spans="35:35" x14ac:dyDescent="0.2">
      <c r="AI489">
        <f t="shared" si="8"/>
        <v>0</v>
      </c>
    </row>
    <row r="490" spans="35:35" x14ac:dyDescent="0.2">
      <c r="AI490">
        <f t="shared" si="8"/>
        <v>0</v>
      </c>
    </row>
    <row r="491" spans="35:35" x14ac:dyDescent="0.2">
      <c r="AI491">
        <f t="shared" si="8"/>
        <v>0</v>
      </c>
    </row>
    <row r="492" spans="35:35" x14ac:dyDescent="0.2">
      <c r="AI492">
        <f t="shared" si="8"/>
        <v>0</v>
      </c>
    </row>
    <row r="493" spans="35:35" x14ac:dyDescent="0.2">
      <c r="AI493">
        <f t="shared" si="8"/>
        <v>0</v>
      </c>
    </row>
    <row r="494" spans="35:35" x14ac:dyDescent="0.2">
      <c r="AI494">
        <f t="shared" si="8"/>
        <v>0</v>
      </c>
    </row>
    <row r="495" spans="35:35" x14ac:dyDescent="0.2">
      <c r="AI495">
        <f t="shared" si="8"/>
        <v>0</v>
      </c>
    </row>
    <row r="496" spans="35:35" x14ac:dyDescent="0.2">
      <c r="AI496">
        <f t="shared" si="8"/>
        <v>0</v>
      </c>
    </row>
    <row r="497" spans="35:35" x14ac:dyDescent="0.2">
      <c r="AI497">
        <f t="shared" si="8"/>
        <v>0</v>
      </c>
    </row>
    <row r="498" spans="35:35" x14ac:dyDescent="0.2">
      <c r="AI498">
        <f t="shared" si="8"/>
        <v>0</v>
      </c>
    </row>
    <row r="499" spans="35:35" x14ac:dyDescent="0.2">
      <c r="AI499">
        <f t="shared" si="8"/>
        <v>0</v>
      </c>
    </row>
    <row r="500" spans="35:35" x14ac:dyDescent="0.2">
      <c r="AI500">
        <f t="shared" si="8"/>
        <v>0</v>
      </c>
    </row>
    <row r="501" spans="35:35" x14ac:dyDescent="0.2">
      <c r="AI501">
        <f t="shared" si="8"/>
        <v>0</v>
      </c>
    </row>
    <row r="502" spans="35:35" x14ac:dyDescent="0.2">
      <c r="AI502">
        <f t="shared" si="8"/>
        <v>0</v>
      </c>
    </row>
    <row r="503" spans="35:35" x14ac:dyDescent="0.2">
      <c r="AI503">
        <f t="shared" si="8"/>
        <v>0</v>
      </c>
    </row>
    <row r="504" spans="35:35" x14ac:dyDescent="0.2">
      <c r="AI504">
        <f t="shared" si="8"/>
        <v>0</v>
      </c>
    </row>
    <row r="505" spans="35:35" x14ac:dyDescent="0.2">
      <c r="AI505">
        <f t="shared" si="8"/>
        <v>0</v>
      </c>
    </row>
    <row r="506" spans="35:35" x14ac:dyDescent="0.2">
      <c r="AI506">
        <f t="shared" si="8"/>
        <v>0</v>
      </c>
    </row>
    <row r="507" spans="35:35" x14ac:dyDescent="0.2">
      <c r="AI507">
        <f t="shared" si="8"/>
        <v>0</v>
      </c>
    </row>
    <row r="508" spans="35:35" x14ac:dyDescent="0.2">
      <c r="AI508">
        <f t="shared" si="8"/>
        <v>0</v>
      </c>
    </row>
    <row r="509" spans="35:35" x14ac:dyDescent="0.2">
      <c r="AI509">
        <f t="shared" si="8"/>
        <v>0</v>
      </c>
    </row>
    <row r="510" spans="35:35" x14ac:dyDescent="0.2">
      <c r="AI510">
        <f t="shared" si="8"/>
        <v>0</v>
      </c>
    </row>
    <row r="511" spans="35:35" x14ac:dyDescent="0.2">
      <c r="AI511">
        <f t="shared" si="8"/>
        <v>0</v>
      </c>
    </row>
    <row r="512" spans="35:35" x14ac:dyDescent="0.2">
      <c r="AI512">
        <f t="shared" si="8"/>
        <v>0</v>
      </c>
    </row>
    <row r="513" spans="35:35" x14ac:dyDescent="0.2">
      <c r="AI513">
        <f t="shared" si="8"/>
        <v>0</v>
      </c>
    </row>
    <row r="514" spans="35:35" x14ac:dyDescent="0.2">
      <c r="AI514">
        <f t="shared" si="8"/>
        <v>0</v>
      </c>
    </row>
    <row r="515" spans="35:35" x14ac:dyDescent="0.2">
      <c r="AI515">
        <f t="shared" si="8"/>
        <v>0</v>
      </c>
    </row>
    <row r="516" spans="35:35" x14ac:dyDescent="0.2">
      <c r="AI516">
        <f t="shared" si="8"/>
        <v>0</v>
      </c>
    </row>
    <row r="517" spans="35:35" x14ac:dyDescent="0.2">
      <c r="AI517">
        <f t="shared" si="8"/>
        <v>0</v>
      </c>
    </row>
    <row r="518" spans="35:35" x14ac:dyDescent="0.2">
      <c r="AI518">
        <f t="shared" ref="AI518:AI581" si="9">COUNTA($B518:$AF518)</f>
        <v>0</v>
      </c>
    </row>
    <row r="519" spans="35:35" x14ac:dyDescent="0.2">
      <c r="AI519">
        <f t="shared" si="9"/>
        <v>0</v>
      </c>
    </row>
    <row r="520" spans="35:35" x14ac:dyDescent="0.2">
      <c r="AI520">
        <f t="shared" si="9"/>
        <v>0</v>
      </c>
    </row>
    <row r="521" spans="35:35" x14ac:dyDescent="0.2">
      <c r="AI521">
        <f t="shared" si="9"/>
        <v>0</v>
      </c>
    </row>
    <row r="522" spans="35:35" x14ac:dyDescent="0.2">
      <c r="AI522">
        <f t="shared" si="9"/>
        <v>0</v>
      </c>
    </row>
    <row r="523" spans="35:35" x14ac:dyDescent="0.2">
      <c r="AI523">
        <f t="shared" si="9"/>
        <v>0</v>
      </c>
    </row>
    <row r="524" spans="35:35" x14ac:dyDescent="0.2">
      <c r="AI524">
        <f t="shared" si="9"/>
        <v>0</v>
      </c>
    </row>
    <row r="525" spans="35:35" x14ac:dyDescent="0.2">
      <c r="AI525">
        <f t="shared" si="9"/>
        <v>0</v>
      </c>
    </row>
    <row r="526" spans="35:35" x14ac:dyDescent="0.2">
      <c r="AI526">
        <f t="shared" si="9"/>
        <v>0</v>
      </c>
    </row>
    <row r="527" spans="35:35" x14ac:dyDescent="0.2">
      <c r="AI527">
        <f t="shared" si="9"/>
        <v>0</v>
      </c>
    </row>
    <row r="528" spans="35:35" x14ac:dyDescent="0.2">
      <c r="AI528">
        <f t="shared" si="9"/>
        <v>0</v>
      </c>
    </row>
    <row r="529" spans="35:35" x14ac:dyDescent="0.2">
      <c r="AI529">
        <f t="shared" si="9"/>
        <v>0</v>
      </c>
    </row>
    <row r="530" spans="35:35" x14ac:dyDescent="0.2">
      <c r="AI530">
        <f t="shared" si="9"/>
        <v>0</v>
      </c>
    </row>
    <row r="531" spans="35:35" x14ac:dyDescent="0.2">
      <c r="AI531">
        <f t="shared" si="9"/>
        <v>0</v>
      </c>
    </row>
    <row r="532" spans="35:35" x14ac:dyDescent="0.2">
      <c r="AI532">
        <f t="shared" si="9"/>
        <v>0</v>
      </c>
    </row>
    <row r="533" spans="35:35" x14ac:dyDescent="0.2">
      <c r="AI533">
        <f t="shared" si="9"/>
        <v>0</v>
      </c>
    </row>
    <row r="534" spans="35:35" x14ac:dyDescent="0.2">
      <c r="AI534">
        <f t="shared" si="9"/>
        <v>0</v>
      </c>
    </row>
    <row r="535" spans="35:35" x14ac:dyDescent="0.2">
      <c r="AI535">
        <f t="shared" si="9"/>
        <v>0</v>
      </c>
    </row>
    <row r="536" spans="35:35" x14ac:dyDescent="0.2">
      <c r="AI536">
        <f t="shared" si="9"/>
        <v>0</v>
      </c>
    </row>
    <row r="537" spans="35:35" x14ac:dyDescent="0.2">
      <c r="AI537">
        <f t="shared" si="9"/>
        <v>0</v>
      </c>
    </row>
    <row r="538" spans="35:35" x14ac:dyDescent="0.2">
      <c r="AI538">
        <f t="shared" si="9"/>
        <v>0</v>
      </c>
    </row>
    <row r="539" spans="35:35" x14ac:dyDescent="0.2">
      <c r="AI539">
        <f t="shared" si="9"/>
        <v>0</v>
      </c>
    </row>
    <row r="540" spans="35:35" x14ac:dyDescent="0.2">
      <c r="AI540">
        <f t="shared" si="9"/>
        <v>0</v>
      </c>
    </row>
    <row r="541" spans="35:35" x14ac:dyDescent="0.2">
      <c r="AI541">
        <f t="shared" si="9"/>
        <v>0</v>
      </c>
    </row>
    <row r="542" spans="35:35" x14ac:dyDescent="0.2">
      <c r="AI542">
        <f t="shared" si="9"/>
        <v>0</v>
      </c>
    </row>
    <row r="543" spans="35:35" x14ac:dyDescent="0.2">
      <c r="AI543">
        <f t="shared" si="9"/>
        <v>0</v>
      </c>
    </row>
    <row r="544" spans="35:35" x14ac:dyDescent="0.2">
      <c r="AI544">
        <f t="shared" si="9"/>
        <v>0</v>
      </c>
    </row>
    <row r="545" spans="35:35" x14ac:dyDescent="0.2">
      <c r="AI545">
        <f t="shared" si="9"/>
        <v>0</v>
      </c>
    </row>
    <row r="546" spans="35:35" x14ac:dyDescent="0.2">
      <c r="AI546">
        <f t="shared" si="9"/>
        <v>0</v>
      </c>
    </row>
    <row r="547" spans="35:35" x14ac:dyDescent="0.2">
      <c r="AI547">
        <f t="shared" si="9"/>
        <v>0</v>
      </c>
    </row>
    <row r="548" spans="35:35" x14ac:dyDescent="0.2">
      <c r="AI548">
        <f t="shared" si="9"/>
        <v>0</v>
      </c>
    </row>
    <row r="549" spans="35:35" x14ac:dyDescent="0.2">
      <c r="AI549">
        <f t="shared" si="9"/>
        <v>0</v>
      </c>
    </row>
    <row r="550" spans="35:35" x14ac:dyDescent="0.2">
      <c r="AI550">
        <f t="shared" si="9"/>
        <v>0</v>
      </c>
    </row>
    <row r="551" spans="35:35" x14ac:dyDescent="0.2">
      <c r="AI551">
        <f t="shared" si="9"/>
        <v>0</v>
      </c>
    </row>
    <row r="552" spans="35:35" x14ac:dyDescent="0.2">
      <c r="AI552">
        <f t="shared" si="9"/>
        <v>0</v>
      </c>
    </row>
    <row r="553" spans="35:35" x14ac:dyDescent="0.2">
      <c r="AI553">
        <f t="shared" si="9"/>
        <v>0</v>
      </c>
    </row>
    <row r="554" spans="35:35" x14ac:dyDescent="0.2">
      <c r="AI554">
        <f t="shared" si="9"/>
        <v>0</v>
      </c>
    </row>
    <row r="555" spans="35:35" x14ac:dyDescent="0.2">
      <c r="AI555">
        <f t="shared" si="9"/>
        <v>0</v>
      </c>
    </row>
    <row r="556" spans="35:35" x14ac:dyDescent="0.2">
      <c r="AI556">
        <f t="shared" si="9"/>
        <v>0</v>
      </c>
    </row>
    <row r="557" spans="35:35" x14ac:dyDescent="0.2">
      <c r="AI557">
        <f t="shared" si="9"/>
        <v>0</v>
      </c>
    </row>
    <row r="558" spans="35:35" x14ac:dyDescent="0.2">
      <c r="AI558">
        <f t="shared" si="9"/>
        <v>0</v>
      </c>
    </row>
    <row r="559" spans="35:35" x14ac:dyDescent="0.2">
      <c r="AI559">
        <f t="shared" si="9"/>
        <v>0</v>
      </c>
    </row>
    <row r="560" spans="35:35" x14ac:dyDescent="0.2">
      <c r="AI560">
        <f t="shared" si="9"/>
        <v>0</v>
      </c>
    </row>
    <row r="561" spans="35:35" x14ac:dyDescent="0.2">
      <c r="AI561">
        <f t="shared" si="9"/>
        <v>0</v>
      </c>
    </row>
    <row r="562" spans="35:35" x14ac:dyDescent="0.2">
      <c r="AI562">
        <f t="shared" si="9"/>
        <v>0</v>
      </c>
    </row>
    <row r="563" spans="35:35" x14ac:dyDescent="0.2">
      <c r="AI563">
        <f t="shared" si="9"/>
        <v>0</v>
      </c>
    </row>
    <row r="564" spans="35:35" x14ac:dyDescent="0.2">
      <c r="AI564">
        <f t="shared" si="9"/>
        <v>0</v>
      </c>
    </row>
    <row r="565" spans="35:35" x14ac:dyDescent="0.2">
      <c r="AI565">
        <f t="shared" si="9"/>
        <v>0</v>
      </c>
    </row>
    <row r="566" spans="35:35" x14ac:dyDescent="0.2">
      <c r="AI566">
        <f t="shared" si="9"/>
        <v>0</v>
      </c>
    </row>
    <row r="567" spans="35:35" x14ac:dyDescent="0.2">
      <c r="AI567">
        <f t="shared" si="9"/>
        <v>0</v>
      </c>
    </row>
    <row r="568" spans="35:35" x14ac:dyDescent="0.2">
      <c r="AI568">
        <f t="shared" si="9"/>
        <v>0</v>
      </c>
    </row>
    <row r="569" spans="35:35" x14ac:dyDescent="0.2">
      <c r="AI569">
        <f t="shared" si="9"/>
        <v>0</v>
      </c>
    </row>
    <row r="570" spans="35:35" x14ac:dyDescent="0.2">
      <c r="AI570">
        <f t="shared" si="9"/>
        <v>0</v>
      </c>
    </row>
    <row r="571" spans="35:35" x14ac:dyDescent="0.2">
      <c r="AI571">
        <f t="shared" si="9"/>
        <v>0</v>
      </c>
    </row>
    <row r="572" spans="35:35" x14ac:dyDescent="0.2">
      <c r="AI572">
        <f t="shared" si="9"/>
        <v>0</v>
      </c>
    </row>
    <row r="573" spans="35:35" x14ac:dyDescent="0.2">
      <c r="AI573">
        <f t="shared" si="9"/>
        <v>0</v>
      </c>
    </row>
    <row r="574" spans="35:35" x14ac:dyDescent="0.2">
      <c r="AI574">
        <f t="shared" si="9"/>
        <v>0</v>
      </c>
    </row>
    <row r="575" spans="35:35" x14ac:dyDescent="0.2">
      <c r="AI575">
        <f t="shared" si="9"/>
        <v>0</v>
      </c>
    </row>
    <row r="576" spans="35:35" x14ac:dyDescent="0.2">
      <c r="AI576">
        <f t="shared" si="9"/>
        <v>0</v>
      </c>
    </row>
    <row r="577" spans="35:35" x14ac:dyDescent="0.2">
      <c r="AI577">
        <f t="shared" si="9"/>
        <v>0</v>
      </c>
    </row>
    <row r="578" spans="35:35" x14ac:dyDescent="0.2">
      <c r="AI578">
        <f t="shared" si="9"/>
        <v>0</v>
      </c>
    </row>
    <row r="579" spans="35:35" x14ac:dyDescent="0.2">
      <c r="AI579">
        <f t="shared" si="9"/>
        <v>0</v>
      </c>
    </row>
    <row r="580" spans="35:35" x14ac:dyDescent="0.2">
      <c r="AI580">
        <f t="shared" si="9"/>
        <v>0</v>
      </c>
    </row>
    <row r="581" spans="35:35" x14ac:dyDescent="0.2">
      <c r="AI581">
        <f t="shared" si="9"/>
        <v>0</v>
      </c>
    </row>
    <row r="582" spans="35:35" x14ac:dyDescent="0.2">
      <c r="AI582">
        <f t="shared" ref="AI582:AI645" si="10">COUNTA($B582:$AF582)</f>
        <v>0</v>
      </c>
    </row>
    <row r="583" spans="35:35" x14ac:dyDescent="0.2">
      <c r="AI583">
        <f t="shared" si="10"/>
        <v>0</v>
      </c>
    </row>
    <row r="584" spans="35:35" x14ac:dyDescent="0.2">
      <c r="AI584">
        <f t="shared" si="10"/>
        <v>0</v>
      </c>
    </row>
    <row r="585" spans="35:35" x14ac:dyDescent="0.2">
      <c r="AI585">
        <f t="shared" si="10"/>
        <v>0</v>
      </c>
    </row>
    <row r="586" spans="35:35" x14ac:dyDescent="0.2">
      <c r="AI586">
        <f t="shared" si="10"/>
        <v>0</v>
      </c>
    </row>
    <row r="587" spans="35:35" x14ac:dyDescent="0.2">
      <c r="AI587">
        <f t="shared" si="10"/>
        <v>0</v>
      </c>
    </row>
    <row r="588" spans="35:35" x14ac:dyDescent="0.2">
      <c r="AI588">
        <f t="shared" si="10"/>
        <v>0</v>
      </c>
    </row>
    <row r="589" spans="35:35" x14ac:dyDescent="0.2">
      <c r="AI589">
        <f t="shared" si="10"/>
        <v>0</v>
      </c>
    </row>
    <row r="590" spans="35:35" x14ac:dyDescent="0.2">
      <c r="AI590">
        <f t="shared" si="10"/>
        <v>0</v>
      </c>
    </row>
    <row r="591" spans="35:35" x14ac:dyDescent="0.2">
      <c r="AI591">
        <f t="shared" si="10"/>
        <v>0</v>
      </c>
    </row>
    <row r="592" spans="35:35" x14ac:dyDescent="0.2">
      <c r="AI592">
        <f t="shared" si="10"/>
        <v>0</v>
      </c>
    </row>
    <row r="593" spans="35:35" x14ac:dyDescent="0.2">
      <c r="AI593">
        <f t="shared" si="10"/>
        <v>0</v>
      </c>
    </row>
    <row r="594" spans="35:35" x14ac:dyDescent="0.2">
      <c r="AI594">
        <f t="shared" si="10"/>
        <v>0</v>
      </c>
    </row>
    <row r="595" spans="35:35" x14ac:dyDescent="0.2">
      <c r="AI595">
        <f t="shared" si="10"/>
        <v>0</v>
      </c>
    </row>
    <row r="596" spans="35:35" x14ac:dyDescent="0.2">
      <c r="AI596">
        <f t="shared" si="10"/>
        <v>0</v>
      </c>
    </row>
    <row r="597" spans="35:35" x14ac:dyDescent="0.2">
      <c r="AI597">
        <f t="shared" si="10"/>
        <v>0</v>
      </c>
    </row>
    <row r="598" spans="35:35" x14ac:dyDescent="0.2">
      <c r="AI598">
        <f t="shared" si="10"/>
        <v>0</v>
      </c>
    </row>
    <row r="599" spans="35:35" x14ac:dyDescent="0.2">
      <c r="AI599">
        <f t="shared" si="10"/>
        <v>0</v>
      </c>
    </row>
    <row r="600" spans="35:35" x14ac:dyDescent="0.2">
      <c r="AI600">
        <f t="shared" si="10"/>
        <v>0</v>
      </c>
    </row>
    <row r="601" spans="35:35" x14ac:dyDescent="0.2">
      <c r="AI601">
        <f t="shared" si="10"/>
        <v>0</v>
      </c>
    </row>
    <row r="602" spans="35:35" x14ac:dyDescent="0.2">
      <c r="AI602">
        <f t="shared" si="10"/>
        <v>0</v>
      </c>
    </row>
    <row r="603" spans="35:35" x14ac:dyDescent="0.2">
      <c r="AI603">
        <f t="shared" si="10"/>
        <v>0</v>
      </c>
    </row>
    <row r="604" spans="35:35" x14ac:dyDescent="0.2">
      <c r="AI604">
        <f t="shared" si="10"/>
        <v>0</v>
      </c>
    </row>
    <row r="605" spans="35:35" x14ac:dyDescent="0.2">
      <c r="AI605">
        <f t="shared" si="10"/>
        <v>0</v>
      </c>
    </row>
    <row r="606" spans="35:35" x14ac:dyDescent="0.2">
      <c r="AI606">
        <f t="shared" si="10"/>
        <v>0</v>
      </c>
    </row>
    <row r="607" spans="35:35" x14ac:dyDescent="0.2">
      <c r="AI607">
        <f t="shared" si="10"/>
        <v>0</v>
      </c>
    </row>
    <row r="608" spans="35:35" x14ac:dyDescent="0.2">
      <c r="AI608">
        <f t="shared" si="10"/>
        <v>0</v>
      </c>
    </row>
    <row r="609" spans="35:35" x14ac:dyDescent="0.2">
      <c r="AI609">
        <f t="shared" si="10"/>
        <v>0</v>
      </c>
    </row>
    <row r="610" spans="35:35" x14ac:dyDescent="0.2">
      <c r="AI610">
        <f t="shared" si="10"/>
        <v>0</v>
      </c>
    </row>
    <row r="611" spans="35:35" x14ac:dyDescent="0.2">
      <c r="AI611">
        <f t="shared" si="10"/>
        <v>0</v>
      </c>
    </row>
    <row r="612" spans="35:35" x14ac:dyDescent="0.2">
      <c r="AI612">
        <f t="shared" si="10"/>
        <v>0</v>
      </c>
    </row>
    <row r="613" spans="35:35" x14ac:dyDescent="0.2">
      <c r="AI613">
        <f t="shared" si="10"/>
        <v>0</v>
      </c>
    </row>
    <row r="614" spans="35:35" x14ac:dyDescent="0.2">
      <c r="AI614">
        <f t="shared" si="10"/>
        <v>0</v>
      </c>
    </row>
    <row r="615" spans="35:35" x14ac:dyDescent="0.2">
      <c r="AI615">
        <f t="shared" si="10"/>
        <v>0</v>
      </c>
    </row>
    <row r="616" spans="35:35" x14ac:dyDescent="0.2">
      <c r="AI616">
        <f t="shared" si="10"/>
        <v>0</v>
      </c>
    </row>
    <row r="617" spans="35:35" x14ac:dyDescent="0.2">
      <c r="AI617">
        <f t="shared" si="10"/>
        <v>0</v>
      </c>
    </row>
    <row r="618" spans="35:35" x14ac:dyDescent="0.2">
      <c r="AI618">
        <f t="shared" si="10"/>
        <v>0</v>
      </c>
    </row>
    <row r="619" spans="35:35" x14ac:dyDescent="0.2">
      <c r="AI619">
        <f t="shared" si="10"/>
        <v>0</v>
      </c>
    </row>
    <row r="620" spans="35:35" x14ac:dyDescent="0.2">
      <c r="AI620">
        <f t="shared" si="10"/>
        <v>0</v>
      </c>
    </row>
    <row r="621" spans="35:35" x14ac:dyDescent="0.2">
      <c r="AI621">
        <f t="shared" si="10"/>
        <v>0</v>
      </c>
    </row>
    <row r="622" spans="35:35" x14ac:dyDescent="0.2">
      <c r="AI622">
        <f t="shared" si="10"/>
        <v>0</v>
      </c>
    </row>
    <row r="623" spans="35:35" x14ac:dyDescent="0.2">
      <c r="AI623">
        <f t="shared" si="10"/>
        <v>0</v>
      </c>
    </row>
    <row r="624" spans="35:35" x14ac:dyDescent="0.2">
      <c r="AI624">
        <f t="shared" si="10"/>
        <v>0</v>
      </c>
    </row>
    <row r="625" spans="35:35" x14ac:dyDescent="0.2">
      <c r="AI625">
        <f t="shared" si="10"/>
        <v>0</v>
      </c>
    </row>
    <row r="626" spans="35:35" x14ac:dyDescent="0.2">
      <c r="AI626">
        <f t="shared" si="10"/>
        <v>0</v>
      </c>
    </row>
    <row r="627" spans="35:35" x14ac:dyDescent="0.2">
      <c r="AI627">
        <f t="shared" si="10"/>
        <v>0</v>
      </c>
    </row>
    <row r="628" spans="35:35" x14ac:dyDescent="0.2">
      <c r="AI628">
        <f t="shared" si="10"/>
        <v>0</v>
      </c>
    </row>
    <row r="629" spans="35:35" x14ac:dyDescent="0.2">
      <c r="AI629">
        <f t="shared" si="10"/>
        <v>0</v>
      </c>
    </row>
    <row r="630" spans="35:35" x14ac:dyDescent="0.2">
      <c r="AI630">
        <f t="shared" si="10"/>
        <v>0</v>
      </c>
    </row>
    <row r="631" spans="35:35" x14ac:dyDescent="0.2">
      <c r="AI631">
        <f t="shared" si="10"/>
        <v>0</v>
      </c>
    </row>
    <row r="632" spans="35:35" x14ac:dyDescent="0.2">
      <c r="AI632">
        <f t="shared" si="10"/>
        <v>0</v>
      </c>
    </row>
    <row r="633" spans="35:35" x14ac:dyDescent="0.2">
      <c r="AI633">
        <f t="shared" si="10"/>
        <v>0</v>
      </c>
    </row>
    <row r="634" spans="35:35" x14ac:dyDescent="0.2">
      <c r="AI634">
        <f t="shared" si="10"/>
        <v>0</v>
      </c>
    </row>
    <row r="635" spans="35:35" x14ac:dyDescent="0.2">
      <c r="AI635">
        <f t="shared" si="10"/>
        <v>0</v>
      </c>
    </row>
    <row r="636" spans="35:35" x14ac:dyDescent="0.2">
      <c r="AI636">
        <f t="shared" si="10"/>
        <v>0</v>
      </c>
    </row>
    <row r="637" spans="35:35" x14ac:dyDescent="0.2">
      <c r="AI637">
        <f t="shared" si="10"/>
        <v>0</v>
      </c>
    </row>
    <row r="638" spans="35:35" x14ac:dyDescent="0.2">
      <c r="AI638">
        <f t="shared" si="10"/>
        <v>0</v>
      </c>
    </row>
    <row r="639" spans="35:35" x14ac:dyDescent="0.2">
      <c r="AI639">
        <f t="shared" si="10"/>
        <v>0</v>
      </c>
    </row>
    <row r="640" spans="35:35" x14ac:dyDescent="0.2">
      <c r="AI640">
        <f t="shared" si="10"/>
        <v>0</v>
      </c>
    </row>
    <row r="641" spans="35:35" x14ac:dyDescent="0.2">
      <c r="AI641">
        <f t="shared" si="10"/>
        <v>0</v>
      </c>
    </row>
    <row r="642" spans="35:35" x14ac:dyDescent="0.2">
      <c r="AI642">
        <f t="shared" si="10"/>
        <v>0</v>
      </c>
    </row>
    <row r="643" spans="35:35" x14ac:dyDescent="0.2">
      <c r="AI643">
        <f t="shared" si="10"/>
        <v>0</v>
      </c>
    </row>
    <row r="644" spans="35:35" x14ac:dyDescent="0.2">
      <c r="AI644">
        <f t="shared" si="10"/>
        <v>0</v>
      </c>
    </row>
    <row r="645" spans="35:35" x14ac:dyDescent="0.2">
      <c r="AI645">
        <f t="shared" si="10"/>
        <v>0</v>
      </c>
    </row>
    <row r="646" spans="35:35" x14ac:dyDescent="0.2">
      <c r="AI646">
        <f t="shared" ref="AI646:AI709" si="11">COUNTA($B646:$AF646)</f>
        <v>0</v>
      </c>
    </row>
    <row r="647" spans="35:35" x14ac:dyDescent="0.2">
      <c r="AI647">
        <f t="shared" si="11"/>
        <v>0</v>
      </c>
    </row>
    <row r="648" spans="35:35" x14ac:dyDescent="0.2">
      <c r="AI648">
        <f t="shared" si="11"/>
        <v>0</v>
      </c>
    </row>
    <row r="649" spans="35:35" x14ac:dyDescent="0.2">
      <c r="AI649">
        <f t="shared" si="11"/>
        <v>0</v>
      </c>
    </row>
    <row r="650" spans="35:35" x14ac:dyDescent="0.2">
      <c r="AI650">
        <f t="shared" si="11"/>
        <v>0</v>
      </c>
    </row>
    <row r="651" spans="35:35" x14ac:dyDescent="0.2">
      <c r="AI651">
        <f t="shared" si="11"/>
        <v>0</v>
      </c>
    </row>
    <row r="652" spans="35:35" x14ac:dyDescent="0.2">
      <c r="AI652">
        <f t="shared" si="11"/>
        <v>0</v>
      </c>
    </row>
    <row r="653" spans="35:35" x14ac:dyDescent="0.2">
      <c r="AI653">
        <f t="shared" si="11"/>
        <v>0</v>
      </c>
    </row>
    <row r="654" spans="35:35" x14ac:dyDescent="0.2">
      <c r="AI654">
        <f t="shared" si="11"/>
        <v>0</v>
      </c>
    </row>
    <row r="655" spans="35:35" x14ac:dyDescent="0.2">
      <c r="AI655">
        <f t="shared" si="11"/>
        <v>0</v>
      </c>
    </row>
    <row r="656" spans="35:35" x14ac:dyDescent="0.2">
      <c r="AI656">
        <f t="shared" si="11"/>
        <v>0</v>
      </c>
    </row>
    <row r="657" spans="35:35" x14ac:dyDescent="0.2">
      <c r="AI657">
        <f t="shared" si="11"/>
        <v>0</v>
      </c>
    </row>
    <row r="658" spans="35:35" x14ac:dyDescent="0.2">
      <c r="AI658">
        <f t="shared" si="11"/>
        <v>0</v>
      </c>
    </row>
    <row r="659" spans="35:35" x14ac:dyDescent="0.2">
      <c r="AI659">
        <f t="shared" si="11"/>
        <v>0</v>
      </c>
    </row>
    <row r="660" spans="35:35" x14ac:dyDescent="0.2">
      <c r="AI660">
        <f t="shared" si="11"/>
        <v>0</v>
      </c>
    </row>
    <row r="661" spans="35:35" x14ac:dyDescent="0.2">
      <c r="AI661">
        <f t="shared" si="11"/>
        <v>0</v>
      </c>
    </row>
    <row r="662" spans="35:35" x14ac:dyDescent="0.2">
      <c r="AI662">
        <f t="shared" si="11"/>
        <v>0</v>
      </c>
    </row>
    <row r="663" spans="35:35" x14ac:dyDescent="0.2">
      <c r="AI663">
        <f t="shared" si="11"/>
        <v>0</v>
      </c>
    </row>
    <row r="664" spans="35:35" x14ac:dyDescent="0.2">
      <c r="AI664">
        <f t="shared" si="11"/>
        <v>0</v>
      </c>
    </row>
    <row r="665" spans="35:35" x14ac:dyDescent="0.2">
      <c r="AI665">
        <f t="shared" si="11"/>
        <v>0</v>
      </c>
    </row>
    <row r="666" spans="35:35" x14ac:dyDescent="0.2">
      <c r="AI666">
        <f t="shared" si="11"/>
        <v>0</v>
      </c>
    </row>
    <row r="667" spans="35:35" x14ac:dyDescent="0.2">
      <c r="AI667">
        <f t="shared" si="11"/>
        <v>0</v>
      </c>
    </row>
    <row r="668" spans="35:35" x14ac:dyDescent="0.2">
      <c r="AI668">
        <f t="shared" si="11"/>
        <v>0</v>
      </c>
    </row>
    <row r="669" spans="35:35" x14ac:dyDescent="0.2">
      <c r="AI669">
        <f t="shared" si="11"/>
        <v>0</v>
      </c>
    </row>
    <row r="670" spans="35:35" x14ac:dyDescent="0.2">
      <c r="AI670">
        <f t="shared" si="11"/>
        <v>0</v>
      </c>
    </row>
    <row r="671" spans="35:35" x14ac:dyDescent="0.2">
      <c r="AI671">
        <f t="shared" si="11"/>
        <v>0</v>
      </c>
    </row>
    <row r="672" spans="35:35" x14ac:dyDescent="0.2">
      <c r="AI672">
        <f t="shared" si="11"/>
        <v>0</v>
      </c>
    </row>
    <row r="673" spans="35:35" x14ac:dyDescent="0.2">
      <c r="AI673">
        <f t="shared" si="11"/>
        <v>0</v>
      </c>
    </row>
    <row r="674" spans="35:35" x14ac:dyDescent="0.2">
      <c r="AI674">
        <f t="shared" si="11"/>
        <v>0</v>
      </c>
    </row>
    <row r="675" spans="35:35" x14ac:dyDescent="0.2">
      <c r="AI675">
        <f t="shared" si="11"/>
        <v>0</v>
      </c>
    </row>
    <row r="676" spans="35:35" x14ac:dyDescent="0.2">
      <c r="AI676">
        <f t="shared" si="11"/>
        <v>0</v>
      </c>
    </row>
    <row r="677" spans="35:35" x14ac:dyDescent="0.2">
      <c r="AI677">
        <f t="shared" si="11"/>
        <v>0</v>
      </c>
    </row>
    <row r="678" spans="35:35" x14ac:dyDescent="0.2">
      <c r="AI678">
        <f t="shared" si="11"/>
        <v>0</v>
      </c>
    </row>
    <row r="679" spans="35:35" x14ac:dyDescent="0.2">
      <c r="AI679">
        <f t="shared" si="11"/>
        <v>0</v>
      </c>
    </row>
    <row r="680" spans="35:35" x14ac:dyDescent="0.2">
      <c r="AI680">
        <f t="shared" si="11"/>
        <v>0</v>
      </c>
    </row>
    <row r="681" spans="35:35" x14ac:dyDescent="0.2">
      <c r="AI681">
        <f t="shared" si="11"/>
        <v>0</v>
      </c>
    </row>
    <row r="682" spans="35:35" x14ac:dyDescent="0.2">
      <c r="AI682">
        <f t="shared" si="11"/>
        <v>0</v>
      </c>
    </row>
    <row r="683" spans="35:35" x14ac:dyDescent="0.2">
      <c r="AI683">
        <f t="shared" si="11"/>
        <v>0</v>
      </c>
    </row>
    <row r="684" spans="35:35" x14ac:dyDescent="0.2">
      <c r="AI684">
        <f t="shared" si="11"/>
        <v>0</v>
      </c>
    </row>
    <row r="685" spans="35:35" x14ac:dyDescent="0.2">
      <c r="AI685">
        <f t="shared" si="11"/>
        <v>0</v>
      </c>
    </row>
    <row r="686" spans="35:35" x14ac:dyDescent="0.2">
      <c r="AI686">
        <f t="shared" si="11"/>
        <v>0</v>
      </c>
    </row>
    <row r="687" spans="35:35" x14ac:dyDescent="0.2">
      <c r="AI687">
        <f t="shared" si="11"/>
        <v>0</v>
      </c>
    </row>
    <row r="688" spans="35:35" x14ac:dyDescent="0.2">
      <c r="AI688">
        <f t="shared" si="11"/>
        <v>0</v>
      </c>
    </row>
    <row r="689" spans="35:35" x14ac:dyDescent="0.2">
      <c r="AI689">
        <f t="shared" si="11"/>
        <v>0</v>
      </c>
    </row>
    <row r="690" spans="35:35" x14ac:dyDescent="0.2">
      <c r="AI690">
        <f t="shared" si="11"/>
        <v>0</v>
      </c>
    </row>
    <row r="691" spans="35:35" x14ac:dyDescent="0.2">
      <c r="AI691">
        <f t="shared" si="11"/>
        <v>0</v>
      </c>
    </row>
    <row r="692" spans="35:35" x14ac:dyDescent="0.2">
      <c r="AI692">
        <f t="shared" si="11"/>
        <v>0</v>
      </c>
    </row>
    <row r="693" spans="35:35" x14ac:dyDescent="0.2">
      <c r="AI693">
        <f t="shared" si="11"/>
        <v>0</v>
      </c>
    </row>
    <row r="694" spans="35:35" x14ac:dyDescent="0.2">
      <c r="AI694">
        <f t="shared" si="11"/>
        <v>0</v>
      </c>
    </row>
    <row r="695" spans="35:35" x14ac:dyDescent="0.2">
      <c r="AI695">
        <f t="shared" si="11"/>
        <v>0</v>
      </c>
    </row>
    <row r="696" spans="35:35" x14ac:dyDescent="0.2">
      <c r="AI696">
        <f t="shared" si="11"/>
        <v>0</v>
      </c>
    </row>
    <row r="697" spans="35:35" x14ac:dyDescent="0.2">
      <c r="AI697">
        <f t="shared" si="11"/>
        <v>0</v>
      </c>
    </row>
    <row r="698" spans="35:35" x14ac:dyDescent="0.2">
      <c r="AI698">
        <f t="shared" si="11"/>
        <v>0</v>
      </c>
    </row>
    <row r="699" spans="35:35" x14ac:dyDescent="0.2">
      <c r="AI699">
        <f t="shared" si="11"/>
        <v>0</v>
      </c>
    </row>
    <row r="700" spans="35:35" x14ac:dyDescent="0.2">
      <c r="AI700">
        <f t="shared" si="11"/>
        <v>0</v>
      </c>
    </row>
    <row r="701" spans="35:35" x14ac:dyDescent="0.2">
      <c r="AI701">
        <f t="shared" si="11"/>
        <v>0</v>
      </c>
    </row>
    <row r="702" spans="35:35" x14ac:dyDescent="0.2">
      <c r="AI702">
        <f t="shared" si="11"/>
        <v>0</v>
      </c>
    </row>
    <row r="703" spans="35:35" x14ac:dyDescent="0.2">
      <c r="AI703">
        <f t="shared" si="11"/>
        <v>0</v>
      </c>
    </row>
    <row r="704" spans="35:35" x14ac:dyDescent="0.2">
      <c r="AI704">
        <f t="shared" si="11"/>
        <v>0</v>
      </c>
    </row>
    <row r="705" spans="35:35" x14ac:dyDescent="0.2">
      <c r="AI705">
        <f t="shared" si="11"/>
        <v>0</v>
      </c>
    </row>
    <row r="706" spans="35:35" x14ac:dyDescent="0.2">
      <c r="AI706">
        <f t="shared" si="11"/>
        <v>0</v>
      </c>
    </row>
    <row r="707" spans="35:35" x14ac:dyDescent="0.2">
      <c r="AI707">
        <f t="shared" si="11"/>
        <v>0</v>
      </c>
    </row>
    <row r="708" spans="35:35" x14ac:dyDescent="0.2">
      <c r="AI708">
        <f t="shared" si="11"/>
        <v>0</v>
      </c>
    </row>
    <row r="709" spans="35:35" x14ac:dyDescent="0.2">
      <c r="AI709">
        <f t="shared" si="11"/>
        <v>0</v>
      </c>
    </row>
    <row r="710" spans="35:35" x14ac:dyDescent="0.2">
      <c r="AI710">
        <f t="shared" ref="AI710:AI773" si="12">COUNTA($B710:$AF710)</f>
        <v>0</v>
      </c>
    </row>
    <row r="711" spans="35:35" x14ac:dyDescent="0.2">
      <c r="AI711">
        <f t="shared" si="12"/>
        <v>0</v>
      </c>
    </row>
    <row r="712" spans="35:35" x14ac:dyDescent="0.2">
      <c r="AI712">
        <f t="shared" si="12"/>
        <v>0</v>
      </c>
    </row>
    <row r="713" spans="35:35" x14ac:dyDescent="0.2">
      <c r="AI713">
        <f t="shared" si="12"/>
        <v>0</v>
      </c>
    </row>
    <row r="714" spans="35:35" x14ac:dyDescent="0.2">
      <c r="AI714">
        <f t="shared" si="12"/>
        <v>0</v>
      </c>
    </row>
    <row r="715" spans="35:35" x14ac:dyDescent="0.2">
      <c r="AI715">
        <f t="shared" si="12"/>
        <v>0</v>
      </c>
    </row>
    <row r="716" spans="35:35" x14ac:dyDescent="0.2">
      <c r="AI716">
        <f t="shared" si="12"/>
        <v>0</v>
      </c>
    </row>
    <row r="717" spans="35:35" x14ac:dyDescent="0.2">
      <c r="AI717">
        <f t="shared" si="12"/>
        <v>0</v>
      </c>
    </row>
    <row r="718" spans="35:35" x14ac:dyDescent="0.2">
      <c r="AI718">
        <f t="shared" si="12"/>
        <v>0</v>
      </c>
    </row>
    <row r="719" spans="35:35" x14ac:dyDescent="0.2">
      <c r="AI719">
        <f t="shared" si="12"/>
        <v>0</v>
      </c>
    </row>
    <row r="720" spans="35:35" x14ac:dyDescent="0.2">
      <c r="AI720">
        <f t="shared" si="12"/>
        <v>0</v>
      </c>
    </row>
    <row r="721" spans="35:35" x14ac:dyDescent="0.2">
      <c r="AI721">
        <f t="shared" si="12"/>
        <v>0</v>
      </c>
    </row>
    <row r="722" spans="35:35" x14ac:dyDescent="0.2">
      <c r="AI722">
        <f t="shared" si="12"/>
        <v>0</v>
      </c>
    </row>
    <row r="723" spans="35:35" x14ac:dyDescent="0.2">
      <c r="AI723">
        <f t="shared" si="12"/>
        <v>0</v>
      </c>
    </row>
    <row r="724" spans="35:35" x14ac:dyDescent="0.2">
      <c r="AI724">
        <f t="shared" si="12"/>
        <v>0</v>
      </c>
    </row>
    <row r="725" spans="35:35" x14ac:dyDescent="0.2">
      <c r="AI725">
        <f t="shared" si="12"/>
        <v>0</v>
      </c>
    </row>
    <row r="726" spans="35:35" x14ac:dyDescent="0.2">
      <c r="AI726">
        <f t="shared" si="12"/>
        <v>0</v>
      </c>
    </row>
    <row r="727" spans="35:35" x14ac:dyDescent="0.2">
      <c r="AI727">
        <f t="shared" si="12"/>
        <v>0</v>
      </c>
    </row>
    <row r="728" spans="35:35" x14ac:dyDescent="0.2">
      <c r="AI728">
        <f t="shared" si="12"/>
        <v>0</v>
      </c>
    </row>
    <row r="729" spans="35:35" x14ac:dyDescent="0.2">
      <c r="AI729">
        <f t="shared" si="12"/>
        <v>0</v>
      </c>
    </row>
    <row r="730" spans="35:35" x14ac:dyDescent="0.2">
      <c r="AI730">
        <f t="shared" si="12"/>
        <v>0</v>
      </c>
    </row>
    <row r="731" spans="35:35" x14ac:dyDescent="0.2">
      <c r="AI731">
        <f t="shared" si="12"/>
        <v>0</v>
      </c>
    </row>
    <row r="732" spans="35:35" x14ac:dyDescent="0.2">
      <c r="AI732">
        <f t="shared" si="12"/>
        <v>0</v>
      </c>
    </row>
    <row r="733" spans="35:35" x14ac:dyDescent="0.2">
      <c r="AI733">
        <f t="shared" si="12"/>
        <v>0</v>
      </c>
    </row>
    <row r="734" spans="35:35" x14ac:dyDescent="0.2">
      <c r="AI734">
        <f t="shared" si="12"/>
        <v>0</v>
      </c>
    </row>
    <row r="735" spans="35:35" x14ac:dyDescent="0.2">
      <c r="AI735">
        <f t="shared" si="12"/>
        <v>0</v>
      </c>
    </row>
    <row r="736" spans="35:35" x14ac:dyDescent="0.2">
      <c r="AI736">
        <f t="shared" si="12"/>
        <v>0</v>
      </c>
    </row>
    <row r="737" spans="35:35" x14ac:dyDescent="0.2">
      <c r="AI737">
        <f t="shared" si="12"/>
        <v>0</v>
      </c>
    </row>
    <row r="738" spans="35:35" x14ac:dyDescent="0.2">
      <c r="AI738">
        <f t="shared" si="12"/>
        <v>0</v>
      </c>
    </row>
    <row r="739" spans="35:35" x14ac:dyDescent="0.2">
      <c r="AI739">
        <f t="shared" si="12"/>
        <v>0</v>
      </c>
    </row>
    <row r="740" spans="35:35" x14ac:dyDescent="0.2">
      <c r="AI740">
        <f t="shared" si="12"/>
        <v>0</v>
      </c>
    </row>
    <row r="741" spans="35:35" x14ac:dyDescent="0.2">
      <c r="AI741">
        <f t="shared" si="12"/>
        <v>0</v>
      </c>
    </row>
    <row r="742" spans="35:35" x14ac:dyDescent="0.2">
      <c r="AI742">
        <f t="shared" si="12"/>
        <v>0</v>
      </c>
    </row>
    <row r="743" spans="35:35" x14ac:dyDescent="0.2">
      <c r="AI743">
        <f t="shared" si="12"/>
        <v>0</v>
      </c>
    </row>
    <row r="744" spans="35:35" x14ac:dyDescent="0.2">
      <c r="AI744">
        <f t="shared" si="12"/>
        <v>0</v>
      </c>
    </row>
    <row r="745" spans="35:35" x14ac:dyDescent="0.2">
      <c r="AI745">
        <f t="shared" si="12"/>
        <v>0</v>
      </c>
    </row>
    <row r="746" spans="35:35" x14ac:dyDescent="0.2">
      <c r="AI746">
        <f t="shared" si="12"/>
        <v>0</v>
      </c>
    </row>
    <row r="747" spans="35:35" x14ac:dyDescent="0.2">
      <c r="AI747">
        <f t="shared" si="12"/>
        <v>0</v>
      </c>
    </row>
    <row r="748" spans="35:35" x14ac:dyDescent="0.2">
      <c r="AI748">
        <f t="shared" si="12"/>
        <v>0</v>
      </c>
    </row>
    <row r="749" spans="35:35" x14ac:dyDescent="0.2">
      <c r="AI749">
        <f t="shared" si="12"/>
        <v>0</v>
      </c>
    </row>
    <row r="750" spans="35:35" x14ac:dyDescent="0.2">
      <c r="AI750">
        <f t="shared" si="12"/>
        <v>0</v>
      </c>
    </row>
    <row r="751" spans="35:35" x14ac:dyDescent="0.2">
      <c r="AI751">
        <f t="shared" si="12"/>
        <v>0</v>
      </c>
    </row>
    <row r="752" spans="35:35" x14ac:dyDescent="0.2">
      <c r="AI752">
        <f t="shared" si="12"/>
        <v>0</v>
      </c>
    </row>
    <row r="753" spans="35:35" x14ac:dyDescent="0.2">
      <c r="AI753">
        <f t="shared" si="12"/>
        <v>0</v>
      </c>
    </row>
    <row r="754" spans="35:35" x14ac:dyDescent="0.2">
      <c r="AI754">
        <f t="shared" si="12"/>
        <v>0</v>
      </c>
    </row>
    <row r="755" spans="35:35" x14ac:dyDescent="0.2">
      <c r="AI755">
        <f t="shared" si="12"/>
        <v>0</v>
      </c>
    </row>
    <row r="756" spans="35:35" x14ac:dyDescent="0.2">
      <c r="AI756">
        <f t="shared" si="12"/>
        <v>0</v>
      </c>
    </row>
    <row r="757" spans="35:35" x14ac:dyDescent="0.2">
      <c r="AI757">
        <f t="shared" si="12"/>
        <v>0</v>
      </c>
    </row>
    <row r="758" spans="35:35" x14ac:dyDescent="0.2">
      <c r="AI758">
        <f t="shared" si="12"/>
        <v>0</v>
      </c>
    </row>
    <row r="759" spans="35:35" x14ac:dyDescent="0.2">
      <c r="AI759">
        <f t="shared" si="12"/>
        <v>0</v>
      </c>
    </row>
    <row r="760" spans="35:35" x14ac:dyDescent="0.2">
      <c r="AI760">
        <f t="shared" si="12"/>
        <v>0</v>
      </c>
    </row>
    <row r="761" spans="35:35" x14ac:dyDescent="0.2">
      <c r="AI761">
        <f t="shared" si="12"/>
        <v>0</v>
      </c>
    </row>
    <row r="762" spans="35:35" x14ac:dyDescent="0.2">
      <c r="AI762">
        <f t="shared" si="12"/>
        <v>0</v>
      </c>
    </row>
    <row r="763" spans="35:35" x14ac:dyDescent="0.2">
      <c r="AI763">
        <f t="shared" si="12"/>
        <v>0</v>
      </c>
    </row>
    <row r="764" spans="35:35" x14ac:dyDescent="0.2">
      <c r="AI764">
        <f t="shared" si="12"/>
        <v>0</v>
      </c>
    </row>
    <row r="765" spans="35:35" x14ac:dyDescent="0.2">
      <c r="AI765">
        <f t="shared" si="12"/>
        <v>0</v>
      </c>
    </row>
    <row r="766" spans="35:35" x14ac:dyDescent="0.2">
      <c r="AI766">
        <f t="shared" si="12"/>
        <v>0</v>
      </c>
    </row>
    <row r="767" spans="35:35" x14ac:dyDescent="0.2">
      <c r="AI767">
        <f t="shared" si="12"/>
        <v>0</v>
      </c>
    </row>
    <row r="768" spans="35:35" x14ac:dyDescent="0.2">
      <c r="AI768">
        <f t="shared" si="12"/>
        <v>0</v>
      </c>
    </row>
    <row r="769" spans="35:35" x14ac:dyDescent="0.2">
      <c r="AI769">
        <f t="shared" si="12"/>
        <v>0</v>
      </c>
    </row>
    <row r="770" spans="35:35" x14ac:dyDescent="0.2">
      <c r="AI770">
        <f t="shared" si="12"/>
        <v>0</v>
      </c>
    </row>
    <row r="771" spans="35:35" x14ac:dyDescent="0.2">
      <c r="AI771">
        <f t="shared" si="12"/>
        <v>0</v>
      </c>
    </row>
    <row r="772" spans="35:35" x14ac:dyDescent="0.2">
      <c r="AI772">
        <f t="shared" si="12"/>
        <v>0</v>
      </c>
    </row>
    <row r="773" spans="35:35" x14ac:dyDescent="0.2">
      <c r="AI773">
        <f t="shared" si="12"/>
        <v>0</v>
      </c>
    </row>
    <row r="774" spans="35:35" x14ac:dyDescent="0.2">
      <c r="AI774">
        <f t="shared" ref="AI774:AI837" si="13">COUNTA($B774:$AF774)</f>
        <v>0</v>
      </c>
    </row>
    <row r="775" spans="35:35" x14ac:dyDescent="0.2">
      <c r="AI775">
        <f t="shared" si="13"/>
        <v>0</v>
      </c>
    </row>
    <row r="776" spans="35:35" x14ac:dyDescent="0.2">
      <c r="AI776">
        <f t="shared" si="13"/>
        <v>0</v>
      </c>
    </row>
    <row r="777" spans="35:35" x14ac:dyDescent="0.2">
      <c r="AI777">
        <f t="shared" si="13"/>
        <v>0</v>
      </c>
    </row>
    <row r="778" spans="35:35" x14ac:dyDescent="0.2">
      <c r="AI778">
        <f t="shared" si="13"/>
        <v>0</v>
      </c>
    </row>
    <row r="779" spans="35:35" x14ac:dyDescent="0.2">
      <c r="AI779">
        <f t="shared" si="13"/>
        <v>0</v>
      </c>
    </row>
    <row r="780" spans="35:35" x14ac:dyDescent="0.2">
      <c r="AI780">
        <f t="shared" si="13"/>
        <v>0</v>
      </c>
    </row>
    <row r="781" spans="35:35" x14ac:dyDescent="0.2">
      <c r="AI781">
        <f t="shared" si="13"/>
        <v>0</v>
      </c>
    </row>
    <row r="782" spans="35:35" x14ac:dyDescent="0.2">
      <c r="AI782">
        <f t="shared" si="13"/>
        <v>0</v>
      </c>
    </row>
    <row r="783" spans="35:35" x14ac:dyDescent="0.2">
      <c r="AI783">
        <f t="shared" si="13"/>
        <v>0</v>
      </c>
    </row>
    <row r="784" spans="35:35" x14ac:dyDescent="0.2">
      <c r="AI784">
        <f t="shared" si="13"/>
        <v>0</v>
      </c>
    </row>
    <row r="785" spans="35:35" x14ac:dyDescent="0.2">
      <c r="AI785">
        <f t="shared" si="13"/>
        <v>0</v>
      </c>
    </row>
    <row r="786" spans="35:35" x14ac:dyDescent="0.2">
      <c r="AI786">
        <f t="shared" si="13"/>
        <v>0</v>
      </c>
    </row>
    <row r="787" spans="35:35" x14ac:dyDescent="0.2">
      <c r="AI787">
        <f t="shared" si="13"/>
        <v>0</v>
      </c>
    </row>
    <row r="788" spans="35:35" x14ac:dyDescent="0.2">
      <c r="AI788">
        <f t="shared" si="13"/>
        <v>0</v>
      </c>
    </row>
    <row r="789" spans="35:35" x14ac:dyDescent="0.2">
      <c r="AI789">
        <f t="shared" si="13"/>
        <v>0</v>
      </c>
    </row>
    <row r="790" spans="35:35" x14ac:dyDescent="0.2">
      <c r="AI790">
        <f t="shared" si="13"/>
        <v>0</v>
      </c>
    </row>
    <row r="791" spans="35:35" x14ac:dyDescent="0.2">
      <c r="AI791">
        <f t="shared" si="13"/>
        <v>0</v>
      </c>
    </row>
    <row r="792" spans="35:35" x14ac:dyDescent="0.2">
      <c r="AI792">
        <f t="shared" si="13"/>
        <v>0</v>
      </c>
    </row>
    <row r="793" spans="35:35" x14ac:dyDescent="0.2">
      <c r="AI793">
        <f t="shared" si="13"/>
        <v>0</v>
      </c>
    </row>
    <row r="794" spans="35:35" x14ac:dyDescent="0.2">
      <c r="AI794">
        <f t="shared" si="13"/>
        <v>0</v>
      </c>
    </row>
    <row r="795" spans="35:35" x14ac:dyDescent="0.2">
      <c r="AI795">
        <f t="shared" si="13"/>
        <v>0</v>
      </c>
    </row>
    <row r="796" spans="35:35" x14ac:dyDescent="0.2">
      <c r="AI796">
        <f t="shared" si="13"/>
        <v>0</v>
      </c>
    </row>
    <row r="797" spans="35:35" x14ac:dyDescent="0.2">
      <c r="AI797">
        <f t="shared" si="13"/>
        <v>0</v>
      </c>
    </row>
    <row r="798" spans="35:35" x14ac:dyDescent="0.2">
      <c r="AI798">
        <f t="shared" si="13"/>
        <v>0</v>
      </c>
    </row>
    <row r="799" spans="35:35" x14ac:dyDescent="0.2">
      <c r="AI799">
        <f t="shared" si="13"/>
        <v>0</v>
      </c>
    </row>
    <row r="800" spans="35:35" x14ac:dyDescent="0.2">
      <c r="AI800">
        <f t="shared" si="13"/>
        <v>0</v>
      </c>
    </row>
    <row r="801" spans="35:35" x14ac:dyDescent="0.2">
      <c r="AI801">
        <f t="shared" si="13"/>
        <v>0</v>
      </c>
    </row>
    <row r="802" spans="35:35" x14ac:dyDescent="0.2">
      <c r="AI802">
        <f t="shared" si="13"/>
        <v>0</v>
      </c>
    </row>
    <row r="803" spans="35:35" x14ac:dyDescent="0.2">
      <c r="AI803">
        <f t="shared" si="13"/>
        <v>0</v>
      </c>
    </row>
    <row r="804" spans="35:35" x14ac:dyDescent="0.2">
      <c r="AI804">
        <f t="shared" si="13"/>
        <v>0</v>
      </c>
    </row>
    <row r="805" spans="35:35" x14ac:dyDescent="0.2">
      <c r="AI805">
        <f t="shared" si="13"/>
        <v>0</v>
      </c>
    </row>
    <row r="806" spans="35:35" x14ac:dyDescent="0.2">
      <c r="AI806">
        <f t="shared" si="13"/>
        <v>0</v>
      </c>
    </row>
    <row r="807" spans="35:35" x14ac:dyDescent="0.2">
      <c r="AI807">
        <f t="shared" si="13"/>
        <v>0</v>
      </c>
    </row>
    <row r="808" spans="35:35" x14ac:dyDescent="0.2">
      <c r="AI808">
        <f t="shared" si="13"/>
        <v>0</v>
      </c>
    </row>
    <row r="809" spans="35:35" x14ac:dyDescent="0.2">
      <c r="AI809">
        <f t="shared" si="13"/>
        <v>0</v>
      </c>
    </row>
    <row r="810" spans="35:35" x14ac:dyDescent="0.2">
      <c r="AI810">
        <f t="shared" si="13"/>
        <v>0</v>
      </c>
    </row>
    <row r="811" spans="35:35" x14ac:dyDescent="0.2">
      <c r="AI811">
        <f t="shared" si="13"/>
        <v>0</v>
      </c>
    </row>
    <row r="812" spans="35:35" x14ac:dyDescent="0.2">
      <c r="AI812">
        <f t="shared" si="13"/>
        <v>0</v>
      </c>
    </row>
    <row r="813" spans="35:35" x14ac:dyDescent="0.2">
      <c r="AI813">
        <f t="shared" si="13"/>
        <v>0</v>
      </c>
    </row>
    <row r="814" spans="35:35" x14ac:dyDescent="0.2">
      <c r="AI814">
        <f t="shared" si="13"/>
        <v>0</v>
      </c>
    </row>
    <row r="815" spans="35:35" x14ac:dyDescent="0.2">
      <c r="AI815">
        <f t="shared" si="13"/>
        <v>0</v>
      </c>
    </row>
    <row r="816" spans="35:35" x14ac:dyDescent="0.2">
      <c r="AI816">
        <f t="shared" si="13"/>
        <v>0</v>
      </c>
    </row>
    <row r="817" spans="35:35" x14ac:dyDescent="0.2">
      <c r="AI817">
        <f t="shared" si="13"/>
        <v>0</v>
      </c>
    </row>
    <row r="818" spans="35:35" x14ac:dyDescent="0.2">
      <c r="AI818">
        <f t="shared" si="13"/>
        <v>0</v>
      </c>
    </row>
    <row r="819" spans="35:35" x14ac:dyDescent="0.2">
      <c r="AI819">
        <f t="shared" si="13"/>
        <v>0</v>
      </c>
    </row>
    <row r="820" spans="35:35" x14ac:dyDescent="0.2">
      <c r="AI820">
        <f t="shared" si="13"/>
        <v>0</v>
      </c>
    </row>
    <row r="821" spans="35:35" x14ac:dyDescent="0.2">
      <c r="AI821">
        <f t="shared" si="13"/>
        <v>0</v>
      </c>
    </row>
    <row r="822" spans="35:35" x14ac:dyDescent="0.2">
      <c r="AI822">
        <f t="shared" si="13"/>
        <v>0</v>
      </c>
    </row>
    <row r="823" spans="35:35" x14ac:dyDescent="0.2">
      <c r="AI823">
        <f t="shared" si="13"/>
        <v>0</v>
      </c>
    </row>
    <row r="824" spans="35:35" x14ac:dyDescent="0.2">
      <c r="AI824">
        <f t="shared" si="13"/>
        <v>0</v>
      </c>
    </row>
    <row r="825" spans="35:35" x14ac:dyDescent="0.2">
      <c r="AI825">
        <f t="shared" si="13"/>
        <v>0</v>
      </c>
    </row>
    <row r="826" spans="35:35" x14ac:dyDescent="0.2">
      <c r="AI826">
        <f t="shared" si="13"/>
        <v>0</v>
      </c>
    </row>
    <row r="827" spans="35:35" x14ac:dyDescent="0.2">
      <c r="AI827">
        <f t="shared" si="13"/>
        <v>0</v>
      </c>
    </row>
    <row r="828" spans="35:35" x14ac:dyDescent="0.2">
      <c r="AI828">
        <f t="shared" si="13"/>
        <v>0</v>
      </c>
    </row>
    <row r="829" spans="35:35" x14ac:dyDescent="0.2">
      <c r="AI829">
        <f t="shared" si="13"/>
        <v>0</v>
      </c>
    </row>
    <row r="830" spans="35:35" x14ac:dyDescent="0.2">
      <c r="AI830">
        <f t="shared" si="13"/>
        <v>0</v>
      </c>
    </row>
    <row r="831" spans="35:35" x14ac:dyDescent="0.2">
      <c r="AI831">
        <f t="shared" si="13"/>
        <v>0</v>
      </c>
    </row>
    <row r="832" spans="35:35" x14ac:dyDescent="0.2">
      <c r="AI832">
        <f t="shared" si="13"/>
        <v>0</v>
      </c>
    </row>
    <row r="833" spans="35:35" x14ac:dyDescent="0.2">
      <c r="AI833">
        <f t="shared" si="13"/>
        <v>0</v>
      </c>
    </row>
    <row r="834" spans="35:35" x14ac:dyDescent="0.2">
      <c r="AI834">
        <f t="shared" si="13"/>
        <v>0</v>
      </c>
    </row>
    <row r="835" spans="35:35" x14ac:dyDescent="0.2">
      <c r="AI835">
        <f t="shared" si="13"/>
        <v>0</v>
      </c>
    </row>
    <row r="836" spans="35:35" x14ac:dyDescent="0.2">
      <c r="AI836">
        <f t="shared" si="13"/>
        <v>0</v>
      </c>
    </row>
    <row r="837" spans="35:35" x14ac:dyDescent="0.2">
      <c r="AI837">
        <f t="shared" si="13"/>
        <v>0</v>
      </c>
    </row>
    <row r="838" spans="35:35" x14ac:dyDescent="0.2">
      <c r="AI838">
        <f t="shared" ref="AI838:AI901" si="14">COUNTA($B838:$AF838)</f>
        <v>0</v>
      </c>
    </row>
    <row r="839" spans="35:35" x14ac:dyDescent="0.2">
      <c r="AI839">
        <f t="shared" si="14"/>
        <v>0</v>
      </c>
    </row>
    <row r="840" spans="35:35" x14ac:dyDescent="0.2">
      <c r="AI840">
        <f t="shared" si="14"/>
        <v>0</v>
      </c>
    </row>
    <row r="841" spans="35:35" x14ac:dyDescent="0.2">
      <c r="AI841">
        <f t="shared" si="14"/>
        <v>0</v>
      </c>
    </row>
    <row r="842" spans="35:35" x14ac:dyDescent="0.2">
      <c r="AI842">
        <f t="shared" si="14"/>
        <v>0</v>
      </c>
    </row>
    <row r="843" spans="35:35" x14ac:dyDescent="0.2">
      <c r="AI843">
        <f t="shared" si="14"/>
        <v>0</v>
      </c>
    </row>
    <row r="844" spans="35:35" x14ac:dyDescent="0.2">
      <c r="AI844">
        <f t="shared" si="14"/>
        <v>0</v>
      </c>
    </row>
    <row r="845" spans="35:35" x14ac:dyDescent="0.2">
      <c r="AI845">
        <f t="shared" si="14"/>
        <v>0</v>
      </c>
    </row>
    <row r="846" spans="35:35" x14ac:dyDescent="0.2">
      <c r="AI846">
        <f t="shared" si="14"/>
        <v>0</v>
      </c>
    </row>
    <row r="847" spans="35:35" x14ac:dyDescent="0.2">
      <c r="AI847">
        <f t="shared" si="14"/>
        <v>0</v>
      </c>
    </row>
    <row r="848" spans="35:35" x14ac:dyDescent="0.2">
      <c r="AI848">
        <f t="shared" si="14"/>
        <v>0</v>
      </c>
    </row>
    <row r="849" spans="35:35" x14ac:dyDescent="0.2">
      <c r="AI849">
        <f t="shared" si="14"/>
        <v>0</v>
      </c>
    </row>
    <row r="850" spans="35:35" x14ac:dyDescent="0.2">
      <c r="AI850">
        <f t="shared" si="14"/>
        <v>0</v>
      </c>
    </row>
    <row r="851" spans="35:35" x14ac:dyDescent="0.2">
      <c r="AI851">
        <f t="shared" si="14"/>
        <v>0</v>
      </c>
    </row>
    <row r="852" spans="35:35" x14ac:dyDescent="0.2">
      <c r="AI852">
        <f t="shared" si="14"/>
        <v>0</v>
      </c>
    </row>
    <row r="853" spans="35:35" x14ac:dyDescent="0.2">
      <c r="AI853">
        <f t="shared" si="14"/>
        <v>0</v>
      </c>
    </row>
    <row r="854" spans="35:35" x14ac:dyDescent="0.2">
      <c r="AI854">
        <f t="shared" si="14"/>
        <v>0</v>
      </c>
    </row>
    <row r="855" spans="35:35" x14ac:dyDescent="0.2">
      <c r="AI855">
        <f t="shared" si="14"/>
        <v>0</v>
      </c>
    </row>
    <row r="856" spans="35:35" x14ac:dyDescent="0.2">
      <c r="AI856">
        <f t="shared" si="14"/>
        <v>0</v>
      </c>
    </row>
    <row r="857" spans="35:35" x14ac:dyDescent="0.2">
      <c r="AI857">
        <f t="shared" si="14"/>
        <v>0</v>
      </c>
    </row>
    <row r="858" spans="35:35" x14ac:dyDescent="0.2">
      <c r="AI858">
        <f t="shared" si="14"/>
        <v>0</v>
      </c>
    </row>
    <row r="859" spans="35:35" x14ac:dyDescent="0.2">
      <c r="AI859">
        <f t="shared" si="14"/>
        <v>0</v>
      </c>
    </row>
    <row r="860" spans="35:35" x14ac:dyDescent="0.2">
      <c r="AI860">
        <f t="shared" si="14"/>
        <v>0</v>
      </c>
    </row>
    <row r="861" spans="35:35" x14ac:dyDescent="0.2">
      <c r="AI861">
        <f t="shared" si="14"/>
        <v>0</v>
      </c>
    </row>
    <row r="862" spans="35:35" x14ac:dyDescent="0.2">
      <c r="AI862">
        <f t="shared" si="14"/>
        <v>0</v>
      </c>
    </row>
    <row r="863" spans="35:35" x14ac:dyDescent="0.2">
      <c r="AI863">
        <f t="shared" si="14"/>
        <v>0</v>
      </c>
    </row>
    <row r="864" spans="35:35" x14ac:dyDescent="0.2">
      <c r="AI864">
        <f t="shared" si="14"/>
        <v>0</v>
      </c>
    </row>
    <row r="865" spans="35:35" x14ac:dyDescent="0.2">
      <c r="AI865">
        <f t="shared" si="14"/>
        <v>0</v>
      </c>
    </row>
    <row r="866" spans="35:35" x14ac:dyDescent="0.2">
      <c r="AI866">
        <f t="shared" si="14"/>
        <v>0</v>
      </c>
    </row>
    <row r="867" spans="35:35" x14ac:dyDescent="0.2">
      <c r="AI867">
        <f t="shared" si="14"/>
        <v>0</v>
      </c>
    </row>
    <row r="868" spans="35:35" x14ac:dyDescent="0.2">
      <c r="AI868">
        <f t="shared" si="14"/>
        <v>0</v>
      </c>
    </row>
    <row r="869" spans="35:35" x14ac:dyDescent="0.2">
      <c r="AI869">
        <f t="shared" si="14"/>
        <v>0</v>
      </c>
    </row>
    <row r="870" spans="35:35" x14ac:dyDescent="0.2">
      <c r="AI870">
        <f t="shared" si="14"/>
        <v>0</v>
      </c>
    </row>
    <row r="871" spans="35:35" x14ac:dyDescent="0.2">
      <c r="AI871">
        <f t="shared" si="14"/>
        <v>0</v>
      </c>
    </row>
    <row r="872" spans="35:35" x14ac:dyDescent="0.2">
      <c r="AI872">
        <f t="shared" si="14"/>
        <v>0</v>
      </c>
    </row>
    <row r="873" spans="35:35" x14ac:dyDescent="0.2">
      <c r="AI873">
        <f t="shared" si="14"/>
        <v>0</v>
      </c>
    </row>
    <row r="874" spans="35:35" x14ac:dyDescent="0.2">
      <c r="AI874">
        <f t="shared" si="14"/>
        <v>0</v>
      </c>
    </row>
    <row r="875" spans="35:35" x14ac:dyDescent="0.2">
      <c r="AI875">
        <f t="shared" si="14"/>
        <v>0</v>
      </c>
    </row>
    <row r="876" spans="35:35" x14ac:dyDescent="0.2">
      <c r="AI876">
        <f t="shared" si="14"/>
        <v>0</v>
      </c>
    </row>
    <row r="877" spans="35:35" x14ac:dyDescent="0.2">
      <c r="AI877">
        <f t="shared" si="14"/>
        <v>0</v>
      </c>
    </row>
    <row r="878" spans="35:35" x14ac:dyDescent="0.2">
      <c r="AI878">
        <f t="shared" si="14"/>
        <v>0</v>
      </c>
    </row>
    <row r="879" spans="35:35" x14ac:dyDescent="0.2">
      <c r="AI879">
        <f t="shared" si="14"/>
        <v>0</v>
      </c>
    </row>
    <row r="880" spans="35:35" x14ac:dyDescent="0.2">
      <c r="AI880">
        <f t="shared" si="14"/>
        <v>0</v>
      </c>
    </row>
    <row r="881" spans="35:35" x14ac:dyDescent="0.2">
      <c r="AI881">
        <f t="shared" si="14"/>
        <v>0</v>
      </c>
    </row>
    <row r="882" spans="35:35" x14ac:dyDescent="0.2">
      <c r="AI882">
        <f t="shared" si="14"/>
        <v>0</v>
      </c>
    </row>
    <row r="883" spans="35:35" x14ac:dyDescent="0.2">
      <c r="AI883">
        <f t="shared" si="14"/>
        <v>0</v>
      </c>
    </row>
    <row r="884" spans="35:35" x14ac:dyDescent="0.2">
      <c r="AI884">
        <f t="shared" si="14"/>
        <v>0</v>
      </c>
    </row>
    <row r="885" spans="35:35" x14ac:dyDescent="0.2">
      <c r="AI885">
        <f t="shared" si="14"/>
        <v>0</v>
      </c>
    </row>
    <row r="886" spans="35:35" x14ac:dyDescent="0.2">
      <c r="AI886">
        <f t="shared" si="14"/>
        <v>0</v>
      </c>
    </row>
    <row r="887" spans="35:35" x14ac:dyDescent="0.2">
      <c r="AI887">
        <f t="shared" si="14"/>
        <v>0</v>
      </c>
    </row>
    <row r="888" spans="35:35" x14ac:dyDescent="0.2">
      <c r="AI888">
        <f t="shared" si="14"/>
        <v>0</v>
      </c>
    </row>
    <row r="889" spans="35:35" x14ac:dyDescent="0.2">
      <c r="AI889">
        <f t="shared" si="14"/>
        <v>0</v>
      </c>
    </row>
    <row r="890" spans="35:35" x14ac:dyDescent="0.2">
      <c r="AI890">
        <f t="shared" si="14"/>
        <v>0</v>
      </c>
    </row>
    <row r="891" spans="35:35" x14ac:dyDescent="0.2">
      <c r="AI891">
        <f t="shared" si="14"/>
        <v>0</v>
      </c>
    </row>
    <row r="892" spans="35:35" x14ac:dyDescent="0.2">
      <c r="AI892">
        <f t="shared" si="14"/>
        <v>0</v>
      </c>
    </row>
    <row r="893" spans="35:35" x14ac:dyDescent="0.2">
      <c r="AI893">
        <f t="shared" si="14"/>
        <v>0</v>
      </c>
    </row>
    <row r="894" spans="35:35" x14ac:dyDescent="0.2">
      <c r="AI894">
        <f t="shared" si="14"/>
        <v>0</v>
      </c>
    </row>
    <row r="895" spans="35:35" x14ac:dyDescent="0.2">
      <c r="AI895">
        <f t="shared" si="14"/>
        <v>0</v>
      </c>
    </row>
    <row r="896" spans="35:35" x14ac:dyDescent="0.2">
      <c r="AI896">
        <f t="shared" si="14"/>
        <v>0</v>
      </c>
    </row>
    <row r="897" spans="35:35" x14ac:dyDescent="0.2">
      <c r="AI897">
        <f t="shared" si="14"/>
        <v>0</v>
      </c>
    </row>
    <row r="898" spans="35:35" x14ac:dyDescent="0.2">
      <c r="AI898">
        <f t="shared" si="14"/>
        <v>0</v>
      </c>
    </row>
    <row r="899" spans="35:35" x14ac:dyDescent="0.2">
      <c r="AI899">
        <f t="shared" si="14"/>
        <v>0</v>
      </c>
    </row>
    <row r="900" spans="35:35" x14ac:dyDescent="0.2">
      <c r="AI900">
        <f t="shared" si="14"/>
        <v>0</v>
      </c>
    </row>
    <row r="901" spans="35:35" x14ac:dyDescent="0.2">
      <c r="AI901">
        <f t="shared" si="14"/>
        <v>0</v>
      </c>
    </row>
    <row r="902" spans="35:35" x14ac:dyDescent="0.2">
      <c r="AI902">
        <f t="shared" ref="AI902:AI965" si="15">COUNTA($B902:$AF902)</f>
        <v>0</v>
      </c>
    </row>
    <row r="903" spans="35:35" x14ac:dyDescent="0.2">
      <c r="AI903">
        <f t="shared" si="15"/>
        <v>0</v>
      </c>
    </row>
    <row r="904" spans="35:35" x14ac:dyDescent="0.2">
      <c r="AI904">
        <f t="shared" si="15"/>
        <v>0</v>
      </c>
    </row>
    <row r="905" spans="35:35" x14ac:dyDescent="0.2">
      <c r="AI905">
        <f t="shared" si="15"/>
        <v>0</v>
      </c>
    </row>
    <row r="906" spans="35:35" x14ac:dyDescent="0.2">
      <c r="AI906">
        <f t="shared" si="15"/>
        <v>0</v>
      </c>
    </row>
    <row r="907" spans="35:35" x14ac:dyDescent="0.2">
      <c r="AI907">
        <f t="shared" si="15"/>
        <v>0</v>
      </c>
    </row>
    <row r="908" spans="35:35" x14ac:dyDescent="0.2">
      <c r="AI908">
        <f t="shared" si="15"/>
        <v>0</v>
      </c>
    </row>
    <row r="909" spans="35:35" x14ac:dyDescent="0.2">
      <c r="AI909">
        <f t="shared" si="15"/>
        <v>0</v>
      </c>
    </row>
    <row r="910" spans="35:35" x14ac:dyDescent="0.2">
      <c r="AI910">
        <f t="shared" si="15"/>
        <v>0</v>
      </c>
    </row>
    <row r="911" spans="35:35" x14ac:dyDescent="0.2">
      <c r="AI911">
        <f t="shared" si="15"/>
        <v>0</v>
      </c>
    </row>
    <row r="912" spans="35:35" x14ac:dyDescent="0.2">
      <c r="AI912">
        <f t="shared" si="15"/>
        <v>0</v>
      </c>
    </row>
    <row r="913" spans="35:35" x14ac:dyDescent="0.2">
      <c r="AI913">
        <f t="shared" si="15"/>
        <v>0</v>
      </c>
    </row>
    <row r="914" spans="35:35" x14ac:dyDescent="0.2">
      <c r="AI914">
        <f t="shared" si="15"/>
        <v>0</v>
      </c>
    </row>
    <row r="915" spans="35:35" x14ac:dyDescent="0.2">
      <c r="AI915">
        <f t="shared" si="15"/>
        <v>0</v>
      </c>
    </row>
    <row r="916" spans="35:35" x14ac:dyDescent="0.2">
      <c r="AI916">
        <f t="shared" si="15"/>
        <v>0</v>
      </c>
    </row>
    <row r="917" spans="35:35" x14ac:dyDescent="0.2">
      <c r="AI917">
        <f t="shared" si="15"/>
        <v>0</v>
      </c>
    </row>
    <row r="918" spans="35:35" x14ac:dyDescent="0.2">
      <c r="AI918">
        <f t="shared" si="15"/>
        <v>0</v>
      </c>
    </row>
    <row r="919" spans="35:35" x14ac:dyDescent="0.2">
      <c r="AI919">
        <f t="shared" si="15"/>
        <v>0</v>
      </c>
    </row>
    <row r="920" spans="35:35" x14ac:dyDescent="0.2">
      <c r="AI920">
        <f t="shared" si="15"/>
        <v>0</v>
      </c>
    </row>
    <row r="921" spans="35:35" x14ac:dyDescent="0.2">
      <c r="AI921">
        <f t="shared" si="15"/>
        <v>0</v>
      </c>
    </row>
    <row r="922" spans="35:35" x14ac:dyDescent="0.2">
      <c r="AI922">
        <f t="shared" si="15"/>
        <v>0</v>
      </c>
    </row>
    <row r="923" spans="35:35" x14ac:dyDescent="0.2">
      <c r="AI923">
        <f t="shared" si="15"/>
        <v>0</v>
      </c>
    </row>
    <row r="924" spans="35:35" x14ac:dyDescent="0.2">
      <c r="AI924">
        <f t="shared" si="15"/>
        <v>0</v>
      </c>
    </row>
    <row r="925" spans="35:35" x14ac:dyDescent="0.2">
      <c r="AI925">
        <f t="shared" si="15"/>
        <v>0</v>
      </c>
    </row>
    <row r="926" spans="35:35" x14ac:dyDescent="0.2">
      <c r="AI926">
        <f t="shared" si="15"/>
        <v>0</v>
      </c>
    </row>
    <row r="927" spans="35:35" x14ac:dyDescent="0.2">
      <c r="AI927">
        <f t="shared" si="15"/>
        <v>0</v>
      </c>
    </row>
    <row r="928" spans="35:35" x14ac:dyDescent="0.2">
      <c r="AI928">
        <f t="shared" si="15"/>
        <v>0</v>
      </c>
    </row>
    <row r="929" spans="35:35" x14ac:dyDescent="0.2">
      <c r="AI929">
        <f t="shared" si="15"/>
        <v>0</v>
      </c>
    </row>
    <row r="930" spans="35:35" x14ac:dyDescent="0.2">
      <c r="AI930">
        <f t="shared" si="15"/>
        <v>0</v>
      </c>
    </row>
    <row r="931" spans="35:35" x14ac:dyDescent="0.2">
      <c r="AI931">
        <f t="shared" si="15"/>
        <v>0</v>
      </c>
    </row>
    <row r="932" spans="35:35" x14ac:dyDescent="0.2">
      <c r="AI932">
        <f t="shared" si="15"/>
        <v>0</v>
      </c>
    </row>
    <row r="933" spans="35:35" x14ac:dyDescent="0.2">
      <c r="AI933">
        <f t="shared" si="15"/>
        <v>0</v>
      </c>
    </row>
    <row r="934" spans="35:35" x14ac:dyDescent="0.2">
      <c r="AI934">
        <f t="shared" si="15"/>
        <v>0</v>
      </c>
    </row>
    <row r="935" spans="35:35" x14ac:dyDescent="0.2">
      <c r="AI935">
        <f t="shared" si="15"/>
        <v>0</v>
      </c>
    </row>
    <row r="936" spans="35:35" x14ac:dyDescent="0.2">
      <c r="AI936">
        <f t="shared" si="15"/>
        <v>0</v>
      </c>
    </row>
    <row r="937" spans="35:35" x14ac:dyDescent="0.2">
      <c r="AI937">
        <f t="shared" si="15"/>
        <v>0</v>
      </c>
    </row>
    <row r="938" spans="35:35" x14ac:dyDescent="0.2">
      <c r="AI938">
        <f t="shared" si="15"/>
        <v>0</v>
      </c>
    </row>
    <row r="939" spans="35:35" x14ac:dyDescent="0.2">
      <c r="AI939">
        <f t="shared" si="15"/>
        <v>0</v>
      </c>
    </row>
    <row r="940" spans="35:35" x14ac:dyDescent="0.2">
      <c r="AI940">
        <f t="shared" si="15"/>
        <v>0</v>
      </c>
    </row>
    <row r="941" spans="35:35" x14ac:dyDescent="0.2">
      <c r="AI941">
        <f t="shared" si="15"/>
        <v>0</v>
      </c>
    </row>
    <row r="942" spans="35:35" x14ac:dyDescent="0.2">
      <c r="AI942">
        <f t="shared" si="15"/>
        <v>0</v>
      </c>
    </row>
    <row r="943" spans="35:35" x14ac:dyDescent="0.2">
      <c r="AI943">
        <f t="shared" si="15"/>
        <v>0</v>
      </c>
    </row>
    <row r="944" spans="35:35" x14ac:dyDescent="0.2">
      <c r="AI944">
        <f t="shared" si="15"/>
        <v>0</v>
      </c>
    </row>
    <row r="945" spans="35:35" x14ac:dyDescent="0.2">
      <c r="AI945">
        <f t="shared" si="15"/>
        <v>0</v>
      </c>
    </row>
    <row r="946" spans="35:35" x14ac:dyDescent="0.2">
      <c r="AI946">
        <f t="shared" si="15"/>
        <v>0</v>
      </c>
    </row>
    <row r="947" spans="35:35" x14ac:dyDescent="0.2">
      <c r="AI947">
        <f t="shared" si="15"/>
        <v>0</v>
      </c>
    </row>
    <row r="948" spans="35:35" x14ac:dyDescent="0.2">
      <c r="AI948">
        <f t="shared" si="15"/>
        <v>0</v>
      </c>
    </row>
    <row r="949" spans="35:35" x14ac:dyDescent="0.2">
      <c r="AI949">
        <f t="shared" si="15"/>
        <v>0</v>
      </c>
    </row>
    <row r="950" spans="35:35" x14ac:dyDescent="0.2">
      <c r="AI950">
        <f t="shared" si="15"/>
        <v>0</v>
      </c>
    </row>
    <row r="951" spans="35:35" x14ac:dyDescent="0.2">
      <c r="AI951">
        <f t="shared" si="15"/>
        <v>0</v>
      </c>
    </row>
    <row r="952" spans="35:35" x14ac:dyDescent="0.2">
      <c r="AI952">
        <f t="shared" si="15"/>
        <v>0</v>
      </c>
    </row>
    <row r="953" spans="35:35" x14ac:dyDescent="0.2">
      <c r="AI953">
        <f t="shared" si="15"/>
        <v>0</v>
      </c>
    </row>
    <row r="954" spans="35:35" x14ac:dyDescent="0.2">
      <c r="AI954">
        <f t="shared" si="15"/>
        <v>0</v>
      </c>
    </row>
    <row r="955" spans="35:35" x14ac:dyDescent="0.2">
      <c r="AI955">
        <f t="shared" si="15"/>
        <v>0</v>
      </c>
    </row>
    <row r="956" spans="35:35" x14ac:dyDescent="0.2">
      <c r="AI956">
        <f t="shared" si="15"/>
        <v>0</v>
      </c>
    </row>
    <row r="957" spans="35:35" x14ac:dyDescent="0.2">
      <c r="AI957">
        <f t="shared" si="15"/>
        <v>0</v>
      </c>
    </row>
    <row r="958" spans="35:35" x14ac:dyDescent="0.2">
      <c r="AI958">
        <f t="shared" si="15"/>
        <v>0</v>
      </c>
    </row>
    <row r="959" spans="35:35" x14ac:dyDescent="0.2">
      <c r="AI959">
        <f t="shared" si="15"/>
        <v>0</v>
      </c>
    </row>
    <row r="960" spans="35:35" x14ac:dyDescent="0.2">
      <c r="AI960">
        <f t="shared" si="15"/>
        <v>0</v>
      </c>
    </row>
    <row r="961" spans="35:35" x14ac:dyDescent="0.2">
      <c r="AI961">
        <f t="shared" si="15"/>
        <v>0</v>
      </c>
    </row>
    <row r="962" spans="35:35" x14ac:dyDescent="0.2">
      <c r="AI962">
        <f t="shared" si="15"/>
        <v>0</v>
      </c>
    </row>
    <row r="963" spans="35:35" x14ac:dyDescent="0.2">
      <c r="AI963">
        <f t="shared" si="15"/>
        <v>0</v>
      </c>
    </row>
    <row r="964" spans="35:35" x14ac:dyDescent="0.2">
      <c r="AI964">
        <f t="shared" si="15"/>
        <v>0</v>
      </c>
    </row>
    <row r="965" spans="35:35" x14ac:dyDescent="0.2">
      <c r="AI965">
        <f t="shared" si="15"/>
        <v>0</v>
      </c>
    </row>
    <row r="966" spans="35:35" x14ac:dyDescent="0.2">
      <c r="AI966">
        <f t="shared" ref="AI966:AI1029" si="16">COUNTA($B966:$AF966)</f>
        <v>0</v>
      </c>
    </row>
    <row r="967" spans="35:35" x14ac:dyDescent="0.2">
      <c r="AI967">
        <f t="shared" si="16"/>
        <v>0</v>
      </c>
    </row>
    <row r="968" spans="35:35" x14ac:dyDescent="0.2">
      <c r="AI968">
        <f t="shared" si="16"/>
        <v>0</v>
      </c>
    </row>
    <row r="969" spans="35:35" x14ac:dyDescent="0.2">
      <c r="AI969">
        <f t="shared" si="16"/>
        <v>0</v>
      </c>
    </row>
    <row r="970" spans="35:35" x14ac:dyDescent="0.2">
      <c r="AI970">
        <f t="shared" si="16"/>
        <v>0</v>
      </c>
    </row>
    <row r="971" spans="35:35" x14ac:dyDescent="0.2">
      <c r="AI971">
        <f t="shared" si="16"/>
        <v>0</v>
      </c>
    </row>
    <row r="972" spans="35:35" x14ac:dyDescent="0.2">
      <c r="AI972">
        <f t="shared" si="16"/>
        <v>0</v>
      </c>
    </row>
    <row r="973" spans="35:35" x14ac:dyDescent="0.2">
      <c r="AI973">
        <f t="shared" si="16"/>
        <v>0</v>
      </c>
    </row>
    <row r="974" spans="35:35" x14ac:dyDescent="0.2">
      <c r="AI974">
        <f t="shared" si="16"/>
        <v>0</v>
      </c>
    </row>
    <row r="975" spans="35:35" x14ac:dyDescent="0.2">
      <c r="AI975">
        <f t="shared" si="16"/>
        <v>0</v>
      </c>
    </row>
    <row r="976" spans="35:35" x14ac:dyDescent="0.2">
      <c r="AI976">
        <f t="shared" si="16"/>
        <v>0</v>
      </c>
    </row>
    <row r="977" spans="35:35" x14ac:dyDescent="0.2">
      <c r="AI977">
        <f t="shared" si="16"/>
        <v>0</v>
      </c>
    </row>
    <row r="978" spans="35:35" x14ac:dyDescent="0.2">
      <c r="AI978">
        <f t="shared" si="16"/>
        <v>0</v>
      </c>
    </row>
    <row r="979" spans="35:35" x14ac:dyDescent="0.2">
      <c r="AI979">
        <f t="shared" si="16"/>
        <v>0</v>
      </c>
    </row>
    <row r="980" spans="35:35" x14ac:dyDescent="0.2">
      <c r="AI980">
        <f t="shared" si="16"/>
        <v>0</v>
      </c>
    </row>
    <row r="981" spans="35:35" x14ac:dyDescent="0.2">
      <c r="AI981">
        <f t="shared" si="16"/>
        <v>0</v>
      </c>
    </row>
    <row r="982" spans="35:35" x14ac:dyDescent="0.2">
      <c r="AI982">
        <f t="shared" si="16"/>
        <v>0</v>
      </c>
    </row>
    <row r="983" spans="35:35" x14ac:dyDescent="0.2">
      <c r="AI983">
        <f t="shared" si="16"/>
        <v>0</v>
      </c>
    </row>
    <row r="984" spans="35:35" x14ac:dyDescent="0.2">
      <c r="AI984">
        <f t="shared" si="16"/>
        <v>0</v>
      </c>
    </row>
    <row r="985" spans="35:35" x14ac:dyDescent="0.2">
      <c r="AI985">
        <f t="shared" si="16"/>
        <v>0</v>
      </c>
    </row>
    <row r="986" spans="35:35" x14ac:dyDescent="0.2">
      <c r="AI986">
        <f t="shared" si="16"/>
        <v>0</v>
      </c>
    </row>
    <row r="987" spans="35:35" x14ac:dyDescent="0.2">
      <c r="AI987">
        <f t="shared" si="16"/>
        <v>0</v>
      </c>
    </row>
    <row r="988" spans="35:35" x14ac:dyDescent="0.2">
      <c r="AI988">
        <f t="shared" si="16"/>
        <v>0</v>
      </c>
    </row>
    <row r="989" spans="35:35" x14ac:dyDescent="0.2">
      <c r="AI989">
        <f t="shared" si="16"/>
        <v>0</v>
      </c>
    </row>
    <row r="990" spans="35:35" x14ac:dyDescent="0.2">
      <c r="AI990">
        <f t="shared" si="16"/>
        <v>0</v>
      </c>
    </row>
    <row r="991" spans="35:35" x14ac:dyDescent="0.2">
      <c r="AI991">
        <f t="shared" si="16"/>
        <v>0</v>
      </c>
    </row>
    <row r="992" spans="35:35" x14ac:dyDescent="0.2">
      <c r="AI992">
        <f t="shared" si="16"/>
        <v>0</v>
      </c>
    </row>
    <row r="993" spans="35:35" x14ac:dyDescent="0.2">
      <c r="AI993">
        <f t="shared" si="16"/>
        <v>0</v>
      </c>
    </row>
    <row r="994" spans="35:35" x14ac:dyDescent="0.2">
      <c r="AI994">
        <f t="shared" si="16"/>
        <v>0</v>
      </c>
    </row>
    <row r="995" spans="35:35" x14ac:dyDescent="0.2">
      <c r="AI995">
        <f t="shared" si="16"/>
        <v>0</v>
      </c>
    </row>
    <row r="996" spans="35:35" x14ac:dyDescent="0.2">
      <c r="AI996">
        <f t="shared" si="16"/>
        <v>0</v>
      </c>
    </row>
    <row r="997" spans="35:35" x14ac:dyDescent="0.2">
      <c r="AI997">
        <f t="shared" si="16"/>
        <v>0</v>
      </c>
    </row>
    <row r="998" spans="35:35" x14ac:dyDescent="0.2">
      <c r="AI998">
        <f t="shared" si="16"/>
        <v>0</v>
      </c>
    </row>
    <row r="999" spans="35:35" x14ac:dyDescent="0.2">
      <c r="AI999">
        <f t="shared" si="16"/>
        <v>0</v>
      </c>
    </row>
    <row r="1000" spans="35:35" x14ac:dyDescent="0.2">
      <c r="AI1000">
        <f t="shared" si="16"/>
        <v>0</v>
      </c>
    </row>
    <row r="1001" spans="35:35" x14ac:dyDescent="0.2">
      <c r="AI1001">
        <f t="shared" si="16"/>
        <v>0</v>
      </c>
    </row>
    <row r="1002" spans="35:35" x14ac:dyDescent="0.2">
      <c r="AI1002">
        <f t="shared" si="16"/>
        <v>0</v>
      </c>
    </row>
    <row r="1003" spans="35:35" x14ac:dyDescent="0.2">
      <c r="AI1003">
        <f t="shared" si="16"/>
        <v>0</v>
      </c>
    </row>
    <row r="1004" spans="35:35" x14ac:dyDescent="0.2">
      <c r="AI1004">
        <f t="shared" si="16"/>
        <v>0</v>
      </c>
    </row>
    <row r="1005" spans="35:35" x14ac:dyDescent="0.2">
      <c r="AI1005">
        <f t="shared" si="16"/>
        <v>0</v>
      </c>
    </row>
    <row r="1006" spans="35:35" x14ac:dyDescent="0.2">
      <c r="AI1006">
        <f t="shared" si="16"/>
        <v>0</v>
      </c>
    </row>
    <row r="1007" spans="35:35" x14ac:dyDescent="0.2">
      <c r="AI1007">
        <f t="shared" si="16"/>
        <v>0</v>
      </c>
    </row>
    <row r="1008" spans="35:35" x14ac:dyDescent="0.2">
      <c r="AI1008">
        <f t="shared" si="16"/>
        <v>0</v>
      </c>
    </row>
    <row r="1009" spans="35:35" x14ac:dyDescent="0.2">
      <c r="AI1009">
        <f t="shared" si="16"/>
        <v>0</v>
      </c>
    </row>
    <row r="1010" spans="35:35" x14ac:dyDescent="0.2">
      <c r="AI1010">
        <f t="shared" si="16"/>
        <v>0</v>
      </c>
    </row>
    <row r="1011" spans="35:35" x14ac:dyDescent="0.2">
      <c r="AI1011">
        <f t="shared" si="16"/>
        <v>0</v>
      </c>
    </row>
    <row r="1012" spans="35:35" x14ac:dyDescent="0.2">
      <c r="AI1012">
        <f t="shared" si="16"/>
        <v>0</v>
      </c>
    </row>
    <row r="1013" spans="35:35" x14ac:dyDescent="0.2">
      <c r="AI1013">
        <f t="shared" si="16"/>
        <v>0</v>
      </c>
    </row>
    <row r="1014" spans="35:35" x14ac:dyDescent="0.2">
      <c r="AI1014">
        <f t="shared" si="16"/>
        <v>0</v>
      </c>
    </row>
    <row r="1015" spans="35:35" x14ac:dyDescent="0.2">
      <c r="AI1015">
        <f t="shared" si="16"/>
        <v>0</v>
      </c>
    </row>
    <row r="1016" spans="35:35" x14ac:dyDescent="0.2">
      <c r="AI1016">
        <f t="shared" si="16"/>
        <v>0</v>
      </c>
    </row>
    <row r="1017" spans="35:35" x14ac:dyDescent="0.2">
      <c r="AI1017">
        <f t="shared" si="16"/>
        <v>0</v>
      </c>
    </row>
    <row r="1018" spans="35:35" x14ac:dyDescent="0.2">
      <c r="AI1018">
        <f t="shared" si="16"/>
        <v>0</v>
      </c>
    </row>
    <row r="1019" spans="35:35" x14ac:dyDescent="0.2">
      <c r="AI1019">
        <f t="shared" si="16"/>
        <v>0</v>
      </c>
    </row>
    <row r="1020" spans="35:35" x14ac:dyDescent="0.2">
      <c r="AI1020">
        <f t="shared" si="16"/>
        <v>0</v>
      </c>
    </row>
    <row r="1021" spans="35:35" x14ac:dyDescent="0.2">
      <c r="AI1021">
        <f t="shared" si="16"/>
        <v>0</v>
      </c>
    </row>
    <row r="1022" spans="35:35" x14ac:dyDescent="0.2">
      <c r="AI1022">
        <f t="shared" si="16"/>
        <v>0</v>
      </c>
    </row>
    <row r="1023" spans="35:35" x14ac:dyDescent="0.2">
      <c r="AI1023">
        <f t="shared" si="16"/>
        <v>0</v>
      </c>
    </row>
    <row r="1024" spans="35:35" x14ac:dyDescent="0.2">
      <c r="AI1024">
        <f t="shared" si="16"/>
        <v>0</v>
      </c>
    </row>
    <row r="1025" spans="35:35" x14ac:dyDescent="0.2">
      <c r="AI1025">
        <f t="shared" si="16"/>
        <v>0</v>
      </c>
    </row>
    <row r="1026" spans="35:35" x14ac:dyDescent="0.2">
      <c r="AI1026">
        <f t="shared" si="16"/>
        <v>0</v>
      </c>
    </row>
    <row r="1027" spans="35:35" x14ac:dyDescent="0.2">
      <c r="AI1027">
        <f t="shared" si="16"/>
        <v>0</v>
      </c>
    </row>
    <row r="1028" spans="35:35" x14ac:dyDescent="0.2">
      <c r="AI1028">
        <f t="shared" si="16"/>
        <v>0</v>
      </c>
    </row>
    <row r="1029" spans="35:35" x14ac:dyDescent="0.2">
      <c r="AI1029">
        <f t="shared" si="16"/>
        <v>0</v>
      </c>
    </row>
    <row r="1030" spans="35:35" x14ac:dyDescent="0.2">
      <c r="AI1030">
        <f t="shared" ref="AI1030:AI1093" si="17">COUNTA($B1030:$AF1030)</f>
        <v>0</v>
      </c>
    </row>
    <row r="1031" spans="35:35" x14ac:dyDescent="0.2">
      <c r="AI1031">
        <f t="shared" si="17"/>
        <v>0</v>
      </c>
    </row>
    <row r="1032" spans="35:35" x14ac:dyDescent="0.2">
      <c r="AI1032">
        <f t="shared" si="17"/>
        <v>0</v>
      </c>
    </row>
    <row r="1033" spans="35:35" x14ac:dyDescent="0.2">
      <c r="AI1033">
        <f t="shared" si="17"/>
        <v>0</v>
      </c>
    </row>
    <row r="1034" spans="35:35" x14ac:dyDescent="0.2">
      <c r="AI1034">
        <f t="shared" si="17"/>
        <v>0</v>
      </c>
    </row>
    <row r="1035" spans="35:35" x14ac:dyDescent="0.2">
      <c r="AI1035">
        <f t="shared" si="17"/>
        <v>0</v>
      </c>
    </row>
    <row r="1036" spans="35:35" x14ac:dyDescent="0.2">
      <c r="AI1036">
        <f t="shared" si="17"/>
        <v>0</v>
      </c>
    </row>
    <row r="1037" spans="35:35" x14ac:dyDescent="0.2">
      <c r="AI1037">
        <f t="shared" si="17"/>
        <v>0</v>
      </c>
    </row>
    <row r="1038" spans="35:35" x14ac:dyDescent="0.2">
      <c r="AI1038">
        <f t="shared" si="17"/>
        <v>0</v>
      </c>
    </row>
    <row r="1039" spans="35:35" x14ac:dyDescent="0.2">
      <c r="AI1039">
        <f t="shared" si="17"/>
        <v>0</v>
      </c>
    </row>
    <row r="1040" spans="35:35" x14ac:dyDescent="0.2">
      <c r="AI1040">
        <f t="shared" si="17"/>
        <v>0</v>
      </c>
    </row>
    <row r="1041" spans="35:35" x14ac:dyDescent="0.2">
      <c r="AI1041">
        <f t="shared" si="17"/>
        <v>0</v>
      </c>
    </row>
    <row r="1042" spans="35:35" x14ac:dyDescent="0.2">
      <c r="AI1042">
        <f t="shared" si="17"/>
        <v>0</v>
      </c>
    </row>
    <row r="1043" spans="35:35" x14ac:dyDescent="0.2">
      <c r="AI1043">
        <f t="shared" si="17"/>
        <v>0</v>
      </c>
    </row>
    <row r="1044" spans="35:35" x14ac:dyDescent="0.2">
      <c r="AI1044">
        <f t="shared" si="17"/>
        <v>0</v>
      </c>
    </row>
    <row r="1045" spans="35:35" x14ac:dyDescent="0.2">
      <c r="AI1045">
        <f t="shared" si="17"/>
        <v>0</v>
      </c>
    </row>
    <row r="1046" spans="35:35" x14ac:dyDescent="0.2">
      <c r="AI1046">
        <f t="shared" si="17"/>
        <v>0</v>
      </c>
    </row>
    <row r="1047" spans="35:35" x14ac:dyDescent="0.2">
      <c r="AI1047">
        <f t="shared" si="17"/>
        <v>0</v>
      </c>
    </row>
    <row r="1048" spans="35:35" x14ac:dyDescent="0.2">
      <c r="AI1048">
        <f t="shared" si="17"/>
        <v>0</v>
      </c>
    </row>
    <row r="1049" spans="35:35" x14ac:dyDescent="0.2">
      <c r="AI1049">
        <f t="shared" si="17"/>
        <v>0</v>
      </c>
    </row>
    <row r="1050" spans="35:35" x14ac:dyDescent="0.2">
      <c r="AI1050">
        <f t="shared" si="17"/>
        <v>0</v>
      </c>
    </row>
    <row r="1051" spans="35:35" x14ac:dyDescent="0.2">
      <c r="AI1051">
        <f t="shared" si="17"/>
        <v>0</v>
      </c>
    </row>
    <row r="1052" spans="35:35" x14ac:dyDescent="0.2">
      <c r="AI1052">
        <f t="shared" si="17"/>
        <v>0</v>
      </c>
    </row>
    <row r="1053" spans="35:35" x14ac:dyDescent="0.2">
      <c r="AI1053">
        <f t="shared" si="17"/>
        <v>0</v>
      </c>
    </row>
    <row r="1054" spans="35:35" x14ac:dyDescent="0.2">
      <c r="AI1054">
        <f t="shared" si="17"/>
        <v>0</v>
      </c>
    </row>
    <row r="1055" spans="35:35" x14ac:dyDescent="0.2">
      <c r="AI1055">
        <f t="shared" si="17"/>
        <v>0</v>
      </c>
    </row>
    <row r="1056" spans="35:35" x14ac:dyDescent="0.2">
      <c r="AI1056">
        <f t="shared" si="17"/>
        <v>0</v>
      </c>
    </row>
    <row r="1057" spans="35:35" x14ac:dyDescent="0.2">
      <c r="AI1057">
        <f t="shared" si="17"/>
        <v>0</v>
      </c>
    </row>
    <row r="1058" spans="35:35" x14ac:dyDescent="0.2">
      <c r="AI1058">
        <f t="shared" si="17"/>
        <v>0</v>
      </c>
    </row>
    <row r="1059" spans="35:35" x14ac:dyDescent="0.2">
      <c r="AI1059">
        <f t="shared" si="17"/>
        <v>0</v>
      </c>
    </row>
    <row r="1060" spans="35:35" x14ac:dyDescent="0.2">
      <c r="AI1060">
        <f t="shared" si="17"/>
        <v>0</v>
      </c>
    </row>
    <row r="1061" spans="35:35" x14ac:dyDescent="0.2">
      <c r="AI1061">
        <f t="shared" si="17"/>
        <v>0</v>
      </c>
    </row>
    <row r="1062" spans="35:35" x14ac:dyDescent="0.2">
      <c r="AI1062">
        <f t="shared" si="17"/>
        <v>0</v>
      </c>
    </row>
    <row r="1063" spans="35:35" x14ac:dyDescent="0.2">
      <c r="AI1063">
        <f t="shared" si="17"/>
        <v>0</v>
      </c>
    </row>
    <row r="1064" spans="35:35" x14ac:dyDescent="0.2">
      <c r="AI1064">
        <f t="shared" si="17"/>
        <v>0</v>
      </c>
    </row>
    <row r="1065" spans="35:35" x14ac:dyDescent="0.2">
      <c r="AI1065">
        <f t="shared" si="17"/>
        <v>0</v>
      </c>
    </row>
    <row r="1066" spans="35:35" x14ac:dyDescent="0.2">
      <c r="AI1066">
        <f t="shared" si="17"/>
        <v>0</v>
      </c>
    </row>
    <row r="1067" spans="35:35" x14ac:dyDescent="0.2">
      <c r="AI1067">
        <f t="shared" si="17"/>
        <v>0</v>
      </c>
    </row>
    <row r="1068" spans="35:35" x14ac:dyDescent="0.2">
      <c r="AI1068">
        <f t="shared" si="17"/>
        <v>0</v>
      </c>
    </row>
    <row r="1069" spans="35:35" x14ac:dyDescent="0.2">
      <c r="AI1069">
        <f t="shared" si="17"/>
        <v>0</v>
      </c>
    </row>
    <row r="1070" spans="35:35" x14ac:dyDescent="0.2">
      <c r="AI1070">
        <f t="shared" si="17"/>
        <v>0</v>
      </c>
    </row>
    <row r="1071" spans="35:35" x14ac:dyDescent="0.2">
      <c r="AI1071">
        <f t="shared" si="17"/>
        <v>0</v>
      </c>
    </row>
    <row r="1072" spans="35:35" x14ac:dyDescent="0.2">
      <c r="AI1072">
        <f t="shared" si="17"/>
        <v>0</v>
      </c>
    </row>
    <row r="1073" spans="35:35" x14ac:dyDescent="0.2">
      <c r="AI1073">
        <f t="shared" si="17"/>
        <v>0</v>
      </c>
    </row>
    <row r="1074" spans="35:35" x14ac:dyDescent="0.2">
      <c r="AI1074">
        <f t="shared" si="17"/>
        <v>0</v>
      </c>
    </row>
    <row r="1075" spans="35:35" x14ac:dyDescent="0.2">
      <c r="AI1075">
        <f t="shared" si="17"/>
        <v>0</v>
      </c>
    </row>
    <row r="1076" spans="35:35" x14ac:dyDescent="0.2">
      <c r="AI1076">
        <f t="shared" si="17"/>
        <v>0</v>
      </c>
    </row>
    <row r="1077" spans="35:35" x14ac:dyDescent="0.2">
      <c r="AI1077">
        <f t="shared" si="17"/>
        <v>0</v>
      </c>
    </row>
    <row r="1078" spans="35:35" x14ac:dyDescent="0.2">
      <c r="AI1078">
        <f t="shared" si="17"/>
        <v>0</v>
      </c>
    </row>
    <row r="1079" spans="35:35" x14ac:dyDescent="0.2">
      <c r="AI1079">
        <f t="shared" si="17"/>
        <v>0</v>
      </c>
    </row>
    <row r="1080" spans="35:35" x14ac:dyDescent="0.2">
      <c r="AI1080">
        <f t="shared" si="17"/>
        <v>0</v>
      </c>
    </row>
    <row r="1081" spans="35:35" x14ac:dyDescent="0.2">
      <c r="AI1081">
        <f t="shared" si="17"/>
        <v>0</v>
      </c>
    </row>
    <row r="1082" spans="35:35" x14ac:dyDescent="0.2">
      <c r="AI1082">
        <f t="shared" si="17"/>
        <v>0</v>
      </c>
    </row>
    <row r="1083" spans="35:35" x14ac:dyDescent="0.2">
      <c r="AI1083">
        <f t="shared" si="17"/>
        <v>0</v>
      </c>
    </row>
    <row r="1084" spans="35:35" x14ac:dyDescent="0.2">
      <c r="AI1084">
        <f t="shared" si="17"/>
        <v>0</v>
      </c>
    </row>
    <row r="1085" spans="35:35" x14ac:dyDescent="0.2">
      <c r="AI1085">
        <f t="shared" si="17"/>
        <v>0</v>
      </c>
    </row>
    <row r="1086" spans="35:35" x14ac:dyDescent="0.2">
      <c r="AI1086">
        <f t="shared" si="17"/>
        <v>0</v>
      </c>
    </row>
    <row r="1087" spans="35:35" x14ac:dyDescent="0.2">
      <c r="AI1087">
        <f t="shared" si="17"/>
        <v>0</v>
      </c>
    </row>
    <row r="1088" spans="35:35" x14ac:dyDescent="0.2">
      <c r="AI1088">
        <f t="shared" si="17"/>
        <v>0</v>
      </c>
    </row>
    <row r="1089" spans="35:35" x14ac:dyDescent="0.2">
      <c r="AI1089">
        <f t="shared" si="17"/>
        <v>0</v>
      </c>
    </row>
    <row r="1090" spans="35:35" x14ac:dyDescent="0.2">
      <c r="AI1090">
        <f t="shared" si="17"/>
        <v>0</v>
      </c>
    </row>
    <row r="1091" spans="35:35" x14ac:dyDescent="0.2">
      <c r="AI1091">
        <f t="shared" si="17"/>
        <v>0</v>
      </c>
    </row>
    <row r="1092" spans="35:35" x14ac:dyDescent="0.2">
      <c r="AI1092">
        <f t="shared" si="17"/>
        <v>0</v>
      </c>
    </row>
    <row r="1093" spans="35:35" x14ac:dyDescent="0.2">
      <c r="AI1093">
        <f t="shared" si="17"/>
        <v>0</v>
      </c>
    </row>
    <row r="1094" spans="35:35" x14ac:dyDescent="0.2">
      <c r="AI1094">
        <f t="shared" ref="AI1094:AI1157" si="18">COUNTA($B1094:$AF1094)</f>
        <v>0</v>
      </c>
    </row>
    <row r="1095" spans="35:35" x14ac:dyDescent="0.2">
      <c r="AI1095">
        <f t="shared" si="18"/>
        <v>0</v>
      </c>
    </row>
    <row r="1096" spans="35:35" x14ac:dyDescent="0.2">
      <c r="AI1096">
        <f t="shared" si="18"/>
        <v>0</v>
      </c>
    </row>
    <row r="1097" spans="35:35" x14ac:dyDescent="0.2">
      <c r="AI1097">
        <f t="shared" si="18"/>
        <v>0</v>
      </c>
    </row>
    <row r="1098" spans="35:35" x14ac:dyDescent="0.2">
      <c r="AI1098">
        <f t="shared" si="18"/>
        <v>0</v>
      </c>
    </row>
    <row r="1099" spans="35:35" x14ac:dyDescent="0.2">
      <c r="AI1099">
        <f t="shared" si="18"/>
        <v>0</v>
      </c>
    </row>
    <row r="1100" spans="35:35" x14ac:dyDescent="0.2">
      <c r="AI1100">
        <f t="shared" si="18"/>
        <v>0</v>
      </c>
    </row>
    <row r="1101" spans="35:35" x14ac:dyDescent="0.2">
      <c r="AI1101">
        <f t="shared" si="18"/>
        <v>0</v>
      </c>
    </row>
    <row r="1102" spans="35:35" x14ac:dyDescent="0.2">
      <c r="AI1102">
        <f t="shared" si="18"/>
        <v>0</v>
      </c>
    </row>
    <row r="1103" spans="35:35" x14ac:dyDescent="0.2">
      <c r="AI1103">
        <f t="shared" si="18"/>
        <v>0</v>
      </c>
    </row>
    <row r="1104" spans="35:35" x14ac:dyDescent="0.2">
      <c r="AI1104">
        <f t="shared" si="18"/>
        <v>0</v>
      </c>
    </row>
    <row r="1105" spans="35:35" x14ac:dyDescent="0.2">
      <c r="AI1105">
        <f t="shared" si="18"/>
        <v>0</v>
      </c>
    </row>
    <row r="1106" spans="35:35" x14ac:dyDescent="0.2">
      <c r="AI1106">
        <f t="shared" si="18"/>
        <v>0</v>
      </c>
    </row>
    <row r="1107" spans="35:35" x14ac:dyDescent="0.2">
      <c r="AI1107">
        <f t="shared" si="18"/>
        <v>0</v>
      </c>
    </row>
    <row r="1108" spans="35:35" x14ac:dyDescent="0.2">
      <c r="AI1108">
        <f t="shared" si="18"/>
        <v>0</v>
      </c>
    </row>
    <row r="1109" spans="35:35" x14ac:dyDescent="0.2">
      <c r="AI1109">
        <f t="shared" si="18"/>
        <v>0</v>
      </c>
    </row>
    <row r="1110" spans="35:35" x14ac:dyDescent="0.2">
      <c r="AI1110">
        <f t="shared" si="18"/>
        <v>0</v>
      </c>
    </row>
    <row r="1111" spans="35:35" x14ac:dyDescent="0.2">
      <c r="AI1111">
        <f t="shared" si="18"/>
        <v>0</v>
      </c>
    </row>
    <row r="1112" spans="35:35" x14ac:dyDescent="0.2">
      <c r="AI1112">
        <f t="shared" si="18"/>
        <v>0</v>
      </c>
    </row>
    <row r="1113" spans="35:35" x14ac:dyDescent="0.2">
      <c r="AI1113">
        <f t="shared" si="18"/>
        <v>0</v>
      </c>
    </row>
    <row r="1114" spans="35:35" x14ac:dyDescent="0.2">
      <c r="AI1114">
        <f t="shared" si="18"/>
        <v>0</v>
      </c>
    </row>
    <row r="1115" spans="35:35" x14ac:dyDescent="0.2">
      <c r="AI1115">
        <f t="shared" si="18"/>
        <v>0</v>
      </c>
    </row>
    <row r="1116" spans="35:35" x14ac:dyDescent="0.2">
      <c r="AI1116">
        <f t="shared" si="18"/>
        <v>0</v>
      </c>
    </row>
    <row r="1117" spans="35:35" x14ac:dyDescent="0.2">
      <c r="AI1117">
        <f t="shared" si="18"/>
        <v>0</v>
      </c>
    </row>
    <row r="1118" spans="35:35" x14ac:dyDescent="0.2">
      <c r="AI1118">
        <f t="shared" si="18"/>
        <v>0</v>
      </c>
    </row>
    <row r="1119" spans="35:35" x14ac:dyDescent="0.2">
      <c r="AI1119">
        <f t="shared" si="18"/>
        <v>0</v>
      </c>
    </row>
    <row r="1120" spans="35:35" x14ac:dyDescent="0.2">
      <c r="AI1120">
        <f t="shared" si="18"/>
        <v>0</v>
      </c>
    </row>
    <row r="1121" spans="35:35" x14ac:dyDescent="0.2">
      <c r="AI1121">
        <f t="shared" si="18"/>
        <v>0</v>
      </c>
    </row>
    <row r="1122" spans="35:35" x14ac:dyDescent="0.2">
      <c r="AI1122">
        <f t="shared" si="18"/>
        <v>0</v>
      </c>
    </row>
    <row r="1123" spans="35:35" x14ac:dyDescent="0.2">
      <c r="AI1123">
        <f t="shared" si="18"/>
        <v>0</v>
      </c>
    </row>
    <row r="1124" spans="35:35" x14ac:dyDescent="0.2">
      <c r="AI1124">
        <f t="shared" si="18"/>
        <v>0</v>
      </c>
    </row>
    <row r="1125" spans="35:35" x14ac:dyDescent="0.2">
      <c r="AI1125">
        <f t="shared" si="18"/>
        <v>0</v>
      </c>
    </row>
    <row r="1126" spans="35:35" x14ac:dyDescent="0.2">
      <c r="AI1126">
        <f t="shared" si="18"/>
        <v>0</v>
      </c>
    </row>
    <row r="1127" spans="35:35" x14ac:dyDescent="0.2">
      <c r="AI1127">
        <f t="shared" si="18"/>
        <v>0</v>
      </c>
    </row>
    <row r="1128" spans="35:35" x14ac:dyDescent="0.2">
      <c r="AI1128">
        <f t="shared" si="18"/>
        <v>0</v>
      </c>
    </row>
    <row r="1129" spans="35:35" x14ac:dyDescent="0.2">
      <c r="AI1129">
        <f t="shared" si="18"/>
        <v>0</v>
      </c>
    </row>
    <row r="1130" spans="35:35" x14ac:dyDescent="0.2">
      <c r="AI1130">
        <f t="shared" si="18"/>
        <v>0</v>
      </c>
    </row>
    <row r="1131" spans="35:35" x14ac:dyDescent="0.2">
      <c r="AI1131">
        <f t="shared" si="18"/>
        <v>0</v>
      </c>
    </row>
    <row r="1132" spans="35:35" x14ac:dyDescent="0.2">
      <c r="AI1132">
        <f t="shared" si="18"/>
        <v>0</v>
      </c>
    </row>
    <row r="1133" spans="35:35" x14ac:dyDescent="0.2">
      <c r="AI1133">
        <f t="shared" si="18"/>
        <v>0</v>
      </c>
    </row>
    <row r="1134" spans="35:35" x14ac:dyDescent="0.2">
      <c r="AI1134">
        <f t="shared" si="18"/>
        <v>0</v>
      </c>
    </row>
    <row r="1135" spans="35:35" x14ac:dyDescent="0.2">
      <c r="AI1135">
        <f t="shared" si="18"/>
        <v>0</v>
      </c>
    </row>
    <row r="1136" spans="35:35" x14ac:dyDescent="0.2">
      <c r="AI1136">
        <f t="shared" si="18"/>
        <v>0</v>
      </c>
    </row>
    <row r="1137" spans="35:35" x14ac:dyDescent="0.2">
      <c r="AI1137">
        <f t="shared" si="18"/>
        <v>0</v>
      </c>
    </row>
    <row r="1138" spans="35:35" x14ac:dyDescent="0.2">
      <c r="AI1138">
        <f t="shared" si="18"/>
        <v>0</v>
      </c>
    </row>
    <row r="1139" spans="35:35" x14ac:dyDescent="0.2">
      <c r="AI1139">
        <f t="shared" si="18"/>
        <v>0</v>
      </c>
    </row>
    <row r="1140" spans="35:35" x14ac:dyDescent="0.2">
      <c r="AI1140">
        <f t="shared" si="18"/>
        <v>0</v>
      </c>
    </row>
    <row r="1141" spans="35:35" x14ac:dyDescent="0.2">
      <c r="AI1141">
        <f t="shared" si="18"/>
        <v>0</v>
      </c>
    </row>
    <row r="1142" spans="35:35" x14ac:dyDescent="0.2">
      <c r="AI1142">
        <f t="shared" si="18"/>
        <v>0</v>
      </c>
    </row>
    <row r="1143" spans="35:35" x14ac:dyDescent="0.2">
      <c r="AI1143">
        <f t="shared" si="18"/>
        <v>0</v>
      </c>
    </row>
    <row r="1144" spans="35:35" x14ac:dyDescent="0.2">
      <c r="AI1144">
        <f t="shared" si="18"/>
        <v>0</v>
      </c>
    </row>
    <row r="1145" spans="35:35" x14ac:dyDescent="0.2">
      <c r="AI1145">
        <f t="shared" si="18"/>
        <v>0</v>
      </c>
    </row>
    <row r="1146" spans="35:35" x14ac:dyDescent="0.2">
      <c r="AI1146">
        <f t="shared" si="18"/>
        <v>0</v>
      </c>
    </row>
    <row r="1147" spans="35:35" x14ac:dyDescent="0.2">
      <c r="AI1147">
        <f t="shared" si="18"/>
        <v>0</v>
      </c>
    </row>
    <row r="1148" spans="35:35" x14ac:dyDescent="0.2">
      <c r="AI1148">
        <f t="shared" si="18"/>
        <v>0</v>
      </c>
    </row>
    <row r="1149" spans="35:35" x14ac:dyDescent="0.2">
      <c r="AI1149">
        <f t="shared" si="18"/>
        <v>0</v>
      </c>
    </row>
    <row r="1150" spans="35:35" x14ac:dyDescent="0.2">
      <c r="AI1150">
        <f t="shared" si="18"/>
        <v>0</v>
      </c>
    </row>
    <row r="1151" spans="35:35" x14ac:dyDescent="0.2">
      <c r="AI1151">
        <f t="shared" si="18"/>
        <v>0</v>
      </c>
    </row>
    <row r="1152" spans="35:35" x14ac:dyDescent="0.2">
      <c r="AI1152">
        <f t="shared" si="18"/>
        <v>0</v>
      </c>
    </row>
    <row r="1153" spans="35:35" x14ac:dyDescent="0.2">
      <c r="AI1153">
        <f t="shared" si="18"/>
        <v>0</v>
      </c>
    </row>
    <row r="1154" spans="35:35" x14ac:dyDescent="0.2">
      <c r="AI1154">
        <f t="shared" si="18"/>
        <v>0</v>
      </c>
    </row>
    <row r="1155" spans="35:35" x14ac:dyDescent="0.2">
      <c r="AI1155">
        <f t="shared" si="18"/>
        <v>0</v>
      </c>
    </row>
    <row r="1156" spans="35:35" x14ac:dyDescent="0.2">
      <c r="AI1156">
        <f t="shared" si="18"/>
        <v>0</v>
      </c>
    </row>
    <row r="1157" spans="35:35" x14ac:dyDescent="0.2">
      <c r="AI1157">
        <f t="shared" si="18"/>
        <v>0</v>
      </c>
    </row>
    <row r="1158" spans="35:35" x14ac:dyDescent="0.2">
      <c r="AI1158">
        <f t="shared" ref="AI1158:AI1221" si="19">COUNTA($B1158:$AF1158)</f>
        <v>0</v>
      </c>
    </row>
    <row r="1159" spans="35:35" x14ac:dyDescent="0.2">
      <c r="AI1159">
        <f t="shared" si="19"/>
        <v>0</v>
      </c>
    </row>
    <row r="1160" spans="35:35" x14ac:dyDescent="0.2">
      <c r="AI1160">
        <f t="shared" si="19"/>
        <v>0</v>
      </c>
    </row>
    <row r="1161" spans="35:35" x14ac:dyDescent="0.2">
      <c r="AI1161">
        <f t="shared" si="19"/>
        <v>0</v>
      </c>
    </row>
    <row r="1162" spans="35:35" x14ac:dyDescent="0.2">
      <c r="AI1162">
        <f t="shared" si="19"/>
        <v>0</v>
      </c>
    </row>
    <row r="1163" spans="35:35" x14ac:dyDescent="0.2">
      <c r="AI1163">
        <f t="shared" si="19"/>
        <v>0</v>
      </c>
    </row>
    <row r="1164" spans="35:35" x14ac:dyDescent="0.2">
      <c r="AI1164">
        <f t="shared" si="19"/>
        <v>0</v>
      </c>
    </row>
    <row r="1165" spans="35:35" x14ac:dyDescent="0.2">
      <c r="AI1165">
        <f t="shared" si="19"/>
        <v>0</v>
      </c>
    </row>
    <row r="1166" spans="35:35" x14ac:dyDescent="0.2">
      <c r="AI1166">
        <f t="shared" si="19"/>
        <v>0</v>
      </c>
    </row>
    <row r="1167" spans="35:35" x14ac:dyDescent="0.2">
      <c r="AI1167">
        <f t="shared" si="19"/>
        <v>0</v>
      </c>
    </row>
    <row r="1168" spans="35:35" x14ac:dyDescent="0.2">
      <c r="AI1168">
        <f t="shared" si="19"/>
        <v>0</v>
      </c>
    </row>
    <row r="1169" spans="35:35" x14ac:dyDescent="0.2">
      <c r="AI1169">
        <f t="shared" si="19"/>
        <v>0</v>
      </c>
    </row>
    <row r="1170" spans="35:35" x14ac:dyDescent="0.2">
      <c r="AI1170">
        <f t="shared" si="19"/>
        <v>0</v>
      </c>
    </row>
    <row r="1171" spans="35:35" x14ac:dyDescent="0.2">
      <c r="AI1171">
        <f t="shared" si="19"/>
        <v>0</v>
      </c>
    </row>
    <row r="1172" spans="35:35" x14ac:dyDescent="0.2">
      <c r="AI1172">
        <f t="shared" si="19"/>
        <v>0</v>
      </c>
    </row>
    <row r="1173" spans="35:35" x14ac:dyDescent="0.2">
      <c r="AI1173">
        <f t="shared" si="19"/>
        <v>0</v>
      </c>
    </row>
    <row r="1174" spans="35:35" x14ac:dyDescent="0.2">
      <c r="AI1174">
        <f t="shared" si="19"/>
        <v>0</v>
      </c>
    </row>
    <row r="1175" spans="35:35" x14ac:dyDescent="0.2">
      <c r="AI1175">
        <f t="shared" si="19"/>
        <v>0</v>
      </c>
    </row>
    <row r="1176" spans="35:35" x14ac:dyDescent="0.2">
      <c r="AI1176">
        <f t="shared" si="19"/>
        <v>0</v>
      </c>
    </row>
    <row r="1177" spans="35:35" x14ac:dyDescent="0.2">
      <c r="AI1177">
        <f t="shared" si="19"/>
        <v>0</v>
      </c>
    </row>
    <row r="1178" spans="35:35" x14ac:dyDescent="0.2">
      <c r="AI1178">
        <f t="shared" si="19"/>
        <v>0</v>
      </c>
    </row>
    <row r="1179" spans="35:35" x14ac:dyDescent="0.2">
      <c r="AI1179">
        <f t="shared" si="19"/>
        <v>0</v>
      </c>
    </row>
    <row r="1180" spans="35:35" x14ac:dyDescent="0.2">
      <c r="AI1180">
        <f t="shared" si="19"/>
        <v>0</v>
      </c>
    </row>
    <row r="1181" spans="35:35" x14ac:dyDescent="0.2">
      <c r="AI1181">
        <f t="shared" si="19"/>
        <v>0</v>
      </c>
    </row>
    <row r="1182" spans="35:35" x14ac:dyDescent="0.2">
      <c r="AI1182">
        <f t="shared" si="19"/>
        <v>0</v>
      </c>
    </row>
    <row r="1183" spans="35:35" x14ac:dyDescent="0.2">
      <c r="AI1183">
        <f t="shared" si="19"/>
        <v>0</v>
      </c>
    </row>
    <row r="1184" spans="35:35" x14ac:dyDescent="0.2">
      <c r="AI1184">
        <f t="shared" si="19"/>
        <v>0</v>
      </c>
    </row>
    <row r="1185" spans="35:35" x14ac:dyDescent="0.2">
      <c r="AI1185">
        <f t="shared" si="19"/>
        <v>0</v>
      </c>
    </row>
    <row r="1186" spans="35:35" x14ac:dyDescent="0.2">
      <c r="AI1186">
        <f t="shared" si="19"/>
        <v>0</v>
      </c>
    </row>
    <row r="1187" spans="35:35" x14ac:dyDescent="0.2">
      <c r="AI1187">
        <f t="shared" si="19"/>
        <v>0</v>
      </c>
    </row>
    <row r="1188" spans="35:35" x14ac:dyDescent="0.2">
      <c r="AI1188">
        <f t="shared" si="19"/>
        <v>0</v>
      </c>
    </row>
    <row r="1189" spans="35:35" x14ac:dyDescent="0.2">
      <c r="AI1189">
        <f t="shared" si="19"/>
        <v>0</v>
      </c>
    </row>
    <row r="1190" spans="35:35" x14ac:dyDescent="0.2">
      <c r="AI1190">
        <f t="shared" si="19"/>
        <v>0</v>
      </c>
    </row>
    <row r="1191" spans="35:35" x14ac:dyDescent="0.2">
      <c r="AI1191">
        <f t="shared" si="19"/>
        <v>0</v>
      </c>
    </row>
    <row r="1192" spans="35:35" x14ac:dyDescent="0.2">
      <c r="AI1192">
        <f t="shared" si="19"/>
        <v>0</v>
      </c>
    </row>
    <row r="1193" spans="35:35" x14ac:dyDescent="0.2">
      <c r="AI1193">
        <f t="shared" si="19"/>
        <v>0</v>
      </c>
    </row>
    <row r="1194" spans="35:35" x14ac:dyDescent="0.2">
      <c r="AI1194">
        <f t="shared" si="19"/>
        <v>0</v>
      </c>
    </row>
    <row r="1195" spans="35:35" x14ac:dyDescent="0.2">
      <c r="AI1195">
        <f t="shared" si="19"/>
        <v>0</v>
      </c>
    </row>
    <row r="1196" spans="35:35" x14ac:dyDescent="0.2">
      <c r="AI1196">
        <f t="shared" si="19"/>
        <v>0</v>
      </c>
    </row>
    <row r="1197" spans="35:35" x14ac:dyDescent="0.2">
      <c r="AI1197">
        <f t="shared" si="19"/>
        <v>0</v>
      </c>
    </row>
    <row r="1198" spans="35:35" x14ac:dyDescent="0.2">
      <c r="AI1198">
        <f t="shared" si="19"/>
        <v>0</v>
      </c>
    </row>
    <row r="1199" spans="35:35" x14ac:dyDescent="0.2">
      <c r="AI1199">
        <f t="shared" si="19"/>
        <v>0</v>
      </c>
    </row>
    <row r="1200" spans="35:35" x14ac:dyDescent="0.2">
      <c r="AI1200">
        <f t="shared" si="19"/>
        <v>0</v>
      </c>
    </row>
    <row r="1201" spans="35:35" x14ac:dyDescent="0.2">
      <c r="AI1201">
        <f t="shared" si="19"/>
        <v>0</v>
      </c>
    </row>
    <row r="1202" spans="35:35" x14ac:dyDescent="0.2">
      <c r="AI1202">
        <f t="shared" si="19"/>
        <v>0</v>
      </c>
    </row>
    <row r="1203" spans="35:35" x14ac:dyDescent="0.2">
      <c r="AI1203">
        <f t="shared" si="19"/>
        <v>0</v>
      </c>
    </row>
    <row r="1204" spans="35:35" x14ac:dyDescent="0.2">
      <c r="AI1204">
        <f t="shared" si="19"/>
        <v>0</v>
      </c>
    </row>
    <row r="1205" spans="35:35" x14ac:dyDescent="0.2">
      <c r="AI1205">
        <f t="shared" si="19"/>
        <v>0</v>
      </c>
    </row>
    <row r="1206" spans="35:35" x14ac:dyDescent="0.2">
      <c r="AI1206">
        <f t="shared" si="19"/>
        <v>0</v>
      </c>
    </row>
    <row r="1207" spans="35:35" x14ac:dyDescent="0.2">
      <c r="AI1207">
        <f t="shared" si="19"/>
        <v>0</v>
      </c>
    </row>
    <row r="1208" spans="35:35" x14ac:dyDescent="0.2">
      <c r="AI1208">
        <f t="shared" si="19"/>
        <v>0</v>
      </c>
    </row>
    <row r="1209" spans="35:35" x14ac:dyDescent="0.2">
      <c r="AI1209">
        <f t="shared" si="19"/>
        <v>0</v>
      </c>
    </row>
    <row r="1210" spans="35:35" x14ac:dyDescent="0.2">
      <c r="AI1210">
        <f t="shared" si="19"/>
        <v>0</v>
      </c>
    </row>
    <row r="1211" spans="35:35" x14ac:dyDescent="0.2">
      <c r="AI1211">
        <f t="shared" si="19"/>
        <v>0</v>
      </c>
    </row>
    <row r="1212" spans="35:35" x14ac:dyDescent="0.2">
      <c r="AI1212">
        <f t="shared" si="19"/>
        <v>0</v>
      </c>
    </row>
    <row r="1213" spans="35:35" x14ac:dyDescent="0.2">
      <c r="AI1213">
        <f t="shared" si="19"/>
        <v>0</v>
      </c>
    </row>
    <row r="1214" spans="35:35" x14ac:dyDescent="0.2">
      <c r="AI1214">
        <f t="shared" si="19"/>
        <v>0</v>
      </c>
    </row>
    <row r="1215" spans="35:35" x14ac:dyDescent="0.2">
      <c r="AI1215">
        <f t="shared" si="19"/>
        <v>0</v>
      </c>
    </row>
    <row r="1216" spans="35:35" x14ac:dyDescent="0.2">
      <c r="AI1216">
        <f t="shared" si="19"/>
        <v>0</v>
      </c>
    </row>
    <row r="1217" spans="35:35" x14ac:dyDescent="0.2">
      <c r="AI1217">
        <f t="shared" si="19"/>
        <v>0</v>
      </c>
    </row>
    <row r="1218" spans="35:35" x14ac:dyDescent="0.2">
      <c r="AI1218">
        <f t="shared" si="19"/>
        <v>0</v>
      </c>
    </row>
    <row r="1219" spans="35:35" x14ac:dyDescent="0.2">
      <c r="AI1219">
        <f t="shared" si="19"/>
        <v>0</v>
      </c>
    </row>
    <row r="1220" spans="35:35" x14ac:dyDescent="0.2">
      <c r="AI1220">
        <f t="shared" si="19"/>
        <v>0</v>
      </c>
    </row>
    <row r="1221" spans="35:35" x14ac:dyDescent="0.2">
      <c r="AI1221">
        <f t="shared" si="19"/>
        <v>0</v>
      </c>
    </row>
    <row r="1222" spans="35:35" x14ac:dyDescent="0.2">
      <c r="AI1222">
        <f t="shared" ref="AI1222:AI1285" si="20">COUNTA($B1222:$AF1222)</f>
        <v>0</v>
      </c>
    </row>
    <row r="1223" spans="35:35" x14ac:dyDescent="0.2">
      <c r="AI1223">
        <f t="shared" si="20"/>
        <v>0</v>
      </c>
    </row>
    <row r="1224" spans="35:35" x14ac:dyDescent="0.2">
      <c r="AI1224">
        <f t="shared" si="20"/>
        <v>0</v>
      </c>
    </row>
    <row r="1225" spans="35:35" x14ac:dyDescent="0.2">
      <c r="AI1225">
        <f t="shared" si="20"/>
        <v>0</v>
      </c>
    </row>
    <row r="1226" spans="35:35" x14ac:dyDescent="0.2">
      <c r="AI1226">
        <f t="shared" si="20"/>
        <v>0</v>
      </c>
    </row>
    <row r="1227" spans="35:35" x14ac:dyDescent="0.2">
      <c r="AI1227">
        <f t="shared" si="20"/>
        <v>0</v>
      </c>
    </row>
    <row r="1228" spans="35:35" x14ac:dyDescent="0.2">
      <c r="AI1228">
        <f t="shared" si="20"/>
        <v>0</v>
      </c>
    </row>
    <row r="1229" spans="35:35" x14ac:dyDescent="0.2">
      <c r="AI1229">
        <f t="shared" si="20"/>
        <v>0</v>
      </c>
    </row>
    <row r="1230" spans="35:35" x14ac:dyDescent="0.2">
      <c r="AI1230">
        <f t="shared" si="20"/>
        <v>0</v>
      </c>
    </row>
    <row r="1231" spans="35:35" x14ac:dyDescent="0.2">
      <c r="AI1231">
        <f t="shared" si="20"/>
        <v>0</v>
      </c>
    </row>
    <row r="1232" spans="35:35" x14ac:dyDescent="0.2">
      <c r="AI1232">
        <f t="shared" si="20"/>
        <v>0</v>
      </c>
    </row>
    <row r="1233" spans="35:35" x14ac:dyDescent="0.2">
      <c r="AI1233">
        <f t="shared" si="20"/>
        <v>0</v>
      </c>
    </row>
    <row r="1234" spans="35:35" x14ac:dyDescent="0.2">
      <c r="AI1234">
        <f t="shared" si="20"/>
        <v>0</v>
      </c>
    </row>
    <row r="1235" spans="35:35" x14ac:dyDescent="0.2">
      <c r="AI1235">
        <f t="shared" si="20"/>
        <v>0</v>
      </c>
    </row>
    <row r="1236" spans="35:35" x14ac:dyDescent="0.2">
      <c r="AI1236">
        <f t="shared" si="20"/>
        <v>0</v>
      </c>
    </row>
    <row r="1237" spans="35:35" x14ac:dyDescent="0.2">
      <c r="AI1237">
        <f t="shared" si="20"/>
        <v>0</v>
      </c>
    </row>
    <row r="1238" spans="35:35" x14ac:dyDescent="0.2">
      <c r="AI1238">
        <f t="shared" si="20"/>
        <v>0</v>
      </c>
    </row>
    <row r="1239" spans="35:35" x14ac:dyDescent="0.2">
      <c r="AI1239">
        <f t="shared" si="20"/>
        <v>0</v>
      </c>
    </row>
    <row r="1240" spans="35:35" x14ac:dyDescent="0.2">
      <c r="AI1240">
        <f t="shared" si="20"/>
        <v>0</v>
      </c>
    </row>
    <row r="1241" spans="35:35" x14ac:dyDescent="0.2">
      <c r="AI1241">
        <f t="shared" si="20"/>
        <v>0</v>
      </c>
    </row>
    <row r="1242" spans="35:35" x14ac:dyDescent="0.2">
      <c r="AI1242">
        <f t="shared" si="20"/>
        <v>0</v>
      </c>
    </row>
    <row r="1243" spans="35:35" x14ac:dyDescent="0.2">
      <c r="AI1243">
        <f t="shared" si="20"/>
        <v>0</v>
      </c>
    </row>
    <row r="1244" spans="35:35" x14ac:dyDescent="0.2">
      <c r="AI1244">
        <f t="shared" si="20"/>
        <v>0</v>
      </c>
    </row>
    <row r="1245" spans="35:35" x14ac:dyDescent="0.2">
      <c r="AI1245">
        <f t="shared" si="20"/>
        <v>0</v>
      </c>
    </row>
    <row r="1246" spans="35:35" x14ac:dyDescent="0.2">
      <c r="AI1246">
        <f t="shared" si="20"/>
        <v>0</v>
      </c>
    </row>
    <row r="1247" spans="35:35" x14ac:dyDescent="0.2">
      <c r="AI1247">
        <f t="shared" si="20"/>
        <v>0</v>
      </c>
    </row>
    <row r="1248" spans="35:35" x14ac:dyDescent="0.2">
      <c r="AI1248">
        <f t="shared" si="20"/>
        <v>0</v>
      </c>
    </row>
    <row r="1249" spans="35:35" x14ac:dyDescent="0.2">
      <c r="AI1249">
        <f t="shared" si="20"/>
        <v>0</v>
      </c>
    </row>
    <row r="1250" spans="35:35" x14ac:dyDescent="0.2">
      <c r="AI1250">
        <f t="shared" si="20"/>
        <v>0</v>
      </c>
    </row>
    <row r="1251" spans="35:35" x14ac:dyDescent="0.2">
      <c r="AI1251">
        <f t="shared" si="20"/>
        <v>0</v>
      </c>
    </row>
    <row r="1252" spans="35:35" x14ac:dyDescent="0.2">
      <c r="AI1252">
        <f t="shared" si="20"/>
        <v>0</v>
      </c>
    </row>
    <row r="1253" spans="35:35" x14ac:dyDescent="0.2">
      <c r="AI1253">
        <f t="shared" si="20"/>
        <v>0</v>
      </c>
    </row>
    <row r="1254" spans="35:35" x14ac:dyDescent="0.2">
      <c r="AI1254">
        <f t="shared" si="20"/>
        <v>0</v>
      </c>
    </row>
    <row r="1255" spans="35:35" x14ac:dyDescent="0.2">
      <c r="AI1255">
        <f t="shared" si="20"/>
        <v>0</v>
      </c>
    </row>
    <row r="1256" spans="35:35" x14ac:dyDescent="0.2">
      <c r="AI1256">
        <f t="shared" si="20"/>
        <v>0</v>
      </c>
    </row>
    <row r="1257" spans="35:35" x14ac:dyDescent="0.2">
      <c r="AI1257">
        <f t="shared" si="20"/>
        <v>0</v>
      </c>
    </row>
    <row r="1258" spans="35:35" x14ac:dyDescent="0.2">
      <c r="AI1258">
        <f t="shared" si="20"/>
        <v>0</v>
      </c>
    </row>
    <row r="1259" spans="35:35" x14ac:dyDescent="0.2">
      <c r="AI1259">
        <f t="shared" si="20"/>
        <v>0</v>
      </c>
    </row>
    <row r="1260" spans="35:35" x14ac:dyDescent="0.2">
      <c r="AI1260">
        <f t="shared" si="20"/>
        <v>0</v>
      </c>
    </row>
    <row r="1261" spans="35:35" x14ac:dyDescent="0.2">
      <c r="AI1261">
        <f t="shared" si="20"/>
        <v>0</v>
      </c>
    </row>
    <row r="1262" spans="35:35" x14ac:dyDescent="0.2">
      <c r="AI1262">
        <f t="shared" si="20"/>
        <v>0</v>
      </c>
    </row>
    <row r="1263" spans="35:35" x14ac:dyDescent="0.2">
      <c r="AI1263">
        <f t="shared" si="20"/>
        <v>0</v>
      </c>
    </row>
    <row r="1264" spans="35:35" x14ac:dyDescent="0.2">
      <c r="AI1264">
        <f t="shared" si="20"/>
        <v>0</v>
      </c>
    </row>
    <row r="1265" spans="35:35" x14ac:dyDescent="0.2">
      <c r="AI1265">
        <f t="shared" si="20"/>
        <v>0</v>
      </c>
    </row>
    <row r="1266" spans="35:35" x14ac:dyDescent="0.2">
      <c r="AI1266">
        <f t="shared" si="20"/>
        <v>0</v>
      </c>
    </row>
    <row r="1267" spans="35:35" x14ac:dyDescent="0.2">
      <c r="AI1267">
        <f t="shared" si="20"/>
        <v>0</v>
      </c>
    </row>
    <row r="1268" spans="35:35" x14ac:dyDescent="0.2">
      <c r="AI1268">
        <f t="shared" si="20"/>
        <v>0</v>
      </c>
    </row>
    <row r="1269" spans="35:35" x14ac:dyDescent="0.2">
      <c r="AI1269">
        <f t="shared" si="20"/>
        <v>0</v>
      </c>
    </row>
    <row r="1270" spans="35:35" x14ac:dyDescent="0.2">
      <c r="AI1270">
        <f t="shared" si="20"/>
        <v>0</v>
      </c>
    </row>
    <row r="1271" spans="35:35" x14ac:dyDescent="0.2">
      <c r="AI1271">
        <f t="shared" si="20"/>
        <v>0</v>
      </c>
    </row>
    <row r="1272" spans="35:35" x14ac:dyDescent="0.2">
      <c r="AI1272">
        <f t="shared" si="20"/>
        <v>0</v>
      </c>
    </row>
    <row r="1273" spans="35:35" x14ac:dyDescent="0.2">
      <c r="AI1273">
        <f t="shared" si="20"/>
        <v>0</v>
      </c>
    </row>
    <row r="1274" spans="35:35" x14ac:dyDescent="0.2">
      <c r="AI1274">
        <f t="shared" si="20"/>
        <v>0</v>
      </c>
    </row>
    <row r="1275" spans="35:35" x14ac:dyDescent="0.2">
      <c r="AI1275">
        <f t="shared" si="20"/>
        <v>0</v>
      </c>
    </row>
    <row r="1276" spans="35:35" x14ac:dyDescent="0.2">
      <c r="AI1276">
        <f t="shared" si="20"/>
        <v>0</v>
      </c>
    </row>
    <row r="1277" spans="35:35" x14ac:dyDescent="0.2">
      <c r="AI1277">
        <f t="shared" si="20"/>
        <v>0</v>
      </c>
    </row>
    <row r="1278" spans="35:35" x14ac:dyDescent="0.2">
      <c r="AI1278">
        <f t="shared" si="20"/>
        <v>0</v>
      </c>
    </row>
    <row r="1279" spans="35:35" x14ac:dyDescent="0.2">
      <c r="AI1279">
        <f t="shared" si="20"/>
        <v>0</v>
      </c>
    </row>
    <row r="1280" spans="35:35" x14ac:dyDescent="0.2">
      <c r="AI1280">
        <f t="shared" si="20"/>
        <v>0</v>
      </c>
    </row>
    <row r="1281" spans="35:35" x14ac:dyDescent="0.2">
      <c r="AI1281">
        <f t="shared" si="20"/>
        <v>0</v>
      </c>
    </row>
    <row r="1282" spans="35:35" x14ac:dyDescent="0.2">
      <c r="AI1282">
        <f t="shared" si="20"/>
        <v>0</v>
      </c>
    </row>
    <row r="1283" spans="35:35" x14ac:dyDescent="0.2">
      <c r="AI1283">
        <f t="shared" si="20"/>
        <v>0</v>
      </c>
    </row>
    <row r="1284" spans="35:35" x14ac:dyDescent="0.2">
      <c r="AI1284">
        <f t="shared" si="20"/>
        <v>0</v>
      </c>
    </row>
    <row r="1285" spans="35:35" x14ac:dyDescent="0.2">
      <c r="AI1285">
        <f t="shared" si="20"/>
        <v>0</v>
      </c>
    </row>
    <row r="1286" spans="35:35" x14ac:dyDescent="0.2">
      <c r="AI1286">
        <f t="shared" ref="AI1286:AI1349" si="21">COUNTA($B1286:$AF1286)</f>
        <v>0</v>
      </c>
    </row>
    <row r="1287" spans="35:35" x14ac:dyDescent="0.2">
      <c r="AI1287">
        <f t="shared" si="21"/>
        <v>0</v>
      </c>
    </row>
    <row r="1288" spans="35:35" x14ac:dyDescent="0.2">
      <c r="AI1288">
        <f t="shared" si="21"/>
        <v>0</v>
      </c>
    </row>
    <row r="1289" spans="35:35" x14ac:dyDescent="0.2">
      <c r="AI1289">
        <f t="shared" si="21"/>
        <v>0</v>
      </c>
    </row>
    <row r="1290" spans="35:35" x14ac:dyDescent="0.2">
      <c r="AI1290">
        <f t="shared" si="21"/>
        <v>0</v>
      </c>
    </row>
    <row r="1291" spans="35:35" x14ac:dyDescent="0.2">
      <c r="AI1291">
        <f t="shared" si="21"/>
        <v>0</v>
      </c>
    </row>
    <row r="1292" spans="35:35" x14ac:dyDescent="0.2">
      <c r="AI1292">
        <f t="shared" si="21"/>
        <v>0</v>
      </c>
    </row>
    <row r="1293" spans="35:35" x14ac:dyDescent="0.2">
      <c r="AI1293">
        <f t="shared" si="21"/>
        <v>0</v>
      </c>
    </row>
    <row r="1294" spans="35:35" x14ac:dyDescent="0.2">
      <c r="AI1294">
        <f t="shared" si="21"/>
        <v>0</v>
      </c>
    </row>
    <row r="1295" spans="35:35" x14ac:dyDescent="0.2">
      <c r="AI1295">
        <f t="shared" si="21"/>
        <v>0</v>
      </c>
    </row>
    <row r="1296" spans="35:35" x14ac:dyDescent="0.2">
      <c r="AI1296">
        <f t="shared" si="21"/>
        <v>0</v>
      </c>
    </row>
    <row r="1297" spans="35:35" x14ac:dyDescent="0.2">
      <c r="AI1297">
        <f t="shared" si="21"/>
        <v>0</v>
      </c>
    </row>
    <row r="1298" spans="35:35" x14ac:dyDescent="0.2">
      <c r="AI1298">
        <f t="shared" si="21"/>
        <v>0</v>
      </c>
    </row>
    <row r="1299" spans="35:35" x14ac:dyDescent="0.2">
      <c r="AI1299">
        <f t="shared" si="21"/>
        <v>0</v>
      </c>
    </row>
    <row r="1300" spans="35:35" x14ac:dyDescent="0.2">
      <c r="AI1300">
        <f t="shared" si="21"/>
        <v>0</v>
      </c>
    </row>
    <row r="1301" spans="35:35" x14ac:dyDescent="0.2">
      <c r="AI1301">
        <f t="shared" si="21"/>
        <v>0</v>
      </c>
    </row>
    <row r="1302" spans="35:35" x14ac:dyDescent="0.2">
      <c r="AI1302">
        <f t="shared" si="21"/>
        <v>0</v>
      </c>
    </row>
    <row r="1303" spans="35:35" x14ac:dyDescent="0.2">
      <c r="AI1303">
        <f t="shared" si="21"/>
        <v>0</v>
      </c>
    </row>
    <row r="1304" spans="35:35" x14ac:dyDescent="0.2">
      <c r="AI1304">
        <f t="shared" si="21"/>
        <v>0</v>
      </c>
    </row>
    <row r="1305" spans="35:35" x14ac:dyDescent="0.2">
      <c r="AI1305">
        <f t="shared" si="21"/>
        <v>0</v>
      </c>
    </row>
    <row r="1306" spans="35:35" x14ac:dyDescent="0.2">
      <c r="AI1306">
        <f t="shared" si="21"/>
        <v>0</v>
      </c>
    </row>
    <row r="1307" spans="35:35" x14ac:dyDescent="0.2">
      <c r="AI1307">
        <f t="shared" si="21"/>
        <v>0</v>
      </c>
    </row>
    <row r="1308" spans="35:35" x14ac:dyDescent="0.2">
      <c r="AI1308">
        <f t="shared" si="21"/>
        <v>0</v>
      </c>
    </row>
    <row r="1309" spans="35:35" x14ac:dyDescent="0.2">
      <c r="AI1309">
        <f t="shared" si="21"/>
        <v>0</v>
      </c>
    </row>
    <row r="1310" spans="35:35" x14ac:dyDescent="0.2">
      <c r="AI1310">
        <f t="shared" si="21"/>
        <v>0</v>
      </c>
    </row>
    <row r="1311" spans="35:35" x14ac:dyDescent="0.2">
      <c r="AI1311">
        <f t="shared" si="21"/>
        <v>0</v>
      </c>
    </row>
    <row r="1312" spans="35:35" x14ac:dyDescent="0.2">
      <c r="AI1312">
        <f t="shared" si="21"/>
        <v>0</v>
      </c>
    </row>
    <row r="1313" spans="35:35" x14ac:dyDescent="0.2">
      <c r="AI1313">
        <f t="shared" si="21"/>
        <v>0</v>
      </c>
    </row>
    <row r="1314" spans="35:35" x14ac:dyDescent="0.2">
      <c r="AI1314">
        <f t="shared" si="21"/>
        <v>0</v>
      </c>
    </row>
    <row r="1315" spans="35:35" x14ac:dyDescent="0.2">
      <c r="AI1315">
        <f t="shared" si="21"/>
        <v>0</v>
      </c>
    </row>
    <row r="1316" spans="35:35" x14ac:dyDescent="0.2">
      <c r="AI1316">
        <f t="shared" si="21"/>
        <v>0</v>
      </c>
    </row>
    <row r="1317" spans="35:35" x14ac:dyDescent="0.2">
      <c r="AI1317">
        <f t="shared" si="21"/>
        <v>0</v>
      </c>
    </row>
    <row r="1318" spans="35:35" x14ac:dyDescent="0.2">
      <c r="AI1318">
        <f t="shared" si="21"/>
        <v>0</v>
      </c>
    </row>
    <row r="1319" spans="35:35" x14ac:dyDescent="0.2">
      <c r="AI1319">
        <f t="shared" si="21"/>
        <v>0</v>
      </c>
    </row>
    <row r="1320" spans="35:35" x14ac:dyDescent="0.2">
      <c r="AI1320">
        <f t="shared" si="21"/>
        <v>0</v>
      </c>
    </row>
    <row r="1321" spans="35:35" x14ac:dyDescent="0.2">
      <c r="AI1321">
        <f t="shared" si="21"/>
        <v>0</v>
      </c>
    </row>
    <row r="1322" spans="35:35" x14ac:dyDescent="0.2">
      <c r="AI1322">
        <f t="shared" si="21"/>
        <v>0</v>
      </c>
    </row>
    <row r="1323" spans="35:35" x14ac:dyDescent="0.2">
      <c r="AI1323">
        <f t="shared" si="21"/>
        <v>0</v>
      </c>
    </row>
    <row r="1324" spans="35:35" x14ac:dyDescent="0.2">
      <c r="AI1324">
        <f t="shared" si="21"/>
        <v>0</v>
      </c>
    </row>
    <row r="1325" spans="35:35" x14ac:dyDescent="0.2">
      <c r="AI1325">
        <f t="shared" si="21"/>
        <v>0</v>
      </c>
    </row>
    <row r="1326" spans="35:35" x14ac:dyDescent="0.2">
      <c r="AI1326">
        <f t="shared" si="21"/>
        <v>0</v>
      </c>
    </row>
    <row r="1327" spans="35:35" x14ac:dyDescent="0.2">
      <c r="AI1327">
        <f t="shared" si="21"/>
        <v>0</v>
      </c>
    </row>
    <row r="1328" spans="35:35" x14ac:dyDescent="0.2">
      <c r="AI1328">
        <f t="shared" si="21"/>
        <v>0</v>
      </c>
    </row>
    <row r="1329" spans="35:35" x14ac:dyDescent="0.2">
      <c r="AI1329">
        <f t="shared" si="21"/>
        <v>0</v>
      </c>
    </row>
    <row r="1330" spans="35:35" x14ac:dyDescent="0.2">
      <c r="AI1330">
        <f t="shared" si="21"/>
        <v>0</v>
      </c>
    </row>
    <row r="1331" spans="35:35" x14ac:dyDescent="0.2">
      <c r="AI1331">
        <f t="shared" si="21"/>
        <v>0</v>
      </c>
    </row>
    <row r="1332" spans="35:35" x14ac:dyDescent="0.2">
      <c r="AI1332">
        <f t="shared" si="21"/>
        <v>0</v>
      </c>
    </row>
    <row r="1333" spans="35:35" x14ac:dyDescent="0.2">
      <c r="AI1333">
        <f t="shared" si="21"/>
        <v>0</v>
      </c>
    </row>
    <row r="1334" spans="35:35" x14ac:dyDescent="0.2">
      <c r="AI1334">
        <f t="shared" si="21"/>
        <v>0</v>
      </c>
    </row>
    <row r="1335" spans="35:35" x14ac:dyDescent="0.2">
      <c r="AI1335">
        <f t="shared" si="21"/>
        <v>0</v>
      </c>
    </row>
    <row r="1336" spans="35:35" x14ac:dyDescent="0.2">
      <c r="AI1336">
        <f t="shared" si="21"/>
        <v>0</v>
      </c>
    </row>
    <row r="1337" spans="35:35" x14ac:dyDescent="0.2">
      <c r="AI1337">
        <f t="shared" si="21"/>
        <v>0</v>
      </c>
    </row>
    <row r="1338" spans="35:35" x14ac:dyDescent="0.2">
      <c r="AI1338">
        <f t="shared" si="21"/>
        <v>0</v>
      </c>
    </row>
    <row r="1339" spans="35:35" x14ac:dyDescent="0.2">
      <c r="AI1339">
        <f t="shared" si="21"/>
        <v>0</v>
      </c>
    </row>
    <row r="1340" spans="35:35" x14ac:dyDescent="0.2">
      <c r="AI1340">
        <f t="shared" si="21"/>
        <v>0</v>
      </c>
    </row>
    <row r="1341" spans="35:35" x14ac:dyDescent="0.2">
      <c r="AI1341">
        <f t="shared" si="21"/>
        <v>0</v>
      </c>
    </row>
    <row r="1342" spans="35:35" x14ac:dyDescent="0.2">
      <c r="AI1342">
        <f t="shared" si="21"/>
        <v>0</v>
      </c>
    </row>
    <row r="1343" spans="35:35" x14ac:dyDescent="0.2">
      <c r="AI1343">
        <f t="shared" si="21"/>
        <v>0</v>
      </c>
    </row>
    <row r="1344" spans="35:35" x14ac:dyDescent="0.2">
      <c r="AI1344">
        <f t="shared" si="21"/>
        <v>0</v>
      </c>
    </row>
    <row r="1345" spans="35:35" x14ac:dyDescent="0.2">
      <c r="AI1345">
        <f t="shared" si="21"/>
        <v>0</v>
      </c>
    </row>
    <row r="1346" spans="35:35" x14ac:dyDescent="0.2">
      <c r="AI1346">
        <f t="shared" si="21"/>
        <v>0</v>
      </c>
    </row>
    <row r="1347" spans="35:35" x14ac:dyDescent="0.2">
      <c r="AI1347">
        <f t="shared" si="21"/>
        <v>0</v>
      </c>
    </row>
    <row r="1348" spans="35:35" x14ac:dyDescent="0.2">
      <c r="AI1348">
        <f t="shared" si="21"/>
        <v>0</v>
      </c>
    </row>
    <row r="1349" spans="35:35" x14ac:dyDescent="0.2">
      <c r="AI1349">
        <f t="shared" si="21"/>
        <v>0</v>
      </c>
    </row>
    <row r="1350" spans="35:35" x14ac:dyDescent="0.2">
      <c r="AI1350">
        <f t="shared" ref="AI1350:AI1413" si="22">COUNTA($B1350:$AF1350)</f>
        <v>0</v>
      </c>
    </row>
    <row r="1351" spans="35:35" x14ac:dyDescent="0.2">
      <c r="AI1351">
        <f t="shared" si="22"/>
        <v>0</v>
      </c>
    </row>
    <row r="1352" spans="35:35" x14ac:dyDescent="0.2">
      <c r="AI1352">
        <f t="shared" si="22"/>
        <v>0</v>
      </c>
    </row>
    <row r="1353" spans="35:35" x14ac:dyDescent="0.2">
      <c r="AI1353">
        <f t="shared" si="22"/>
        <v>0</v>
      </c>
    </row>
    <row r="1354" spans="35:35" x14ac:dyDescent="0.2">
      <c r="AI1354">
        <f t="shared" si="22"/>
        <v>0</v>
      </c>
    </row>
    <row r="1355" spans="35:35" x14ac:dyDescent="0.2">
      <c r="AI1355">
        <f t="shared" si="22"/>
        <v>0</v>
      </c>
    </row>
    <row r="1356" spans="35:35" x14ac:dyDescent="0.2">
      <c r="AI1356">
        <f t="shared" si="22"/>
        <v>0</v>
      </c>
    </row>
    <row r="1357" spans="35:35" x14ac:dyDescent="0.2">
      <c r="AI1357">
        <f t="shared" si="22"/>
        <v>0</v>
      </c>
    </row>
    <row r="1358" spans="35:35" x14ac:dyDescent="0.2">
      <c r="AI1358">
        <f t="shared" si="22"/>
        <v>0</v>
      </c>
    </row>
    <row r="1359" spans="35:35" x14ac:dyDescent="0.2">
      <c r="AI1359">
        <f t="shared" si="22"/>
        <v>0</v>
      </c>
    </row>
    <row r="1360" spans="35:35" x14ac:dyDescent="0.2">
      <c r="AI1360">
        <f t="shared" si="22"/>
        <v>0</v>
      </c>
    </row>
    <row r="1361" spans="35:35" x14ac:dyDescent="0.2">
      <c r="AI1361">
        <f t="shared" si="22"/>
        <v>0</v>
      </c>
    </row>
    <row r="1362" spans="35:35" x14ac:dyDescent="0.2">
      <c r="AI1362">
        <f t="shared" si="22"/>
        <v>0</v>
      </c>
    </row>
    <row r="1363" spans="35:35" x14ac:dyDescent="0.2">
      <c r="AI1363">
        <f t="shared" si="22"/>
        <v>0</v>
      </c>
    </row>
    <row r="1364" spans="35:35" x14ac:dyDescent="0.2">
      <c r="AI1364">
        <f t="shared" si="22"/>
        <v>0</v>
      </c>
    </row>
    <row r="1365" spans="35:35" x14ac:dyDescent="0.2">
      <c r="AI1365">
        <f t="shared" si="22"/>
        <v>0</v>
      </c>
    </row>
    <row r="1366" spans="35:35" x14ac:dyDescent="0.2">
      <c r="AI1366">
        <f t="shared" si="22"/>
        <v>0</v>
      </c>
    </row>
    <row r="1367" spans="35:35" x14ac:dyDescent="0.2">
      <c r="AI1367">
        <f t="shared" si="22"/>
        <v>0</v>
      </c>
    </row>
    <row r="1368" spans="35:35" x14ac:dyDescent="0.2">
      <c r="AI1368">
        <f t="shared" si="22"/>
        <v>0</v>
      </c>
    </row>
    <row r="1369" spans="35:35" x14ac:dyDescent="0.2">
      <c r="AI1369">
        <f t="shared" si="22"/>
        <v>0</v>
      </c>
    </row>
    <row r="1370" spans="35:35" x14ac:dyDescent="0.2">
      <c r="AI1370">
        <f t="shared" si="22"/>
        <v>0</v>
      </c>
    </row>
    <row r="1371" spans="35:35" x14ac:dyDescent="0.2">
      <c r="AI1371">
        <f t="shared" si="22"/>
        <v>0</v>
      </c>
    </row>
    <row r="1372" spans="35:35" x14ac:dyDescent="0.2">
      <c r="AI1372">
        <f t="shared" si="22"/>
        <v>0</v>
      </c>
    </row>
    <row r="1373" spans="35:35" x14ac:dyDescent="0.2">
      <c r="AI1373">
        <f t="shared" si="22"/>
        <v>0</v>
      </c>
    </row>
    <row r="1374" spans="35:35" x14ac:dyDescent="0.2">
      <c r="AI1374">
        <f t="shared" si="22"/>
        <v>0</v>
      </c>
    </row>
    <row r="1375" spans="35:35" x14ac:dyDescent="0.2">
      <c r="AI1375">
        <f t="shared" si="22"/>
        <v>0</v>
      </c>
    </row>
    <row r="1376" spans="35:35" x14ac:dyDescent="0.2">
      <c r="AI1376">
        <f t="shared" si="22"/>
        <v>0</v>
      </c>
    </row>
    <row r="1377" spans="35:35" x14ac:dyDescent="0.2">
      <c r="AI1377">
        <f t="shared" si="22"/>
        <v>0</v>
      </c>
    </row>
    <row r="1378" spans="35:35" x14ac:dyDescent="0.2">
      <c r="AI1378">
        <f t="shared" si="22"/>
        <v>0</v>
      </c>
    </row>
    <row r="1379" spans="35:35" x14ac:dyDescent="0.2">
      <c r="AI1379">
        <f t="shared" si="22"/>
        <v>0</v>
      </c>
    </row>
    <row r="1380" spans="35:35" x14ac:dyDescent="0.2">
      <c r="AI1380">
        <f t="shared" si="22"/>
        <v>0</v>
      </c>
    </row>
    <row r="1381" spans="35:35" x14ac:dyDescent="0.2">
      <c r="AI1381">
        <f t="shared" si="22"/>
        <v>0</v>
      </c>
    </row>
    <row r="1382" spans="35:35" x14ac:dyDescent="0.2">
      <c r="AI1382">
        <f t="shared" si="22"/>
        <v>0</v>
      </c>
    </row>
    <row r="1383" spans="35:35" x14ac:dyDescent="0.2">
      <c r="AI1383">
        <f t="shared" si="22"/>
        <v>0</v>
      </c>
    </row>
    <row r="1384" spans="35:35" x14ac:dyDescent="0.2">
      <c r="AI1384">
        <f t="shared" si="22"/>
        <v>0</v>
      </c>
    </row>
    <row r="1385" spans="35:35" x14ac:dyDescent="0.2">
      <c r="AI1385">
        <f t="shared" si="22"/>
        <v>0</v>
      </c>
    </row>
    <row r="1386" spans="35:35" x14ac:dyDescent="0.2">
      <c r="AI1386">
        <f t="shared" si="22"/>
        <v>0</v>
      </c>
    </row>
    <row r="1387" spans="35:35" x14ac:dyDescent="0.2">
      <c r="AI1387">
        <f t="shared" si="22"/>
        <v>0</v>
      </c>
    </row>
    <row r="1388" spans="35:35" x14ac:dyDescent="0.2">
      <c r="AI1388">
        <f t="shared" si="22"/>
        <v>0</v>
      </c>
    </row>
    <row r="1389" spans="35:35" x14ac:dyDescent="0.2">
      <c r="AI1389">
        <f t="shared" si="22"/>
        <v>0</v>
      </c>
    </row>
    <row r="1390" spans="35:35" x14ac:dyDescent="0.2">
      <c r="AI1390">
        <f t="shared" si="22"/>
        <v>0</v>
      </c>
    </row>
    <row r="1391" spans="35:35" x14ac:dyDescent="0.2">
      <c r="AI1391">
        <f t="shared" si="22"/>
        <v>0</v>
      </c>
    </row>
    <row r="1392" spans="35:35" x14ac:dyDescent="0.2">
      <c r="AI1392">
        <f t="shared" si="22"/>
        <v>0</v>
      </c>
    </row>
    <row r="1393" spans="35:35" x14ac:dyDescent="0.2">
      <c r="AI1393">
        <f t="shared" si="22"/>
        <v>0</v>
      </c>
    </row>
    <row r="1394" spans="35:35" x14ac:dyDescent="0.2">
      <c r="AI1394">
        <f t="shared" si="22"/>
        <v>0</v>
      </c>
    </row>
    <row r="1395" spans="35:35" x14ac:dyDescent="0.2">
      <c r="AI1395">
        <f t="shared" si="22"/>
        <v>0</v>
      </c>
    </row>
    <row r="1396" spans="35:35" x14ac:dyDescent="0.2">
      <c r="AI1396">
        <f t="shared" si="22"/>
        <v>0</v>
      </c>
    </row>
    <row r="1397" spans="35:35" x14ac:dyDescent="0.2">
      <c r="AI1397">
        <f t="shared" si="22"/>
        <v>0</v>
      </c>
    </row>
    <row r="1398" spans="35:35" x14ac:dyDescent="0.2">
      <c r="AI1398">
        <f t="shared" si="22"/>
        <v>0</v>
      </c>
    </row>
    <row r="1399" spans="35:35" x14ac:dyDescent="0.2">
      <c r="AI1399">
        <f t="shared" si="22"/>
        <v>0</v>
      </c>
    </row>
    <row r="1400" spans="35:35" x14ac:dyDescent="0.2">
      <c r="AI1400">
        <f t="shared" si="22"/>
        <v>0</v>
      </c>
    </row>
    <row r="1401" spans="35:35" x14ac:dyDescent="0.2">
      <c r="AI1401">
        <f t="shared" si="22"/>
        <v>0</v>
      </c>
    </row>
    <row r="1402" spans="35:35" x14ac:dyDescent="0.2">
      <c r="AI1402">
        <f t="shared" si="22"/>
        <v>0</v>
      </c>
    </row>
    <row r="1403" spans="35:35" x14ac:dyDescent="0.2">
      <c r="AI1403">
        <f t="shared" si="22"/>
        <v>0</v>
      </c>
    </row>
    <row r="1404" spans="35:35" x14ac:dyDescent="0.2">
      <c r="AI1404">
        <f t="shared" si="22"/>
        <v>0</v>
      </c>
    </row>
    <row r="1405" spans="35:35" x14ac:dyDescent="0.2">
      <c r="AI1405">
        <f t="shared" si="22"/>
        <v>0</v>
      </c>
    </row>
    <row r="1406" spans="35:35" x14ac:dyDescent="0.2">
      <c r="AI1406">
        <f t="shared" si="22"/>
        <v>0</v>
      </c>
    </row>
    <row r="1407" spans="35:35" x14ac:dyDescent="0.2">
      <c r="AI1407">
        <f t="shared" si="22"/>
        <v>0</v>
      </c>
    </row>
    <row r="1408" spans="35:35" x14ac:dyDescent="0.2">
      <c r="AI1408">
        <f t="shared" si="22"/>
        <v>0</v>
      </c>
    </row>
    <row r="1409" spans="35:35" x14ac:dyDescent="0.2">
      <c r="AI1409">
        <f t="shared" si="22"/>
        <v>0</v>
      </c>
    </row>
    <row r="1410" spans="35:35" x14ac:dyDescent="0.2">
      <c r="AI1410">
        <f t="shared" si="22"/>
        <v>0</v>
      </c>
    </row>
    <row r="1411" spans="35:35" x14ac:dyDescent="0.2">
      <c r="AI1411">
        <f t="shared" si="22"/>
        <v>0</v>
      </c>
    </row>
    <row r="1412" spans="35:35" x14ac:dyDescent="0.2">
      <c r="AI1412">
        <f t="shared" si="22"/>
        <v>0</v>
      </c>
    </row>
    <row r="1413" spans="35:35" x14ac:dyDescent="0.2">
      <c r="AI1413">
        <f t="shared" si="22"/>
        <v>0</v>
      </c>
    </row>
    <row r="1414" spans="35:35" x14ac:dyDescent="0.2">
      <c r="AI1414">
        <f t="shared" ref="AI1414:AI1477" si="23">COUNTA($B1414:$AF1414)</f>
        <v>0</v>
      </c>
    </row>
    <row r="1415" spans="35:35" x14ac:dyDescent="0.2">
      <c r="AI1415">
        <f t="shared" si="23"/>
        <v>0</v>
      </c>
    </row>
    <row r="1416" spans="35:35" x14ac:dyDescent="0.2">
      <c r="AI1416">
        <f t="shared" si="23"/>
        <v>0</v>
      </c>
    </row>
    <row r="1417" spans="35:35" x14ac:dyDescent="0.2">
      <c r="AI1417">
        <f t="shared" si="23"/>
        <v>0</v>
      </c>
    </row>
    <row r="1418" spans="35:35" x14ac:dyDescent="0.2">
      <c r="AI1418">
        <f t="shared" si="23"/>
        <v>0</v>
      </c>
    </row>
    <row r="1419" spans="35:35" x14ac:dyDescent="0.2">
      <c r="AI1419">
        <f t="shared" si="23"/>
        <v>0</v>
      </c>
    </row>
    <row r="1420" spans="35:35" x14ac:dyDescent="0.2">
      <c r="AI1420">
        <f t="shared" si="23"/>
        <v>0</v>
      </c>
    </row>
    <row r="1421" spans="35:35" x14ac:dyDescent="0.2">
      <c r="AI1421">
        <f t="shared" si="23"/>
        <v>0</v>
      </c>
    </row>
    <row r="1422" spans="35:35" x14ac:dyDescent="0.2">
      <c r="AI1422">
        <f t="shared" si="23"/>
        <v>0</v>
      </c>
    </row>
    <row r="1423" spans="35:35" x14ac:dyDescent="0.2">
      <c r="AI1423">
        <f t="shared" si="23"/>
        <v>0</v>
      </c>
    </row>
    <row r="1424" spans="35:35" x14ac:dyDescent="0.2">
      <c r="AI1424">
        <f t="shared" si="23"/>
        <v>0</v>
      </c>
    </row>
    <row r="1425" spans="35:35" x14ac:dyDescent="0.2">
      <c r="AI1425">
        <f t="shared" si="23"/>
        <v>0</v>
      </c>
    </row>
    <row r="1426" spans="35:35" x14ac:dyDescent="0.2">
      <c r="AI1426">
        <f t="shared" si="23"/>
        <v>0</v>
      </c>
    </row>
    <row r="1427" spans="35:35" x14ac:dyDescent="0.2">
      <c r="AI1427">
        <f t="shared" si="23"/>
        <v>0</v>
      </c>
    </row>
    <row r="1428" spans="35:35" x14ac:dyDescent="0.2">
      <c r="AI1428">
        <f t="shared" si="23"/>
        <v>0</v>
      </c>
    </row>
    <row r="1429" spans="35:35" x14ac:dyDescent="0.2">
      <c r="AI1429">
        <f t="shared" si="23"/>
        <v>0</v>
      </c>
    </row>
    <row r="1430" spans="35:35" x14ac:dyDescent="0.2">
      <c r="AI1430">
        <f t="shared" si="23"/>
        <v>0</v>
      </c>
    </row>
    <row r="1431" spans="35:35" x14ac:dyDescent="0.2">
      <c r="AI1431">
        <f t="shared" si="23"/>
        <v>0</v>
      </c>
    </row>
    <row r="1432" spans="35:35" x14ac:dyDescent="0.2">
      <c r="AI1432">
        <f t="shared" si="23"/>
        <v>0</v>
      </c>
    </row>
    <row r="1433" spans="35:35" x14ac:dyDescent="0.2">
      <c r="AI1433">
        <f t="shared" si="23"/>
        <v>0</v>
      </c>
    </row>
    <row r="1434" spans="35:35" x14ac:dyDescent="0.2">
      <c r="AI1434">
        <f t="shared" si="23"/>
        <v>0</v>
      </c>
    </row>
    <row r="1435" spans="35:35" x14ac:dyDescent="0.2">
      <c r="AI1435">
        <f t="shared" si="23"/>
        <v>0</v>
      </c>
    </row>
    <row r="1436" spans="35:35" x14ac:dyDescent="0.2">
      <c r="AI1436">
        <f t="shared" si="23"/>
        <v>0</v>
      </c>
    </row>
    <row r="1437" spans="35:35" x14ac:dyDescent="0.2">
      <c r="AI1437">
        <f t="shared" si="23"/>
        <v>0</v>
      </c>
    </row>
    <row r="1438" spans="35:35" x14ac:dyDescent="0.2">
      <c r="AI1438">
        <f t="shared" si="23"/>
        <v>0</v>
      </c>
    </row>
    <row r="1439" spans="35:35" x14ac:dyDescent="0.2">
      <c r="AI1439">
        <f t="shared" si="23"/>
        <v>0</v>
      </c>
    </row>
    <row r="1440" spans="35:35" x14ac:dyDescent="0.2">
      <c r="AI1440">
        <f t="shared" si="23"/>
        <v>0</v>
      </c>
    </row>
    <row r="1441" spans="35:35" x14ac:dyDescent="0.2">
      <c r="AI1441">
        <f t="shared" si="23"/>
        <v>0</v>
      </c>
    </row>
    <row r="1442" spans="35:35" x14ac:dyDescent="0.2">
      <c r="AI1442">
        <f t="shared" si="23"/>
        <v>0</v>
      </c>
    </row>
    <row r="1443" spans="35:35" x14ac:dyDescent="0.2">
      <c r="AI1443">
        <f t="shared" si="23"/>
        <v>0</v>
      </c>
    </row>
    <row r="1444" spans="35:35" x14ac:dyDescent="0.2">
      <c r="AI1444">
        <f t="shared" si="23"/>
        <v>0</v>
      </c>
    </row>
    <row r="1445" spans="35:35" x14ac:dyDescent="0.2">
      <c r="AI1445">
        <f t="shared" si="23"/>
        <v>0</v>
      </c>
    </row>
    <row r="1446" spans="35:35" x14ac:dyDescent="0.2">
      <c r="AI1446">
        <f t="shared" si="23"/>
        <v>0</v>
      </c>
    </row>
    <row r="1447" spans="35:35" x14ac:dyDescent="0.2">
      <c r="AI1447">
        <f t="shared" si="23"/>
        <v>0</v>
      </c>
    </row>
    <row r="1448" spans="35:35" x14ac:dyDescent="0.2">
      <c r="AI1448">
        <f t="shared" si="23"/>
        <v>0</v>
      </c>
    </row>
    <row r="1449" spans="35:35" x14ac:dyDescent="0.2">
      <c r="AI1449">
        <f t="shared" si="23"/>
        <v>0</v>
      </c>
    </row>
    <row r="1450" spans="35:35" x14ac:dyDescent="0.2">
      <c r="AI1450">
        <f t="shared" si="23"/>
        <v>0</v>
      </c>
    </row>
    <row r="1451" spans="35:35" x14ac:dyDescent="0.2">
      <c r="AI1451">
        <f t="shared" si="23"/>
        <v>0</v>
      </c>
    </row>
    <row r="1452" spans="35:35" x14ac:dyDescent="0.2">
      <c r="AI1452">
        <f t="shared" si="23"/>
        <v>0</v>
      </c>
    </row>
    <row r="1453" spans="35:35" x14ac:dyDescent="0.2">
      <c r="AI1453">
        <f t="shared" si="23"/>
        <v>0</v>
      </c>
    </row>
    <row r="1454" spans="35:35" x14ac:dyDescent="0.2">
      <c r="AI1454">
        <f t="shared" si="23"/>
        <v>0</v>
      </c>
    </row>
    <row r="1455" spans="35:35" x14ac:dyDescent="0.2">
      <c r="AI1455">
        <f t="shared" si="23"/>
        <v>0</v>
      </c>
    </row>
    <row r="1456" spans="35:35" x14ac:dyDescent="0.2">
      <c r="AI1456">
        <f t="shared" si="23"/>
        <v>0</v>
      </c>
    </row>
    <row r="1457" spans="35:35" x14ac:dyDescent="0.2">
      <c r="AI1457">
        <f t="shared" si="23"/>
        <v>0</v>
      </c>
    </row>
    <row r="1458" spans="35:35" x14ac:dyDescent="0.2">
      <c r="AI1458">
        <f t="shared" si="23"/>
        <v>0</v>
      </c>
    </row>
    <row r="1459" spans="35:35" x14ac:dyDescent="0.2">
      <c r="AI1459">
        <f t="shared" si="23"/>
        <v>0</v>
      </c>
    </row>
    <row r="1460" spans="35:35" x14ac:dyDescent="0.2">
      <c r="AI1460">
        <f t="shared" si="23"/>
        <v>0</v>
      </c>
    </row>
    <row r="1461" spans="35:35" x14ac:dyDescent="0.2">
      <c r="AI1461">
        <f t="shared" si="23"/>
        <v>0</v>
      </c>
    </row>
    <row r="1462" spans="35:35" x14ac:dyDescent="0.2">
      <c r="AI1462">
        <f t="shared" si="23"/>
        <v>0</v>
      </c>
    </row>
    <row r="1463" spans="35:35" x14ac:dyDescent="0.2">
      <c r="AI1463">
        <f t="shared" si="23"/>
        <v>0</v>
      </c>
    </row>
    <row r="1464" spans="35:35" x14ac:dyDescent="0.2">
      <c r="AI1464">
        <f t="shared" si="23"/>
        <v>0</v>
      </c>
    </row>
    <row r="1465" spans="35:35" x14ac:dyDescent="0.2">
      <c r="AI1465">
        <f t="shared" si="23"/>
        <v>0</v>
      </c>
    </row>
    <row r="1466" spans="35:35" x14ac:dyDescent="0.2">
      <c r="AI1466">
        <f t="shared" si="23"/>
        <v>0</v>
      </c>
    </row>
    <row r="1467" spans="35:35" x14ac:dyDescent="0.2">
      <c r="AI1467">
        <f t="shared" si="23"/>
        <v>0</v>
      </c>
    </row>
    <row r="1468" spans="35:35" x14ac:dyDescent="0.2">
      <c r="AI1468">
        <f t="shared" si="23"/>
        <v>0</v>
      </c>
    </row>
    <row r="1469" spans="35:35" x14ac:dyDescent="0.2">
      <c r="AI1469">
        <f t="shared" si="23"/>
        <v>0</v>
      </c>
    </row>
    <row r="1470" spans="35:35" x14ac:dyDescent="0.2">
      <c r="AI1470">
        <f t="shared" si="23"/>
        <v>0</v>
      </c>
    </row>
    <row r="1471" spans="35:35" x14ac:dyDescent="0.2">
      <c r="AI1471">
        <f t="shared" si="23"/>
        <v>0</v>
      </c>
    </row>
    <row r="1472" spans="35:35" x14ac:dyDescent="0.2">
      <c r="AI1472">
        <f t="shared" si="23"/>
        <v>0</v>
      </c>
    </row>
    <row r="1473" spans="35:35" x14ac:dyDescent="0.2">
      <c r="AI1473">
        <f t="shared" si="23"/>
        <v>0</v>
      </c>
    </row>
    <row r="1474" spans="35:35" x14ac:dyDescent="0.2">
      <c r="AI1474">
        <f t="shared" si="23"/>
        <v>0</v>
      </c>
    </row>
    <row r="1475" spans="35:35" x14ac:dyDescent="0.2">
      <c r="AI1475">
        <f t="shared" si="23"/>
        <v>0</v>
      </c>
    </row>
    <row r="1476" spans="35:35" x14ac:dyDescent="0.2">
      <c r="AI1476">
        <f t="shared" si="23"/>
        <v>0</v>
      </c>
    </row>
    <row r="1477" spans="35:35" x14ac:dyDescent="0.2">
      <c r="AI1477">
        <f t="shared" si="23"/>
        <v>0</v>
      </c>
    </row>
    <row r="1478" spans="35:35" x14ac:dyDescent="0.2">
      <c r="AI1478">
        <f t="shared" ref="AI1478:AI1541" si="24">COUNTA($B1478:$AF1478)</f>
        <v>0</v>
      </c>
    </row>
    <row r="1479" spans="35:35" x14ac:dyDescent="0.2">
      <c r="AI1479">
        <f t="shared" si="24"/>
        <v>0</v>
      </c>
    </row>
    <row r="1480" spans="35:35" x14ac:dyDescent="0.2">
      <c r="AI1480">
        <f t="shared" si="24"/>
        <v>0</v>
      </c>
    </row>
    <row r="1481" spans="35:35" x14ac:dyDescent="0.2">
      <c r="AI1481">
        <f t="shared" si="24"/>
        <v>0</v>
      </c>
    </row>
    <row r="1482" spans="35:35" x14ac:dyDescent="0.2">
      <c r="AI1482">
        <f t="shared" si="24"/>
        <v>0</v>
      </c>
    </row>
    <row r="1483" spans="35:35" x14ac:dyDescent="0.2">
      <c r="AI1483">
        <f t="shared" si="24"/>
        <v>0</v>
      </c>
    </row>
    <row r="1484" spans="35:35" x14ac:dyDescent="0.2">
      <c r="AI1484">
        <f t="shared" si="24"/>
        <v>0</v>
      </c>
    </row>
    <row r="1485" spans="35:35" x14ac:dyDescent="0.2">
      <c r="AI1485">
        <f t="shared" si="24"/>
        <v>0</v>
      </c>
    </row>
    <row r="1486" spans="35:35" x14ac:dyDescent="0.2">
      <c r="AI1486">
        <f t="shared" si="24"/>
        <v>0</v>
      </c>
    </row>
    <row r="1487" spans="35:35" x14ac:dyDescent="0.2">
      <c r="AI1487">
        <f t="shared" si="24"/>
        <v>0</v>
      </c>
    </row>
    <row r="1488" spans="35:35" x14ac:dyDescent="0.2">
      <c r="AI1488">
        <f t="shared" si="24"/>
        <v>0</v>
      </c>
    </row>
    <row r="1489" spans="35:35" x14ac:dyDescent="0.2">
      <c r="AI1489">
        <f t="shared" si="24"/>
        <v>0</v>
      </c>
    </row>
    <row r="1490" spans="35:35" x14ac:dyDescent="0.2">
      <c r="AI1490">
        <f t="shared" si="24"/>
        <v>0</v>
      </c>
    </row>
    <row r="1491" spans="35:35" x14ac:dyDescent="0.2">
      <c r="AI1491">
        <f t="shared" si="24"/>
        <v>0</v>
      </c>
    </row>
    <row r="1492" spans="35:35" x14ac:dyDescent="0.2">
      <c r="AI1492">
        <f t="shared" si="24"/>
        <v>0</v>
      </c>
    </row>
    <row r="1493" spans="35:35" x14ac:dyDescent="0.2">
      <c r="AI1493">
        <f t="shared" si="24"/>
        <v>0</v>
      </c>
    </row>
    <row r="1494" spans="35:35" x14ac:dyDescent="0.2">
      <c r="AI1494">
        <f t="shared" si="24"/>
        <v>0</v>
      </c>
    </row>
    <row r="1495" spans="35:35" x14ac:dyDescent="0.2">
      <c r="AI1495">
        <f t="shared" si="24"/>
        <v>0</v>
      </c>
    </row>
    <row r="1496" spans="35:35" x14ac:dyDescent="0.2">
      <c r="AI1496">
        <f t="shared" si="24"/>
        <v>0</v>
      </c>
    </row>
    <row r="1497" spans="35:35" x14ac:dyDescent="0.2">
      <c r="AI1497">
        <f t="shared" si="24"/>
        <v>0</v>
      </c>
    </row>
    <row r="1498" spans="35:35" x14ac:dyDescent="0.2">
      <c r="AI1498">
        <f t="shared" si="24"/>
        <v>0</v>
      </c>
    </row>
    <row r="1499" spans="35:35" x14ac:dyDescent="0.2">
      <c r="AI1499">
        <f t="shared" si="24"/>
        <v>0</v>
      </c>
    </row>
    <row r="1500" spans="35:35" x14ac:dyDescent="0.2">
      <c r="AI1500">
        <f t="shared" si="24"/>
        <v>0</v>
      </c>
    </row>
    <row r="1501" spans="35:35" x14ac:dyDescent="0.2">
      <c r="AI1501">
        <f t="shared" si="24"/>
        <v>0</v>
      </c>
    </row>
    <row r="1502" spans="35:35" x14ac:dyDescent="0.2">
      <c r="AI1502">
        <f t="shared" si="24"/>
        <v>0</v>
      </c>
    </row>
    <row r="1503" spans="35:35" x14ac:dyDescent="0.2">
      <c r="AI1503">
        <f t="shared" si="24"/>
        <v>0</v>
      </c>
    </row>
    <row r="1504" spans="35:35" x14ac:dyDescent="0.2">
      <c r="AI1504">
        <f t="shared" si="24"/>
        <v>0</v>
      </c>
    </row>
    <row r="1505" spans="35:35" x14ac:dyDescent="0.2">
      <c r="AI1505">
        <f t="shared" si="24"/>
        <v>0</v>
      </c>
    </row>
    <row r="1506" spans="35:35" x14ac:dyDescent="0.2">
      <c r="AI1506">
        <f t="shared" si="24"/>
        <v>0</v>
      </c>
    </row>
    <row r="1507" spans="35:35" x14ac:dyDescent="0.2">
      <c r="AI1507">
        <f t="shared" si="24"/>
        <v>0</v>
      </c>
    </row>
    <row r="1508" spans="35:35" x14ac:dyDescent="0.2">
      <c r="AI1508">
        <f t="shared" si="24"/>
        <v>0</v>
      </c>
    </row>
    <row r="1509" spans="35:35" x14ac:dyDescent="0.2">
      <c r="AI1509">
        <f t="shared" si="24"/>
        <v>0</v>
      </c>
    </row>
    <row r="1510" spans="35:35" x14ac:dyDescent="0.2">
      <c r="AI1510">
        <f t="shared" si="24"/>
        <v>0</v>
      </c>
    </row>
    <row r="1511" spans="35:35" x14ac:dyDescent="0.2">
      <c r="AI1511">
        <f t="shared" si="24"/>
        <v>0</v>
      </c>
    </row>
    <row r="1512" spans="35:35" x14ac:dyDescent="0.2">
      <c r="AI1512">
        <f t="shared" si="24"/>
        <v>0</v>
      </c>
    </row>
    <row r="1513" spans="35:35" x14ac:dyDescent="0.2">
      <c r="AI1513">
        <f t="shared" si="24"/>
        <v>0</v>
      </c>
    </row>
    <row r="1514" spans="35:35" x14ac:dyDescent="0.2">
      <c r="AI1514">
        <f t="shared" si="24"/>
        <v>0</v>
      </c>
    </row>
    <row r="1515" spans="35:35" x14ac:dyDescent="0.2">
      <c r="AI1515">
        <f t="shared" si="24"/>
        <v>0</v>
      </c>
    </row>
    <row r="1516" spans="35:35" x14ac:dyDescent="0.2">
      <c r="AI1516">
        <f t="shared" si="24"/>
        <v>0</v>
      </c>
    </row>
    <row r="1517" spans="35:35" x14ac:dyDescent="0.2">
      <c r="AI1517">
        <f t="shared" si="24"/>
        <v>0</v>
      </c>
    </row>
    <row r="1518" spans="35:35" x14ac:dyDescent="0.2">
      <c r="AI1518">
        <f t="shared" si="24"/>
        <v>0</v>
      </c>
    </row>
    <row r="1519" spans="35:35" x14ac:dyDescent="0.2">
      <c r="AI1519">
        <f t="shared" si="24"/>
        <v>0</v>
      </c>
    </row>
    <row r="1520" spans="35:35" x14ac:dyDescent="0.2">
      <c r="AI1520">
        <f t="shared" si="24"/>
        <v>0</v>
      </c>
    </row>
    <row r="1521" spans="35:35" x14ac:dyDescent="0.2">
      <c r="AI1521">
        <f t="shared" si="24"/>
        <v>0</v>
      </c>
    </row>
    <row r="1522" spans="35:35" x14ac:dyDescent="0.2">
      <c r="AI1522">
        <f t="shared" si="24"/>
        <v>0</v>
      </c>
    </row>
    <row r="1523" spans="35:35" x14ac:dyDescent="0.2">
      <c r="AI1523">
        <f t="shared" si="24"/>
        <v>0</v>
      </c>
    </row>
    <row r="1524" spans="35:35" x14ac:dyDescent="0.2">
      <c r="AI1524">
        <f t="shared" si="24"/>
        <v>0</v>
      </c>
    </row>
    <row r="1525" spans="35:35" x14ac:dyDescent="0.2">
      <c r="AI1525">
        <f t="shared" si="24"/>
        <v>0</v>
      </c>
    </row>
    <row r="1526" spans="35:35" x14ac:dyDescent="0.2">
      <c r="AI1526">
        <f t="shared" si="24"/>
        <v>0</v>
      </c>
    </row>
    <row r="1527" spans="35:35" x14ac:dyDescent="0.2">
      <c r="AI1527">
        <f t="shared" si="24"/>
        <v>0</v>
      </c>
    </row>
    <row r="1528" spans="35:35" x14ac:dyDescent="0.2">
      <c r="AI1528">
        <f t="shared" si="24"/>
        <v>0</v>
      </c>
    </row>
    <row r="1529" spans="35:35" x14ac:dyDescent="0.2">
      <c r="AI1529">
        <f t="shared" si="24"/>
        <v>0</v>
      </c>
    </row>
    <row r="1530" spans="35:35" x14ac:dyDescent="0.2">
      <c r="AI1530">
        <f t="shared" si="24"/>
        <v>0</v>
      </c>
    </row>
    <row r="1531" spans="35:35" x14ac:dyDescent="0.2">
      <c r="AI1531">
        <f t="shared" si="24"/>
        <v>0</v>
      </c>
    </row>
    <row r="1532" spans="35:35" x14ac:dyDescent="0.2">
      <c r="AI1532">
        <f t="shared" si="24"/>
        <v>0</v>
      </c>
    </row>
    <row r="1533" spans="35:35" x14ac:dyDescent="0.2">
      <c r="AI1533">
        <f t="shared" si="24"/>
        <v>0</v>
      </c>
    </row>
    <row r="1534" spans="35:35" x14ac:dyDescent="0.2">
      <c r="AI1534">
        <f t="shared" si="24"/>
        <v>0</v>
      </c>
    </row>
    <row r="1535" spans="35:35" x14ac:dyDescent="0.2">
      <c r="AI1535">
        <f t="shared" si="24"/>
        <v>0</v>
      </c>
    </row>
    <row r="1536" spans="35:35" x14ac:dyDescent="0.2">
      <c r="AI1536">
        <f t="shared" si="24"/>
        <v>0</v>
      </c>
    </row>
    <row r="1537" spans="35:35" x14ac:dyDescent="0.2">
      <c r="AI1537">
        <f t="shared" si="24"/>
        <v>0</v>
      </c>
    </row>
    <row r="1538" spans="35:35" x14ac:dyDescent="0.2">
      <c r="AI1538">
        <f t="shared" si="24"/>
        <v>0</v>
      </c>
    </row>
    <row r="1539" spans="35:35" x14ac:dyDescent="0.2">
      <c r="AI1539">
        <f t="shared" si="24"/>
        <v>0</v>
      </c>
    </row>
    <row r="1540" spans="35:35" x14ac:dyDescent="0.2">
      <c r="AI1540">
        <f t="shared" si="24"/>
        <v>0</v>
      </c>
    </row>
    <row r="1541" spans="35:35" x14ac:dyDescent="0.2">
      <c r="AI1541">
        <f t="shared" si="24"/>
        <v>0</v>
      </c>
    </row>
    <row r="1542" spans="35:35" x14ac:dyDescent="0.2">
      <c r="AI1542">
        <f t="shared" ref="AI1542:AI1605" si="25">COUNTA($B1542:$AF1542)</f>
        <v>0</v>
      </c>
    </row>
    <row r="1543" spans="35:35" x14ac:dyDescent="0.2">
      <c r="AI1543">
        <f t="shared" si="25"/>
        <v>0</v>
      </c>
    </row>
    <row r="1544" spans="35:35" x14ac:dyDescent="0.2">
      <c r="AI1544">
        <f t="shared" si="25"/>
        <v>0</v>
      </c>
    </row>
    <row r="1545" spans="35:35" x14ac:dyDescent="0.2">
      <c r="AI1545">
        <f t="shared" si="25"/>
        <v>0</v>
      </c>
    </row>
    <row r="1546" spans="35:35" x14ac:dyDescent="0.2">
      <c r="AI1546">
        <f t="shared" si="25"/>
        <v>0</v>
      </c>
    </row>
    <row r="1547" spans="35:35" x14ac:dyDescent="0.2">
      <c r="AI1547">
        <f t="shared" si="25"/>
        <v>0</v>
      </c>
    </row>
    <row r="1548" spans="35:35" x14ac:dyDescent="0.2">
      <c r="AI1548">
        <f t="shared" si="25"/>
        <v>0</v>
      </c>
    </row>
    <row r="1549" spans="35:35" x14ac:dyDescent="0.2">
      <c r="AI1549">
        <f t="shared" si="25"/>
        <v>0</v>
      </c>
    </row>
    <row r="1550" spans="35:35" x14ac:dyDescent="0.2">
      <c r="AI1550">
        <f t="shared" si="25"/>
        <v>0</v>
      </c>
    </row>
    <row r="1551" spans="35:35" x14ac:dyDescent="0.2">
      <c r="AI1551">
        <f t="shared" si="25"/>
        <v>0</v>
      </c>
    </row>
    <row r="1552" spans="35:35" x14ac:dyDescent="0.2">
      <c r="AI1552">
        <f t="shared" si="25"/>
        <v>0</v>
      </c>
    </row>
    <row r="1553" spans="35:35" x14ac:dyDescent="0.2">
      <c r="AI1553">
        <f t="shared" si="25"/>
        <v>0</v>
      </c>
    </row>
    <row r="1554" spans="35:35" x14ac:dyDescent="0.2">
      <c r="AI1554">
        <f t="shared" si="25"/>
        <v>0</v>
      </c>
    </row>
    <row r="1555" spans="35:35" x14ac:dyDescent="0.2">
      <c r="AI1555">
        <f t="shared" si="25"/>
        <v>0</v>
      </c>
    </row>
    <row r="1556" spans="35:35" x14ac:dyDescent="0.2">
      <c r="AI1556">
        <f t="shared" si="25"/>
        <v>0</v>
      </c>
    </row>
    <row r="1557" spans="35:35" x14ac:dyDescent="0.2">
      <c r="AI1557">
        <f t="shared" si="25"/>
        <v>0</v>
      </c>
    </row>
    <row r="1558" spans="35:35" x14ac:dyDescent="0.2">
      <c r="AI1558">
        <f t="shared" si="25"/>
        <v>0</v>
      </c>
    </row>
    <row r="1559" spans="35:35" x14ac:dyDescent="0.2">
      <c r="AI1559">
        <f t="shared" si="25"/>
        <v>0</v>
      </c>
    </row>
    <row r="1560" spans="35:35" x14ac:dyDescent="0.2">
      <c r="AI1560">
        <f t="shared" si="25"/>
        <v>0</v>
      </c>
    </row>
    <row r="1561" spans="35:35" x14ac:dyDescent="0.2">
      <c r="AI1561">
        <f t="shared" si="25"/>
        <v>0</v>
      </c>
    </row>
    <row r="1562" spans="35:35" x14ac:dyDescent="0.2">
      <c r="AI1562">
        <f t="shared" si="25"/>
        <v>0</v>
      </c>
    </row>
    <row r="1563" spans="35:35" x14ac:dyDescent="0.2">
      <c r="AI1563">
        <f t="shared" si="25"/>
        <v>0</v>
      </c>
    </row>
    <row r="1564" spans="35:35" x14ac:dyDescent="0.2">
      <c r="AI1564">
        <f t="shared" si="25"/>
        <v>0</v>
      </c>
    </row>
    <row r="1565" spans="35:35" x14ac:dyDescent="0.2">
      <c r="AI1565">
        <f t="shared" si="25"/>
        <v>0</v>
      </c>
    </row>
    <row r="1566" spans="35:35" x14ac:dyDescent="0.2">
      <c r="AI1566">
        <f t="shared" si="25"/>
        <v>0</v>
      </c>
    </row>
    <row r="1567" spans="35:35" x14ac:dyDescent="0.2">
      <c r="AI1567">
        <f t="shared" si="25"/>
        <v>0</v>
      </c>
    </row>
    <row r="1568" spans="35:35" x14ac:dyDescent="0.2">
      <c r="AI1568">
        <f t="shared" si="25"/>
        <v>0</v>
      </c>
    </row>
    <row r="1569" spans="35:35" x14ac:dyDescent="0.2">
      <c r="AI1569">
        <f t="shared" si="25"/>
        <v>0</v>
      </c>
    </row>
    <row r="1570" spans="35:35" x14ac:dyDescent="0.2">
      <c r="AI1570">
        <f t="shared" si="25"/>
        <v>0</v>
      </c>
    </row>
    <row r="1571" spans="35:35" x14ac:dyDescent="0.2">
      <c r="AI1571">
        <f t="shared" si="25"/>
        <v>0</v>
      </c>
    </row>
    <row r="1572" spans="35:35" x14ac:dyDescent="0.2">
      <c r="AI1572">
        <f t="shared" si="25"/>
        <v>0</v>
      </c>
    </row>
    <row r="1573" spans="35:35" x14ac:dyDescent="0.2">
      <c r="AI1573">
        <f t="shared" si="25"/>
        <v>0</v>
      </c>
    </row>
    <row r="1574" spans="35:35" x14ac:dyDescent="0.2">
      <c r="AI1574">
        <f t="shared" si="25"/>
        <v>0</v>
      </c>
    </row>
    <row r="1575" spans="35:35" x14ac:dyDescent="0.2">
      <c r="AI1575">
        <f t="shared" si="25"/>
        <v>0</v>
      </c>
    </row>
    <row r="1576" spans="35:35" x14ac:dyDescent="0.2">
      <c r="AI1576">
        <f t="shared" si="25"/>
        <v>0</v>
      </c>
    </row>
    <row r="1577" spans="35:35" x14ac:dyDescent="0.2">
      <c r="AI1577">
        <f t="shared" si="25"/>
        <v>0</v>
      </c>
    </row>
    <row r="1578" spans="35:35" x14ac:dyDescent="0.2">
      <c r="AI1578">
        <f t="shared" si="25"/>
        <v>0</v>
      </c>
    </row>
    <row r="1579" spans="35:35" x14ac:dyDescent="0.2">
      <c r="AI1579">
        <f t="shared" si="25"/>
        <v>0</v>
      </c>
    </row>
    <row r="1580" spans="35:35" x14ac:dyDescent="0.2">
      <c r="AI1580">
        <f t="shared" si="25"/>
        <v>0</v>
      </c>
    </row>
    <row r="1581" spans="35:35" x14ac:dyDescent="0.2">
      <c r="AI1581">
        <f t="shared" si="25"/>
        <v>0</v>
      </c>
    </row>
    <row r="1582" spans="35:35" x14ac:dyDescent="0.2">
      <c r="AI1582">
        <f t="shared" si="25"/>
        <v>0</v>
      </c>
    </row>
    <row r="1583" spans="35:35" x14ac:dyDescent="0.2">
      <c r="AI1583">
        <f t="shared" si="25"/>
        <v>0</v>
      </c>
    </row>
    <row r="1584" spans="35:35" x14ac:dyDescent="0.2">
      <c r="AI1584">
        <f t="shared" si="25"/>
        <v>0</v>
      </c>
    </row>
    <row r="1585" spans="35:35" x14ac:dyDescent="0.2">
      <c r="AI1585">
        <f t="shared" si="25"/>
        <v>0</v>
      </c>
    </row>
    <row r="1586" spans="35:35" x14ac:dyDescent="0.2">
      <c r="AI1586">
        <f t="shared" si="25"/>
        <v>0</v>
      </c>
    </row>
    <row r="1587" spans="35:35" x14ac:dyDescent="0.2">
      <c r="AI1587">
        <f t="shared" si="25"/>
        <v>0</v>
      </c>
    </row>
    <row r="1588" spans="35:35" x14ac:dyDescent="0.2">
      <c r="AI1588">
        <f t="shared" si="25"/>
        <v>0</v>
      </c>
    </row>
    <row r="1589" spans="35:35" x14ac:dyDescent="0.2">
      <c r="AI1589">
        <f t="shared" si="25"/>
        <v>0</v>
      </c>
    </row>
    <row r="1590" spans="35:35" x14ac:dyDescent="0.2">
      <c r="AI1590">
        <f t="shared" si="25"/>
        <v>0</v>
      </c>
    </row>
    <row r="1591" spans="35:35" x14ac:dyDescent="0.2">
      <c r="AI1591">
        <f t="shared" si="25"/>
        <v>0</v>
      </c>
    </row>
    <row r="1592" spans="35:35" x14ac:dyDescent="0.2">
      <c r="AI1592">
        <f t="shared" si="25"/>
        <v>0</v>
      </c>
    </row>
    <row r="1593" spans="35:35" x14ac:dyDescent="0.2">
      <c r="AI1593">
        <f t="shared" si="25"/>
        <v>0</v>
      </c>
    </row>
    <row r="1594" spans="35:35" x14ac:dyDescent="0.2">
      <c r="AI1594">
        <f t="shared" si="25"/>
        <v>0</v>
      </c>
    </row>
    <row r="1595" spans="35:35" x14ac:dyDescent="0.2">
      <c r="AI1595">
        <f t="shared" si="25"/>
        <v>0</v>
      </c>
    </row>
    <row r="1596" spans="35:35" x14ac:dyDescent="0.2">
      <c r="AI1596">
        <f t="shared" si="25"/>
        <v>0</v>
      </c>
    </row>
    <row r="1597" spans="35:35" x14ac:dyDescent="0.2">
      <c r="AI1597">
        <f t="shared" si="25"/>
        <v>0</v>
      </c>
    </row>
    <row r="1598" spans="35:35" x14ac:dyDescent="0.2">
      <c r="AI1598">
        <f t="shared" si="25"/>
        <v>0</v>
      </c>
    </row>
    <row r="1599" spans="35:35" x14ac:dyDescent="0.2">
      <c r="AI1599">
        <f t="shared" si="25"/>
        <v>0</v>
      </c>
    </row>
    <row r="1600" spans="35:35" x14ac:dyDescent="0.2">
      <c r="AI1600">
        <f t="shared" si="25"/>
        <v>0</v>
      </c>
    </row>
    <row r="1601" spans="35:35" x14ac:dyDescent="0.2">
      <c r="AI1601">
        <f t="shared" si="25"/>
        <v>0</v>
      </c>
    </row>
    <row r="1602" spans="35:35" x14ac:dyDescent="0.2">
      <c r="AI1602">
        <f t="shared" si="25"/>
        <v>0</v>
      </c>
    </row>
    <row r="1603" spans="35:35" x14ac:dyDescent="0.2">
      <c r="AI1603">
        <f t="shared" si="25"/>
        <v>0</v>
      </c>
    </row>
    <row r="1604" spans="35:35" x14ac:dyDescent="0.2">
      <c r="AI1604">
        <f t="shared" si="25"/>
        <v>0</v>
      </c>
    </row>
    <row r="1605" spans="35:35" x14ac:dyDescent="0.2">
      <c r="AI1605">
        <f t="shared" si="25"/>
        <v>0</v>
      </c>
    </row>
    <row r="1606" spans="35:35" x14ac:dyDescent="0.2">
      <c r="AI1606">
        <f t="shared" ref="AI1606:AI1669" si="26">COUNTA($B1606:$AF1606)</f>
        <v>0</v>
      </c>
    </row>
    <row r="1607" spans="35:35" x14ac:dyDescent="0.2">
      <c r="AI1607">
        <f t="shared" si="26"/>
        <v>0</v>
      </c>
    </row>
    <row r="1608" spans="35:35" x14ac:dyDescent="0.2">
      <c r="AI1608">
        <f t="shared" si="26"/>
        <v>0</v>
      </c>
    </row>
    <row r="1609" spans="35:35" x14ac:dyDescent="0.2">
      <c r="AI1609">
        <f t="shared" si="26"/>
        <v>0</v>
      </c>
    </row>
    <row r="1610" spans="35:35" x14ac:dyDescent="0.2">
      <c r="AI1610">
        <f t="shared" si="26"/>
        <v>0</v>
      </c>
    </row>
    <row r="1611" spans="35:35" x14ac:dyDescent="0.2">
      <c r="AI1611">
        <f t="shared" si="26"/>
        <v>0</v>
      </c>
    </row>
    <row r="1612" spans="35:35" x14ac:dyDescent="0.2">
      <c r="AI1612">
        <f t="shared" si="26"/>
        <v>0</v>
      </c>
    </row>
    <row r="1613" spans="35:35" x14ac:dyDescent="0.2">
      <c r="AI1613">
        <f t="shared" si="26"/>
        <v>0</v>
      </c>
    </row>
    <row r="1614" spans="35:35" x14ac:dyDescent="0.2">
      <c r="AI1614">
        <f t="shared" si="26"/>
        <v>0</v>
      </c>
    </row>
    <row r="1615" spans="35:35" x14ac:dyDescent="0.2">
      <c r="AI1615">
        <f t="shared" si="26"/>
        <v>0</v>
      </c>
    </row>
    <row r="1616" spans="35:35" x14ac:dyDescent="0.2">
      <c r="AI1616">
        <f t="shared" si="26"/>
        <v>0</v>
      </c>
    </row>
    <row r="1617" spans="35:35" x14ac:dyDescent="0.2">
      <c r="AI1617">
        <f t="shared" si="26"/>
        <v>0</v>
      </c>
    </row>
    <row r="1618" spans="35:35" x14ac:dyDescent="0.2">
      <c r="AI1618">
        <f t="shared" si="26"/>
        <v>0</v>
      </c>
    </row>
    <row r="1619" spans="35:35" x14ac:dyDescent="0.2">
      <c r="AI1619">
        <f t="shared" si="26"/>
        <v>0</v>
      </c>
    </row>
    <row r="1620" spans="35:35" x14ac:dyDescent="0.2">
      <c r="AI1620">
        <f t="shared" si="26"/>
        <v>0</v>
      </c>
    </row>
    <row r="1621" spans="35:35" x14ac:dyDescent="0.2">
      <c r="AI1621">
        <f t="shared" si="26"/>
        <v>0</v>
      </c>
    </row>
    <row r="1622" spans="35:35" x14ac:dyDescent="0.2">
      <c r="AI1622">
        <f t="shared" si="26"/>
        <v>0</v>
      </c>
    </row>
    <row r="1623" spans="35:35" x14ac:dyDescent="0.2">
      <c r="AI1623">
        <f t="shared" si="26"/>
        <v>0</v>
      </c>
    </row>
    <row r="1624" spans="35:35" x14ac:dyDescent="0.2">
      <c r="AI1624">
        <f t="shared" si="26"/>
        <v>0</v>
      </c>
    </row>
    <row r="1625" spans="35:35" x14ac:dyDescent="0.2">
      <c r="AI1625">
        <f t="shared" si="26"/>
        <v>0</v>
      </c>
    </row>
    <row r="1626" spans="35:35" x14ac:dyDescent="0.2">
      <c r="AI1626">
        <f t="shared" si="26"/>
        <v>0</v>
      </c>
    </row>
    <row r="1627" spans="35:35" x14ac:dyDescent="0.2">
      <c r="AI1627">
        <f t="shared" si="26"/>
        <v>0</v>
      </c>
    </row>
    <row r="1628" spans="35:35" x14ac:dyDescent="0.2">
      <c r="AI1628">
        <f t="shared" si="26"/>
        <v>0</v>
      </c>
    </row>
    <row r="1629" spans="35:35" x14ac:dyDescent="0.2">
      <c r="AI1629">
        <f t="shared" si="26"/>
        <v>0</v>
      </c>
    </row>
    <row r="1630" spans="35:35" x14ac:dyDescent="0.2">
      <c r="AI1630">
        <f t="shared" si="26"/>
        <v>0</v>
      </c>
    </row>
    <row r="1631" spans="35:35" x14ac:dyDescent="0.2">
      <c r="AI1631">
        <f t="shared" si="26"/>
        <v>0</v>
      </c>
    </row>
    <row r="1632" spans="35:35" x14ac:dyDescent="0.2">
      <c r="AI1632">
        <f t="shared" si="26"/>
        <v>0</v>
      </c>
    </row>
    <row r="1633" spans="35:35" x14ac:dyDescent="0.2">
      <c r="AI1633">
        <f t="shared" si="26"/>
        <v>0</v>
      </c>
    </row>
    <row r="1634" spans="35:35" x14ac:dyDescent="0.2">
      <c r="AI1634">
        <f t="shared" si="26"/>
        <v>0</v>
      </c>
    </row>
    <row r="1635" spans="35:35" x14ac:dyDescent="0.2">
      <c r="AI1635">
        <f t="shared" si="26"/>
        <v>0</v>
      </c>
    </row>
    <row r="1636" spans="35:35" x14ac:dyDescent="0.2">
      <c r="AI1636">
        <f t="shared" si="26"/>
        <v>0</v>
      </c>
    </row>
    <row r="1637" spans="35:35" x14ac:dyDescent="0.2">
      <c r="AI1637">
        <f t="shared" si="26"/>
        <v>0</v>
      </c>
    </row>
    <row r="1638" spans="35:35" x14ac:dyDescent="0.2">
      <c r="AI1638">
        <f t="shared" si="26"/>
        <v>0</v>
      </c>
    </row>
    <row r="1639" spans="35:35" x14ac:dyDescent="0.2">
      <c r="AI1639">
        <f t="shared" si="26"/>
        <v>0</v>
      </c>
    </row>
    <row r="1640" spans="35:35" x14ac:dyDescent="0.2">
      <c r="AI1640">
        <f t="shared" si="26"/>
        <v>0</v>
      </c>
    </row>
    <row r="1641" spans="35:35" x14ac:dyDescent="0.2">
      <c r="AI1641">
        <f t="shared" si="26"/>
        <v>0</v>
      </c>
    </row>
    <row r="1642" spans="35:35" x14ac:dyDescent="0.2">
      <c r="AI1642">
        <f t="shared" si="26"/>
        <v>0</v>
      </c>
    </row>
    <row r="1643" spans="35:35" x14ac:dyDescent="0.2">
      <c r="AI1643">
        <f t="shared" si="26"/>
        <v>0</v>
      </c>
    </row>
    <row r="1644" spans="35:35" x14ac:dyDescent="0.2">
      <c r="AI1644">
        <f t="shared" si="26"/>
        <v>0</v>
      </c>
    </row>
    <row r="1645" spans="35:35" x14ac:dyDescent="0.2">
      <c r="AI1645">
        <f t="shared" si="26"/>
        <v>0</v>
      </c>
    </row>
    <row r="1646" spans="35:35" x14ac:dyDescent="0.2">
      <c r="AI1646">
        <f t="shared" si="26"/>
        <v>0</v>
      </c>
    </row>
    <row r="1647" spans="35:35" x14ac:dyDescent="0.2">
      <c r="AI1647">
        <f t="shared" si="26"/>
        <v>0</v>
      </c>
    </row>
    <row r="1648" spans="35:35" x14ac:dyDescent="0.2">
      <c r="AI1648">
        <f t="shared" si="26"/>
        <v>0</v>
      </c>
    </row>
    <row r="1649" spans="35:35" x14ac:dyDescent="0.2">
      <c r="AI1649">
        <f t="shared" si="26"/>
        <v>0</v>
      </c>
    </row>
    <row r="1650" spans="35:35" x14ac:dyDescent="0.2">
      <c r="AI1650">
        <f t="shared" si="26"/>
        <v>0</v>
      </c>
    </row>
    <row r="1651" spans="35:35" x14ac:dyDescent="0.2">
      <c r="AI1651">
        <f t="shared" si="26"/>
        <v>0</v>
      </c>
    </row>
    <row r="1652" spans="35:35" x14ac:dyDescent="0.2">
      <c r="AI1652">
        <f t="shared" si="26"/>
        <v>0</v>
      </c>
    </row>
    <row r="1653" spans="35:35" x14ac:dyDescent="0.2">
      <c r="AI1653">
        <f t="shared" si="26"/>
        <v>0</v>
      </c>
    </row>
    <row r="1654" spans="35:35" x14ac:dyDescent="0.2">
      <c r="AI1654">
        <f t="shared" si="26"/>
        <v>0</v>
      </c>
    </row>
    <row r="1655" spans="35:35" x14ac:dyDescent="0.2">
      <c r="AI1655">
        <f t="shared" si="26"/>
        <v>0</v>
      </c>
    </row>
    <row r="1656" spans="35:35" x14ac:dyDescent="0.2">
      <c r="AI1656">
        <f t="shared" si="26"/>
        <v>0</v>
      </c>
    </row>
    <row r="1657" spans="35:35" x14ac:dyDescent="0.2">
      <c r="AI1657">
        <f t="shared" si="26"/>
        <v>0</v>
      </c>
    </row>
    <row r="1658" spans="35:35" x14ac:dyDescent="0.2">
      <c r="AI1658">
        <f t="shared" si="26"/>
        <v>0</v>
      </c>
    </row>
    <row r="1659" spans="35:35" x14ac:dyDescent="0.2">
      <c r="AI1659">
        <f t="shared" si="26"/>
        <v>0</v>
      </c>
    </row>
    <row r="1660" spans="35:35" x14ac:dyDescent="0.2">
      <c r="AI1660">
        <f t="shared" si="26"/>
        <v>0</v>
      </c>
    </row>
    <row r="1661" spans="35:35" x14ac:dyDescent="0.2">
      <c r="AI1661">
        <f t="shared" si="26"/>
        <v>0</v>
      </c>
    </row>
    <row r="1662" spans="35:35" x14ac:dyDescent="0.2">
      <c r="AI1662">
        <f t="shared" si="26"/>
        <v>0</v>
      </c>
    </row>
    <row r="1663" spans="35:35" x14ac:dyDescent="0.2">
      <c r="AI1663">
        <f t="shared" si="26"/>
        <v>0</v>
      </c>
    </row>
    <row r="1664" spans="35:35" x14ac:dyDescent="0.2">
      <c r="AI1664">
        <f t="shared" si="26"/>
        <v>0</v>
      </c>
    </row>
    <row r="1665" spans="35:35" x14ac:dyDescent="0.2">
      <c r="AI1665">
        <f t="shared" si="26"/>
        <v>0</v>
      </c>
    </row>
    <row r="1666" spans="35:35" x14ac:dyDescent="0.2">
      <c r="AI1666">
        <f t="shared" si="26"/>
        <v>0</v>
      </c>
    </row>
    <row r="1667" spans="35:35" x14ac:dyDescent="0.2">
      <c r="AI1667">
        <f t="shared" si="26"/>
        <v>0</v>
      </c>
    </row>
    <row r="1668" spans="35:35" x14ac:dyDescent="0.2">
      <c r="AI1668">
        <f t="shared" si="26"/>
        <v>0</v>
      </c>
    </row>
    <row r="1669" spans="35:35" x14ac:dyDescent="0.2">
      <c r="AI1669">
        <f t="shared" si="26"/>
        <v>0</v>
      </c>
    </row>
    <row r="1670" spans="35:35" x14ac:dyDescent="0.2">
      <c r="AI1670">
        <f t="shared" ref="AI1670:AI1709" si="27">COUNTA($B1670:$AF1670)</f>
        <v>0</v>
      </c>
    </row>
    <row r="1671" spans="35:35" x14ac:dyDescent="0.2">
      <c r="AI1671">
        <f t="shared" si="27"/>
        <v>0</v>
      </c>
    </row>
    <row r="1672" spans="35:35" x14ac:dyDescent="0.2">
      <c r="AI1672">
        <f t="shared" si="27"/>
        <v>0</v>
      </c>
    </row>
    <row r="1673" spans="35:35" x14ac:dyDescent="0.2">
      <c r="AI1673">
        <f t="shared" si="27"/>
        <v>0</v>
      </c>
    </row>
    <row r="1674" spans="35:35" x14ac:dyDescent="0.2">
      <c r="AI1674">
        <f t="shared" si="27"/>
        <v>0</v>
      </c>
    </row>
    <row r="1675" spans="35:35" x14ac:dyDescent="0.2">
      <c r="AI1675">
        <f t="shared" si="27"/>
        <v>0</v>
      </c>
    </row>
    <row r="1676" spans="35:35" x14ac:dyDescent="0.2">
      <c r="AI1676">
        <f t="shared" si="27"/>
        <v>0</v>
      </c>
    </row>
    <row r="1677" spans="35:35" x14ac:dyDescent="0.2">
      <c r="AI1677">
        <f t="shared" si="27"/>
        <v>0</v>
      </c>
    </row>
    <row r="1678" spans="35:35" x14ac:dyDescent="0.2">
      <c r="AI1678">
        <f t="shared" si="27"/>
        <v>0</v>
      </c>
    </row>
    <row r="1679" spans="35:35" x14ac:dyDescent="0.2">
      <c r="AI1679">
        <f t="shared" si="27"/>
        <v>0</v>
      </c>
    </row>
    <row r="1680" spans="35:35" x14ac:dyDescent="0.2">
      <c r="AI1680">
        <f t="shared" si="27"/>
        <v>0</v>
      </c>
    </row>
    <row r="1681" spans="35:35" x14ac:dyDescent="0.2">
      <c r="AI1681">
        <f t="shared" si="27"/>
        <v>0</v>
      </c>
    </row>
    <row r="1682" spans="35:35" x14ac:dyDescent="0.2">
      <c r="AI1682">
        <f t="shared" si="27"/>
        <v>0</v>
      </c>
    </row>
    <row r="1683" spans="35:35" x14ac:dyDescent="0.2">
      <c r="AI1683">
        <f t="shared" si="27"/>
        <v>0</v>
      </c>
    </row>
    <row r="1684" spans="35:35" x14ac:dyDescent="0.2">
      <c r="AI1684">
        <f t="shared" si="27"/>
        <v>0</v>
      </c>
    </row>
    <row r="1685" spans="35:35" x14ac:dyDescent="0.2">
      <c r="AI1685">
        <f t="shared" si="27"/>
        <v>0</v>
      </c>
    </row>
    <row r="1686" spans="35:35" x14ac:dyDescent="0.2">
      <c r="AI1686">
        <f t="shared" si="27"/>
        <v>0</v>
      </c>
    </row>
    <row r="1687" spans="35:35" x14ac:dyDescent="0.2">
      <c r="AI1687">
        <f t="shared" si="27"/>
        <v>0</v>
      </c>
    </row>
    <row r="1688" spans="35:35" x14ac:dyDescent="0.2">
      <c r="AI1688">
        <f t="shared" si="27"/>
        <v>0</v>
      </c>
    </row>
    <row r="1689" spans="35:35" x14ac:dyDescent="0.2">
      <c r="AI1689">
        <f t="shared" si="27"/>
        <v>0</v>
      </c>
    </row>
    <row r="1690" spans="35:35" x14ac:dyDescent="0.2">
      <c r="AI1690">
        <f t="shared" si="27"/>
        <v>0</v>
      </c>
    </row>
    <row r="1691" spans="35:35" x14ac:dyDescent="0.2">
      <c r="AI1691">
        <f t="shared" si="27"/>
        <v>0</v>
      </c>
    </row>
    <row r="1692" spans="35:35" x14ac:dyDescent="0.2">
      <c r="AI1692">
        <f t="shared" si="27"/>
        <v>0</v>
      </c>
    </row>
    <row r="1693" spans="35:35" x14ac:dyDescent="0.2">
      <c r="AI1693">
        <f t="shared" si="27"/>
        <v>0</v>
      </c>
    </row>
    <row r="1694" spans="35:35" x14ac:dyDescent="0.2">
      <c r="AI1694">
        <f t="shared" si="27"/>
        <v>0</v>
      </c>
    </row>
    <row r="1695" spans="35:35" x14ac:dyDescent="0.2">
      <c r="AI1695">
        <f t="shared" si="27"/>
        <v>0</v>
      </c>
    </row>
    <row r="1696" spans="35:35" x14ac:dyDescent="0.2">
      <c r="AI1696">
        <f t="shared" si="27"/>
        <v>0</v>
      </c>
    </row>
    <row r="1697" spans="35:35" x14ac:dyDescent="0.2">
      <c r="AI1697">
        <f t="shared" si="27"/>
        <v>0</v>
      </c>
    </row>
    <row r="1698" spans="35:35" x14ac:dyDescent="0.2">
      <c r="AI1698">
        <f t="shared" si="27"/>
        <v>0</v>
      </c>
    </row>
    <row r="1699" spans="35:35" x14ac:dyDescent="0.2">
      <c r="AI1699">
        <f t="shared" si="27"/>
        <v>0</v>
      </c>
    </row>
    <row r="1700" spans="35:35" x14ac:dyDescent="0.2">
      <c r="AI1700">
        <f t="shared" si="27"/>
        <v>0</v>
      </c>
    </row>
    <row r="1701" spans="35:35" x14ac:dyDescent="0.2">
      <c r="AI1701">
        <f t="shared" si="27"/>
        <v>0</v>
      </c>
    </row>
    <row r="1702" spans="35:35" x14ac:dyDescent="0.2">
      <c r="AI1702">
        <f t="shared" si="27"/>
        <v>0</v>
      </c>
    </row>
    <row r="1703" spans="35:35" x14ac:dyDescent="0.2">
      <c r="AI1703">
        <f t="shared" si="27"/>
        <v>0</v>
      </c>
    </row>
    <row r="1704" spans="35:35" x14ac:dyDescent="0.2">
      <c r="AI1704">
        <f t="shared" si="27"/>
        <v>0</v>
      </c>
    </row>
    <row r="1705" spans="35:35" x14ac:dyDescent="0.2">
      <c r="AI1705">
        <f t="shared" si="27"/>
        <v>0</v>
      </c>
    </row>
    <row r="1706" spans="35:35" x14ac:dyDescent="0.2">
      <c r="AI1706">
        <f t="shared" si="27"/>
        <v>0</v>
      </c>
    </row>
    <row r="1707" spans="35:35" x14ac:dyDescent="0.2">
      <c r="AI1707">
        <f t="shared" si="27"/>
        <v>0</v>
      </c>
    </row>
    <row r="1708" spans="35:35" x14ac:dyDescent="0.2">
      <c r="AI1708">
        <f t="shared" si="27"/>
        <v>0</v>
      </c>
    </row>
    <row r="1709" spans="35:35" x14ac:dyDescent="0.2">
      <c r="AI1709">
        <f t="shared" si="27"/>
        <v>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57FC7-26CC-864F-9703-94E9530CB949}">
  <dimension ref="A1:I20"/>
  <sheetViews>
    <sheetView workbookViewId="0">
      <selection activeCell="C4" sqref="C4"/>
    </sheetView>
  </sheetViews>
  <sheetFormatPr baseColWidth="10" defaultRowHeight="15" x14ac:dyDescent="0.2"/>
  <cols>
    <col min="1" max="1" width="11.1640625" bestFit="1" customWidth="1"/>
    <col min="2" max="2" width="7.5" bestFit="1" customWidth="1"/>
    <col min="3" max="3" width="14.5" bestFit="1" customWidth="1"/>
    <col min="4" max="4" width="7" bestFit="1" customWidth="1"/>
    <col min="5" max="7" width="10" customWidth="1"/>
    <col min="8" max="8" width="19" customWidth="1"/>
    <col min="9" max="9" width="10" customWidth="1"/>
    <col min="10" max="10" width="10" bestFit="1" customWidth="1"/>
  </cols>
  <sheetData>
    <row r="1" spans="1:9" x14ac:dyDescent="0.2">
      <c r="A1" s="14" t="s">
        <v>322</v>
      </c>
      <c r="B1" t="s">
        <v>2</v>
      </c>
      <c r="G1" t="s">
        <v>279</v>
      </c>
    </row>
    <row r="2" spans="1:9" ht="48" x14ac:dyDescent="0.2">
      <c r="G2" s="18" t="s">
        <v>304</v>
      </c>
      <c r="H2" s="18" t="s">
        <v>303</v>
      </c>
      <c r="I2" s="18" t="s">
        <v>281</v>
      </c>
    </row>
    <row r="3" spans="1:9" x14ac:dyDescent="0.2">
      <c r="A3" t="s">
        <v>274</v>
      </c>
      <c r="G3">
        <v>1</v>
      </c>
      <c r="H3">
        <f t="shared" ref="H3:H18" si="0">COUNTIF($E$20:$E$1724, $G3)</f>
        <v>0</v>
      </c>
      <c r="I3" s="17">
        <f>H3/H19</f>
        <v>0</v>
      </c>
    </row>
    <row r="4" spans="1:9" x14ac:dyDescent="0.2">
      <c r="A4" s="33">
        <v>4956</v>
      </c>
      <c r="C4" s="17" t="e">
        <f>GETPIVOTDATA("text",$A$3,"Region (Description)","Audit")/GETPIVOTDATA("text",$A$3)</f>
        <v>#REF!</v>
      </c>
      <c r="G4">
        <v>2</v>
      </c>
      <c r="H4">
        <f t="shared" si="0"/>
        <v>0</v>
      </c>
      <c r="I4" s="17">
        <f>H4/H19</f>
        <v>0</v>
      </c>
    </row>
    <row r="5" spans="1:9" x14ac:dyDescent="0.2">
      <c r="C5" s="17" t="e">
        <f>GETPIVOTDATA("text",$A$3,"Region (Description)","Chief Operating Office")/GETPIVOTDATA("text",$A$3)</f>
        <v>#REF!</v>
      </c>
      <c r="G5">
        <v>3</v>
      </c>
      <c r="H5">
        <f t="shared" si="0"/>
        <v>0</v>
      </c>
      <c r="I5" s="17">
        <f>H5/H19</f>
        <v>0</v>
      </c>
    </row>
    <row r="6" spans="1:9" x14ac:dyDescent="0.2">
      <c r="C6" s="17" t="e">
        <f>GETPIVOTDATA("text",$A$3,"Region (Description)","Customer Brand and Engagement")/GETPIVOTDATA("text",$A$3)</f>
        <v>#REF!</v>
      </c>
      <c r="G6">
        <v>4</v>
      </c>
      <c r="H6">
        <f t="shared" si="0"/>
        <v>0</v>
      </c>
      <c r="I6" s="17">
        <f>H6/H19</f>
        <v>0</v>
      </c>
    </row>
    <row r="7" spans="1:9" x14ac:dyDescent="0.2">
      <c r="C7" s="17" t="e">
        <f>GETPIVOTDATA("text",$A$3,"Region (Description)","Finance")/GETPIVOTDATA("text",$A$3)</f>
        <v>#REF!</v>
      </c>
      <c r="G7">
        <v>5</v>
      </c>
      <c r="H7">
        <f t="shared" si="0"/>
        <v>0</v>
      </c>
      <c r="I7" s="17">
        <f>H7/H19</f>
        <v>0</v>
      </c>
    </row>
    <row r="8" spans="1:9" x14ac:dyDescent="0.2">
      <c r="C8" s="17" t="e">
        <f>GETPIVOTDATA("text",$A$3,"Region (Description)","Legal &amp; Secretariat")/GETPIVOTDATA("text",$A$3)</f>
        <v>#REF!</v>
      </c>
      <c r="G8">
        <v>6</v>
      </c>
      <c r="H8">
        <f t="shared" si="0"/>
        <v>0</v>
      </c>
      <c r="I8" s="17">
        <f>H8/H19</f>
        <v>0</v>
      </c>
    </row>
    <row r="9" spans="1:9" x14ac:dyDescent="0.2">
      <c r="C9" s="17" t="e">
        <f>GETPIVOTDATA("text",$A$3,"Region (Description)","M&amp;FW Central")/GETPIVOTDATA("text",$A$3)</f>
        <v>#REF!</v>
      </c>
      <c r="G9">
        <v>7</v>
      </c>
      <c r="H9">
        <f t="shared" si="0"/>
        <v>0</v>
      </c>
      <c r="I9" s="17">
        <f>H9/H19</f>
        <v>0</v>
      </c>
    </row>
    <row r="10" spans="1:9" x14ac:dyDescent="0.2">
      <c r="C10" s="17" t="e">
        <f>GETPIVOTDATA("text",$A$3,"Region (Description)","People")/GETPIVOTDATA("text",$A$3)</f>
        <v>#REF!</v>
      </c>
      <c r="G10">
        <v>8</v>
      </c>
      <c r="H10">
        <f t="shared" si="0"/>
        <v>0</v>
      </c>
      <c r="I10" s="17">
        <f>H10/H19</f>
        <v>0</v>
      </c>
    </row>
    <row r="11" spans="1:9" x14ac:dyDescent="0.2">
      <c r="C11" s="17" t="e">
        <f>GETPIVOTDATA("text",$A$3,"Region (Description)","Retail")/GETPIVOTDATA("text",$A$3)</f>
        <v>#REF!</v>
      </c>
      <c r="G11">
        <v>9</v>
      </c>
      <c r="H11">
        <f t="shared" si="0"/>
        <v>0</v>
      </c>
      <c r="I11" s="17">
        <f>H11/H19</f>
        <v>0</v>
      </c>
    </row>
    <row r="12" spans="1:9" x14ac:dyDescent="0.2">
      <c r="C12" s="17" t="e">
        <f>GETPIVOTDATA("text",$A$3,"Region (Description)","Risk")/GETPIVOTDATA("text",$A$3)</f>
        <v>#REF!</v>
      </c>
      <c r="G12">
        <v>10</v>
      </c>
      <c r="H12">
        <f t="shared" si="0"/>
        <v>0</v>
      </c>
      <c r="I12" s="17">
        <f>H12/H19</f>
        <v>0</v>
      </c>
    </row>
    <row r="13" spans="1:9" x14ac:dyDescent="0.2">
      <c r="C13" s="17" t="e">
        <f>SUM(C4:C12)</f>
        <v>#REF!</v>
      </c>
      <c r="G13">
        <v>11</v>
      </c>
      <c r="H13">
        <f t="shared" si="0"/>
        <v>0</v>
      </c>
      <c r="I13" s="17">
        <f>H13/H19</f>
        <v>0</v>
      </c>
    </row>
    <row r="14" spans="1:9" x14ac:dyDescent="0.2">
      <c r="G14">
        <v>12</v>
      </c>
      <c r="H14">
        <f t="shared" si="0"/>
        <v>0</v>
      </c>
      <c r="I14" s="17">
        <f>H14/H19</f>
        <v>0</v>
      </c>
    </row>
    <row r="15" spans="1:9" x14ac:dyDescent="0.2">
      <c r="G15">
        <v>13</v>
      </c>
      <c r="H15">
        <f t="shared" si="0"/>
        <v>0</v>
      </c>
      <c r="I15" s="17">
        <f>H15/H19</f>
        <v>0</v>
      </c>
    </row>
    <row r="16" spans="1:9" x14ac:dyDescent="0.2">
      <c r="A16" s="14" t="s">
        <v>322</v>
      </c>
      <c r="B16" t="s">
        <v>2</v>
      </c>
      <c r="C16">
        <f>COUNTA(A19:A1723)</f>
        <v>1</v>
      </c>
      <c r="G16">
        <v>14</v>
      </c>
      <c r="H16">
        <f t="shared" si="0"/>
        <v>0</v>
      </c>
      <c r="I16" s="17">
        <f>H16/H19</f>
        <v>0</v>
      </c>
    </row>
    <row r="17" spans="1:9" x14ac:dyDescent="0.2">
      <c r="G17">
        <v>15</v>
      </c>
      <c r="H17">
        <f t="shared" si="0"/>
        <v>0</v>
      </c>
      <c r="I17" s="17">
        <f>H17/H19</f>
        <v>0</v>
      </c>
    </row>
    <row r="18" spans="1:9" x14ac:dyDescent="0.2">
      <c r="B18" s="14" t="s">
        <v>278</v>
      </c>
      <c r="G18" t="s">
        <v>282</v>
      </c>
      <c r="H18">
        <f t="shared" si="0"/>
        <v>1</v>
      </c>
      <c r="I18" s="17">
        <f>H18/H19</f>
        <v>1</v>
      </c>
    </row>
    <row r="19" spans="1:9" ht="29" customHeight="1" x14ac:dyDescent="0.2">
      <c r="B19" t="s">
        <v>275</v>
      </c>
      <c r="C19" t="s">
        <v>276</v>
      </c>
      <c r="D19" t="s">
        <v>277</v>
      </c>
      <c r="E19" t="s">
        <v>273</v>
      </c>
      <c r="H19">
        <f>SUM(H3:H18)</f>
        <v>1</v>
      </c>
      <c r="I19" s="17">
        <f>SUM(I3:I18)</f>
        <v>1</v>
      </c>
    </row>
    <row r="20" spans="1:9" x14ac:dyDescent="0.2">
      <c r="A20" t="s">
        <v>274</v>
      </c>
      <c r="B20" s="33">
        <v>1295</v>
      </c>
      <c r="C20" s="33">
        <v>250</v>
      </c>
      <c r="D20" s="33">
        <v>3411</v>
      </c>
      <c r="E20" s="33">
        <v>4956</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075FB-BB16-7648-AFA7-CA02F995F19B}">
  <dimension ref="A1:M43"/>
  <sheetViews>
    <sheetView workbookViewId="0">
      <selection activeCell="I45" sqref="I45"/>
    </sheetView>
  </sheetViews>
  <sheetFormatPr baseColWidth="10" defaultRowHeight="15" x14ac:dyDescent="0.2"/>
  <cols>
    <col min="1" max="1" width="12.1640625" bestFit="1" customWidth="1"/>
    <col min="2" max="2" width="14.83203125" bestFit="1" customWidth="1"/>
    <col min="3" max="3" width="14.5" bestFit="1" customWidth="1"/>
    <col min="4" max="4" width="7" bestFit="1" customWidth="1"/>
    <col min="5" max="5" width="10" bestFit="1" customWidth="1"/>
    <col min="9" max="9" width="24.1640625" customWidth="1"/>
  </cols>
  <sheetData>
    <row r="1" spans="1:13" x14ac:dyDescent="0.2">
      <c r="A1" s="14" t="s">
        <v>322</v>
      </c>
      <c r="B1" t="s">
        <v>2</v>
      </c>
    </row>
    <row r="3" spans="1:13" x14ac:dyDescent="0.2">
      <c r="A3" s="14" t="s">
        <v>274</v>
      </c>
      <c r="B3" s="14" t="s">
        <v>278</v>
      </c>
    </row>
    <row r="4" spans="1:13" x14ac:dyDescent="0.2">
      <c r="A4" s="14" t="s">
        <v>272</v>
      </c>
      <c r="B4" t="s">
        <v>275</v>
      </c>
      <c r="C4" t="s">
        <v>276</v>
      </c>
      <c r="D4" t="s">
        <v>277</v>
      </c>
      <c r="E4" t="s">
        <v>273</v>
      </c>
      <c r="F4" s="13" t="s">
        <v>290</v>
      </c>
      <c r="G4" s="13" t="s">
        <v>297</v>
      </c>
      <c r="I4" s="13" t="s">
        <v>289</v>
      </c>
      <c r="J4" s="13" t="s">
        <v>277</v>
      </c>
      <c r="K4" s="13" t="s">
        <v>276</v>
      </c>
      <c r="L4" s="13" t="s">
        <v>275</v>
      </c>
      <c r="M4" s="13" t="s">
        <v>290</v>
      </c>
    </row>
    <row r="5" spans="1:13" x14ac:dyDescent="0.2">
      <c r="A5" s="16" t="s">
        <v>329</v>
      </c>
      <c r="B5" s="33">
        <v>249</v>
      </c>
      <c r="C5" s="33">
        <v>37</v>
      </c>
      <c r="D5" s="33">
        <v>530</v>
      </c>
      <c r="E5" s="33">
        <v>816</v>
      </c>
      <c r="F5" s="20">
        <f>GETPIVOTDATA("text",$A$3,"What","Failure","Usage Intent","Abs Q")/GETPIVOTDATA("text",$A$3,"Usage Intent","Abs Q")</f>
        <v>0.30514705882352944</v>
      </c>
      <c r="G5" s="20">
        <f>SUM(1-F5)</f>
        <v>0.69485294117647056</v>
      </c>
      <c r="I5" t="s">
        <v>329</v>
      </c>
      <c r="J5">
        <v>530</v>
      </c>
      <c r="K5">
        <v>37</v>
      </c>
      <c r="L5">
        <v>249</v>
      </c>
      <c r="M5" s="17">
        <v>0.30514705882352944</v>
      </c>
    </row>
    <row r="6" spans="1:13" x14ac:dyDescent="0.2">
      <c r="A6" s="16" t="s">
        <v>242</v>
      </c>
      <c r="B6" s="33">
        <v>170</v>
      </c>
      <c r="C6" s="33">
        <v>21</v>
      </c>
      <c r="D6" s="33">
        <v>487</v>
      </c>
      <c r="E6" s="33">
        <v>678</v>
      </c>
      <c r="F6" s="20">
        <f>GETPIVOTDATA("text",$A$3,"What","Failure","Usage Intent","Abs")/GETPIVOTDATA("text",$A$3,"Usage Intent","Abs")</f>
        <v>0.25073746312684364</v>
      </c>
      <c r="G6" s="20">
        <f t="shared" ref="G6:G39" si="0">SUM(1-F6)</f>
        <v>0.74926253687315636</v>
      </c>
      <c r="I6" t="s">
        <v>331</v>
      </c>
      <c r="J6">
        <v>487</v>
      </c>
      <c r="K6">
        <v>21</v>
      </c>
      <c r="L6">
        <v>170</v>
      </c>
      <c r="M6" s="17">
        <v>0.25073746312684364</v>
      </c>
    </row>
    <row r="7" spans="1:13" x14ac:dyDescent="0.2">
      <c r="A7" s="16" t="s">
        <v>239</v>
      </c>
      <c r="B7" s="33">
        <v>20</v>
      </c>
      <c r="C7" s="33">
        <v>1</v>
      </c>
      <c r="D7" s="33">
        <v>544</v>
      </c>
      <c r="E7" s="33">
        <v>565</v>
      </c>
      <c r="F7" s="20">
        <f>GETPIVOTDATA("text",$A$3,"What","Failure","Usage Intent","SR")/GETPIVOTDATA("text",$A$3,"Usage Intent","SR")</f>
        <v>3.5398230088495575E-2</v>
      </c>
      <c r="G7" s="20">
        <f t="shared" si="0"/>
        <v>0.96460176991150437</v>
      </c>
      <c r="I7" t="s">
        <v>332</v>
      </c>
      <c r="J7">
        <v>544</v>
      </c>
      <c r="K7">
        <v>1</v>
      </c>
      <c r="L7">
        <v>20</v>
      </c>
      <c r="M7" s="17">
        <v>3.5398230088495575E-2</v>
      </c>
    </row>
    <row r="8" spans="1:13" x14ac:dyDescent="0.2">
      <c r="A8" s="16" t="s">
        <v>243</v>
      </c>
      <c r="B8" s="33">
        <v>64</v>
      </c>
      <c r="C8" s="33">
        <v>6</v>
      </c>
      <c r="D8" s="33">
        <v>443</v>
      </c>
      <c r="E8" s="33">
        <v>513</v>
      </c>
      <c r="F8" s="20">
        <f>GETPIVOTDATA("text",$A$3,"What","Failure","Usage Intent","Knowledge")/GETPIVOTDATA("text",$A$3,"Usage Intent","Knowledge")</f>
        <v>0.12475633528265107</v>
      </c>
      <c r="G8" s="20">
        <f t="shared" si="0"/>
        <v>0.87524366471734893</v>
      </c>
      <c r="I8" t="s">
        <v>243</v>
      </c>
      <c r="J8">
        <v>443</v>
      </c>
      <c r="K8">
        <v>6</v>
      </c>
      <c r="L8">
        <v>64</v>
      </c>
      <c r="M8" s="17">
        <v>0.12475633528265107</v>
      </c>
    </row>
    <row r="9" spans="1:13" x14ac:dyDescent="0.2">
      <c r="A9" s="16" t="s">
        <v>240</v>
      </c>
      <c r="B9" s="33">
        <v>124</v>
      </c>
      <c r="C9" s="33">
        <v>23</v>
      </c>
      <c r="D9" s="33">
        <v>152</v>
      </c>
      <c r="E9" s="33">
        <v>299</v>
      </c>
      <c r="F9" s="20">
        <f>GETPIVOTDATA("text",$A$3,"What","Failure","Usage Intent","Pay Q")/GETPIVOTDATA("text",$A$3,"Usage Intent","Pay Q")</f>
        <v>0.41471571906354515</v>
      </c>
      <c r="G9" s="20">
        <f t="shared" si="0"/>
        <v>0.5852842809364549</v>
      </c>
      <c r="I9" t="s">
        <v>461</v>
      </c>
      <c r="J9">
        <v>152</v>
      </c>
      <c r="K9">
        <v>23</v>
      </c>
      <c r="L9">
        <v>124</v>
      </c>
      <c r="M9" s="17">
        <v>0.41471571906354515</v>
      </c>
    </row>
    <row r="10" spans="1:13" x14ac:dyDescent="0.2">
      <c r="A10" s="16" t="s">
        <v>25</v>
      </c>
      <c r="B10" s="33">
        <v>157</v>
      </c>
      <c r="C10" s="33">
        <v>39</v>
      </c>
      <c r="D10" s="33">
        <v>93</v>
      </c>
      <c r="E10" s="33">
        <v>289</v>
      </c>
      <c r="F10" s="20">
        <f>GETPIVOTDATA("text",$A$3,"What","Failure","Usage Intent","Help")/GETPIVOTDATA("text",$A$3,"Usage Intent","Help")</f>
        <v>0.54325259515570934</v>
      </c>
      <c r="G10" s="20">
        <f t="shared" si="0"/>
        <v>0.45674740484429066</v>
      </c>
      <c r="I10" t="s">
        <v>25</v>
      </c>
      <c r="J10">
        <v>93</v>
      </c>
      <c r="K10">
        <v>39</v>
      </c>
      <c r="L10">
        <v>157</v>
      </c>
      <c r="M10" s="17">
        <v>0.54325259515570934</v>
      </c>
    </row>
    <row r="11" spans="1:13" x14ac:dyDescent="0.2">
      <c r="A11" s="16" t="s">
        <v>241</v>
      </c>
      <c r="B11" s="33">
        <v>40</v>
      </c>
      <c r="C11" s="33">
        <v>13</v>
      </c>
      <c r="D11" s="33">
        <v>175</v>
      </c>
      <c r="E11" s="33">
        <v>228</v>
      </c>
      <c r="F11" s="20">
        <f>GETPIVOTDATA("text",$A$3,"What","Failure","Usage Intent","Quit")/GETPIVOTDATA("text",$A$3,"Usage Intent","Quit")</f>
        <v>0.17543859649122806</v>
      </c>
      <c r="G11" s="20">
        <f t="shared" si="0"/>
        <v>0.82456140350877194</v>
      </c>
      <c r="I11" t="s">
        <v>340</v>
      </c>
      <c r="J11">
        <v>175</v>
      </c>
      <c r="K11">
        <v>13</v>
      </c>
      <c r="L11">
        <v>40</v>
      </c>
      <c r="M11" s="17">
        <v>0.17543859649122806</v>
      </c>
    </row>
    <row r="12" spans="1:13" x14ac:dyDescent="0.2">
      <c r="A12" s="16" t="s">
        <v>256</v>
      </c>
      <c r="B12" s="33">
        <v>66</v>
      </c>
      <c r="C12" s="33">
        <v>13</v>
      </c>
      <c r="D12" s="33">
        <v>130</v>
      </c>
      <c r="E12" s="33">
        <v>209</v>
      </c>
      <c r="F12" s="20">
        <f>GETPIVOTDATA("text",$A$3,"What","Failure","Usage Intent","FlexWorking")/GETPIVOTDATA("text",$A$3,"Usage Intent","FlexWorking")</f>
        <v>0.31578947368421051</v>
      </c>
      <c r="G12" s="20">
        <f t="shared" si="0"/>
        <v>0.68421052631578949</v>
      </c>
      <c r="I12" t="s">
        <v>335</v>
      </c>
      <c r="J12">
        <v>130</v>
      </c>
      <c r="K12">
        <v>13</v>
      </c>
      <c r="L12">
        <v>66</v>
      </c>
      <c r="M12" s="17">
        <v>0.31578947368421051</v>
      </c>
    </row>
    <row r="13" spans="1:13" x14ac:dyDescent="0.2">
      <c r="A13" s="16" t="s">
        <v>244</v>
      </c>
      <c r="B13" s="33">
        <v>50</v>
      </c>
      <c r="C13" s="33">
        <v>4</v>
      </c>
      <c r="D13" s="33">
        <v>99</v>
      </c>
      <c r="E13" s="33">
        <v>153</v>
      </c>
      <c r="F13" s="20">
        <f>GETPIVOTDATA("text",$A$3,"What","Failure","Usage Intent","Emp Info")/GETPIVOTDATA("text",$A$3,"Usage Intent","Emp Info")</f>
        <v>0.32679738562091504</v>
      </c>
      <c r="G13" s="20">
        <f t="shared" si="0"/>
        <v>0.67320261437908502</v>
      </c>
      <c r="I13" t="s">
        <v>339</v>
      </c>
      <c r="J13">
        <v>99</v>
      </c>
      <c r="K13">
        <v>4</v>
      </c>
      <c r="L13">
        <v>50</v>
      </c>
      <c r="M13" s="17">
        <v>0.32679738562091504</v>
      </c>
    </row>
    <row r="14" spans="1:13" x14ac:dyDescent="0.2">
      <c r="A14" s="16" t="s">
        <v>249</v>
      </c>
      <c r="B14" s="33">
        <v>54</v>
      </c>
      <c r="C14" s="33">
        <v>8</v>
      </c>
      <c r="D14" s="33">
        <v>71</v>
      </c>
      <c r="E14" s="33">
        <v>133</v>
      </c>
      <c r="F14" s="20">
        <f>GETPIVOTDATA("text",$A$3,"What","Failure","Usage Intent","Benefits")/GETPIVOTDATA("text",$A$3,"Usage Intent","Benefits")</f>
        <v>0.40601503759398494</v>
      </c>
      <c r="G14" s="20">
        <f t="shared" si="0"/>
        <v>0.59398496240601506</v>
      </c>
      <c r="I14" t="s">
        <v>249</v>
      </c>
      <c r="J14">
        <v>71</v>
      </c>
      <c r="K14">
        <v>8</v>
      </c>
      <c r="L14">
        <v>54</v>
      </c>
      <c r="M14" s="17">
        <v>0.40601503759398494</v>
      </c>
    </row>
    <row r="15" spans="1:13" x14ac:dyDescent="0.2">
      <c r="A15" s="16" t="s">
        <v>253</v>
      </c>
      <c r="B15" s="33">
        <v>22</v>
      </c>
      <c r="C15" s="33">
        <v>7</v>
      </c>
      <c r="D15" s="33">
        <v>100</v>
      </c>
      <c r="E15" s="33">
        <v>129</v>
      </c>
      <c r="F15" s="20">
        <f>GETPIVOTDATA("text",$A$3,"What","Failure","Usage Intent","Payslip")/GETPIVOTDATA("text",$A$3,"Usage Intent","Payslip")</f>
        <v>0.17054263565891473</v>
      </c>
      <c r="G15" s="20">
        <f t="shared" si="0"/>
        <v>0.8294573643410853</v>
      </c>
      <c r="I15" t="s">
        <v>253</v>
      </c>
      <c r="J15">
        <v>100</v>
      </c>
      <c r="K15">
        <v>7</v>
      </c>
      <c r="L15">
        <v>22</v>
      </c>
      <c r="M15" s="17">
        <v>0.17054263565891473</v>
      </c>
    </row>
    <row r="16" spans="1:13" x14ac:dyDescent="0.2">
      <c r="A16" s="16" t="s">
        <v>246</v>
      </c>
      <c r="B16" s="33">
        <v>29</v>
      </c>
      <c r="C16" s="33">
        <v>20</v>
      </c>
      <c r="D16" s="33">
        <v>80</v>
      </c>
      <c r="E16" s="33">
        <v>129</v>
      </c>
      <c r="F16" s="20">
        <f>GETPIVOTDATA("text",$A$3,"What","Failure","Usage Intent","Taxes")/GETPIVOTDATA("text",$A$3,"Usage Intent","Taxes")</f>
        <v>0.22480620155038761</v>
      </c>
      <c r="G16" s="20">
        <f t="shared" si="0"/>
        <v>0.77519379844961245</v>
      </c>
      <c r="I16" t="s">
        <v>246</v>
      </c>
      <c r="J16">
        <v>80</v>
      </c>
      <c r="K16">
        <v>20</v>
      </c>
      <c r="L16">
        <v>29</v>
      </c>
      <c r="M16" s="17">
        <v>0.22480620155038761</v>
      </c>
    </row>
    <row r="17" spans="1:13" x14ac:dyDescent="0.2">
      <c r="A17" s="16" t="s">
        <v>238</v>
      </c>
      <c r="B17" s="33">
        <v>67</v>
      </c>
      <c r="C17" s="33">
        <v>17</v>
      </c>
      <c r="D17" s="33">
        <v>44</v>
      </c>
      <c r="E17" s="33">
        <v>128</v>
      </c>
      <c r="F17" s="20">
        <f>GETPIVOTDATA("text",$A$3,"What","Failure","Usage Intent","MSS")/GETPIVOTDATA("text",$A$3,"Usage Intent","MSS")</f>
        <v>0.5234375</v>
      </c>
      <c r="G17" s="20">
        <f t="shared" si="0"/>
        <v>0.4765625</v>
      </c>
      <c r="I17" t="s">
        <v>336</v>
      </c>
      <c r="J17">
        <v>44</v>
      </c>
      <c r="K17">
        <v>17</v>
      </c>
      <c r="L17">
        <v>67</v>
      </c>
      <c r="M17" s="17">
        <v>0.5234375</v>
      </c>
    </row>
    <row r="18" spans="1:13" x14ac:dyDescent="0.2">
      <c r="A18" s="16" t="s">
        <v>264</v>
      </c>
      <c r="B18" s="33">
        <v>11</v>
      </c>
      <c r="C18" s="33">
        <v>6</v>
      </c>
      <c r="D18" s="33">
        <v>95</v>
      </c>
      <c r="E18" s="33">
        <v>112</v>
      </c>
      <c r="F18" s="20">
        <f>GETPIVOTDATA("text",$A$3,"What","Failure","Usage Intent","Wage")/GETPIVOTDATA("text",$A$3,"Usage Intent","Wage")</f>
        <v>9.8214285714285712E-2</v>
      </c>
      <c r="G18" s="20">
        <f t="shared" si="0"/>
        <v>0.9017857142857143</v>
      </c>
      <c r="I18" t="s">
        <v>264</v>
      </c>
      <c r="J18">
        <v>95</v>
      </c>
      <c r="K18">
        <v>6</v>
      </c>
      <c r="L18">
        <v>11</v>
      </c>
      <c r="M18" s="17">
        <v>9.8214285714285712E-2</v>
      </c>
    </row>
    <row r="19" spans="1:13" x14ac:dyDescent="0.2">
      <c r="A19" s="16" t="s">
        <v>259</v>
      </c>
      <c r="B19" s="33">
        <v>10</v>
      </c>
      <c r="C19" s="33">
        <v>1</v>
      </c>
      <c r="D19" s="33">
        <v>65</v>
      </c>
      <c r="E19" s="33">
        <v>76</v>
      </c>
      <c r="F19" s="20">
        <f>GETPIVOTDATA("text",$A$3,"What","Failure","Usage Intent","Worklist")/GETPIVOTDATA("text",$A$3,"Usage Intent","Worklist")</f>
        <v>0.13157894736842105</v>
      </c>
      <c r="G19" s="20">
        <f t="shared" si="0"/>
        <v>0.86842105263157898</v>
      </c>
      <c r="I19" t="s">
        <v>259</v>
      </c>
      <c r="J19">
        <v>65</v>
      </c>
      <c r="K19">
        <v>1</v>
      </c>
      <c r="L19">
        <v>10</v>
      </c>
      <c r="M19" s="17">
        <v>0.13157894736842105</v>
      </c>
    </row>
    <row r="20" spans="1:13" x14ac:dyDescent="0.2">
      <c r="A20" s="16" t="s">
        <v>248</v>
      </c>
      <c r="B20" s="33">
        <v>7</v>
      </c>
      <c r="C20" s="33">
        <v>2</v>
      </c>
      <c r="D20" s="33">
        <v>56</v>
      </c>
      <c r="E20" s="33">
        <v>65</v>
      </c>
      <c r="F20" s="20">
        <f>GETPIVOTDATA("text",$A$3,"What","Failure","Usage Intent","Letter")/GETPIVOTDATA("text",$A$3,"Usage Intent","Letter")</f>
        <v>0.1076923076923077</v>
      </c>
      <c r="G20" s="20">
        <f t="shared" si="0"/>
        <v>0.89230769230769225</v>
      </c>
      <c r="I20" t="s">
        <v>334</v>
      </c>
      <c r="J20">
        <v>56</v>
      </c>
      <c r="K20">
        <v>2</v>
      </c>
      <c r="L20">
        <v>7</v>
      </c>
      <c r="M20" s="17">
        <v>0.1076923076923077</v>
      </c>
    </row>
    <row r="21" spans="1:13" x14ac:dyDescent="0.2">
      <c r="A21" s="16" t="s">
        <v>245</v>
      </c>
      <c r="B21" s="33">
        <v>12</v>
      </c>
      <c r="C21" s="33"/>
      <c r="D21" s="33">
        <v>41</v>
      </c>
      <c r="E21" s="33">
        <v>53</v>
      </c>
      <c r="F21" s="20">
        <f>GETPIVOTDATA("text",$A$3,"What","Failure","Usage Intent","Personal Info")/GETPIVOTDATA("text",$A$3,"Usage Intent","Personal Info")</f>
        <v>0.22641509433962265</v>
      </c>
      <c r="G21" s="20">
        <f t="shared" si="0"/>
        <v>0.77358490566037741</v>
      </c>
      <c r="I21" t="s">
        <v>245</v>
      </c>
      <c r="J21">
        <v>41</v>
      </c>
      <c r="L21">
        <v>12</v>
      </c>
      <c r="M21" s="17">
        <v>0.22641509433962265</v>
      </c>
    </row>
    <row r="22" spans="1:13" x14ac:dyDescent="0.2">
      <c r="A22" s="16" t="s">
        <v>204</v>
      </c>
      <c r="B22" s="33">
        <v>11</v>
      </c>
      <c r="C22" s="33">
        <v>9</v>
      </c>
      <c r="D22" s="33">
        <v>27</v>
      </c>
      <c r="E22" s="33">
        <v>47</v>
      </c>
      <c r="F22" s="20">
        <f>GETPIVOTDATA("text",$A$3,"What","Failure","Usage Intent","Talent")/GETPIVOTDATA("text",$A$3,"Usage Intent","Talent")</f>
        <v>0.23404255319148937</v>
      </c>
      <c r="G22" s="20">
        <f t="shared" si="0"/>
        <v>0.76595744680851063</v>
      </c>
      <c r="I22" t="s">
        <v>204</v>
      </c>
      <c r="J22">
        <v>27</v>
      </c>
      <c r="K22">
        <v>9</v>
      </c>
      <c r="L22">
        <v>11</v>
      </c>
      <c r="M22" s="17">
        <v>0.23404255319148937</v>
      </c>
    </row>
    <row r="23" spans="1:13" x14ac:dyDescent="0.2">
      <c r="A23" s="16" t="s">
        <v>266</v>
      </c>
      <c r="B23" s="33">
        <v>17</v>
      </c>
      <c r="C23" s="33"/>
      <c r="D23" s="33">
        <v>26</v>
      </c>
      <c r="E23" s="33">
        <v>43</v>
      </c>
      <c r="F23" s="20">
        <f>GETPIVOTDATA("text",$A$3,"What","Failure","Usage Intent","Misc")/GETPIVOTDATA("text",$A$3,"Usage Intent","Misc")</f>
        <v>0.39534883720930231</v>
      </c>
      <c r="G23" s="20">
        <f t="shared" si="0"/>
        <v>0.60465116279069764</v>
      </c>
      <c r="I23" t="s">
        <v>266</v>
      </c>
      <c r="J23">
        <v>26</v>
      </c>
      <c r="L23">
        <v>17</v>
      </c>
      <c r="M23" s="17">
        <v>0.39534883720930231</v>
      </c>
    </row>
    <row r="24" spans="1:13" x14ac:dyDescent="0.2">
      <c r="A24" s="16" t="s">
        <v>263</v>
      </c>
      <c r="B24" s="33">
        <v>15</v>
      </c>
      <c r="C24" s="33">
        <v>7</v>
      </c>
      <c r="D24" s="33">
        <v>19</v>
      </c>
      <c r="E24" s="33">
        <v>41</v>
      </c>
      <c r="F24" s="20">
        <f>GETPIVOTDATA("text",$A$3,"What","Failure","Usage Intent","Dispute")/GETPIVOTDATA("text",$A$3,"Usage Intent","Dispute")</f>
        <v>0.36585365853658536</v>
      </c>
      <c r="G24" s="20">
        <f t="shared" si="0"/>
        <v>0.63414634146341464</v>
      </c>
      <c r="I24" t="s">
        <v>341</v>
      </c>
      <c r="J24">
        <v>19</v>
      </c>
      <c r="K24">
        <v>7</v>
      </c>
      <c r="L24">
        <v>15</v>
      </c>
      <c r="M24" s="17">
        <v>0.36585365853658536</v>
      </c>
    </row>
    <row r="25" spans="1:13" x14ac:dyDescent="0.2">
      <c r="A25" s="16" t="s">
        <v>257</v>
      </c>
      <c r="B25" s="33">
        <v>23</v>
      </c>
      <c r="C25" s="33">
        <v>3</v>
      </c>
      <c r="D25" s="33">
        <v>9</v>
      </c>
      <c r="E25" s="33">
        <v>35</v>
      </c>
      <c r="F25" s="20">
        <f>GETPIVOTDATA("text",$A$3,"What","Failure","Usage Intent","Expense")/GETPIVOTDATA("text",$A$3,"Usage Intent","Expense")</f>
        <v>0.65714285714285714</v>
      </c>
      <c r="G25" s="20">
        <f t="shared" si="0"/>
        <v>0.34285714285714286</v>
      </c>
      <c r="I25" t="s">
        <v>257</v>
      </c>
      <c r="J25">
        <v>9</v>
      </c>
      <c r="K25">
        <v>3</v>
      </c>
      <c r="L25">
        <v>23</v>
      </c>
      <c r="M25" s="17">
        <v>0.65714285714285714</v>
      </c>
    </row>
    <row r="26" spans="1:13" x14ac:dyDescent="0.2">
      <c r="A26" s="16" t="s">
        <v>250</v>
      </c>
      <c r="B26" s="33">
        <v>4</v>
      </c>
      <c r="C26" s="33">
        <v>2</v>
      </c>
      <c r="D26" s="33">
        <v>26</v>
      </c>
      <c r="E26" s="33">
        <v>32</v>
      </c>
      <c r="F26" s="20">
        <f>GETPIVOTDATA("text",$A$3,"What","Failure","Usage Intent","EAP")/GETPIVOTDATA("text",$A$3,"Usage Intent","EAP")</f>
        <v>0.125</v>
      </c>
      <c r="G26" s="20">
        <f t="shared" si="0"/>
        <v>0.875</v>
      </c>
      <c r="I26" t="s">
        <v>250</v>
      </c>
      <c r="J26">
        <v>26</v>
      </c>
      <c r="K26">
        <v>2</v>
      </c>
      <c r="L26">
        <v>4</v>
      </c>
      <c r="M26" s="17">
        <v>0.125</v>
      </c>
    </row>
    <row r="27" spans="1:13" x14ac:dyDescent="0.2">
      <c r="A27" s="16" t="s">
        <v>262</v>
      </c>
      <c r="B27" s="33">
        <v>11</v>
      </c>
      <c r="C27" s="33">
        <v>1</v>
      </c>
      <c r="D27" s="33">
        <v>16</v>
      </c>
      <c r="E27" s="33">
        <v>28</v>
      </c>
      <c r="F27" s="20">
        <f>GETPIVOTDATA("text",$A$3,"What","Failure","Usage Intent","Careers")/GETPIVOTDATA("text",$A$3,"Usage Intent","Careers")</f>
        <v>0.39285714285714285</v>
      </c>
      <c r="G27" s="20">
        <f t="shared" si="0"/>
        <v>0.60714285714285721</v>
      </c>
      <c r="I27" t="s">
        <v>262</v>
      </c>
      <c r="J27">
        <v>16</v>
      </c>
      <c r="K27">
        <v>1</v>
      </c>
      <c r="L27">
        <v>11</v>
      </c>
      <c r="M27" s="17">
        <v>0.39285714285714285</v>
      </c>
    </row>
    <row r="28" spans="1:13" x14ac:dyDescent="0.2">
      <c r="A28" s="16" t="s">
        <v>247</v>
      </c>
      <c r="B28" s="33">
        <v>11</v>
      </c>
      <c r="C28" s="33">
        <v>2</v>
      </c>
      <c r="D28" s="33">
        <v>12</v>
      </c>
      <c r="E28" s="33">
        <v>25</v>
      </c>
      <c r="F28" s="20">
        <f>GETPIVOTDATA("text",$A$3,"What","Failure","Usage Intent","Learn")/GETPIVOTDATA("text",$A$3,"Usage Intent","Learn")</f>
        <v>0.44</v>
      </c>
      <c r="G28" s="20">
        <f t="shared" si="0"/>
        <v>0.56000000000000005</v>
      </c>
      <c r="I28" t="s">
        <v>247</v>
      </c>
      <c r="J28">
        <v>12</v>
      </c>
      <c r="K28">
        <v>2</v>
      </c>
      <c r="L28">
        <v>11</v>
      </c>
      <c r="M28" s="17">
        <v>0.44</v>
      </c>
    </row>
    <row r="29" spans="1:13" x14ac:dyDescent="0.2">
      <c r="A29" s="16" t="s">
        <v>260</v>
      </c>
      <c r="B29" s="33">
        <v>6</v>
      </c>
      <c r="C29" s="33"/>
      <c r="D29" s="33">
        <v>12</v>
      </c>
      <c r="E29" s="33">
        <v>18</v>
      </c>
      <c r="F29" s="20">
        <f>GETPIVOTDATA("text",$A$3,"What","Failure","Usage Intent","JobEvaluation")/GETPIVOTDATA("text",$A$3,"Usage Intent","JobEvaluation")</f>
        <v>0.33333333333333331</v>
      </c>
      <c r="G29" s="20">
        <f t="shared" si="0"/>
        <v>0.66666666666666674</v>
      </c>
      <c r="I29" t="s">
        <v>337</v>
      </c>
      <c r="J29">
        <v>12</v>
      </c>
      <c r="L29">
        <v>6</v>
      </c>
      <c r="M29" s="17">
        <v>0.33333333333333331</v>
      </c>
    </row>
    <row r="30" spans="1:13" x14ac:dyDescent="0.2">
      <c r="A30" s="16" t="s">
        <v>255</v>
      </c>
      <c r="B30" s="33">
        <v>12</v>
      </c>
      <c r="C30" s="33">
        <v>2</v>
      </c>
      <c r="D30" s="33">
        <v>3</v>
      </c>
      <c r="E30" s="33">
        <v>17</v>
      </c>
      <c r="F30" s="20">
        <f>GETPIVOTDATA("text",$A$3,"What","Failure","Usage Intent","IT Support")/GETPIVOTDATA("text",$A$3,"Usage Intent","IT Support")</f>
        <v>0.70588235294117652</v>
      </c>
      <c r="G30" s="20">
        <f t="shared" si="0"/>
        <v>0.29411764705882348</v>
      </c>
      <c r="I30" t="s">
        <v>255</v>
      </c>
      <c r="J30">
        <v>3</v>
      </c>
      <c r="K30">
        <v>2</v>
      </c>
      <c r="L30">
        <v>12</v>
      </c>
      <c r="M30" s="17">
        <v>0.70588235294117652</v>
      </c>
    </row>
    <row r="31" spans="1:13" x14ac:dyDescent="0.2">
      <c r="A31" s="16" t="s">
        <v>265</v>
      </c>
      <c r="B31" s="33">
        <v>10</v>
      </c>
      <c r="C31" s="33">
        <v>3</v>
      </c>
      <c r="D31" s="33">
        <v>2</v>
      </c>
      <c r="E31" s="33">
        <v>15</v>
      </c>
      <c r="F31" s="20">
        <f>GETPIVOTDATA("text",$A$3,"What","Failure","Usage Intent","Checklist")/GETPIVOTDATA("text",$A$3,"Usage Intent","Checklist")</f>
        <v>0.66666666666666663</v>
      </c>
      <c r="G31" s="20">
        <f t="shared" si="0"/>
        <v>0.33333333333333337</v>
      </c>
      <c r="I31" t="s">
        <v>265</v>
      </c>
      <c r="J31">
        <v>2</v>
      </c>
      <c r="K31">
        <v>3</v>
      </c>
      <c r="L31">
        <v>10</v>
      </c>
      <c r="M31" s="17">
        <v>0.66666666666666663</v>
      </c>
    </row>
    <row r="32" spans="1:13" x14ac:dyDescent="0.2">
      <c r="A32" s="16" t="s">
        <v>261</v>
      </c>
      <c r="B32" s="33">
        <v>4</v>
      </c>
      <c r="C32" s="33"/>
      <c r="D32" s="33">
        <v>11</v>
      </c>
      <c r="E32" s="33">
        <v>15</v>
      </c>
      <c r="F32" s="20">
        <f>GETPIVOTDATA("text",$A$3,"What","Failure","Usage Intent","UX")/GETPIVOTDATA("text",$A$3,"Usage Intent","UX")</f>
        <v>0.26666666666666666</v>
      </c>
      <c r="G32" s="20">
        <f t="shared" si="0"/>
        <v>0.73333333333333339</v>
      </c>
      <c r="I32" t="s">
        <v>338</v>
      </c>
      <c r="J32">
        <v>11</v>
      </c>
      <c r="L32">
        <v>4</v>
      </c>
      <c r="M32" s="17">
        <v>0.26666666666666666</v>
      </c>
    </row>
    <row r="33" spans="1:13" x14ac:dyDescent="0.2">
      <c r="A33" s="16" t="s">
        <v>252</v>
      </c>
      <c r="B33" s="33">
        <v>5</v>
      </c>
      <c r="C33" s="33"/>
      <c r="D33" s="33">
        <v>10</v>
      </c>
      <c r="E33" s="33">
        <v>15</v>
      </c>
      <c r="F33" s="20">
        <f>GETPIVOTDATA("text",$A$3,"What","Failure","Usage Intent","Directory")/GETPIVOTDATA("text",$A$3,"Usage Intent","Directory")</f>
        <v>0.33333333333333331</v>
      </c>
      <c r="G33" s="20">
        <f t="shared" si="0"/>
        <v>0.66666666666666674</v>
      </c>
      <c r="I33" t="s">
        <v>252</v>
      </c>
      <c r="J33">
        <v>10</v>
      </c>
      <c r="L33">
        <v>5</v>
      </c>
      <c r="M33" s="17">
        <v>0.33333333333333331</v>
      </c>
    </row>
    <row r="34" spans="1:13" x14ac:dyDescent="0.2">
      <c r="A34" s="16" t="s">
        <v>251</v>
      </c>
      <c r="B34" s="33">
        <v>1</v>
      </c>
      <c r="C34" s="33"/>
      <c r="D34" s="33">
        <v>13</v>
      </c>
      <c r="E34" s="33">
        <v>14</v>
      </c>
      <c r="F34" s="20">
        <f>GETPIVOTDATA("text",$A$3,"What","Failure","Usage Intent","Bank")/GETPIVOTDATA("text",$A$3,"Usage Intent","Bank")</f>
        <v>7.1428571428571425E-2</v>
      </c>
      <c r="G34" s="20">
        <f t="shared" si="0"/>
        <v>0.9285714285714286</v>
      </c>
      <c r="I34" t="s">
        <v>333</v>
      </c>
      <c r="J34">
        <v>13</v>
      </c>
      <c r="L34">
        <v>1</v>
      </c>
      <c r="M34" s="17">
        <v>7.1428571428571425E-2</v>
      </c>
    </row>
    <row r="35" spans="1:13" x14ac:dyDescent="0.2">
      <c r="A35" s="16" t="s">
        <v>69</v>
      </c>
      <c r="B35" s="33">
        <v>2</v>
      </c>
      <c r="C35" s="33"/>
      <c r="D35" s="33">
        <v>9</v>
      </c>
      <c r="E35" s="33">
        <v>11</v>
      </c>
      <c r="F35" s="20">
        <f>GETPIVOTDATA("text",$A$3,"What","Failure","Usage Intent","Covid")/GETPIVOTDATA("text",$A$3,"Usage Intent","Covid")</f>
        <v>0.18181818181818182</v>
      </c>
      <c r="G35" s="20">
        <f t="shared" si="0"/>
        <v>0.81818181818181812</v>
      </c>
      <c r="I35" t="s">
        <v>69</v>
      </c>
      <c r="J35">
        <v>9</v>
      </c>
      <c r="L35">
        <v>2</v>
      </c>
      <c r="M35" s="17">
        <v>0.18181818181818182</v>
      </c>
    </row>
    <row r="36" spans="1:13" x14ac:dyDescent="0.2">
      <c r="A36" s="16" t="s">
        <v>270</v>
      </c>
      <c r="B36" s="33"/>
      <c r="C36" s="33">
        <v>1</v>
      </c>
      <c r="D36" s="33">
        <v>7</v>
      </c>
      <c r="E36" s="33">
        <v>8</v>
      </c>
      <c r="F36" s="20">
        <f>GETPIVOTDATA("text",$A$3,"What","Failure","Usage Intent","Grow")/GETPIVOTDATA("text",$A$3,"Usage Intent","Grow")</f>
        <v>0</v>
      </c>
      <c r="G36" s="22">
        <f t="shared" si="0"/>
        <v>1</v>
      </c>
      <c r="I36" t="s">
        <v>270</v>
      </c>
      <c r="J36">
        <v>7</v>
      </c>
      <c r="K36">
        <v>1</v>
      </c>
      <c r="M36" s="17">
        <v>0</v>
      </c>
    </row>
    <row r="37" spans="1:13" x14ac:dyDescent="0.2">
      <c r="A37" s="16" t="s">
        <v>267</v>
      </c>
      <c r="B37" s="33">
        <v>2</v>
      </c>
      <c r="C37" s="33">
        <v>2</v>
      </c>
      <c r="D37" s="33">
        <v>4</v>
      </c>
      <c r="E37" s="33">
        <v>8</v>
      </c>
      <c r="F37" s="20">
        <f>GETPIVOTDATA("text",$A$3,"What","Failure","Usage Intent","Hiring")/GETPIVOTDATA("text",$A$3,"Usage Intent","Hiring")</f>
        <v>0.25</v>
      </c>
      <c r="G37" s="20">
        <f t="shared" si="0"/>
        <v>0.75</v>
      </c>
      <c r="I37" t="s">
        <v>267</v>
      </c>
      <c r="J37">
        <v>4</v>
      </c>
      <c r="K37">
        <v>2</v>
      </c>
      <c r="L37">
        <v>2</v>
      </c>
      <c r="M37" s="17">
        <v>0.25</v>
      </c>
    </row>
    <row r="38" spans="1:13" x14ac:dyDescent="0.2">
      <c r="A38" s="16" t="s">
        <v>269</v>
      </c>
      <c r="B38" s="33">
        <v>6</v>
      </c>
      <c r="C38" s="33"/>
      <c r="D38" s="33"/>
      <c r="E38" s="33">
        <v>6</v>
      </c>
      <c r="F38" s="21">
        <f>GETPIVOTDATA("text",$A$3,"What","Failure","Usage Intent","Qstory")/GETPIVOTDATA("text",$A$3,"Usage Intent","Qstory")</f>
        <v>1</v>
      </c>
      <c r="G38" s="20">
        <f t="shared" si="0"/>
        <v>0</v>
      </c>
      <c r="I38" t="s">
        <v>463</v>
      </c>
      <c r="L38">
        <v>6</v>
      </c>
      <c r="M38" s="17">
        <v>1</v>
      </c>
    </row>
    <row r="39" spans="1:13" x14ac:dyDescent="0.2">
      <c r="A39" s="16" t="s">
        <v>268</v>
      </c>
      <c r="B39" s="33">
        <v>3</v>
      </c>
      <c r="C39" s="33"/>
      <c r="D39" s="33"/>
      <c r="E39" s="33">
        <v>3</v>
      </c>
      <c r="F39" s="21">
        <f>GETPIVOTDATA("text",$A$3,"What","Failure","Usage Intent","CSR")/GETPIVOTDATA("text",$A$3,"Usage Intent","CSR")</f>
        <v>1</v>
      </c>
      <c r="G39" s="20">
        <f t="shared" si="0"/>
        <v>0</v>
      </c>
      <c r="I39" t="s">
        <v>462</v>
      </c>
      <c r="L39">
        <v>3</v>
      </c>
      <c r="M39" s="17">
        <v>1</v>
      </c>
    </row>
    <row r="40" spans="1:13" x14ac:dyDescent="0.2">
      <c r="A40" s="16" t="s">
        <v>273</v>
      </c>
      <c r="B40" s="33">
        <v>1295</v>
      </c>
      <c r="C40" s="33">
        <v>250</v>
      </c>
      <c r="D40" s="33">
        <v>3411</v>
      </c>
      <c r="E40" s="33">
        <v>4956</v>
      </c>
      <c r="F40" s="20" t="s">
        <v>254</v>
      </c>
      <c r="G40" s="20" t="s">
        <v>254</v>
      </c>
      <c r="I40" t="s">
        <v>273</v>
      </c>
      <c r="J40">
        <f>SUM(J5:J39)</f>
        <v>3411</v>
      </c>
      <c r="K40">
        <f t="shared" ref="K40:L40" si="1">SUM(K5:K39)</f>
        <v>250</v>
      </c>
      <c r="L40">
        <f t="shared" si="1"/>
        <v>1295</v>
      </c>
      <c r="M40" t="s">
        <v>254</v>
      </c>
    </row>
    <row r="41" spans="1:13" x14ac:dyDescent="0.2">
      <c r="F41" s="20" t="s">
        <v>254</v>
      </c>
      <c r="G41" s="20" t="s">
        <v>254</v>
      </c>
    </row>
    <row r="42" spans="1:13" x14ac:dyDescent="0.2">
      <c r="F42" s="20"/>
    </row>
    <row r="43" spans="1:13" x14ac:dyDescent="0.2">
      <c r="B43" s="17">
        <f>GETPIVOTDATA("text",$A$3,"What","Failure")/GETPIVOTDATA("text",$A$3)</f>
        <v>0.26129943502824859</v>
      </c>
      <c r="C43" s="17">
        <f>GETPIVOTDATA("text",$A$3,"What","Qualified Success")/GETPIVOTDATA("text",$A$3)</f>
        <v>5.0443906376109765E-2</v>
      </c>
      <c r="D43" s="17">
        <f>GETPIVOTDATA("text",$A$3,"What","Success")/GETPIVOTDATA("text",$A$3)</f>
        <v>0.68825665859564167</v>
      </c>
      <c r="E43" s="17"/>
      <c r="F43" s="17"/>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39978-55C0-CF42-BAB2-73482B93E1CB}">
  <dimension ref="A1:C11"/>
  <sheetViews>
    <sheetView workbookViewId="0">
      <selection activeCell="A6" sqref="A6"/>
    </sheetView>
  </sheetViews>
  <sheetFormatPr baseColWidth="10" defaultRowHeight="15" x14ac:dyDescent="0.2"/>
  <cols>
    <col min="1" max="1" width="38.5" bestFit="1" customWidth="1"/>
    <col min="2" max="2" width="26.33203125" bestFit="1" customWidth="1"/>
  </cols>
  <sheetData>
    <row r="1" spans="1:3" x14ac:dyDescent="0.2">
      <c r="A1" s="14" t="s">
        <v>322</v>
      </c>
      <c r="B1" t="s">
        <v>2</v>
      </c>
    </row>
    <row r="2" spans="1:3" x14ac:dyDescent="0.2">
      <c r="A2" s="14" t="s">
        <v>231</v>
      </c>
      <c r="B2" t="s">
        <v>275</v>
      </c>
    </row>
    <row r="3" spans="1:3" x14ac:dyDescent="0.2">
      <c r="A3" s="14" t="s">
        <v>233</v>
      </c>
      <c r="B3" t="s">
        <v>291</v>
      </c>
    </row>
    <row r="5" spans="1:3" x14ac:dyDescent="0.2">
      <c r="A5" s="14" t="s">
        <v>272</v>
      </c>
      <c r="B5" t="s">
        <v>292</v>
      </c>
    </row>
    <row r="6" spans="1:3" x14ac:dyDescent="0.2">
      <c r="A6" s="16" t="s">
        <v>18</v>
      </c>
      <c r="B6" s="33">
        <v>150</v>
      </c>
      <c r="C6" s="17"/>
    </row>
    <row r="7" spans="1:3" x14ac:dyDescent="0.2">
      <c r="A7" s="16" t="s">
        <v>271</v>
      </c>
      <c r="B7" s="33">
        <v>1</v>
      </c>
      <c r="C7" s="17"/>
    </row>
    <row r="8" spans="1:3" x14ac:dyDescent="0.2">
      <c r="A8" s="16" t="s">
        <v>258</v>
      </c>
      <c r="B8" s="33">
        <v>12</v>
      </c>
      <c r="C8" s="17"/>
    </row>
    <row r="9" spans="1:3" x14ac:dyDescent="0.2">
      <c r="A9" s="16" t="s">
        <v>293</v>
      </c>
      <c r="B9" s="33">
        <v>1</v>
      </c>
      <c r="C9" s="17"/>
    </row>
    <row r="10" spans="1:3" x14ac:dyDescent="0.2">
      <c r="A10" s="16" t="s">
        <v>295</v>
      </c>
      <c r="B10" s="33">
        <v>4</v>
      </c>
      <c r="C10" s="17"/>
    </row>
    <row r="11" spans="1:3" x14ac:dyDescent="0.2">
      <c r="A11" s="16" t="s">
        <v>273</v>
      </c>
      <c r="B11" s="33">
        <v>168</v>
      </c>
      <c r="C11" s="17"/>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AB3AF-14D0-234D-A337-11BACFDB4BBF}">
  <dimension ref="A1:G20"/>
  <sheetViews>
    <sheetView workbookViewId="0">
      <selection activeCell="A6" sqref="A6"/>
    </sheetView>
  </sheetViews>
  <sheetFormatPr baseColWidth="10" defaultRowHeight="15" x14ac:dyDescent="0.2"/>
  <cols>
    <col min="1" max="1" width="27.5" bestFit="1" customWidth="1"/>
    <col min="2" max="2" width="15.6640625" bestFit="1" customWidth="1"/>
    <col min="3" max="3" width="7" bestFit="1" customWidth="1"/>
    <col min="4" max="4" width="20.1640625" bestFit="1" customWidth="1"/>
  </cols>
  <sheetData>
    <row r="1" spans="1:7" x14ac:dyDescent="0.2">
      <c r="A1" s="14" t="s">
        <v>322</v>
      </c>
      <c r="B1" t="s">
        <v>2</v>
      </c>
    </row>
    <row r="2" spans="1:7" x14ac:dyDescent="0.2">
      <c r="A2" s="14" t="s">
        <v>321</v>
      </c>
      <c r="B2" t="s">
        <v>300</v>
      </c>
    </row>
    <row r="4" spans="1:7" x14ac:dyDescent="0.2">
      <c r="A4" s="14" t="s">
        <v>308</v>
      </c>
      <c r="B4" s="14" t="s">
        <v>309</v>
      </c>
      <c r="E4" s="32" t="s">
        <v>305</v>
      </c>
      <c r="F4" s="32"/>
      <c r="G4" s="32"/>
    </row>
    <row r="5" spans="1:7" x14ac:dyDescent="0.2">
      <c r="A5" s="14" t="s">
        <v>307</v>
      </c>
      <c r="B5" s="25" t="s">
        <v>275</v>
      </c>
      <c r="C5" s="25" t="s">
        <v>277</v>
      </c>
      <c r="D5" s="25" t="s">
        <v>310</v>
      </c>
      <c r="E5" s="23" t="s">
        <v>287</v>
      </c>
      <c r="F5" s="23" t="s">
        <v>288</v>
      </c>
      <c r="G5" s="23" t="s">
        <v>298</v>
      </c>
    </row>
    <row r="6" spans="1:7" x14ac:dyDescent="0.2">
      <c r="A6" s="16" t="s">
        <v>1</v>
      </c>
      <c r="B6" s="34">
        <v>1</v>
      </c>
      <c r="C6" s="34">
        <v>20</v>
      </c>
      <c r="D6" s="34">
        <v>21</v>
      </c>
      <c r="E6" s="26">
        <f>GETPIVOTDATA("text",$A$4,"text","Did my submissions get approved?","What","Failure")/GETPIVOTDATA("text",$A$4)</f>
        <v>1.2468827930174563E-3</v>
      </c>
      <c r="F6" s="26">
        <f>GETPIVOTDATA("text",$A$4,"text","Did my submissions get approved?","What","Success")/GETPIVOTDATA("text",$A$4)</f>
        <v>2.4937655860349128E-2</v>
      </c>
      <c r="G6" s="26">
        <f>GETPIVOTDATA("text",$A$4,"text","Did my submissions get approved?")/GETPIVOTDATA("text",$A$4)</f>
        <v>2.6184538653366583E-2</v>
      </c>
    </row>
    <row r="7" spans="1:7" x14ac:dyDescent="0.2">
      <c r="A7" s="16" t="s">
        <v>8</v>
      </c>
      <c r="B7" s="34">
        <v>3</v>
      </c>
      <c r="C7" s="34">
        <v>21</v>
      </c>
      <c r="D7" s="34">
        <v>24</v>
      </c>
      <c r="E7" s="26">
        <f>GETPIVOTDATA("text",$A$4,"text","Do I have anything to approve?","What","Failure")/GETPIVOTDATA("text",$A$4)</f>
        <v>3.740648379052369E-3</v>
      </c>
      <c r="F7" s="26">
        <f>GETPIVOTDATA("text",$A$4,"text","Do I have anything to approve?","What","Success")/GETPIVOTDATA("text",$A$4)</f>
        <v>2.6184538653366583E-2</v>
      </c>
      <c r="G7" s="26">
        <f>GETPIVOTDATA("text",$A$4,"text","Do I have anything to approve?")/GETPIVOTDATA("text",$A$4)</f>
        <v>2.9925187032418952E-2</v>
      </c>
    </row>
    <row r="8" spans="1:7" x14ac:dyDescent="0.2">
      <c r="A8" s="16" t="s">
        <v>45</v>
      </c>
      <c r="B8" s="34">
        <v>3</v>
      </c>
      <c r="C8" s="34">
        <v>208</v>
      </c>
      <c r="D8" s="34">
        <v>211</v>
      </c>
      <c r="E8" s="26">
        <f>GETPIVOTDATA("text",$A$4,"text","Find HR Policies","What","Failure")/GETPIVOTDATA("text",$A$4)</f>
        <v>3.740648379052369E-3</v>
      </c>
      <c r="F8" s="26">
        <f>GETPIVOTDATA("text",$A$4,"text","Find HR Policies","What","Success")/GETPIVOTDATA("text",$A$4)</f>
        <v>0.25935162094763092</v>
      </c>
      <c r="G8" s="26">
        <f>GETPIVOTDATA("text",$A$4,"text","Find HR Policies")/GETPIVOTDATA("text",$A$4)</f>
        <v>0.26309226932668328</v>
      </c>
    </row>
    <row r="9" spans="1:7" x14ac:dyDescent="0.2">
      <c r="A9" s="16" t="s">
        <v>36</v>
      </c>
      <c r="B9" s="34"/>
      <c r="C9" s="34">
        <v>117</v>
      </c>
      <c r="D9" s="34">
        <v>117</v>
      </c>
      <c r="E9" s="26">
        <f>GETPIVOTDATA("text",$A$4,"text","Find User Guides","What","Failure")/GETPIVOTDATA("text",$A$4)</f>
        <v>0</v>
      </c>
      <c r="F9" s="26">
        <f>GETPIVOTDATA("text",$A$4,"text","Find User Guides","What","Success")/GETPIVOTDATA("text",$A$4)</f>
        <v>0.14588528678304238</v>
      </c>
      <c r="G9" s="26">
        <f>GETPIVOTDATA("text",$A$4,"text","Find User Guides")/GETPIVOTDATA("text",$A$4)</f>
        <v>0.14588528678304238</v>
      </c>
    </row>
    <row r="10" spans="1:7" x14ac:dyDescent="0.2">
      <c r="A10" s="16" t="s">
        <v>21</v>
      </c>
      <c r="B10" s="34"/>
      <c r="C10" s="34">
        <v>49</v>
      </c>
      <c r="D10" s="34">
        <v>49</v>
      </c>
      <c r="E10" s="26">
        <f>GETPIVOTDATA("text",$A$4,"text","Raise a Service Request","What","Failure")/GETPIVOTDATA("text",$A$4)</f>
        <v>0</v>
      </c>
      <c r="F10" s="26">
        <f>GETPIVOTDATA("text",$A$4,"text","Raise a Service Request","What","Success")/GETPIVOTDATA("text",$A$4)</f>
        <v>6.1097256857855359E-2</v>
      </c>
      <c r="G10" s="26">
        <f>GETPIVOTDATA("text",$A$4,"text","Raise a Service Request")/GETPIVOTDATA("text",$A$4)</f>
        <v>6.1097256857855359E-2</v>
      </c>
    </row>
    <row r="11" spans="1:7" x14ac:dyDescent="0.2">
      <c r="A11" s="16" t="s">
        <v>67</v>
      </c>
      <c r="B11" s="34">
        <v>2</v>
      </c>
      <c r="C11" s="34">
        <v>23</v>
      </c>
      <c r="D11" s="34">
        <v>25</v>
      </c>
      <c r="E11" s="26">
        <f>GETPIVOTDATA("text",$A$4,"text","Record or request absence","What","Failure")/GETPIVOTDATA("text",$A$4)</f>
        <v>2.4937655860349127E-3</v>
      </c>
      <c r="F11" s="26">
        <f>GETPIVOTDATA("text",$A$4,"text","Record or request absence","What","Success")/GETPIVOTDATA("text",$A$4)</f>
        <v>2.8678304239401497E-2</v>
      </c>
      <c r="G11" s="26">
        <f>GETPIVOTDATA("text",$A$4,"text","Record or request absence")/GETPIVOTDATA("text",$A$4)</f>
        <v>3.117206982543641E-2</v>
      </c>
    </row>
    <row r="12" spans="1:7" x14ac:dyDescent="0.2">
      <c r="A12" s="16" t="s">
        <v>48</v>
      </c>
      <c r="B12" s="34">
        <v>1</v>
      </c>
      <c r="C12" s="34">
        <v>57</v>
      </c>
      <c r="D12" s="34">
        <v>58</v>
      </c>
      <c r="E12" s="26">
        <f>GETPIVOTDATA("text",$A$4,"text","See my current salary","What","Failure")/GETPIVOTDATA("text",$A$4)</f>
        <v>1.2468827930174563E-3</v>
      </c>
      <c r="F12" s="26">
        <f>GETPIVOTDATA("text",$A$4,"text","See my current salary","What","Success")/GETPIVOTDATA("text",$A$4)</f>
        <v>7.1072319201995013E-2</v>
      </c>
      <c r="G12" s="26">
        <f>GETPIVOTDATA("text",$A$4,"text","See my current salary")/GETPIVOTDATA("text",$A$4)</f>
        <v>7.2319201995012475E-2</v>
      </c>
    </row>
    <row r="13" spans="1:7" x14ac:dyDescent="0.2">
      <c r="A13" s="16" t="s">
        <v>70</v>
      </c>
      <c r="B13" s="34">
        <v>2</v>
      </c>
      <c r="C13" s="34">
        <v>38</v>
      </c>
      <c r="D13" s="34">
        <v>40</v>
      </c>
      <c r="E13" s="26">
        <f>GETPIVOTDATA("text",$A$4,"text","See my payslips","What","Failure")/GETPIVOTDATA("text",$A$4)</f>
        <v>2.4937655860349127E-3</v>
      </c>
      <c r="F13" s="26">
        <f>GETPIVOTDATA("text",$A$4,"text","See my payslips","What","Success")/GETPIVOTDATA("text",$A$4)</f>
        <v>4.738154613466334E-2</v>
      </c>
      <c r="G13" s="26">
        <f>GETPIVOTDATA("text",$A$4,"text","See my payslips")/GETPIVOTDATA("text",$A$4)</f>
        <v>4.9875311720698257E-2</v>
      </c>
    </row>
    <row r="14" spans="1:7" x14ac:dyDescent="0.2">
      <c r="A14" s="16" t="s">
        <v>33</v>
      </c>
      <c r="B14" s="34">
        <v>7</v>
      </c>
      <c r="C14" s="34">
        <v>126</v>
      </c>
      <c r="D14" s="34">
        <v>133</v>
      </c>
      <c r="E14" s="26">
        <f>GETPIVOTDATA("text",$A$4,"text","See my unused holiday","What","Failure")/GETPIVOTDATA("text",$A$4)</f>
        <v>8.7281795511221939E-3</v>
      </c>
      <c r="F14" s="26">
        <f>GETPIVOTDATA("text",$A$4,"text","See my unused holiday","What","Success")/GETPIVOTDATA("text",$A$4)</f>
        <v>0.15710723192019951</v>
      </c>
      <c r="G14" s="26">
        <f>GETPIVOTDATA("text",$A$4,"text","See my unused holiday")/GETPIVOTDATA("text",$A$4)</f>
        <v>0.16583541147132169</v>
      </c>
    </row>
    <row r="15" spans="1:7" x14ac:dyDescent="0.2">
      <c r="A15" s="16" t="s">
        <v>26</v>
      </c>
      <c r="B15" s="34"/>
      <c r="C15" s="34">
        <v>112</v>
      </c>
      <c r="D15" s="34">
        <v>112</v>
      </c>
      <c r="E15" s="26">
        <f>GETPIVOTDATA("text",$A$4,"text","View Service Requests","What","Failure")/GETPIVOTDATA("text",$A$4)</f>
        <v>0</v>
      </c>
      <c r="F15" s="26">
        <f>GETPIVOTDATA("text",$A$4,"text","View Service Requests","What","Success")/GETPIVOTDATA("text",$A$4)</f>
        <v>0.1396508728179551</v>
      </c>
      <c r="G15" s="26">
        <f>GETPIVOTDATA("text",$A$4,"text","View Service Requests")/GETPIVOTDATA("text",$A$4)</f>
        <v>0.1396508728179551</v>
      </c>
    </row>
    <row r="16" spans="1:7" x14ac:dyDescent="0.2">
      <c r="A16" s="16" t="s">
        <v>147</v>
      </c>
      <c r="B16" s="34"/>
      <c r="C16" s="34">
        <v>9</v>
      </c>
      <c r="D16" s="34">
        <v>9</v>
      </c>
      <c r="E16" s="26">
        <f>GETPIVOTDATA("text",$A$4,"text","where's the holiday calculator","What","Failure")/GETPIVOTDATA("text",$A$4)</f>
        <v>0</v>
      </c>
      <c r="F16" s="26">
        <f>GETPIVOTDATA("text",$A$4,"text","where's the holiday calculator","What","Success")/GETPIVOTDATA("text",$A$4)</f>
        <v>1.1221945137157107E-2</v>
      </c>
      <c r="G16" s="26">
        <f>GETPIVOTDATA("text",$A$4,"text","where's the holiday calculator")/GETPIVOTDATA("text",$A$4)</f>
        <v>1.1221945137157107E-2</v>
      </c>
    </row>
    <row r="17" spans="1:7" x14ac:dyDescent="0.2">
      <c r="A17" s="16" t="s">
        <v>72</v>
      </c>
      <c r="B17" s="34"/>
      <c r="C17" s="34">
        <v>3</v>
      </c>
      <c r="D17" s="34">
        <v>3</v>
      </c>
      <c r="E17" s="26">
        <f>GETPIVOTDATA("text",$A$4,"text","where's the holiday calculator?","What","Failure")/GETPIVOTDATA("text",$A$4)</f>
        <v>0</v>
      </c>
      <c r="F17" s="26">
        <f>GETPIVOTDATA("text",$A$4,"text","where's the holiday calculator?","What","Success")/GETPIVOTDATA("text",$A$4)</f>
        <v>3.740648379052369E-3</v>
      </c>
      <c r="G17" s="26">
        <f>GETPIVOTDATA("text",$A$4,"text","where's the holiday calculator?")/GETPIVOTDATA("text",$A$4)</f>
        <v>3.740648379052369E-3</v>
      </c>
    </row>
    <row r="18" spans="1:7" x14ac:dyDescent="0.2">
      <c r="A18" s="16" t="s">
        <v>310</v>
      </c>
      <c r="B18" s="34">
        <v>19</v>
      </c>
      <c r="C18" s="34">
        <v>783</v>
      </c>
      <c r="D18" s="34">
        <v>802</v>
      </c>
      <c r="E18" s="27">
        <f>SUM(E6:E17)</f>
        <v>2.3690773067331666E-2</v>
      </c>
      <c r="F18" s="27">
        <f>SUM(F6:F17)</f>
        <v>0.97630922693266842</v>
      </c>
      <c r="G18" s="27">
        <f>SUM(G6:G17)</f>
        <v>1</v>
      </c>
    </row>
    <row r="19" spans="1:7" x14ac:dyDescent="0.2">
      <c r="A19" s="16" t="s">
        <v>306</v>
      </c>
      <c r="B19" s="28">
        <f>GETPIVOTDATA("text",$A$4,"What","Failure")/B20</f>
        <v>1.4671814671814672E-2</v>
      </c>
      <c r="C19" s="28">
        <f>GETPIVOTDATA("text",$A$4,"What","Success")/C20</f>
        <v>0.22955145118733508</v>
      </c>
      <c r="D19" s="28">
        <f>GETPIVOTDATA("text",$A$4)/D20</f>
        <v>0.16182405165456012</v>
      </c>
      <c r="E19" s="25"/>
      <c r="F19" s="25"/>
      <c r="G19" s="25"/>
    </row>
    <row r="20" spans="1:7" x14ac:dyDescent="0.2">
      <c r="A20" s="24" t="s">
        <v>301</v>
      </c>
      <c r="B20" s="29">
        <v>1295</v>
      </c>
      <c r="C20" s="29">
        <v>3411</v>
      </c>
      <c r="D20" s="29">
        <v>4956</v>
      </c>
      <c r="E20" s="25"/>
      <c r="F20" s="25"/>
      <c r="G20" s="25"/>
    </row>
  </sheetData>
  <mergeCells count="1">
    <mergeCell ref="E4:G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Overall Success Summary</vt:lpstr>
      <vt:lpstr>Log Data</vt:lpstr>
      <vt:lpstr>Utterance  Count vs Success</vt:lpstr>
      <vt:lpstr>Daily Users</vt:lpstr>
      <vt:lpstr>Repeat Users</vt:lpstr>
      <vt:lpstr>Unique Users</vt:lpstr>
      <vt:lpstr>Intent Classification</vt:lpstr>
      <vt:lpstr>System Errors</vt:lpstr>
      <vt:lpstr>Conversational Buttons</vt:lpstr>
      <vt:lpstr>Menu And Tips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Manual Log Analysis</dc:title>
  <dc:subject/>
  <dc:creator>Richard Miller</dc:creator>
  <cp:keywords/>
  <dc:description>for GitHub</dc:description>
  <cp:lastModifiedBy>Richard Miller</cp:lastModifiedBy>
  <dcterms:created xsi:type="dcterms:W3CDTF">2023-08-31T15:30:25Z</dcterms:created>
  <dcterms:modified xsi:type="dcterms:W3CDTF">2024-01-06T23:53:45Z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bf5cfb1-7fd2-40da-ab9b-e730b8f47e1d_Enabled">
    <vt:lpwstr>true</vt:lpwstr>
  </property>
  <property fmtid="{D5CDD505-2E9C-101B-9397-08002B2CF9AE}" pid="3" name="MSIP_Label_cbf5cfb1-7fd2-40da-ab9b-e730b8f47e1d_SetDate">
    <vt:lpwstr>2023-09-15T13:34:05Z</vt:lpwstr>
  </property>
  <property fmtid="{D5CDD505-2E9C-101B-9397-08002B2CF9AE}" pid="4" name="MSIP_Label_cbf5cfb1-7fd2-40da-ab9b-e730b8f47e1d_Method">
    <vt:lpwstr>Privileged</vt:lpwstr>
  </property>
  <property fmtid="{D5CDD505-2E9C-101B-9397-08002B2CF9AE}" pid="5" name="MSIP_Label_cbf5cfb1-7fd2-40da-ab9b-e730b8f47e1d_Name">
    <vt:lpwstr>NBS Public - No Visible Label</vt:lpwstr>
  </property>
  <property fmtid="{D5CDD505-2E9C-101B-9397-08002B2CF9AE}" pid="6" name="MSIP_Label_cbf5cfb1-7fd2-40da-ab9b-e730b8f47e1d_SiteId">
    <vt:lpwstr>18ed93f5-e470-4996-b0ef-9554af985d50</vt:lpwstr>
  </property>
  <property fmtid="{D5CDD505-2E9C-101B-9397-08002B2CF9AE}" pid="7" name="MSIP_Label_cbf5cfb1-7fd2-40da-ab9b-e730b8f47e1d_ActionId">
    <vt:lpwstr>60e4c446-17fc-4a52-a33b-412cbe87f0c1</vt:lpwstr>
  </property>
  <property fmtid="{D5CDD505-2E9C-101B-9397-08002B2CF9AE}" pid="8" name="MSIP_Label_cbf5cfb1-7fd2-40da-ab9b-e730b8f47e1d_ContentBits">
    <vt:lpwstr>0</vt:lpwstr>
  </property>
</Properties>
</file>