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p\2021-CT125-Honda-Trail-125\Trips\2023 CDT\Data\"/>
    </mc:Choice>
  </mc:AlternateContent>
  <xr:revisionPtr revIDLastSave="0" documentId="13_ncr:1_{1C54F1C7-AC0C-439F-8A9F-303B5CF86969}" xr6:coauthVersionLast="47" xr6:coauthVersionMax="47" xr10:uidLastSave="{00000000-0000-0000-0000-000000000000}"/>
  <bookViews>
    <workbookView xWindow="-120" yWindow="-120" windowWidth="38640" windowHeight="21120" xr2:uid="{0C16838D-472E-4B1A-90DD-B5FB6B3CC337}"/>
  </bookViews>
  <sheets>
    <sheet name="Run and Rest" sheetId="1" r:id="rId1"/>
    <sheet name="Riders by time" sheetId="3" r:id="rId2"/>
    <sheet name="Distances and Waypoints" sheetId="4" r:id="rId3"/>
  </sheets>
  <definedNames>
    <definedName name="_xlnm._FilterDatabase" localSheetId="1" hidden="1">'Riders by time'!$B$1:$AN$65</definedName>
    <definedName name="_xlnm._FilterDatabase" localSheetId="0" hidden="1">'Run and Rest'!$B$1:$V$65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" i="3" l="1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L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J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H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V22" i="1"/>
  <c r="T2" i="1"/>
  <c r="U2" i="1"/>
  <c r="T9" i="1"/>
  <c r="U9" i="1"/>
  <c r="T4" i="1"/>
  <c r="U4" i="1"/>
  <c r="T10" i="1"/>
  <c r="U10" i="1"/>
  <c r="T18" i="1"/>
  <c r="U18" i="1"/>
  <c r="T3" i="1"/>
  <c r="U3" i="1"/>
  <c r="T7" i="1"/>
  <c r="U7" i="1"/>
  <c r="T6" i="1"/>
  <c r="U6" i="1"/>
  <c r="T5" i="1"/>
  <c r="U5" i="1"/>
  <c r="V5" i="1" s="1"/>
  <c r="T8" i="1"/>
  <c r="U8" i="1"/>
  <c r="T11" i="1"/>
  <c r="U11" i="1"/>
  <c r="T19" i="1"/>
  <c r="U19" i="1"/>
  <c r="T13" i="1"/>
  <c r="U13" i="1"/>
  <c r="T16" i="1"/>
  <c r="U16" i="1"/>
  <c r="T12" i="1"/>
  <c r="U12" i="1"/>
  <c r="T14" i="1"/>
  <c r="U14" i="1"/>
  <c r="T23" i="1"/>
  <c r="U23" i="1"/>
  <c r="T17" i="1"/>
  <c r="U17" i="1"/>
  <c r="V17" i="1" s="1"/>
  <c r="T15" i="1"/>
  <c r="U15" i="1"/>
  <c r="V15" i="1" s="1"/>
  <c r="T22" i="1"/>
  <c r="U22" i="1"/>
  <c r="T20" i="1"/>
  <c r="U20" i="1"/>
  <c r="T39" i="1"/>
  <c r="U39" i="1"/>
  <c r="T24" i="1"/>
  <c r="U24" i="1"/>
  <c r="T29" i="1"/>
  <c r="U29" i="1"/>
  <c r="T49" i="1"/>
  <c r="U49" i="1"/>
  <c r="T27" i="1"/>
  <c r="U27" i="1"/>
  <c r="T35" i="1"/>
  <c r="U35" i="1"/>
  <c r="T38" i="1"/>
  <c r="U38" i="1"/>
  <c r="T26" i="1"/>
  <c r="U26" i="1"/>
  <c r="T30" i="1"/>
  <c r="U30" i="1"/>
  <c r="T25" i="1"/>
  <c r="U25" i="1"/>
  <c r="T34" i="1"/>
  <c r="U34" i="1"/>
  <c r="T43" i="1"/>
  <c r="U43" i="1"/>
  <c r="T31" i="1"/>
  <c r="U31" i="1"/>
  <c r="T47" i="1"/>
  <c r="U47" i="1"/>
  <c r="T37" i="1"/>
  <c r="U37" i="1"/>
  <c r="T33" i="1"/>
  <c r="U33" i="1"/>
  <c r="T28" i="1"/>
  <c r="U28" i="1"/>
  <c r="V28" i="1" s="1"/>
  <c r="T60" i="1"/>
  <c r="U60" i="1"/>
  <c r="V60" i="1" s="1"/>
  <c r="T62" i="1"/>
  <c r="U62" i="1"/>
  <c r="T52" i="1"/>
  <c r="U52" i="1"/>
  <c r="T42" i="1"/>
  <c r="U42" i="1"/>
  <c r="T41" i="1"/>
  <c r="U41" i="1"/>
  <c r="T48" i="1"/>
  <c r="U48" i="1"/>
  <c r="T53" i="1"/>
  <c r="U53" i="1"/>
  <c r="T54" i="1"/>
  <c r="U54" i="1"/>
  <c r="T32" i="1"/>
  <c r="U32" i="1"/>
  <c r="T44" i="1"/>
  <c r="U44" i="1"/>
  <c r="T57" i="1"/>
  <c r="U57" i="1"/>
  <c r="V57" i="1" s="1"/>
  <c r="T50" i="1"/>
  <c r="U50" i="1"/>
  <c r="T46" i="1"/>
  <c r="U46" i="1"/>
  <c r="T58" i="1"/>
  <c r="U58" i="1"/>
  <c r="T55" i="1"/>
  <c r="U55" i="1"/>
  <c r="T45" i="1"/>
  <c r="U45" i="1"/>
  <c r="T51" i="1"/>
  <c r="U51" i="1"/>
  <c r="T36" i="1"/>
  <c r="U36" i="1"/>
  <c r="T61" i="1"/>
  <c r="U61" i="1"/>
  <c r="T40" i="1"/>
  <c r="U40" i="1"/>
  <c r="V40" i="1" s="1"/>
  <c r="T64" i="1"/>
  <c r="U64" i="1"/>
  <c r="T56" i="1"/>
  <c r="U56" i="1"/>
  <c r="T63" i="1"/>
  <c r="U63" i="1"/>
  <c r="T59" i="1"/>
  <c r="U59" i="1"/>
  <c r="U21" i="1"/>
  <c r="T21" i="1"/>
  <c r="S2" i="1"/>
  <c r="V2" i="1" s="1"/>
  <c r="S9" i="1"/>
  <c r="V9" i="1" s="1"/>
  <c r="S4" i="1"/>
  <c r="V4" i="1" s="1"/>
  <c r="S10" i="1"/>
  <c r="V10" i="1" s="1"/>
  <c r="S18" i="1"/>
  <c r="S3" i="1"/>
  <c r="V3" i="1" s="1"/>
  <c r="S7" i="1"/>
  <c r="S6" i="1"/>
  <c r="V6" i="1" s="1"/>
  <c r="S5" i="1"/>
  <c r="S8" i="1"/>
  <c r="S11" i="1"/>
  <c r="S19" i="1"/>
  <c r="S13" i="1"/>
  <c r="V13" i="1" s="1"/>
  <c r="S16" i="1"/>
  <c r="S12" i="1"/>
  <c r="S14" i="1"/>
  <c r="V14" i="1" s="1"/>
  <c r="S23" i="1"/>
  <c r="S17" i="1"/>
  <c r="S15" i="1"/>
  <c r="S22" i="1"/>
  <c r="S20" i="1"/>
  <c r="V20" i="1" s="1"/>
  <c r="S39" i="1"/>
  <c r="V39" i="1" s="1"/>
  <c r="S24" i="1"/>
  <c r="V24" i="1" s="1"/>
  <c r="S29" i="1"/>
  <c r="V29" i="1" s="1"/>
  <c r="S49" i="1"/>
  <c r="S27" i="1"/>
  <c r="V27" i="1" s="1"/>
  <c r="S35" i="1"/>
  <c r="S38" i="1"/>
  <c r="V38" i="1" s="1"/>
  <c r="S26" i="1"/>
  <c r="V26" i="1" s="1"/>
  <c r="S30" i="1"/>
  <c r="S25" i="1"/>
  <c r="S34" i="1"/>
  <c r="S43" i="1"/>
  <c r="V43" i="1" s="1"/>
  <c r="S31" i="1"/>
  <c r="S47" i="1"/>
  <c r="S37" i="1"/>
  <c r="V37" i="1" s="1"/>
  <c r="S33" i="1"/>
  <c r="S28" i="1"/>
  <c r="S60" i="1"/>
  <c r="S62" i="1"/>
  <c r="V62" i="1" s="1"/>
  <c r="S52" i="1"/>
  <c r="V52" i="1" s="1"/>
  <c r="S42" i="1"/>
  <c r="V42" i="1" s="1"/>
  <c r="S41" i="1"/>
  <c r="V41" i="1" s="1"/>
  <c r="S48" i="1"/>
  <c r="V48" i="1" s="1"/>
  <c r="S53" i="1"/>
  <c r="S54" i="1"/>
  <c r="V54" i="1" s="1"/>
  <c r="S32" i="1"/>
  <c r="S44" i="1"/>
  <c r="V44" i="1" s="1"/>
  <c r="S57" i="1"/>
  <c r="S50" i="1"/>
  <c r="S46" i="1"/>
  <c r="S58" i="1"/>
  <c r="S55" i="1"/>
  <c r="V55" i="1" s="1"/>
  <c r="S45" i="1"/>
  <c r="S51" i="1"/>
  <c r="S36" i="1"/>
  <c r="V36" i="1" s="1"/>
  <c r="S61" i="1"/>
  <c r="S40" i="1"/>
  <c r="S64" i="1"/>
  <c r="V64" i="1" s="1"/>
  <c r="S56" i="1"/>
  <c r="V56" i="1" s="1"/>
  <c r="S63" i="1"/>
  <c r="V63" i="1" s="1"/>
  <c r="S59" i="1"/>
  <c r="V59" i="1" s="1"/>
  <c r="S21" i="1"/>
  <c r="V21" i="1" s="1"/>
  <c r="V53" i="1" l="1"/>
  <c r="V49" i="1"/>
  <c r="V18" i="1"/>
  <c r="V61" i="1"/>
  <c r="V33" i="1"/>
  <c r="V23" i="1"/>
  <c r="V12" i="1"/>
  <c r="V45" i="1"/>
  <c r="V16" i="1"/>
  <c r="V46" i="1"/>
  <c r="V25" i="1"/>
  <c r="V11" i="1"/>
  <c r="V47" i="1"/>
  <c r="V31" i="1"/>
  <c r="V58" i="1"/>
  <c r="V34" i="1"/>
  <c r="V19" i="1"/>
  <c r="V50" i="1"/>
  <c r="V30" i="1"/>
  <c r="V8" i="1"/>
  <c r="V51" i="1"/>
  <c r="V32" i="1"/>
  <c r="V35" i="1"/>
  <c r="V7" i="1"/>
</calcChain>
</file>

<file path=xl/sharedStrings.xml><?xml version="1.0" encoding="utf-8"?>
<sst xmlns="http://schemas.openxmlformats.org/spreadsheetml/2006/main" count="1806" uniqueCount="1501">
  <si>
    <t>Grand Depart Men Southbound</t>
  </si>
  <si>
    <t>David Landis</t>
  </si>
  <si>
    <t>2665.7 mi</t>
  </si>
  <si>
    <t>15d01h23m</t>
  </si>
  <si>
    <t>4d21h35m</t>
  </si>
  <si>
    <t>19d22h59m</t>
  </si>
  <si>
    <t>7.4 mph</t>
  </si>
  <si>
    <t>Sofiane Sehili</t>
  </si>
  <si>
    <t>2618.1 mi</t>
  </si>
  <si>
    <t>10d23h19m</t>
  </si>
  <si>
    <t>3d16h57m</t>
  </si>
  <si>
    <t>14d16h16m</t>
  </si>
  <si>
    <t>9.9 mph</t>
  </si>
  <si>
    <t>Tim Tait</t>
  </si>
  <si>
    <t>2649.8 mi</t>
  </si>
  <si>
    <t>11d12h44m</t>
  </si>
  <si>
    <t>5d02h58m</t>
  </si>
  <si>
    <t>16d15h43m</t>
  </si>
  <si>
    <t>9.6 mph</t>
  </si>
  <si>
    <t>Adrien Liechti</t>
  </si>
  <si>
    <t>10d15h06m</t>
  </si>
  <si>
    <t>4d21h52m</t>
  </si>
  <si>
    <t>15d12h59m</t>
  </si>
  <si>
    <t>10.4 mph</t>
  </si>
  <si>
    <t>Andrew Strempke</t>
  </si>
  <si>
    <t>Grand Depart Men Singlespeed Southbound</t>
  </si>
  <si>
    <t>11d09h13m</t>
  </si>
  <si>
    <t>5d09h34m</t>
  </si>
  <si>
    <t>16d18h47m</t>
  </si>
  <si>
    <t>9.8 mph</t>
  </si>
  <si>
    <t>Grand Depart Women Singlespeed Southbound</t>
  </si>
  <si>
    <t>Dave Meissner</t>
  </si>
  <si>
    <t>13d01h06m</t>
  </si>
  <si>
    <t>6d13h24m</t>
  </si>
  <si>
    <t>19d14h30m</t>
  </si>
  <si>
    <t>8.5 mph</t>
  </si>
  <si>
    <t>Manu Cattrysse</t>
  </si>
  <si>
    <t>10d03h35m</t>
  </si>
  <si>
    <t>5d04h10m</t>
  </si>
  <si>
    <t>15d07h46m</t>
  </si>
  <si>
    <t>10.9 mph</t>
  </si>
  <si>
    <t>Danny Green</t>
  </si>
  <si>
    <t>10d12h35m</t>
  </si>
  <si>
    <t>5d14h19m</t>
  </si>
  <si>
    <t>16d02h54m</t>
  </si>
  <si>
    <t>10.6 mph</t>
  </si>
  <si>
    <t>Andy Leveto</t>
  </si>
  <si>
    <t>10d07h15m</t>
  </si>
  <si>
    <t>5d12h45m</t>
  </si>
  <si>
    <t>15d20h00m</t>
  </si>
  <si>
    <t>10.8 mph</t>
  </si>
  <si>
    <t>Abe Kaufman</t>
  </si>
  <si>
    <t>10d02h09m</t>
  </si>
  <si>
    <t>5d13h15m</t>
  </si>
  <si>
    <t>15d15h24m</t>
  </si>
  <si>
    <t>11.0 mph</t>
  </si>
  <si>
    <t>Ben Steurbaut</t>
  </si>
  <si>
    <t>10d09h05m</t>
  </si>
  <si>
    <t>5d18h46m</t>
  </si>
  <si>
    <t>16d03h51m</t>
  </si>
  <si>
    <t>10.7 mph</t>
  </si>
  <si>
    <t>Daniel Connell</t>
  </si>
  <si>
    <t>2591.6 mi</t>
  </si>
  <si>
    <t>11d02h40m</t>
  </si>
  <si>
    <t>6d07h45m</t>
  </si>
  <si>
    <t>17d10h26m</t>
  </si>
  <si>
    <t>9.7 mph</t>
  </si>
  <si>
    <t>Katie Strempke</t>
  </si>
  <si>
    <t>2664.6 mi</t>
  </si>
  <si>
    <t>12d06h33m</t>
  </si>
  <si>
    <t>7d09h07m</t>
  </si>
  <si>
    <t>19d15h40m</t>
  </si>
  <si>
    <t>9.0 mph</t>
  </si>
  <si>
    <t>Ana Jager</t>
  </si>
  <si>
    <t>Grand Depart Women Southbound</t>
  </si>
  <si>
    <t>11d17h04m</t>
  </si>
  <si>
    <t>7d07h23m</t>
  </si>
  <si>
    <t>19d00h28m</t>
  </si>
  <si>
    <t>9.5 mph</t>
  </si>
  <si>
    <t>Zack Friendly</t>
  </si>
  <si>
    <t>2665.6 mi</t>
  </si>
  <si>
    <t>11d20h24m</t>
  </si>
  <si>
    <t>7d12h36m</t>
  </si>
  <si>
    <t>19d09h00m</t>
  </si>
  <si>
    <t>9.4 mph</t>
  </si>
  <si>
    <t>Brian Toone</t>
  </si>
  <si>
    <t>2648.7 mi</t>
  </si>
  <si>
    <t>11d05h43m</t>
  </si>
  <si>
    <t>7d04h48m</t>
  </si>
  <si>
    <t>18d10h32m</t>
  </si>
  <si>
    <t>Colin Schindler</t>
  </si>
  <si>
    <t>11d12h39m</t>
  </si>
  <si>
    <t>7d12h20m</t>
  </si>
  <si>
    <t>19d00h59m</t>
  </si>
  <si>
    <t>Allan Shaw</t>
  </si>
  <si>
    <t>2619.3 mi</t>
  </si>
  <si>
    <t>12d01h45m</t>
  </si>
  <si>
    <t>8d00h51m</t>
  </si>
  <si>
    <t>20d02h37m</t>
  </si>
  <si>
    <t>Gehrig Haberstock</t>
  </si>
  <si>
    <t>11d13h54m</t>
  </si>
  <si>
    <t>7d19h06m</t>
  </si>
  <si>
    <t>Steve Large</t>
  </si>
  <si>
    <t>11d08h23m</t>
  </si>
  <si>
    <t>7d16h42m</t>
  </si>
  <si>
    <t>19d01h06m</t>
  </si>
  <si>
    <t>Brent Olson</t>
  </si>
  <si>
    <t>11d13h07m</t>
  </si>
  <si>
    <t>8d10h56m</t>
  </si>
  <si>
    <t>20d00h04m</t>
  </si>
  <si>
    <t>Bruno Martin</t>
  </si>
  <si>
    <t>2651.1 mi</t>
  </si>
  <si>
    <t>11d07h05m</t>
  </si>
  <si>
    <t>8d13h54m</t>
  </si>
  <si>
    <t>19d21h00m</t>
  </si>
  <si>
    <t>Daniel Moss</t>
  </si>
  <si>
    <t>12d20h26m</t>
  </si>
  <si>
    <t>11d03h49m</t>
  </si>
  <si>
    <t>24d00h16m</t>
  </si>
  <si>
    <t>8.6 mph</t>
  </si>
  <si>
    <t>Nick Marzano</t>
  </si>
  <si>
    <t>10d18h31m</t>
  </si>
  <si>
    <t>9d14h15m</t>
  </si>
  <si>
    <t>20d08h47m</t>
  </si>
  <si>
    <t>10.3 mph</t>
  </si>
  <si>
    <t>Artec Durham</t>
  </si>
  <si>
    <t>11d15h14m</t>
  </si>
  <si>
    <t>10d15h37m</t>
  </si>
  <si>
    <t>22d06h52m</t>
  </si>
  <si>
    <t>Chris Ellison</t>
  </si>
  <si>
    <t>2664.4 mi</t>
  </si>
  <si>
    <t>13d09h07m</t>
  </si>
  <si>
    <t>12d14h04m</t>
  </si>
  <si>
    <t>25d23h12m</t>
  </si>
  <si>
    <t>8.3 mph</t>
  </si>
  <si>
    <t>Rj Sauer</t>
  </si>
  <si>
    <t>11d02h21m</t>
  </si>
  <si>
    <t>10d11h24m</t>
  </si>
  <si>
    <t>21d13h45m</t>
  </si>
  <si>
    <t>Wendy Stevenson</t>
  </si>
  <si>
    <t>11d21h54m</t>
  </si>
  <si>
    <t>11d09h21m</t>
  </si>
  <si>
    <t>23d07h15m</t>
  </si>
  <si>
    <t>9.3 mph</t>
  </si>
  <si>
    <t>Paul Kuzdas</t>
  </si>
  <si>
    <t>11d23h16m</t>
  </si>
  <si>
    <t>11d11h32m</t>
  </si>
  <si>
    <t>23d10h48m</t>
  </si>
  <si>
    <t>9.2 mph</t>
  </si>
  <si>
    <t>Karol Kristov</t>
  </si>
  <si>
    <t>10d09h40m</t>
  </si>
  <si>
    <t>10d01h06m</t>
  </si>
  <si>
    <t>20d10h46m</t>
  </si>
  <si>
    <t>Markus Weinberg</t>
  </si>
  <si>
    <t>2653.1 mi</t>
  </si>
  <si>
    <t>10d06h54m</t>
  </si>
  <si>
    <t>10d03h49m</t>
  </si>
  <si>
    <t>20d10h44m</t>
  </si>
  <si>
    <t>Bart Muylle</t>
  </si>
  <si>
    <t>11d05h07m</t>
  </si>
  <si>
    <t>11d02h14m</t>
  </si>
  <si>
    <t>22d07h21m</t>
  </si>
  <si>
    <t>Patrick Carlson</t>
  </si>
  <si>
    <t>11d16h58m</t>
  </si>
  <si>
    <t>11d13h05m</t>
  </si>
  <si>
    <t>23d06h03m</t>
  </si>
  <si>
    <t>Tom Baker</t>
  </si>
  <si>
    <t>11d02h36m</t>
  </si>
  <si>
    <t>11d05h18m</t>
  </si>
  <si>
    <t>22d07h55m</t>
  </si>
  <si>
    <t>10.0 mph</t>
  </si>
  <si>
    <t>Carl Gable</t>
  </si>
  <si>
    <t>12d02h55m</t>
  </si>
  <si>
    <t>12d06h23m</t>
  </si>
  <si>
    <t>24d09h18m</t>
  </si>
  <si>
    <t>Brett Humphrey</t>
  </si>
  <si>
    <t>12d07h06m</t>
  </si>
  <si>
    <t>12d12h12m</t>
  </si>
  <si>
    <t>24d19h19m</t>
  </si>
  <si>
    <t>Aaron Ehlers</t>
  </si>
  <si>
    <t>11d06h31m</t>
  </si>
  <si>
    <t>12d02h36m</t>
  </si>
  <si>
    <t>23d09h07m</t>
  </si>
  <si>
    <t>Sandro Poppe</t>
  </si>
  <si>
    <t>10d19h05m</t>
  </si>
  <si>
    <t>11d21h45m</t>
  </si>
  <si>
    <t>22d16h51m</t>
  </si>
  <si>
    <t>Katie Dolan</t>
  </si>
  <si>
    <t>10d10h23m</t>
  </si>
  <si>
    <t>11d14h45m</t>
  </si>
  <si>
    <t>22d01h09m</t>
  </si>
  <si>
    <t>Gary Johnson</t>
  </si>
  <si>
    <t>2665.4 mi</t>
  </si>
  <si>
    <t>13d02h43m</t>
  </si>
  <si>
    <t>14d15h43m</t>
  </si>
  <si>
    <t>27d18h26m</t>
  </si>
  <si>
    <t>Brie Hevener</t>
  </si>
  <si>
    <t>13d05h27m</t>
  </si>
  <si>
    <t>14d20h31m</t>
  </si>
  <si>
    <t>28d01h58m</t>
  </si>
  <si>
    <t>8.4 mph</t>
  </si>
  <si>
    <t>Chris Kuzdas</t>
  </si>
  <si>
    <t>12d17h02m</t>
  </si>
  <si>
    <t>14d08h29m</t>
  </si>
  <si>
    <t>27d01h31m</t>
  </si>
  <si>
    <t>8.7 mph</t>
  </si>
  <si>
    <t>Phil Jones</t>
  </si>
  <si>
    <t>11d09h37m</t>
  </si>
  <si>
    <t>12d21h23m</t>
  </si>
  <si>
    <t>24d07h00m</t>
  </si>
  <si>
    <t>Anthony Ball</t>
  </si>
  <si>
    <t>2658.0 mi</t>
  </si>
  <si>
    <t>11d09h41m</t>
  </si>
  <si>
    <t>12d21h44m</t>
  </si>
  <si>
    <t>24d07h26m</t>
  </si>
  <si>
    <t>Ken Waring</t>
  </si>
  <si>
    <t>11d22h19m</t>
  </si>
  <si>
    <t>13d14h55m</t>
  </si>
  <si>
    <t>25d13h15m</t>
  </si>
  <si>
    <t>Mat King</t>
  </si>
  <si>
    <t>12d15h20m</t>
  </si>
  <si>
    <t>14d14h54m</t>
  </si>
  <si>
    <t>27d06h15m</t>
  </si>
  <si>
    <t>8.8 mph</t>
  </si>
  <si>
    <t>Robert Joseph</t>
  </si>
  <si>
    <t>12d14h21m</t>
  </si>
  <si>
    <t>14d16h02m</t>
  </si>
  <si>
    <t>27d06h24m</t>
  </si>
  <si>
    <t>Nick Runtsch</t>
  </si>
  <si>
    <t>10d06h59m</t>
  </si>
  <si>
    <t>12d09h22m</t>
  </si>
  <si>
    <t>22d16h21m</t>
  </si>
  <si>
    <t>Tyler Gatlin</t>
  </si>
  <si>
    <t>11d03h44m</t>
  </si>
  <si>
    <t>13d11h10m</t>
  </si>
  <si>
    <t>24d14h55m</t>
  </si>
  <si>
    <t>Kevin Meier</t>
  </si>
  <si>
    <t>12d09h28m</t>
  </si>
  <si>
    <t>15d01h46m</t>
  </si>
  <si>
    <t>27d11h15m</t>
  </si>
  <si>
    <t>Patrick Mckellips</t>
  </si>
  <si>
    <t>11d01h30m</t>
  </si>
  <si>
    <t>13d14h05m</t>
  </si>
  <si>
    <t>24d15h35m</t>
  </si>
  <si>
    <t>Mathias Mueller</t>
  </si>
  <si>
    <t>11d17h50m</t>
  </si>
  <si>
    <t>14d09h27m</t>
  </si>
  <si>
    <t>26d03h18m</t>
  </si>
  <si>
    <t>Bennie Black</t>
  </si>
  <si>
    <t>12d04h19m</t>
  </si>
  <si>
    <t>15d07h21m</t>
  </si>
  <si>
    <t>27d11h41m</t>
  </si>
  <si>
    <t>9.1 mph</t>
  </si>
  <si>
    <t>Jakub Cychowski</t>
  </si>
  <si>
    <t>12d01h40m</t>
  </si>
  <si>
    <t>15d06h56m</t>
  </si>
  <si>
    <t>27d08h36m</t>
  </si>
  <si>
    <t>Keith Jordan</t>
  </si>
  <si>
    <t>10d19h25m</t>
  </si>
  <si>
    <t>13d19h43m</t>
  </si>
  <si>
    <t>24d15h08m</t>
  </si>
  <si>
    <t>Chris Miksovsky</t>
  </si>
  <si>
    <t>11d18h36m</t>
  </si>
  <si>
    <t>15d02h30m</t>
  </si>
  <si>
    <t>26d21h06m</t>
  </si>
  <si>
    <t>Jacob Ashton</t>
  </si>
  <si>
    <t>10d04h24m</t>
  </si>
  <si>
    <t>13d04h13m</t>
  </si>
  <si>
    <t>23d08h37m</t>
  </si>
  <si>
    <t>Duncan Scholtz</t>
  </si>
  <si>
    <t>12d04h13m</t>
  </si>
  <si>
    <t>15d19h53m</t>
  </si>
  <si>
    <t>28d00h07m</t>
  </si>
  <si>
    <t>Martin Grethe</t>
  </si>
  <si>
    <t>10d06h09m</t>
  </si>
  <si>
    <t>13d23h57m</t>
  </si>
  <si>
    <t>24d06h07m</t>
  </si>
  <si>
    <t>David Moss</t>
  </si>
  <si>
    <t>2618.4 mi</t>
  </si>
  <si>
    <t>12d15h09m</t>
  </si>
  <si>
    <t>17d07h14m</t>
  </si>
  <si>
    <t>29d22h24m</t>
  </si>
  <si>
    <t>Sean Di Lizio</t>
  </si>
  <si>
    <t>10d10h52m</t>
  </si>
  <si>
    <t>16d23h57m</t>
  </si>
  <si>
    <t>27d10h49m</t>
  </si>
  <si>
    <t>Jim Sevaly</t>
  </si>
  <si>
    <t>2665.3 mi</t>
  </si>
  <si>
    <t>10d18h20m</t>
  </si>
  <si>
    <t>17d16h39m</t>
  </si>
  <si>
    <t>28d10h59m</t>
  </si>
  <si>
    <t>Sam Bailey</t>
  </si>
  <si>
    <t>9d10h26m</t>
  </si>
  <si>
    <t>18d01h17m</t>
  </si>
  <si>
    <t>27d11h43m</t>
  </si>
  <si>
    <t>11.8 mph</t>
  </si>
  <si>
    <t>Name</t>
  </si>
  <si>
    <t>Route Mile</t>
  </si>
  <si>
    <t>Category</t>
  </si>
  <si>
    <t>Run time</t>
  </si>
  <si>
    <t>Rest Time</t>
  </si>
  <si>
    <t>Total Time</t>
  </si>
  <si>
    <t>Run%</t>
  </si>
  <si>
    <t>Moving Avg</t>
  </si>
  <si>
    <t>0d07h57m</t>
  </si>
  <si>
    <t>1d03h12m</t>
  </si>
  <si>
    <t>1d14h19m</t>
  </si>
  <si>
    <t>2d13h47m</t>
  </si>
  <si>
    <t>3d13h53m</t>
  </si>
  <si>
    <t>4d10h30m</t>
  </si>
  <si>
    <t>5d00h33m</t>
  </si>
  <si>
    <t>5d09h45m</t>
  </si>
  <si>
    <t>6d06h25m</t>
  </si>
  <si>
    <t>6d20h11m</t>
  </si>
  <si>
    <t>7d06h48m</t>
  </si>
  <si>
    <t>8d03h46m</t>
  </si>
  <si>
    <t>8d17h27m</t>
  </si>
  <si>
    <t>9d12h55m</t>
  </si>
  <si>
    <t>10d11h39m</t>
  </si>
  <si>
    <t>11d13h13m</t>
  </si>
  <si>
    <t>12d18h22m</t>
  </si>
  <si>
    <t>14d07h27m</t>
  </si>
  <si>
    <t>14d16h21m</t>
  </si>
  <si>
    <t>0d08h01m</t>
  </si>
  <si>
    <t>1d06h36m</t>
  </si>
  <si>
    <t>1d17h53m</t>
  </si>
  <si>
    <t>3d01h47m</t>
  </si>
  <si>
    <t>4d00h48m</t>
  </si>
  <si>
    <t>4d19h14m</t>
  </si>
  <si>
    <t>5d06h11m</t>
  </si>
  <si>
    <t>5d15h33m</t>
  </si>
  <si>
    <t>6d16h46m</t>
  </si>
  <si>
    <t>7d04h19m</t>
  </si>
  <si>
    <t>7d13h20m</t>
  </si>
  <si>
    <t>8d10h54m</t>
  </si>
  <si>
    <t>9d08h22m</t>
  </si>
  <si>
    <t>10d05h39m</t>
  </si>
  <si>
    <t>11d05h52m</t>
  </si>
  <si>
    <t>12d16h31m</t>
  </si>
  <si>
    <t>13d13h03m</t>
  </si>
  <si>
    <t>14d18h29m</t>
  </si>
  <si>
    <t>15d08h02m</t>
  </si>
  <si>
    <t>0d08h27m</t>
  </si>
  <si>
    <t>1d07h31m</t>
  </si>
  <si>
    <t>1d22h30m</t>
  </si>
  <si>
    <t>3d03h52m</t>
  </si>
  <si>
    <t>4d02h57m</t>
  </si>
  <si>
    <t>5d05h01m</t>
  </si>
  <si>
    <t>5d13h58m</t>
  </si>
  <si>
    <t>6d04h25m</t>
  </si>
  <si>
    <t>7d04h11m</t>
  </si>
  <si>
    <t>7d17h12m</t>
  </si>
  <si>
    <t>8d03h14m</t>
  </si>
  <si>
    <t>9d02h56m</t>
  </si>
  <si>
    <t>9d23h02m</t>
  </si>
  <si>
    <t>10d11h28m</t>
  </si>
  <si>
    <t>11d09h51m</t>
  </si>
  <si>
    <t>13d00h19m</t>
  </si>
  <si>
    <t>13d22h34m</t>
  </si>
  <si>
    <t>15d03h27m</t>
  </si>
  <si>
    <t>15d13h01m</t>
  </si>
  <si>
    <t>0d10h40m</t>
  </si>
  <si>
    <t>1d09h33m</t>
  </si>
  <si>
    <t>2d04h14m</t>
  </si>
  <si>
    <t>3d09h18m</t>
  </si>
  <si>
    <t>4d06h54m</t>
  </si>
  <si>
    <t>5d06h24m</t>
  </si>
  <si>
    <t>5d14h24m</t>
  </si>
  <si>
    <t>6d04h36m</t>
  </si>
  <si>
    <t>7d05h04m</t>
  </si>
  <si>
    <t>7d17h13m</t>
  </si>
  <si>
    <t>8d03h13m</t>
  </si>
  <si>
    <t>9d05h50m</t>
  </si>
  <si>
    <t>10d04h36m</t>
  </si>
  <si>
    <t>11d00h03m</t>
  </si>
  <si>
    <t>11d14h46m</t>
  </si>
  <si>
    <t>13d00h23m</t>
  </si>
  <si>
    <t>14d01h08m</t>
  </si>
  <si>
    <t>15d05h51m</t>
  </si>
  <si>
    <t>15d15h31m</t>
  </si>
  <si>
    <t>0d09h07m</t>
  </si>
  <si>
    <t>1d12h20m</t>
  </si>
  <si>
    <t>2d04h50m</t>
  </si>
  <si>
    <t>3d09h43m</t>
  </si>
  <si>
    <t>4d09h17m</t>
  </si>
  <si>
    <t>5d09h25m</t>
  </si>
  <si>
    <t>6d00h59m</t>
  </si>
  <si>
    <t>6d09h57m</t>
  </si>
  <si>
    <t>7d21h57m</t>
  </si>
  <si>
    <t>8d04h30m</t>
  </si>
  <si>
    <t>8d22h39m</t>
  </si>
  <si>
    <t>9d15h07m</t>
  </si>
  <si>
    <t>10d12h31m</t>
  </si>
  <si>
    <t>11d06h58m</t>
  </si>
  <si>
    <t>12d05h18m</t>
  </si>
  <si>
    <t>13d07h28m</t>
  </si>
  <si>
    <t>14d06h55m</t>
  </si>
  <si>
    <t>15d10h14m</t>
  </si>
  <si>
    <t>15d20h05m</t>
  </si>
  <si>
    <t>0d08h30m</t>
  </si>
  <si>
    <t>1d11h28m</t>
  </si>
  <si>
    <t>2d02h50m</t>
  </si>
  <si>
    <t>3d09h19m</t>
  </si>
  <si>
    <t>4d21h58m</t>
  </si>
  <si>
    <t>5d16h53m</t>
  </si>
  <si>
    <t>6d08h35m</t>
  </si>
  <si>
    <t>6d18h05m</t>
  </si>
  <si>
    <t>8d01h50m</t>
  </si>
  <si>
    <t>8d08h39m</t>
  </si>
  <si>
    <t>9d00h28m</t>
  </si>
  <si>
    <t>10d02h26m</t>
  </si>
  <si>
    <t>10d18h29m</t>
  </si>
  <si>
    <t>11d12h28m</t>
  </si>
  <si>
    <t>12d11h41m</t>
  </si>
  <si>
    <t>13d16h27m</t>
  </si>
  <si>
    <t>14d14h24m</t>
  </si>
  <si>
    <t>15d16h50m</t>
  </si>
  <si>
    <t>16d03h37m</t>
  </si>
  <si>
    <t>0d08h00m</t>
  </si>
  <si>
    <t>1d09h59m</t>
  </si>
  <si>
    <t>2d03h18m</t>
  </si>
  <si>
    <t>3d07h33m</t>
  </si>
  <si>
    <t>4d06h17m</t>
  </si>
  <si>
    <t>5d06h51m</t>
  </si>
  <si>
    <t>5d14h38m</t>
  </si>
  <si>
    <t>6d04h34m</t>
  </si>
  <si>
    <t>7d04h13m</t>
  </si>
  <si>
    <t>7d17h22m</t>
  </si>
  <si>
    <t>8d03h07m</t>
  </si>
  <si>
    <t>9d05h53m</t>
  </si>
  <si>
    <t>10d04h19m</t>
  </si>
  <si>
    <t>11d00h05m</t>
  </si>
  <si>
    <t>11d14h48m</t>
  </si>
  <si>
    <t>13d07h20m</t>
  </si>
  <si>
    <t>14d08h10m</t>
  </si>
  <si>
    <t>15d12h11m</t>
  </si>
  <si>
    <t>16d03h55m</t>
  </si>
  <si>
    <t>0d09h21m</t>
  </si>
  <si>
    <t>1d11h30m</t>
  </si>
  <si>
    <t>2d05h49m</t>
  </si>
  <si>
    <t>3d10h43m</t>
  </si>
  <si>
    <t>4d11h15m</t>
  </si>
  <si>
    <t>5d13h41m</t>
  </si>
  <si>
    <t>6d04h24m</t>
  </si>
  <si>
    <t>6d15h36m</t>
  </si>
  <si>
    <t>8d00h26m</t>
  </si>
  <si>
    <t>8d08h07m</t>
  </si>
  <si>
    <t>9d00h33m</t>
  </si>
  <si>
    <t>10d02h35m</t>
  </si>
  <si>
    <t>11d00h23m</t>
  </si>
  <si>
    <t>11d15h24m</t>
  </si>
  <si>
    <t>12d15h50m</t>
  </si>
  <si>
    <t>14d02h02m</t>
  </si>
  <si>
    <t>15d02h17m</t>
  </si>
  <si>
    <t>16d06h43m</t>
  </si>
  <si>
    <t>16d15h45m</t>
  </si>
  <si>
    <t>0d09h06m</t>
  </si>
  <si>
    <t>1d12h23m</t>
  </si>
  <si>
    <t>2d06h49m</t>
  </si>
  <si>
    <t>3d12h44m</t>
  </si>
  <si>
    <t>4d15h41m</t>
  </si>
  <si>
    <t>5d18h42m</t>
  </si>
  <si>
    <t>6d09h50m</t>
  </si>
  <si>
    <t>7d02h39m</t>
  </si>
  <si>
    <t>8d08h23m</t>
  </si>
  <si>
    <t>8d16h19m</t>
  </si>
  <si>
    <t>9d07h46m</t>
  </si>
  <si>
    <t>10d07h25m</t>
  </si>
  <si>
    <t>11d03h41m</t>
  </si>
  <si>
    <t>12d01h34m</t>
  </si>
  <si>
    <t>13d00h54m</t>
  </si>
  <si>
    <t>14d05h17m</t>
  </si>
  <si>
    <t>15d06h19m</t>
  </si>
  <si>
    <t>16d06h46m</t>
  </si>
  <si>
    <t>16d18h51m</t>
  </si>
  <si>
    <t>0d09h54m</t>
  </si>
  <si>
    <t>1d14h16m</t>
  </si>
  <si>
    <t>2d08h39m</t>
  </si>
  <si>
    <t>3d15h05m</t>
  </si>
  <si>
    <t>4d16h13m</t>
  </si>
  <si>
    <t>6d01h50m</t>
  </si>
  <si>
    <t>6d10h23m</t>
  </si>
  <si>
    <t>7d03h03m</t>
  </si>
  <si>
    <t>8d08h40m</t>
  </si>
  <si>
    <t>8d23h42m</t>
  </si>
  <si>
    <t>9d08h57m</t>
  </si>
  <si>
    <t>10d08h20m</t>
  </si>
  <si>
    <t>11d05h03m</t>
  </si>
  <si>
    <t>11d18h34m</t>
  </si>
  <si>
    <t>13d03h51m</t>
  </si>
  <si>
    <t>14d09h09m</t>
  </si>
  <si>
    <t>15d07h18m</t>
  </si>
  <si>
    <t>16d16h58m</t>
  </si>
  <si>
    <t>17d10h32m</t>
  </si>
  <si>
    <t>0d08h51m</t>
  </si>
  <si>
    <t>1d12h56m</t>
  </si>
  <si>
    <t>2d06h24m</t>
  </si>
  <si>
    <t>4d00h02m</t>
  </si>
  <si>
    <t>5d00h05m</t>
  </si>
  <si>
    <t>6d02h15m</t>
  </si>
  <si>
    <t>6d12h35m</t>
  </si>
  <si>
    <t>7d06h08m</t>
  </si>
  <si>
    <t>8d12h07m</t>
  </si>
  <si>
    <t>9d06h55m</t>
  </si>
  <si>
    <t>10d02h23m</t>
  </si>
  <si>
    <t>11d01h59m</t>
  </si>
  <si>
    <t>11d16h15m</t>
  </si>
  <si>
    <t>12d10h38m</t>
  </si>
  <si>
    <t>13d11h17m</t>
  </si>
  <si>
    <t>14d23h27m</t>
  </si>
  <si>
    <t>16d04h14m</t>
  </si>
  <si>
    <t>17d13h54m</t>
  </si>
  <si>
    <t>18d10h33m</t>
  </si>
  <si>
    <t>0d09h42m</t>
  </si>
  <si>
    <t>1d14h15m</t>
  </si>
  <si>
    <t>2d10h57m</t>
  </si>
  <si>
    <t>4d03h00m</t>
  </si>
  <si>
    <t>5d08h18m</t>
  </si>
  <si>
    <t>6d14h38m</t>
  </si>
  <si>
    <t>7d07h42m</t>
  </si>
  <si>
    <t>8d02h08m</t>
  </si>
  <si>
    <t>9d08h26m</t>
  </si>
  <si>
    <t>10d00h16m</t>
  </si>
  <si>
    <t>10d10h56m</t>
  </si>
  <si>
    <t>11d10h38m</t>
  </si>
  <si>
    <t>12d09h31m</t>
  </si>
  <si>
    <t>13d07h05m</t>
  </si>
  <si>
    <t>14d08h08m</t>
  </si>
  <si>
    <t>15d13h43m</t>
  </si>
  <si>
    <t>17d03h00m</t>
  </si>
  <si>
    <t>18d14h03m</t>
  </si>
  <si>
    <t>19d00h44m</t>
  </si>
  <si>
    <t>0d09h49m</t>
  </si>
  <si>
    <t>1d15h03m</t>
  </si>
  <si>
    <t>2d13h01m</t>
  </si>
  <si>
    <t>4d07h35m</t>
  </si>
  <si>
    <t>5d10h40m</t>
  </si>
  <si>
    <t>6d14h29m</t>
  </si>
  <si>
    <t>7d08h12m</t>
  </si>
  <si>
    <t>8d02h48m</t>
  </si>
  <si>
    <t>9d09h35m</t>
  </si>
  <si>
    <t>10d00h15m</t>
  </si>
  <si>
    <t>10d10h59m</t>
  </si>
  <si>
    <t>12d09h03m</t>
  </si>
  <si>
    <t>13d06h47m</t>
  </si>
  <si>
    <t>14d08h12m</t>
  </si>
  <si>
    <t>15d12h33m</t>
  </si>
  <si>
    <t>17d02h55m</t>
  </si>
  <si>
    <t>18d14h04m</t>
  </si>
  <si>
    <t>19d01h02m</t>
  </si>
  <si>
    <t>0d10h09m</t>
  </si>
  <si>
    <t>1d14h06m</t>
  </si>
  <si>
    <t>2d09h46m</t>
  </si>
  <si>
    <t>3d23h44m</t>
  </si>
  <si>
    <t>5d02h53m</t>
  </si>
  <si>
    <t>6d06h13m</t>
  </si>
  <si>
    <t>6d16h26m</t>
  </si>
  <si>
    <t>7d09h55m</t>
  </si>
  <si>
    <t>8d23h35m</t>
  </si>
  <si>
    <t>9d07h03m</t>
  </si>
  <si>
    <t>10d01h59m</t>
  </si>
  <si>
    <t>11d02h22m</t>
  </si>
  <si>
    <t>12d03h01m</t>
  </si>
  <si>
    <t>13d01h48m</t>
  </si>
  <si>
    <t>14d05h05m</t>
  </si>
  <si>
    <t>15d23h23m</t>
  </si>
  <si>
    <t>17d06h10m</t>
  </si>
  <si>
    <t>18d14h08m</t>
  </si>
  <si>
    <t>19d01h08m</t>
  </si>
  <si>
    <t>0d10h28m</t>
  </si>
  <si>
    <t>1d17h19m</t>
  </si>
  <si>
    <t>2d13h27m</t>
  </si>
  <si>
    <t>4d10h37m</t>
  </si>
  <si>
    <t>6d08h16m</t>
  </si>
  <si>
    <t>7d08h39m</t>
  </si>
  <si>
    <t>8d00h16m</t>
  </si>
  <si>
    <t>8d09h52m</t>
  </si>
  <si>
    <t>9d21h43m</t>
  </si>
  <si>
    <t>10d03h45m</t>
  </si>
  <si>
    <t>10d15h42m</t>
  </si>
  <si>
    <t>11d14h55m</t>
  </si>
  <si>
    <t>12d14h47m</t>
  </si>
  <si>
    <t>13d10h26m</t>
  </si>
  <si>
    <t>14d13h47m</t>
  </si>
  <si>
    <t>16d03h02m</t>
  </si>
  <si>
    <t>17d08h33m</t>
  </si>
  <si>
    <t>18d17h03m</t>
  </si>
  <si>
    <t>19d09h02m</t>
  </si>
  <si>
    <t>0d11h10m</t>
  </si>
  <si>
    <t>1d17h21m</t>
  </si>
  <si>
    <t>2d13h23m</t>
  </si>
  <si>
    <t>4d10h08m</t>
  </si>
  <si>
    <t>5d23h44m</t>
  </si>
  <si>
    <t>7d02h58m</t>
  </si>
  <si>
    <t>7d13h59m</t>
  </si>
  <si>
    <t>8d06h22m</t>
  </si>
  <si>
    <t>9d12h51m</t>
  </si>
  <si>
    <t>10d02h51m</t>
  </si>
  <si>
    <t>10d14h41m</t>
  </si>
  <si>
    <t>11d15h34m</t>
  </si>
  <si>
    <t>12d15h16m</t>
  </si>
  <si>
    <t>13d10h39m</t>
  </si>
  <si>
    <t>14d13h33m</t>
  </si>
  <si>
    <t>16d02h58m</t>
  </si>
  <si>
    <t>17d08h34m</t>
  </si>
  <si>
    <t>19d09h03m</t>
  </si>
  <si>
    <t>0d10h41m</t>
  </si>
  <si>
    <t>2d14h37m</t>
  </si>
  <si>
    <t>4d10h27m</t>
  </si>
  <si>
    <t>5d15h26m</t>
  </si>
  <si>
    <t>7d03h27m</t>
  </si>
  <si>
    <t>7d14h36m</t>
  </si>
  <si>
    <t>8d06h44m</t>
  </si>
  <si>
    <t>9d13h52m</t>
  </si>
  <si>
    <t>10d04h41m</t>
  </si>
  <si>
    <t>10d15h58m</t>
  </si>
  <si>
    <t>11d16h29m</t>
  </si>
  <si>
    <t>12d13h51m</t>
  </si>
  <si>
    <t>13d11h13m</t>
  </si>
  <si>
    <t>14d13h05m</t>
  </si>
  <si>
    <t>16d08h46m</t>
  </si>
  <si>
    <t>17d13h39m</t>
  </si>
  <si>
    <t>19d01h01m</t>
  </si>
  <si>
    <t>19d15h50m</t>
  </si>
  <si>
    <t>0d11h36m</t>
  </si>
  <si>
    <t>2d11h41m</t>
  </si>
  <si>
    <t>5d06h28m</t>
  </si>
  <si>
    <t>6d01h10m</t>
  </si>
  <si>
    <t>7d05h50m</t>
  </si>
  <si>
    <t>8d03h05m</t>
  </si>
  <si>
    <t>8d10h41m</t>
  </si>
  <si>
    <t>9d23h07m</t>
  </si>
  <si>
    <t>10d04h55m</t>
  </si>
  <si>
    <t>10d15h09m</t>
  </si>
  <si>
    <t>12d02h13m</t>
  </si>
  <si>
    <t>13d01h10m</t>
  </si>
  <si>
    <t>16d05h17m</t>
  </si>
  <si>
    <t>18d01h35m</t>
  </si>
  <si>
    <t>19d06h20m</t>
  </si>
  <si>
    <t>19d16h07m</t>
  </si>
  <si>
    <t>0d10h01m</t>
  </si>
  <si>
    <t>1d16h42m</t>
  </si>
  <si>
    <t>2d13h26m</t>
  </si>
  <si>
    <t>4d15h35m</t>
  </si>
  <si>
    <t>6d02h04m</t>
  </si>
  <si>
    <t>7d05h46m</t>
  </si>
  <si>
    <t>8d00h18m</t>
  </si>
  <si>
    <t>8d09h23m</t>
  </si>
  <si>
    <t>9d22h59m</t>
  </si>
  <si>
    <t>10d04h50m</t>
  </si>
  <si>
    <t>10d15h52m</t>
  </si>
  <si>
    <t>11d14h41m</t>
  </si>
  <si>
    <t>12d12h56m</t>
  </si>
  <si>
    <t>13d11h41m</t>
  </si>
  <si>
    <t>17d00h27m</t>
  </si>
  <si>
    <t>18d05h28m</t>
  </si>
  <si>
    <t>19d08h54m</t>
  </si>
  <si>
    <t>19d21h08m</t>
  </si>
  <si>
    <t>0d10h23m</t>
  </si>
  <si>
    <t>1d19h48m</t>
  </si>
  <si>
    <t>3d03h22m</t>
  </si>
  <si>
    <t>5d11h38m</t>
  </si>
  <si>
    <t>6d15h10m</t>
  </si>
  <si>
    <t>7d19h29m</t>
  </si>
  <si>
    <t>8d11h53m</t>
  </si>
  <si>
    <t>9d05h39m</t>
  </si>
  <si>
    <t>10d22h42m</t>
  </si>
  <si>
    <t>11d06h32m</t>
  </si>
  <si>
    <t>11d16h12m</t>
  </si>
  <si>
    <t>13d02h36m</t>
  </si>
  <si>
    <t>13d18h07m</t>
  </si>
  <si>
    <t>14d15h08m</t>
  </si>
  <si>
    <t>15d16h27m</t>
  </si>
  <si>
    <t>17d08h46m</t>
  </si>
  <si>
    <t>18d07h50m</t>
  </si>
  <si>
    <t>19d15h22m</t>
  </si>
  <si>
    <t>19d23h22m</t>
  </si>
  <si>
    <t>0d10h22m</t>
  </si>
  <si>
    <t>1d15h43m</t>
  </si>
  <si>
    <t>2d12h51m</t>
  </si>
  <si>
    <t>4d08h47m</t>
  </si>
  <si>
    <t>5d23h40m</t>
  </si>
  <si>
    <t>7d06h03m</t>
  </si>
  <si>
    <t>8d00h33m</t>
  </si>
  <si>
    <t>8d12h28m</t>
  </si>
  <si>
    <t>10d07h33m</t>
  </si>
  <si>
    <t>10d13h50m</t>
  </si>
  <si>
    <t>13d08h36m</t>
  </si>
  <si>
    <t>14d05h29m</t>
  </si>
  <si>
    <t>15d10h49m</t>
  </si>
  <si>
    <t>17d04h51m</t>
  </si>
  <si>
    <t>18d06h37m</t>
  </si>
  <si>
    <t>19d13h39m</t>
  </si>
  <si>
    <t>20d00h08m</t>
  </si>
  <si>
    <t>0d10h34m</t>
  </si>
  <si>
    <t>1d19h49m</t>
  </si>
  <si>
    <t>2d15h48m</t>
  </si>
  <si>
    <t>5d11h47m</t>
  </si>
  <si>
    <t>6d15h16m</t>
  </si>
  <si>
    <t>7d18h51m</t>
  </si>
  <si>
    <t>8d10h34m</t>
  </si>
  <si>
    <t>9d05h23m</t>
  </si>
  <si>
    <t>10d22h43m</t>
  </si>
  <si>
    <t>11d06h14m</t>
  </si>
  <si>
    <t>11d14h20m</t>
  </si>
  <si>
    <t>13d02h44m</t>
  </si>
  <si>
    <t>14d15h01m</t>
  </si>
  <si>
    <t>15d15h39m</t>
  </si>
  <si>
    <t>17d13h10m</t>
  </si>
  <si>
    <t>18d13h06m</t>
  </si>
  <si>
    <t>19d17h41m</t>
  </si>
  <si>
    <t>20d08h51m</t>
  </si>
  <si>
    <t>0d11h20m</t>
  </si>
  <si>
    <t>2d05h30m</t>
  </si>
  <si>
    <t>3d05h20m</t>
  </si>
  <si>
    <t>5d08h19m</t>
  </si>
  <si>
    <t>6d23h26m</t>
  </si>
  <si>
    <t>8d04h24m</t>
  </si>
  <si>
    <t>8d13h34m</t>
  </si>
  <si>
    <t>9d09h44m</t>
  </si>
  <si>
    <t>10d12h58m</t>
  </si>
  <si>
    <t>11d04h28m</t>
  </si>
  <si>
    <t>11d14h08m</t>
  </si>
  <si>
    <t>13d02h49m</t>
  </si>
  <si>
    <t>14d02h49m</t>
  </si>
  <si>
    <t>14d15h39m</t>
  </si>
  <si>
    <t>15d16h09m</t>
  </si>
  <si>
    <t>17d10h06m</t>
  </si>
  <si>
    <t>18d11h10m</t>
  </si>
  <si>
    <t>19d15h42m</t>
  </si>
  <si>
    <t>20d10h54m</t>
  </si>
  <si>
    <t>0d10h32m</t>
  </si>
  <si>
    <t>2d02h56m</t>
  </si>
  <si>
    <t>3d02h30m</t>
  </si>
  <si>
    <t>5d13h14m</t>
  </si>
  <si>
    <t>7d02h06m</t>
  </si>
  <si>
    <t>8d06h31m</t>
  </si>
  <si>
    <t>8d14h35m</t>
  </si>
  <si>
    <t>9d08h55m</t>
  </si>
  <si>
    <t>11d03h17m</t>
  </si>
  <si>
    <t>11d10h07m</t>
  </si>
  <si>
    <t>12d03h07m</t>
  </si>
  <si>
    <t>13d04h35m</t>
  </si>
  <si>
    <t>14d03h18m</t>
  </si>
  <si>
    <t>15d00h48m</t>
  </si>
  <si>
    <t>15d16h06m</t>
  </si>
  <si>
    <t>17d07h57m</t>
  </si>
  <si>
    <t>18d09h11m</t>
  </si>
  <si>
    <t>20d01h01m</t>
  </si>
  <si>
    <t>20d11h08m</t>
  </si>
  <si>
    <t>1d03h19m</t>
  </si>
  <si>
    <t>2d04h18m</t>
  </si>
  <si>
    <t>3d03h00m</t>
  </si>
  <si>
    <t>5d09h00m</t>
  </si>
  <si>
    <t>6d11h46m</t>
  </si>
  <si>
    <t>8d02h21m</t>
  </si>
  <si>
    <t>8d12h06m</t>
  </si>
  <si>
    <t>9d06h52m</t>
  </si>
  <si>
    <t>11d04h57m</t>
  </si>
  <si>
    <t>11d11h29m</t>
  </si>
  <si>
    <t>12d03h24m</t>
  </si>
  <si>
    <t>13d04h14m</t>
  </si>
  <si>
    <t>14d02h35m</t>
  </si>
  <si>
    <t>15d00h40m</t>
  </si>
  <si>
    <t>20d05h34m</t>
  </si>
  <si>
    <t>20d09h57m</t>
  </si>
  <si>
    <t>21d05h57m</t>
  </si>
  <si>
    <t>0d10h18m</t>
  </si>
  <si>
    <t>1d22h46m</t>
  </si>
  <si>
    <t>3d00h24m</t>
  </si>
  <si>
    <t>5d06h31m</t>
  </si>
  <si>
    <t>6d13h03m</t>
  </si>
  <si>
    <t>8d01h49m</t>
  </si>
  <si>
    <t>8d11h01m</t>
  </si>
  <si>
    <t>9d06h41m</t>
  </si>
  <si>
    <t>10d11h54m</t>
  </si>
  <si>
    <t>11d01h15m</t>
  </si>
  <si>
    <t>11d10h08m</t>
  </si>
  <si>
    <t>12d16h30m</t>
  </si>
  <si>
    <t>13d18h29m</t>
  </si>
  <si>
    <t>15d03h57m</t>
  </si>
  <si>
    <t>16d08h20m</t>
  </si>
  <si>
    <t>18d02h13m</t>
  </si>
  <si>
    <t>19d03h56m</t>
  </si>
  <si>
    <t>20d17h18m</t>
  </si>
  <si>
    <t>21d13h50m</t>
  </si>
  <si>
    <t>0d11h25m</t>
  </si>
  <si>
    <t>2d10h10m</t>
  </si>
  <si>
    <t>3d11h34m</t>
  </si>
  <si>
    <t>6d14h19m</t>
  </si>
  <si>
    <t>8d01h23m</t>
  </si>
  <si>
    <t>9d17h04m</t>
  </si>
  <si>
    <t>10d12h00m</t>
  </si>
  <si>
    <t>12d00h32m</t>
  </si>
  <si>
    <t>12d09h13m</t>
  </si>
  <si>
    <t>13d04h38m</t>
  </si>
  <si>
    <t>14d05h55m</t>
  </si>
  <si>
    <t>15d08h03m</t>
  </si>
  <si>
    <t>16d08h18m</t>
  </si>
  <si>
    <t>17d13h57m</t>
  </si>
  <si>
    <t>19d02h35m</t>
  </si>
  <si>
    <t>20d02h29m</t>
  </si>
  <si>
    <t>21d10h34m</t>
  </si>
  <si>
    <t>22d02h09m</t>
  </si>
  <si>
    <t>0d10h43m</t>
  </si>
  <si>
    <t>2d03h14m</t>
  </si>
  <si>
    <t>3d03h37m</t>
  </si>
  <si>
    <t>6d02h54m</t>
  </si>
  <si>
    <t>7d07h43m</t>
  </si>
  <si>
    <t>8d12h54m</t>
  </si>
  <si>
    <t>9d06h45m</t>
  </si>
  <si>
    <t>10d01h16m</t>
  </si>
  <si>
    <t>11d15h49m</t>
  </si>
  <si>
    <t>12d03h53m</t>
  </si>
  <si>
    <t>12d12h58m</t>
  </si>
  <si>
    <t>14d01h48m</t>
  </si>
  <si>
    <t>15d02h31m</t>
  </si>
  <si>
    <t>16d00h18m</t>
  </si>
  <si>
    <t>17d07h55m</t>
  </si>
  <si>
    <t>19d10h28m</t>
  </si>
  <si>
    <t>20d10h41m</t>
  </si>
  <si>
    <t>22d00h16m</t>
  </si>
  <si>
    <t>22d07h38m</t>
  </si>
  <si>
    <t>0d12h14m</t>
  </si>
  <si>
    <t>4d06h03m</t>
  </si>
  <si>
    <t>6d05h09m</t>
  </si>
  <si>
    <t>7d12h41m</t>
  </si>
  <si>
    <t>9d03h43m</t>
  </si>
  <si>
    <t>9d15h15m</t>
  </si>
  <si>
    <t>10d11h59m</t>
  </si>
  <si>
    <t>12d00h41m</t>
  </si>
  <si>
    <t>12d07h28m</t>
  </si>
  <si>
    <t>13d01h31m</t>
  </si>
  <si>
    <t>14d04h14m</t>
  </si>
  <si>
    <t>15d05h15m</t>
  </si>
  <si>
    <t>16d05h21m</t>
  </si>
  <si>
    <t>17d12h41m</t>
  </si>
  <si>
    <t>19d01h18m</t>
  </si>
  <si>
    <t>20d09h02m</t>
  </si>
  <si>
    <t>21d15h50m</t>
  </si>
  <si>
    <t>22d07h45m</t>
  </si>
  <si>
    <t>0d12h09m</t>
  </si>
  <si>
    <t>2d07h07m</t>
  </si>
  <si>
    <t>3d07h22m</t>
  </si>
  <si>
    <t>6d00h23m</t>
  </si>
  <si>
    <t>7d04h20m</t>
  </si>
  <si>
    <t>8d11h43m</t>
  </si>
  <si>
    <t>9d06h18m</t>
  </si>
  <si>
    <t>10d01h20m</t>
  </si>
  <si>
    <t>11d23h11m</t>
  </si>
  <si>
    <t>12d05h14m</t>
  </si>
  <si>
    <t>12d14h20m</t>
  </si>
  <si>
    <t>14d01h56m</t>
  </si>
  <si>
    <t>15d02h29m</t>
  </si>
  <si>
    <t>17d07h50m</t>
  </si>
  <si>
    <t>19d00h39m</t>
  </si>
  <si>
    <t>20d10h43m</t>
  </si>
  <si>
    <t>21d15h44m</t>
  </si>
  <si>
    <t>22d08h26m</t>
  </si>
  <si>
    <t>0d12h05m</t>
  </si>
  <si>
    <t>2d05h21m</t>
  </si>
  <si>
    <t>5d23h29m</t>
  </si>
  <si>
    <t>6d00h31m</t>
  </si>
  <si>
    <t>7d03h14m</t>
  </si>
  <si>
    <t>8d10h01m</t>
  </si>
  <si>
    <t>9d07h32m</t>
  </si>
  <si>
    <t>11d12h55m</t>
  </si>
  <si>
    <t>12d03h39m</t>
  </si>
  <si>
    <t>12d13h16m</t>
  </si>
  <si>
    <t>13d23h05m</t>
  </si>
  <si>
    <t>15d00h04m</t>
  </si>
  <si>
    <t>15d14h51m</t>
  </si>
  <si>
    <t>17d08h51m</t>
  </si>
  <si>
    <t>18d13h30m</t>
  </si>
  <si>
    <t>20d02h17m</t>
  </si>
  <si>
    <t>21d11h00m</t>
  </si>
  <si>
    <t>22d17h05m</t>
  </si>
  <si>
    <t>0d11h00m</t>
  </si>
  <si>
    <t>3d02h03m</t>
  </si>
  <si>
    <t>5d08h31m</t>
  </si>
  <si>
    <t>6d12h38m</t>
  </si>
  <si>
    <t>8d03h21m</t>
  </si>
  <si>
    <t>9d00h51m</t>
  </si>
  <si>
    <t>9d09h48m</t>
  </si>
  <si>
    <t>12d10h48m</t>
  </si>
  <si>
    <t>12d16h56m</t>
  </si>
  <si>
    <t>15d08h31m</t>
  </si>
  <si>
    <t>16d09h07m</t>
  </si>
  <si>
    <t>18d01h54m</t>
  </si>
  <si>
    <t>19d10h31m</t>
  </si>
  <si>
    <t>20d12h00m</t>
  </si>
  <si>
    <t>22d05h01m</t>
  </si>
  <si>
    <t>22d17h06m</t>
  </si>
  <si>
    <t>0d12h36m</t>
  </si>
  <si>
    <t>4d03h43m</t>
  </si>
  <si>
    <t>6d12h40m</t>
  </si>
  <si>
    <t>8d05h22m</t>
  </si>
  <si>
    <t>9d11h53m</t>
  </si>
  <si>
    <t>10d07h52m</t>
  </si>
  <si>
    <t>11d04h48m</t>
  </si>
  <si>
    <t>12d10h00m</t>
  </si>
  <si>
    <t>12d17h31m</t>
  </si>
  <si>
    <t>13d11h12m</t>
  </si>
  <si>
    <t>14d15h45m</t>
  </si>
  <si>
    <t>16d04h50m</t>
  </si>
  <si>
    <t>18d13h24m</t>
  </si>
  <si>
    <t>20d06h13m</t>
  </si>
  <si>
    <t>21d06h17m</t>
  </si>
  <si>
    <t>22d12h56m</t>
  </si>
  <si>
    <t>23d06h20m</t>
  </si>
  <si>
    <t>0d11h26m</t>
  </si>
  <si>
    <t>2d07h59m</t>
  </si>
  <si>
    <t>3d11h17m</t>
  </si>
  <si>
    <t>6d04h42m</t>
  </si>
  <si>
    <t>7d10h23m</t>
  </si>
  <si>
    <t>9d01h48m</t>
  </si>
  <si>
    <t>9d22h41m</t>
  </si>
  <si>
    <t>10d09h19m</t>
  </si>
  <si>
    <t>12d04h23m</t>
  </si>
  <si>
    <t>12d11h33m</t>
  </si>
  <si>
    <t>13d06h53m</t>
  </si>
  <si>
    <t>14d10h41m</t>
  </si>
  <si>
    <t>15d11h22m</t>
  </si>
  <si>
    <t>16d14h34m</t>
  </si>
  <si>
    <t>18d03h44m</t>
  </si>
  <si>
    <t>20d00h13m</t>
  </si>
  <si>
    <t>21d03h40m</t>
  </si>
  <si>
    <t>22d13h09m</t>
  </si>
  <si>
    <t>23d07h19m</t>
  </si>
  <si>
    <t>0d08h26m</t>
  </si>
  <si>
    <t>1d09h51m</t>
  </si>
  <si>
    <t>2d05h02m</t>
  </si>
  <si>
    <t>3d10h28m</t>
  </si>
  <si>
    <t>6d14h56m</t>
  </si>
  <si>
    <t>8d04h16m</t>
  </si>
  <si>
    <t>8d12h30m</t>
  </si>
  <si>
    <t>9d09h07m</t>
  </si>
  <si>
    <t>10d11h00m</t>
  </si>
  <si>
    <t>11d01h03m</t>
  </si>
  <si>
    <t>11d11h35m</t>
  </si>
  <si>
    <t>13d07h10m</t>
  </si>
  <si>
    <t>16d04h53m</t>
  </si>
  <si>
    <t>19d00h35m</t>
  </si>
  <si>
    <t>20d06h27m</t>
  </si>
  <si>
    <t>21d09h12m</t>
  </si>
  <si>
    <t>22d23h49m</t>
  </si>
  <si>
    <t>23d09h46m</t>
  </si>
  <si>
    <t>0d13h51m</t>
  </si>
  <si>
    <t>2d07h08m</t>
  </si>
  <si>
    <t>3d04h49m</t>
  </si>
  <si>
    <t>5d23h45m</t>
  </si>
  <si>
    <t>8d01h00m</t>
  </si>
  <si>
    <t>9d08h11m</t>
  </si>
  <si>
    <t>10d02h52m</t>
  </si>
  <si>
    <t>11d06h22m</t>
  </si>
  <si>
    <t>13d02h31m</t>
  </si>
  <si>
    <t>13d09h51m</t>
  </si>
  <si>
    <t>14d04h01m</t>
  </si>
  <si>
    <t>16d07h22m</t>
  </si>
  <si>
    <t>17d12h01m</t>
  </si>
  <si>
    <t>19d00h22m</t>
  </si>
  <si>
    <t>20d09h17m</t>
  </si>
  <si>
    <t>21d08h08m</t>
  </si>
  <si>
    <t>22d16h19m</t>
  </si>
  <si>
    <t>23d10h08m</t>
  </si>
  <si>
    <t>0d12h37m</t>
  </si>
  <si>
    <t>2d12h06m</t>
  </si>
  <si>
    <t>4d03h19m</t>
  </si>
  <si>
    <t>6d08h36m</t>
  </si>
  <si>
    <t>8d00h30m</t>
  </si>
  <si>
    <t>9d07h35m</t>
  </si>
  <si>
    <t>10d04h49m</t>
  </si>
  <si>
    <t>11d04h34m</t>
  </si>
  <si>
    <t>13d00h55m</t>
  </si>
  <si>
    <t>13d07h52m</t>
  </si>
  <si>
    <t>14d04h45m</t>
  </si>
  <si>
    <t>15d07h15m</t>
  </si>
  <si>
    <t>16d10h35m</t>
  </si>
  <si>
    <t>17d11h55m</t>
  </si>
  <si>
    <t>18d16h47m</t>
  </si>
  <si>
    <t>20d06h09m</t>
  </si>
  <si>
    <t>21d07h06m</t>
  </si>
  <si>
    <t>22d16h30m</t>
  </si>
  <si>
    <t>23d11h02m</t>
  </si>
  <si>
    <t>0d11h43m</t>
  </si>
  <si>
    <t>2d13h10m</t>
  </si>
  <si>
    <t>4d03h10m</t>
  </si>
  <si>
    <t>6d10h32m</t>
  </si>
  <si>
    <t>8d04h34m</t>
  </si>
  <si>
    <t>9d11h15m</t>
  </si>
  <si>
    <t>10d04h59m</t>
  </si>
  <si>
    <t>13d00h11m</t>
  </si>
  <si>
    <t>13d08h12m</t>
  </si>
  <si>
    <t>14d04h03m</t>
  </si>
  <si>
    <t>15d05h39m</t>
  </si>
  <si>
    <t>16d06h09m</t>
  </si>
  <si>
    <t>17d05h30m</t>
  </si>
  <si>
    <t>18d12h33m</t>
  </si>
  <si>
    <t>20d06h31m</t>
  </si>
  <si>
    <t>21d12h06m</t>
  </si>
  <si>
    <t>23d05h51m</t>
  </si>
  <si>
    <t>24d00h21m</t>
  </si>
  <si>
    <t>0d10h53m</t>
  </si>
  <si>
    <t>2d05h06m</t>
  </si>
  <si>
    <t>3d04h05m</t>
  </si>
  <si>
    <t>6d00h34m</t>
  </si>
  <si>
    <t>7d06h17m</t>
  </si>
  <si>
    <t>9d01h00m</t>
  </si>
  <si>
    <t>9d11h44m</t>
  </si>
  <si>
    <t>10d09h20m</t>
  </si>
  <si>
    <t>12d01h32m</t>
  </si>
  <si>
    <t>12d08h04m</t>
  </si>
  <si>
    <t>13d08h58m</t>
  </si>
  <si>
    <t>14d13h48m</t>
  </si>
  <si>
    <t>16d02h23m</t>
  </si>
  <si>
    <t>17d05h39m</t>
  </si>
  <si>
    <t>18d10h34m</t>
  </si>
  <si>
    <t>20d08h35m</t>
  </si>
  <si>
    <t>22d01h58m</t>
  </si>
  <si>
    <t>23d11h34m</t>
  </si>
  <si>
    <t>24d07h43m</t>
  </si>
  <si>
    <t>0d11h27m</t>
  </si>
  <si>
    <t>2d06h37m</t>
  </si>
  <si>
    <t>3d06h50m</t>
  </si>
  <si>
    <t>6d00h37m</t>
  </si>
  <si>
    <t>7d06h16m</t>
  </si>
  <si>
    <t>9d00h58m</t>
  </si>
  <si>
    <t>10d09h51m</t>
  </si>
  <si>
    <t>12d02h59m</t>
  </si>
  <si>
    <t>13d00h26m</t>
  </si>
  <si>
    <t>13d09h04m</t>
  </si>
  <si>
    <t>14d13h46m</t>
  </si>
  <si>
    <t>17d05h43m</t>
  </si>
  <si>
    <t>18d10h30m</t>
  </si>
  <si>
    <t>21d15h40m</t>
  </si>
  <si>
    <t>23d11h42m</t>
  </si>
  <si>
    <t>24d07h47m</t>
  </si>
  <si>
    <t>0d11h23m</t>
  </si>
  <si>
    <t>2d09h19m</t>
  </si>
  <si>
    <t>3d11h04m</t>
  </si>
  <si>
    <t>6d04h45m</t>
  </si>
  <si>
    <t>8d07h55m</t>
  </si>
  <si>
    <t>9d11h28m</t>
  </si>
  <si>
    <t>10d07h35m</t>
  </si>
  <si>
    <t>11d04h01m</t>
  </si>
  <si>
    <t>12d11h48m</t>
  </si>
  <si>
    <t>13d01h30m</t>
  </si>
  <si>
    <t>13d12h39m</t>
  </si>
  <si>
    <t>15d05h18m</t>
  </si>
  <si>
    <t>16d09h02m</t>
  </si>
  <si>
    <t>17d12h14m</t>
  </si>
  <si>
    <t>19d02h04m</t>
  </si>
  <si>
    <t>20d22h22m</t>
  </si>
  <si>
    <t>22d04h37m</t>
  </si>
  <si>
    <t>23d16h26m</t>
  </si>
  <si>
    <t>24d09h02m</t>
  </si>
  <si>
    <t>0d12h08m</t>
  </si>
  <si>
    <t>2d07h18m</t>
  </si>
  <si>
    <t>4d22h14m</t>
  </si>
  <si>
    <t>6d09h54m</t>
  </si>
  <si>
    <t>8d01h30m</t>
  </si>
  <si>
    <t>9d11h46m</t>
  </si>
  <si>
    <t>10d07h42m</t>
  </si>
  <si>
    <t>11d04h32m</t>
  </si>
  <si>
    <t>12d11h46m</t>
  </si>
  <si>
    <t>13d04h48m</t>
  </si>
  <si>
    <t>13d16h33m</t>
  </si>
  <si>
    <t>15d06h01m</t>
  </si>
  <si>
    <t>16d09h51m</t>
  </si>
  <si>
    <t>17d11h44m</t>
  </si>
  <si>
    <t>19d03h40m</t>
  </si>
  <si>
    <t>20d22h52m</t>
  </si>
  <si>
    <t>22d04h40m</t>
  </si>
  <si>
    <t>23d16h27m</t>
  </si>
  <si>
    <t>24d10h03m</t>
  </si>
  <si>
    <t>0d11h52m</t>
  </si>
  <si>
    <t>2d10h58m</t>
  </si>
  <si>
    <t>3d12h09m</t>
  </si>
  <si>
    <t>6d03h54m</t>
  </si>
  <si>
    <t>7d23h10m</t>
  </si>
  <si>
    <t>9d07h22m</t>
  </si>
  <si>
    <t>10d06h32m</t>
  </si>
  <si>
    <t>11d04h09m</t>
  </si>
  <si>
    <t>12d13h07m</t>
  </si>
  <si>
    <t>13d05h45m</t>
  </si>
  <si>
    <t>14d01h36m</t>
  </si>
  <si>
    <t>15d08h12m</t>
  </si>
  <si>
    <t>16d11h52m</t>
  </si>
  <si>
    <t>17d13h42m</t>
  </si>
  <si>
    <t>19d04h10m</t>
  </si>
  <si>
    <t>21d00h34m</t>
  </si>
  <si>
    <t>22d06h58m</t>
  </si>
  <si>
    <t>24d03h56m</t>
  </si>
  <si>
    <t>24d15h36m</t>
  </si>
  <si>
    <t>0d11h08m</t>
  </si>
  <si>
    <t>2d11h02m</t>
  </si>
  <si>
    <t>3d12h10m</t>
  </si>
  <si>
    <t>6d03h51m</t>
  </si>
  <si>
    <t>7d23h08m</t>
  </si>
  <si>
    <t>11d04h12m</t>
  </si>
  <si>
    <t>13d00h07m</t>
  </si>
  <si>
    <t>14d01h37m</t>
  </si>
  <si>
    <t>15d08h37m</t>
  </si>
  <si>
    <t>16d11h51m</t>
  </si>
  <si>
    <t>17d12h35m</t>
  </si>
  <si>
    <t>19d04h07m</t>
  </si>
  <si>
    <t>21d00h27m</t>
  </si>
  <si>
    <t>22d06h48m</t>
  </si>
  <si>
    <t>24d04h08m</t>
  </si>
  <si>
    <t>24d15h39m</t>
  </si>
  <si>
    <t>0d11h55m</t>
  </si>
  <si>
    <t>2d10h54m</t>
  </si>
  <si>
    <t>3d12h07m</t>
  </si>
  <si>
    <t>7d23h11m</t>
  </si>
  <si>
    <t>9d07h27m</t>
  </si>
  <si>
    <t>10d06h30m</t>
  </si>
  <si>
    <t>11d04h10m</t>
  </si>
  <si>
    <t>12d13h15m</t>
  </si>
  <si>
    <t>13d05h44m</t>
  </si>
  <si>
    <t>14d01h45m</t>
  </si>
  <si>
    <t>16d11h54m</t>
  </si>
  <si>
    <t>17d13h36m</t>
  </si>
  <si>
    <t>19d04h08m</t>
  </si>
  <si>
    <t>21d00h30m</t>
  </si>
  <si>
    <t>22d07h08m</t>
  </si>
  <si>
    <t>24d04h01m</t>
  </si>
  <si>
    <t>24d15h41m</t>
  </si>
  <si>
    <t>0d12h06m</t>
  </si>
  <si>
    <t>2d10h19m</t>
  </si>
  <si>
    <t>3d23h47m</t>
  </si>
  <si>
    <t>6d00h40m</t>
  </si>
  <si>
    <t>7d21h24m</t>
  </si>
  <si>
    <t>9d05h18m</t>
  </si>
  <si>
    <t>9d17h21m</t>
  </si>
  <si>
    <t>12d03h45m</t>
  </si>
  <si>
    <t>12d11h36m</t>
  </si>
  <si>
    <t>13d08h47m</t>
  </si>
  <si>
    <t>14d15h14m</t>
  </si>
  <si>
    <t>16d04h52m</t>
  </si>
  <si>
    <t>17d08h52m</t>
  </si>
  <si>
    <t>19d04h03m</t>
  </si>
  <si>
    <t>21d00h21m</t>
  </si>
  <si>
    <t>22d06h30m</t>
  </si>
  <si>
    <t>24d05h35m</t>
  </si>
  <si>
    <t>24d19h26m</t>
  </si>
  <si>
    <t>0d12h10m</t>
  </si>
  <si>
    <t>2d00h57m</t>
  </si>
  <si>
    <t>3d03h39m</t>
  </si>
  <si>
    <t>5d22h11m</t>
  </si>
  <si>
    <t>7d12h09m</t>
  </si>
  <si>
    <t>9d05h06m</t>
  </si>
  <si>
    <t>9d17h13m</t>
  </si>
  <si>
    <t>10d13h14m</t>
  </si>
  <si>
    <t>12d04h29m</t>
  </si>
  <si>
    <t>12d12h45m</t>
  </si>
  <si>
    <t>13d08h25m</t>
  </si>
  <si>
    <t>14d12h58m</t>
  </si>
  <si>
    <t>16d00h28m</t>
  </si>
  <si>
    <t>18d01h20m</t>
  </si>
  <si>
    <t>19d09h58m</t>
  </si>
  <si>
    <t>21d07h28m</t>
  </si>
  <si>
    <t>22d15h32m</t>
  </si>
  <si>
    <t>25d01h18m</t>
  </si>
  <si>
    <t>25d13h54m</t>
  </si>
  <si>
    <t>0d12h32m</t>
  </si>
  <si>
    <t>2d12h58m</t>
  </si>
  <si>
    <t>4d01h10m</t>
  </si>
  <si>
    <t>6d08h39m</t>
  </si>
  <si>
    <t>8d05h27m</t>
  </si>
  <si>
    <t>9d12h59m</t>
  </si>
  <si>
    <t>10d09h09m</t>
  </si>
  <si>
    <t>11d05h27m</t>
  </si>
  <si>
    <t>12d23h45m</t>
  </si>
  <si>
    <t>13d08h22m</t>
  </si>
  <si>
    <t>14d05h09m</t>
  </si>
  <si>
    <t>15d14h06m</t>
  </si>
  <si>
    <t>17d04h47m</t>
  </si>
  <si>
    <t>18d05h39m</t>
  </si>
  <si>
    <t>19d14h12m</t>
  </si>
  <si>
    <t>21d22h13m</t>
  </si>
  <si>
    <t>23d06h59m</t>
  </si>
  <si>
    <t>25d08h48m</t>
  </si>
  <si>
    <t>25d23h19m</t>
  </si>
  <si>
    <t>2d10h07m</t>
  </si>
  <si>
    <t>3d12h58m</t>
  </si>
  <si>
    <t>6d11h28m</t>
  </si>
  <si>
    <t>8d05h16m</t>
  </si>
  <si>
    <t>10d08h37m</t>
  </si>
  <si>
    <t>11d07h15m</t>
  </si>
  <si>
    <t>14d04h13m</t>
  </si>
  <si>
    <t>15d11h29m</t>
  </si>
  <si>
    <t>17d07h46m</t>
  </si>
  <si>
    <t>18d06h54m</t>
  </si>
  <si>
    <t>19d13h07m</t>
  </si>
  <si>
    <t>21d23h48m</t>
  </si>
  <si>
    <t>23d05h34m</t>
  </si>
  <si>
    <t>25d10h05m</t>
  </si>
  <si>
    <t>26d03h21m</t>
  </si>
  <si>
    <t>0d22h19m</t>
  </si>
  <si>
    <t>2d15h06m</t>
  </si>
  <si>
    <t>5d11h09m</t>
  </si>
  <si>
    <t>7d23h27m</t>
  </si>
  <si>
    <t>9d06h48m</t>
  </si>
  <si>
    <t>10d15h46m</t>
  </si>
  <si>
    <t>11d11h53m</t>
  </si>
  <si>
    <t>12d08h49m</t>
  </si>
  <si>
    <t>14d03h39m</t>
  </si>
  <si>
    <t>14d09h42m</t>
  </si>
  <si>
    <t>15d04h19m</t>
  </si>
  <si>
    <t>16d09h47m</t>
  </si>
  <si>
    <t>17d13h46m</t>
  </si>
  <si>
    <t>18d13h14m</t>
  </si>
  <si>
    <t>20d06h36m</t>
  </si>
  <si>
    <t>22d08h23m</t>
  </si>
  <si>
    <t>24d05h42m</t>
  </si>
  <si>
    <t>26d07h03m</t>
  </si>
  <si>
    <t>26d21h27m</t>
  </si>
  <si>
    <t>0d13h13m</t>
  </si>
  <si>
    <t>2d14h36m</t>
  </si>
  <si>
    <t>3d15h26m</t>
  </si>
  <si>
    <t>6d23h04m</t>
  </si>
  <si>
    <t>8d09h54m</t>
  </si>
  <si>
    <t>10d12h04m</t>
  </si>
  <si>
    <t>11d07h24m</t>
  </si>
  <si>
    <t>12d03h50m</t>
  </si>
  <si>
    <t>13d12h20m</t>
  </si>
  <si>
    <t>14d06h50m</t>
  </si>
  <si>
    <t>15d03h10m</t>
  </si>
  <si>
    <t>16d06h40m</t>
  </si>
  <si>
    <t>17d13h51m</t>
  </si>
  <si>
    <t>18d15h36m</t>
  </si>
  <si>
    <t>20d07h07m</t>
  </si>
  <si>
    <t>22d08h27m</t>
  </si>
  <si>
    <t>24d05h25m</t>
  </si>
  <si>
    <t>26d08h25m</t>
  </si>
  <si>
    <t>27d01h45m</t>
  </si>
  <si>
    <t>1d00h17m</t>
  </si>
  <si>
    <t>2d15h34m</t>
  </si>
  <si>
    <t>4d01h39m</t>
  </si>
  <si>
    <t>6d08h22m</t>
  </si>
  <si>
    <t>8d05h30m</t>
  </si>
  <si>
    <t>9d13h24m</t>
  </si>
  <si>
    <t>11d05h56m</t>
  </si>
  <si>
    <t>13d10h56m</t>
  </si>
  <si>
    <t>14d09h47m</t>
  </si>
  <si>
    <t>15d15h53m</t>
  </si>
  <si>
    <t>17d05h28m</t>
  </si>
  <si>
    <t>18d11h29m</t>
  </si>
  <si>
    <t>20d05h45m</t>
  </si>
  <si>
    <t>22d21h58m</t>
  </si>
  <si>
    <t>24d06h28m</t>
  </si>
  <si>
    <t>26d09h36m</t>
  </si>
  <si>
    <t>27d06h58m</t>
  </si>
  <si>
    <t>1d00h21m</t>
  </si>
  <si>
    <t>2d15h35m</t>
  </si>
  <si>
    <t>4d01h45m</t>
  </si>
  <si>
    <t>6d08h19m</t>
  </si>
  <si>
    <t>8d05h36m</t>
  </si>
  <si>
    <t>9d13h25m</t>
  </si>
  <si>
    <t>10d09h41m</t>
  </si>
  <si>
    <t>13d02h38m</t>
  </si>
  <si>
    <t>13d22h31m</t>
  </si>
  <si>
    <t>14d09h40m</t>
  </si>
  <si>
    <t>15d15h52m</t>
  </si>
  <si>
    <t>17d05h27m</t>
  </si>
  <si>
    <t>22d21h57m</t>
  </si>
  <si>
    <t>24d06h33m</t>
  </si>
  <si>
    <t>26d09h35m</t>
  </si>
  <si>
    <t>27d07h00m</t>
  </si>
  <si>
    <t>1d03h37m</t>
  </si>
  <si>
    <t>3d04h56m</t>
  </si>
  <si>
    <t>5d03h54m</t>
  </si>
  <si>
    <t>7d07h27m</t>
  </si>
  <si>
    <t>9d07h04m</t>
  </si>
  <si>
    <t>11d05h50m</t>
  </si>
  <si>
    <t>12d03h03m</t>
  </si>
  <si>
    <t>12d14h41m</t>
  </si>
  <si>
    <t>14d09h15m</t>
  </si>
  <si>
    <t>15d03h53m</t>
  </si>
  <si>
    <t>16d01h46m</t>
  </si>
  <si>
    <t>17d08h40m</t>
  </si>
  <si>
    <t>18d23h03m</t>
  </si>
  <si>
    <t>19d13h59m</t>
  </si>
  <si>
    <t>21d06h33m</t>
  </si>
  <si>
    <t>23d07h08m</t>
  </si>
  <si>
    <t>25d03h37m</t>
  </si>
  <si>
    <t>26d15h31m</t>
  </si>
  <si>
    <t>27d08h43m</t>
  </si>
  <si>
    <t>0d11h56m</t>
  </si>
  <si>
    <t>3d05h16m</t>
  </si>
  <si>
    <t>5d09h04m</t>
  </si>
  <si>
    <t>7d11h32m</t>
  </si>
  <si>
    <t>9d09h50m</t>
  </si>
  <si>
    <t>11d10h00m</t>
  </si>
  <si>
    <t>12d07h23m</t>
  </si>
  <si>
    <t>13d05h01m</t>
  </si>
  <si>
    <t>15d02h13m</t>
  </si>
  <si>
    <t>15d08h10m</t>
  </si>
  <si>
    <t>16d07h24m</t>
  </si>
  <si>
    <t>17d10h46m</t>
  </si>
  <si>
    <t>18d15h21m</t>
  </si>
  <si>
    <t>20d05h32m</t>
  </si>
  <si>
    <t>22d02h27m</t>
  </si>
  <si>
    <t>24d01h21m</t>
  </si>
  <si>
    <t>25d06h59m</t>
  </si>
  <si>
    <t>26d14h43m</t>
  </si>
  <si>
    <t>27d11h47m</t>
  </si>
  <si>
    <t>1d00h20m</t>
  </si>
  <si>
    <t>3d06h27m</t>
  </si>
  <si>
    <t>5d23h26m</t>
  </si>
  <si>
    <t>7d23h44m</t>
  </si>
  <si>
    <t>9d09h19m</t>
  </si>
  <si>
    <t>11d10h26m</t>
  </si>
  <si>
    <t>12d06h02m</t>
  </si>
  <si>
    <t>13d05h50m</t>
  </si>
  <si>
    <t>15d00h02m</t>
  </si>
  <si>
    <t>15d09h03m</t>
  </si>
  <si>
    <t>16d06h29m</t>
  </si>
  <si>
    <t>17d12h37m</t>
  </si>
  <si>
    <t>20d01h28m</t>
  </si>
  <si>
    <t>21d11h54m</t>
  </si>
  <si>
    <t>24d00h51m</t>
  </si>
  <si>
    <t>25d06h12m</t>
  </si>
  <si>
    <t>26d23h48m</t>
  </si>
  <si>
    <t>0d13h02m</t>
  </si>
  <si>
    <t>3d13h02m</t>
  </si>
  <si>
    <t>6d01h06m</t>
  </si>
  <si>
    <t>8d01h31m</t>
  </si>
  <si>
    <t>9d10h47m</t>
  </si>
  <si>
    <t>11d10h22m</t>
  </si>
  <si>
    <t>12d07h25m</t>
  </si>
  <si>
    <t>15d01h52m</t>
  </si>
  <si>
    <t>15d09h00m</t>
  </si>
  <si>
    <t>16d08h26m</t>
  </si>
  <si>
    <t>17d11h54m</t>
  </si>
  <si>
    <t>18d16h33m</t>
  </si>
  <si>
    <t>20d05h38m</t>
  </si>
  <si>
    <t>22d02h36m</t>
  </si>
  <si>
    <t>23d13h15m</t>
  </si>
  <si>
    <t>25d11h07m</t>
  </si>
  <si>
    <t>26d18h04m</t>
  </si>
  <si>
    <t>27d11h50m</t>
  </si>
  <si>
    <t>1d00h22m</t>
  </si>
  <si>
    <t>2d13h24m</t>
  </si>
  <si>
    <t>5d13h12m</t>
  </si>
  <si>
    <t>8d00h45m</t>
  </si>
  <si>
    <t>9d10h02m</t>
  </si>
  <si>
    <t>11d10h16m</t>
  </si>
  <si>
    <t>13d06h40m</t>
  </si>
  <si>
    <t>15d01h28m</t>
  </si>
  <si>
    <t>15d07h55m</t>
  </si>
  <si>
    <t>16d08h04m</t>
  </si>
  <si>
    <t>17d11h49m</t>
  </si>
  <si>
    <t>18d15h27m</t>
  </si>
  <si>
    <t>20d05h28m</t>
  </si>
  <si>
    <t>24d00h09m</t>
  </si>
  <si>
    <t>25d06h58m</t>
  </si>
  <si>
    <t>26d14h42m</t>
  </si>
  <si>
    <t>27d11h52m</t>
  </si>
  <si>
    <t>0d14h07m</t>
  </si>
  <si>
    <t>3d00h08m</t>
  </si>
  <si>
    <t>5d12h42m</t>
  </si>
  <si>
    <t>7d22h44m</t>
  </si>
  <si>
    <t>9d09h38m</t>
  </si>
  <si>
    <t>11d06h24m</t>
  </si>
  <si>
    <t>12d23h37m</t>
  </si>
  <si>
    <t>14d11h38m</t>
  </si>
  <si>
    <t>15d06h58m</t>
  </si>
  <si>
    <t>16d02h47m</t>
  </si>
  <si>
    <t>17d10h03m</t>
  </si>
  <si>
    <t>18d14h23m</t>
  </si>
  <si>
    <t>20d01h43m</t>
  </si>
  <si>
    <t>21d12h50m</t>
  </si>
  <si>
    <t>23d12h51m</t>
  </si>
  <si>
    <t>25d06h28m</t>
  </si>
  <si>
    <t>27d04h31m</t>
  </si>
  <si>
    <t>27d18h34m</t>
  </si>
  <si>
    <t>0d14h01m</t>
  </si>
  <si>
    <t>3d05h11m</t>
  </si>
  <si>
    <t>5d02h48m</t>
  </si>
  <si>
    <t>7d06h43m</t>
  </si>
  <si>
    <t>9d06h21m</t>
  </si>
  <si>
    <t>11d06h26m</t>
  </si>
  <si>
    <t>12d03h46m</t>
  </si>
  <si>
    <t>13d01h56m</t>
  </si>
  <si>
    <t>15d01h10m</t>
  </si>
  <si>
    <t>15d10h20m</t>
  </si>
  <si>
    <t>17d12h45m</t>
  </si>
  <si>
    <t>18d16h08m</t>
  </si>
  <si>
    <t>19d16h08m</t>
  </si>
  <si>
    <t>21d11h18m</t>
  </si>
  <si>
    <t>23d14h17m</t>
  </si>
  <si>
    <t>25d08h07m</t>
  </si>
  <si>
    <t>27d05h28m</t>
  </si>
  <si>
    <t>28d00h28m</t>
  </si>
  <si>
    <t>0d14h06m</t>
  </si>
  <si>
    <t>2d11h45m</t>
  </si>
  <si>
    <t>4d01h17m</t>
  </si>
  <si>
    <t>6d10h49m</t>
  </si>
  <si>
    <t>11d06h29m</t>
  </si>
  <si>
    <t>12d03h30m</t>
  </si>
  <si>
    <t>13d02h14m</t>
  </si>
  <si>
    <t>15d01h34m</t>
  </si>
  <si>
    <t>15d10h41m</t>
  </si>
  <si>
    <t>17d14h03m</t>
  </si>
  <si>
    <t>19d04h34m</t>
  </si>
  <si>
    <t>20d07h10m</t>
  </si>
  <si>
    <t>22d00h20m</t>
  </si>
  <si>
    <t>24d01h12m</t>
  </si>
  <si>
    <t>25d08h26m</t>
  </si>
  <si>
    <t>28d01h59m</t>
  </si>
  <si>
    <t>0d13h45m</t>
  </si>
  <si>
    <t>3d05h12m</t>
  </si>
  <si>
    <t>5d00h37m</t>
  </si>
  <si>
    <t>7d00h41m</t>
  </si>
  <si>
    <t>8d23h09m</t>
  </si>
  <si>
    <t>11d04h56m</t>
  </si>
  <si>
    <t>12d02h04m</t>
  </si>
  <si>
    <t>12d12h11m</t>
  </si>
  <si>
    <t>14d09h19m</t>
  </si>
  <si>
    <t>15d03h46m</t>
  </si>
  <si>
    <t>16d01h42m</t>
  </si>
  <si>
    <t>17d23h47m</t>
  </si>
  <si>
    <t>18d15h35m</t>
  </si>
  <si>
    <t>20d02h02m</t>
  </si>
  <si>
    <t>22d05h44m</t>
  </si>
  <si>
    <t>25d12h18m</t>
  </si>
  <si>
    <t>27d11h58m</t>
  </si>
  <si>
    <t>28d11h30m</t>
  </si>
  <si>
    <t>0d14h08m</t>
  </si>
  <si>
    <t>5d07h42m</t>
  </si>
  <si>
    <t>8d03h25m</t>
  </si>
  <si>
    <t>10d01h33m</t>
  </si>
  <si>
    <t>12d02h21m</t>
  </si>
  <si>
    <t>13d02h15m</t>
  </si>
  <si>
    <t>13d14h12m</t>
  </si>
  <si>
    <t>15d10h54m</t>
  </si>
  <si>
    <t>17d04h03m</t>
  </si>
  <si>
    <t>18d06h48m</t>
  </si>
  <si>
    <t>20d02h39m</t>
  </si>
  <si>
    <t>21d05h14m</t>
  </si>
  <si>
    <t>23d03h30m</t>
  </si>
  <si>
    <t>25d08h05m</t>
  </si>
  <si>
    <t>27d01h19m</t>
  </si>
  <si>
    <t>28d21h51m</t>
  </si>
  <si>
    <t>Round Prairie</t>
  </si>
  <si>
    <t>US Border</t>
  </si>
  <si>
    <t>Whitefish</t>
  </si>
  <si>
    <t>Lincoln</t>
  </si>
  <si>
    <t>Butte</t>
  </si>
  <si>
    <t>Lima</t>
  </si>
  <si>
    <t>Macks Inn</t>
  </si>
  <si>
    <t>Flagg Ranch</t>
  </si>
  <si>
    <t>Boulder</t>
  </si>
  <si>
    <t>Atlantic City</t>
  </si>
  <si>
    <t>Warmsutter</t>
  </si>
  <si>
    <t>Steamboat Springs</t>
  </si>
  <si>
    <t>Salida</t>
  </si>
  <si>
    <t>Del Norte</t>
  </si>
  <si>
    <t>Cuba</t>
  </si>
  <si>
    <t>Pie Town</t>
  </si>
  <si>
    <t>Silver City</t>
  </si>
  <si>
    <t>Antelope Wells</t>
  </si>
  <si>
    <t>Silverthorne</t>
  </si>
  <si>
    <t>Location</t>
  </si>
  <si>
    <t>Mileage</t>
  </si>
  <si>
    <t>RunTimeH</t>
  </si>
  <si>
    <t>RunTimeM</t>
  </si>
  <si>
    <t>RunTimeD</t>
  </si>
  <si>
    <t>RestTimeH</t>
  </si>
  <si>
    <t>RestTimeD</t>
  </si>
  <si>
    <t>RestTimeM</t>
  </si>
  <si>
    <t>TotalTimeD</t>
  </si>
  <si>
    <t>TotalTimeH</t>
  </si>
  <si>
    <t>TotalTimeM</t>
  </si>
  <si>
    <t>RestTimeMinutes</t>
  </si>
  <si>
    <t>TotalTimeMinutes</t>
  </si>
  <si>
    <t>RunTimeMinutes</t>
  </si>
  <si>
    <t>SaddleTimePercent</t>
  </si>
  <si>
    <t>Round PrairieMinutes</t>
  </si>
  <si>
    <t>US BorderMinutes</t>
  </si>
  <si>
    <t>WhitefishMinutes</t>
  </si>
  <si>
    <t>LincolnMinutes</t>
  </si>
  <si>
    <t>ButteMinutes</t>
  </si>
  <si>
    <t>LimaMinutes</t>
  </si>
  <si>
    <t>Macks InnMinutes</t>
  </si>
  <si>
    <t>Flagg RanchMinutes</t>
  </si>
  <si>
    <t>BoulderMinutes</t>
  </si>
  <si>
    <t>Atlantic CityMinutes</t>
  </si>
  <si>
    <t>WarmsutterMinutes</t>
  </si>
  <si>
    <t>Steamboat SpringsMinutes</t>
  </si>
  <si>
    <t>SilverthorneMinutes</t>
  </si>
  <si>
    <t>SalidaMinutes</t>
  </si>
  <si>
    <t>Del NorteMinutes</t>
  </si>
  <si>
    <t>CubaMinutes</t>
  </si>
  <si>
    <t>Pie TownMinutes</t>
  </si>
  <si>
    <t>Silver CityMinutes</t>
  </si>
  <si>
    <t>Antelope WellsMinutes</t>
  </si>
  <si>
    <t>=</t>
  </si>
  <si>
    <t>Race Position</t>
  </si>
  <si>
    <t>Location Join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</si>
</sst>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222222"/>
      <name val="Titillium Web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vertical="center" wrapText="1" indent="1"/>
    </xf>
    <xf numFmtId="0" fontId="2" fillId="2" borderId="1" xfId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10" fontId="1" fillId="5" borderId="1" xfId="0" applyNumberFormat="1" applyFont="1" applyFill="1" applyBorder="1" applyAlignment="1">
      <alignment horizontal="left" vertical="center" wrapText="1" indent="1"/>
    </xf>
    <xf numFmtId="0" fontId="2" fillId="3" borderId="1" xfId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10" fontId="1" fillId="4" borderId="1" xfId="0" applyNumberFormat="1" applyFont="1" applyFill="1" applyBorder="1" applyAlignment="1">
      <alignment horizontal="left" vertical="center" wrapText="1" indent="1"/>
    </xf>
    <xf numFmtId="9" fontId="1" fillId="4" borderId="1" xfId="0" applyNumberFormat="1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2" fillId="0" borderId="0" xfId="1"/>
    <xf numFmtId="0" fontId="1" fillId="3" borderId="0" xfId="0" applyFont="1" applyFill="1" applyBorder="1" applyAlignment="1">
      <alignment horizontal="left" vertical="center" wrapText="1" indent="1"/>
    </xf>
    <xf numFmtId="0" fontId="1" fillId="2" borderId="0" xfId="0" applyFont="1" applyFill="1" applyBorder="1" applyAlignment="1">
      <alignment horizontal="left" vertical="center" wrapText="1" indent="1"/>
    </xf>
    <xf numFmtId="0" fontId="2" fillId="3" borderId="0" xfId="1" applyFill="1" applyBorder="1" applyAlignment="1">
      <alignment horizontal="left" vertical="center" wrapText="1" indent="1"/>
    </xf>
    <xf numFmtId="10" fontId="1" fillId="4" borderId="0" xfId="0" applyNumberFormat="1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ckleaders.com/tourdivide22i.php?name=Patrick_Mckellips" TargetMode="External"/><Relationship Id="rId18" Type="http://schemas.openxmlformats.org/officeDocument/2006/relationships/hyperlink" Target="https://trackleaders.com/tourdivide22i.php?name=Mat_King" TargetMode="External"/><Relationship Id="rId26" Type="http://schemas.openxmlformats.org/officeDocument/2006/relationships/hyperlink" Target="https://trackleaders.com/tourdivide22i.php?name=Sandro_Poppe" TargetMode="External"/><Relationship Id="rId39" Type="http://schemas.openxmlformats.org/officeDocument/2006/relationships/hyperlink" Target="https://trackleaders.com/tourdivide22i.php?name=Artec_Durham" TargetMode="External"/><Relationship Id="rId21" Type="http://schemas.openxmlformats.org/officeDocument/2006/relationships/hyperlink" Target="https://trackleaders.com/tourdivide22i.php?name=Phil_Jones" TargetMode="External"/><Relationship Id="rId34" Type="http://schemas.openxmlformats.org/officeDocument/2006/relationships/hyperlink" Target="https://trackleaders.com/tourdivide22i.php?name=Karol_Kristov" TargetMode="External"/><Relationship Id="rId42" Type="http://schemas.openxmlformats.org/officeDocument/2006/relationships/hyperlink" Target="https://trackleaders.com/tourdivide22i.php?name=Bruno_Martin" TargetMode="External"/><Relationship Id="rId47" Type="http://schemas.openxmlformats.org/officeDocument/2006/relationships/hyperlink" Target="https://trackleaders.com/tourdivide22i.php?name=Colin_Schindler" TargetMode="External"/><Relationship Id="rId50" Type="http://schemas.openxmlformats.org/officeDocument/2006/relationships/hyperlink" Target="https://trackleaders.com/tourdivide22i.php?name=Ana_Jager" TargetMode="External"/><Relationship Id="rId55" Type="http://schemas.openxmlformats.org/officeDocument/2006/relationships/hyperlink" Target="https://trackleaders.com/tourdivide22i.php?name=Andy_Leveto" TargetMode="External"/><Relationship Id="rId63" Type="http://schemas.openxmlformats.org/officeDocument/2006/relationships/hyperlink" Target="https://trackleaders.com/tourdivide22i.php?name=David_Landis" TargetMode="External"/><Relationship Id="rId7" Type="http://schemas.openxmlformats.org/officeDocument/2006/relationships/hyperlink" Target="https://trackleaders.com/tourdivide22i.php?name=Jacob_Ashton" TargetMode="External"/><Relationship Id="rId2" Type="http://schemas.openxmlformats.org/officeDocument/2006/relationships/hyperlink" Target="https://trackleaders.com/tourdivide22i.php?name=Jim_Sevaly" TargetMode="External"/><Relationship Id="rId16" Type="http://schemas.openxmlformats.org/officeDocument/2006/relationships/hyperlink" Target="https://trackleaders.com/tourdivide22i.php?name=Nick_Runtsch" TargetMode="External"/><Relationship Id="rId29" Type="http://schemas.openxmlformats.org/officeDocument/2006/relationships/hyperlink" Target="https://trackleaders.com/tourdivide22i.php?name=Carl_Gable" TargetMode="External"/><Relationship Id="rId11" Type="http://schemas.openxmlformats.org/officeDocument/2006/relationships/hyperlink" Target="https://trackleaders.com/tourdivide22i.php?name=Bennie_Black" TargetMode="External"/><Relationship Id="rId24" Type="http://schemas.openxmlformats.org/officeDocument/2006/relationships/hyperlink" Target="https://trackleaders.com/tourdivide22i.php?name=Gary_Johnson" TargetMode="External"/><Relationship Id="rId32" Type="http://schemas.openxmlformats.org/officeDocument/2006/relationships/hyperlink" Target="https://trackleaders.com/tourdivide22i.php?name=Bart_Muylle" TargetMode="External"/><Relationship Id="rId37" Type="http://schemas.openxmlformats.org/officeDocument/2006/relationships/hyperlink" Target="https://trackleaders.com/tourdivide22i.php?name=Rj_Sauer" TargetMode="External"/><Relationship Id="rId40" Type="http://schemas.openxmlformats.org/officeDocument/2006/relationships/hyperlink" Target="https://trackleaders.com/tourdivide22i.php?name=Nick_Marzano" TargetMode="External"/><Relationship Id="rId45" Type="http://schemas.openxmlformats.org/officeDocument/2006/relationships/hyperlink" Target="https://trackleaders.com/tourdivide22i.php?name=Gehrig_Haberstock" TargetMode="External"/><Relationship Id="rId53" Type="http://schemas.openxmlformats.org/officeDocument/2006/relationships/hyperlink" Target="https://trackleaders.com/tourdivide22i.php?name=Ben_Steurbaut" TargetMode="External"/><Relationship Id="rId58" Type="http://schemas.openxmlformats.org/officeDocument/2006/relationships/hyperlink" Target="https://trackleaders.com/tourdivide22i.php?name=Dave_Meissner" TargetMode="External"/><Relationship Id="rId5" Type="http://schemas.openxmlformats.org/officeDocument/2006/relationships/hyperlink" Target="https://trackleaders.com/tourdivide22i.php?name=Martin_Grethe" TargetMode="External"/><Relationship Id="rId61" Type="http://schemas.openxmlformats.org/officeDocument/2006/relationships/hyperlink" Target="https://trackleaders.com/tourdivide22i.php?name=Tim_Tait" TargetMode="External"/><Relationship Id="rId19" Type="http://schemas.openxmlformats.org/officeDocument/2006/relationships/hyperlink" Target="https://trackleaders.com/tourdivide22i.php?name=Ken_Waring" TargetMode="External"/><Relationship Id="rId14" Type="http://schemas.openxmlformats.org/officeDocument/2006/relationships/hyperlink" Target="https://trackleaders.com/tourdivide22i.php?name=Kevin_Meier" TargetMode="External"/><Relationship Id="rId22" Type="http://schemas.openxmlformats.org/officeDocument/2006/relationships/hyperlink" Target="https://trackleaders.com/tourdivide22i.php?name=Chris_Kuzdas" TargetMode="External"/><Relationship Id="rId27" Type="http://schemas.openxmlformats.org/officeDocument/2006/relationships/hyperlink" Target="https://trackleaders.com/tourdivide22i.php?name=Aaron_Ehlers" TargetMode="External"/><Relationship Id="rId30" Type="http://schemas.openxmlformats.org/officeDocument/2006/relationships/hyperlink" Target="https://trackleaders.com/tourdivide22i.php?name=Tom_Baker" TargetMode="External"/><Relationship Id="rId35" Type="http://schemas.openxmlformats.org/officeDocument/2006/relationships/hyperlink" Target="https://trackleaders.com/tourdivide22i.php?name=Paul_Kuzdas" TargetMode="External"/><Relationship Id="rId43" Type="http://schemas.openxmlformats.org/officeDocument/2006/relationships/hyperlink" Target="https://trackleaders.com/tourdivide22i.php?name=Brent_Olson" TargetMode="External"/><Relationship Id="rId48" Type="http://schemas.openxmlformats.org/officeDocument/2006/relationships/hyperlink" Target="https://trackleaders.com/tourdivide22i.php?name=Brian_Toone" TargetMode="External"/><Relationship Id="rId56" Type="http://schemas.openxmlformats.org/officeDocument/2006/relationships/hyperlink" Target="https://trackleaders.com/tourdivide22i.php?name=Danny_Green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trackleaders.com/tourdivide22i.php?name=Chris_Miksovsky" TargetMode="External"/><Relationship Id="rId51" Type="http://schemas.openxmlformats.org/officeDocument/2006/relationships/hyperlink" Target="https://trackleaders.com/tourdivide22i.php?name=Katie_Strempke" TargetMode="External"/><Relationship Id="rId3" Type="http://schemas.openxmlformats.org/officeDocument/2006/relationships/hyperlink" Target="https://trackleaders.com/tourdivide22i.php?name=Sean_Di_Lizio" TargetMode="External"/><Relationship Id="rId12" Type="http://schemas.openxmlformats.org/officeDocument/2006/relationships/hyperlink" Target="https://trackleaders.com/tourdivide22i.php?name=Mathias_Mueller" TargetMode="External"/><Relationship Id="rId17" Type="http://schemas.openxmlformats.org/officeDocument/2006/relationships/hyperlink" Target="https://trackleaders.com/tourdivide22i.php?name=Robert_Joseph" TargetMode="External"/><Relationship Id="rId25" Type="http://schemas.openxmlformats.org/officeDocument/2006/relationships/hyperlink" Target="https://trackleaders.com/tourdivide22i.php?name=Katie_Dolan" TargetMode="External"/><Relationship Id="rId33" Type="http://schemas.openxmlformats.org/officeDocument/2006/relationships/hyperlink" Target="https://trackleaders.com/tourdivide22i.php?name=Markus_Weinberg" TargetMode="External"/><Relationship Id="rId38" Type="http://schemas.openxmlformats.org/officeDocument/2006/relationships/hyperlink" Target="https://trackleaders.com/tourdivide22i.php?name=Chris_Ellison" TargetMode="External"/><Relationship Id="rId46" Type="http://schemas.openxmlformats.org/officeDocument/2006/relationships/hyperlink" Target="https://trackleaders.com/tourdivide22i.php?name=Allan_Shaw" TargetMode="External"/><Relationship Id="rId59" Type="http://schemas.openxmlformats.org/officeDocument/2006/relationships/hyperlink" Target="https://trackleaders.com/tourdivide22i.php?name=Andrew_Strempke" TargetMode="External"/><Relationship Id="rId20" Type="http://schemas.openxmlformats.org/officeDocument/2006/relationships/hyperlink" Target="https://trackleaders.com/tourdivide22i.php?name=Anthony_Ball" TargetMode="External"/><Relationship Id="rId41" Type="http://schemas.openxmlformats.org/officeDocument/2006/relationships/hyperlink" Target="https://trackleaders.com/tourdivide22i.php?name=Daniel_Moss" TargetMode="External"/><Relationship Id="rId54" Type="http://schemas.openxmlformats.org/officeDocument/2006/relationships/hyperlink" Target="https://trackleaders.com/tourdivide22i.php?name=Abe_Kaufman" TargetMode="External"/><Relationship Id="rId62" Type="http://schemas.openxmlformats.org/officeDocument/2006/relationships/hyperlink" Target="https://trackleaders.com/tourdivide22i.php?name=Sofiane_Sehili" TargetMode="External"/><Relationship Id="rId1" Type="http://schemas.openxmlformats.org/officeDocument/2006/relationships/hyperlink" Target="https://trackleaders.com/tourdivide22i.php?name=Sam_Bailey" TargetMode="External"/><Relationship Id="rId6" Type="http://schemas.openxmlformats.org/officeDocument/2006/relationships/hyperlink" Target="https://trackleaders.com/tourdivide22i.php?name=Duncan_Scholtz" TargetMode="External"/><Relationship Id="rId15" Type="http://schemas.openxmlformats.org/officeDocument/2006/relationships/hyperlink" Target="https://trackleaders.com/tourdivide22i.php?name=Tyler_Gatlin" TargetMode="External"/><Relationship Id="rId23" Type="http://schemas.openxmlformats.org/officeDocument/2006/relationships/hyperlink" Target="https://trackleaders.com/tourdivide22i.php?name=Brie_Hevener" TargetMode="External"/><Relationship Id="rId28" Type="http://schemas.openxmlformats.org/officeDocument/2006/relationships/hyperlink" Target="https://trackleaders.com/tourdivide22i.php?name=Brett_Humphrey" TargetMode="External"/><Relationship Id="rId36" Type="http://schemas.openxmlformats.org/officeDocument/2006/relationships/hyperlink" Target="https://trackleaders.com/tourdivide22i.php?name=Wendy_Stevenson" TargetMode="External"/><Relationship Id="rId49" Type="http://schemas.openxmlformats.org/officeDocument/2006/relationships/hyperlink" Target="https://trackleaders.com/tourdivide22i.php?name=Zack_Friendly" TargetMode="External"/><Relationship Id="rId57" Type="http://schemas.openxmlformats.org/officeDocument/2006/relationships/hyperlink" Target="https://trackleaders.com/tourdivide22i.php?name=Manu_Cattrysse" TargetMode="External"/><Relationship Id="rId10" Type="http://schemas.openxmlformats.org/officeDocument/2006/relationships/hyperlink" Target="https://trackleaders.com/tourdivide22i.php?name=Jakub_Cychowski" TargetMode="External"/><Relationship Id="rId31" Type="http://schemas.openxmlformats.org/officeDocument/2006/relationships/hyperlink" Target="https://trackleaders.com/tourdivide22i.php?name=Patrick_Carlson" TargetMode="External"/><Relationship Id="rId44" Type="http://schemas.openxmlformats.org/officeDocument/2006/relationships/hyperlink" Target="https://trackleaders.com/tourdivide22i.php?name=Steve_Large" TargetMode="External"/><Relationship Id="rId52" Type="http://schemas.openxmlformats.org/officeDocument/2006/relationships/hyperlink" Target="https://trackleaders.com/tourdivide22i.php?name=Daniel_Connell" TargetMode="External"/><Relationship Id="rId60" Type="http://schemas.openxmlformats.org/officeDocument/2006/relationships/hyperlink" Target="https://trackleaders.com/tourdivide22i.php?name=Adrien_Liechti" TargetMode="External"/><Relationship Id="rId4" Type="http://schemas.openxmlformats.org/officeDocument/2006/relationships/hyperlink" Target="https://trackleaders.com/tourdivide22i.php?name=David_Moss" TargetMode="External"/><Relationship Id="rId9" Type="http://schemas.openxmlformats.org/officeDocument/2006/relationships/hyperlink" Target="https://trackleaders.com/tourdivide22i.php?name=Keith_Jorda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ckleaders.com/tourdivide22i.php?name=Steve_Large" TargetMode="External"/><Relationship Id="rId18" Type="http://schemas.openxmlformats.org/officeDocument/2006/relationships/hyperlink" Target="https://trackleaders.com/tourdivide22i.php?name=Bruno_Martin" TargetMode="External"/><Relationship Id="rId26" Type="http://schemas.openxmlformats.org/officeDocument/2006/relationships/hyperlink" Target="https://trackleaders.com/tourdivide22i.php?name=Katie_Dolan" TargetMode="External"/><Relationship Id="rId39" Type="http://schemas.openxmlformats.org/officeDocument/2006/relationships/hyperlink" Target="https://trackleaders.com/tourdivide22i.php?name=Anthony_Ball" TargetMode="External"/><Relationship Id="rId21" Type="http://schemas.openxmlformats.org/officeDocument/2006/relationships/hyperlink" Target="https://trackleaders.com/tourdivide22i.php?name=Nick_Marzano" TargetMode="External"/><Relationship Id="rId34" Type="http://schemas.openxmlformats.org/officeDocument/2006/relationships/hyperlink" Target="https://trackleaders.com/tourdivide22i.php?name=Jacob_Ashton" TargetMode="External"/><Relationship Id="rId42" Type="http://schemas.openxmlformats.org/officeDocument/2006/relationships/hyperlink" Target="https://trackleaders.com/tourdivide22i.php?name=Tyler_Gatlin" TargetMode="External"/><Relationship Id="rId47" Type="http://schemas.openxmlformats.org/officeDocument/2006/relationships/hyperlink" Target="https://trackleaders.com/tourdivide22i.php?name=Chris_Ellison" TargetMode="External"/><Relationship Id="rId50" Type="http://schemas.openxmlformats.org/officeDocument/2006/relationships/hyperlink" Target="https://trackleaders.com/tourdivide22i.php?name=Chris_Kuzdas" TargetMode="External"/><Relationship Id="rId55" Type="http://schemas.openxmlformats.org/officeDocument/2006/relationships/hyperlink" Target="https://trackleaders.com/tourdivide22i.php?name=Kevin_Meier" TargetMode="External"/><Relationship Id="rId63" Type="http://schemas.openxmlformats.org/officeDocument/2006/relationships/hyperlink" Target="https://trackleaders.com/tourdivide22i.php?name=Sofiane_Sehili" TargetMode="External"/><Relationship Id="rId7" Type="http://schemas.openxmlformats.org/officeDocument/2006/relationships/hyperlink" Target="https://trackleaders.com/tourdivide22i.php?name=Tim_Tait" TargetMode="External"/><Relationship Id="rId2" Type="http://schemas.openxmlformats.org/officeDocument/2006/relationships/hyperlink" Target="https://trackleaders.com/tourdivide22i.php?name=Adrien_Liechti" TargetMode="External"/><Relationship Id="rId16" Type="http://schemas.openxmlformats.org/officeDocument/2006/relationships/hyperlink" Target="https://trackleaders.com/tourdivide22i.php?name=Katie_Strempke" TargetMode="External"/><Relationship Id="rId29" Type="http://schemas.openxmlformats.org/officeDocument/2006/relationships/hyperlink" Target="https://trackleaders.com/tourdivide22i.php?name=Tom_Baker" TargetMode="External"/><Relationship Id="rId11" Type="http://schemas.openxmlformats.org/officeDocument/2006/relationships/hyperlink" Target="https://trackleaders.com/tourdivide22i.php?name=Ana_Jager" TargetMode="External"/><Relationship Id="rId24" Type="http://schemas.openxmlformats.org/officeDocument/2006/relationships/hyperlink" Target="https://trackleaders.com/tourdivide22i.php?name=Allan_Shaw" TargetMode="External"/><Relationship Id="rId32" Type="http://schemas.openxmlformats.org/officeDocument/2006/relationships/hyperlink" Target="https://trackleaders.com/tourdivide22i.php?name=Patrick_Carlson" TargetMode="External"/><Relationship Id="rId37" Type="http://schemas.openxmlformats.org/officeDocument/2006/relationships/hyperlink" Target="https://trackleaders.com/tourdivide22i.php?name=Daniel_Moss" TargetMode="External"/><Relationship Id="rId40" Type="http://schemas.openxmlformats.org/officeDocument/2006/relationships/hyperlink" Target="https://trackleaders.com/tourdivide22i.php?name=Martin_Grethe" TargetMode="External"/><Relationship Id="rId45" Type="http://schemas.openxmlformats.org/officeDocument/2006/relationships/hyperlink" Target="https://trackleaders.com/tourdivide22i.php?name=Brett_Humphrey" TargetMode="External"/><Relationship Id="rId53" Type="http://schemas.openxmlformats.org/officeDocument/2006/relationships/hyperlink" Target="https://trackleaders.com/tourdivide22i.php?name=Jakub_Cychowski" TargetMode="External"/><Relationship Id="rId58" Type="http://schemas.openxmlformats.org/officeDocument/2006/relationships/hyperlink" Target="https://trackleaders.com/tourdivide22i.php?name=Gary_Johnson" TargetMode="External"/><Relationship Id="rId5" Type="http://schemas.openxmlformats.org/officeDocument/2006/relationships/hyperlink" Target="https://trackleaders.com/tourdivide22i.php?name=Danny_Green" TargetMode="External"/><Relationship Id="rId61" Type="http://schemas.openxmlformats.org/officeDocument/2006/relationships/hyperlink" Target="https://trackleaders.com/tourdivide22i.php?name=Jim_Sevaly" TargetMode="External"/><Relationship Id="rId19" Type="http://schemas.openxmlformats.org/officeDocument/2006/relationships/hyperlink" Target="https://trackleaders.com/tourdivide22i.php?name=David_Landis" TargetMode="External"/><Relationship Id="rId14" Type="http://schemas.openxmlformats.org/officeDocument/2006/relationships/hyperlink" Target="https://trackleaders.com/tourdivide22i.php?name=Gehrig_Haberstock" TargetMode="External"/><Relationship Id="rId22" Type="http://schemas.openxmlformats.org/officeDocument/2006/relationships/hyperlink" Target="https://trackleaders.com/tourdivide22i.php?name=Markus_Weinberg" TargetMode="External"/><Relationship Id="rId27" Type="http://schemas.openxmlformats.org/officeDocument/2006/relationships/hyperlink" Target="https://trackleaders.com/tourdivide22i.php?name=Bart_Muylle" TargetMode="External"/><Relationship Id="rId30" Type="http://schemas.openxmlformats.org/officeDocument/2006/relationships/hyperlink" Target="https://trackleaders.com/tourdivide22i.php?name=Nick_Runtsch" TargetMode="External"/><Relationship Id="rId35" Type="http://schemas.openxmlformats.org/officeDocument/2006/relationships/hyperlink" Target="https://trackleaders.com/tourdivide22i.php?name=Aaron_Ehlers" TargetMode="External"/><Relationship Id="rId43" Type="http://schemas.openxmlformats.org/officeDocument/2006/relationships/hyperlink" Target="https://trackleaders.com/tourdivide22i.php?name=Keith_Jordan" TargetMode="External"/><Relationship Id="rId48" Type="http://schemas.openxmlformats.org/officeDocument/2006/relationships/hyperlink" Target="https://trackleaders.com/tourdivide22i.php?name=Mathias_Mueller" TargetMode="External"/><Relationship Id="rId56" Type="http://schemas.openxmlformats.org/officeDocument/2006/relationships/hyperlink" Target="https://trackleaders.com/tourdivide22i.php?name=Bennie_Black" TargetMode="External"/><Relationship Id="rId8" Type="http://schemas.openxmlformats.org/officeDocument/2006/relationships/hyperlink" Target="https://trackleaders.com/tourdivide22i.php?name=Andrew_Strempke" TargetMode="External"/><Relationship Id="rId51" Type="http://schemas.openxmlformats.org/officeDocument/2006/relationships/hyperlink" Target="https://trackleaders.com/tourdivide22i.php?name=Mat_King" TargetMode="External"/><Relationship Id="rId3" Type="http://schemas.openxmlformats.org/officeDocument/2006/relationships/hyperlink" Target="https://trackleaders.com/tourdivide22i.php?name=Abe_Kaufman" TargetMode="External"/><Relationship Id="rId12" Type="http://schemas.openxmlformats.org/officeDocument/2006/relationships/hyperlink" Target="https://trackleaders.com/tourdivide22i.php?name=Colin_Schindler" TargetMode="External"/><Relationship Id="rId17" Type="http://schemas.openxmlformats.org/officeDocument/2006/relationships/hyperlink" Target="https://trackleaders.com/tourdivide22i.php?name=Dave_Meissner" TargetMode="External"/><Relationship Id="rId25" Type="http://schemas.openxmlformats.org/officeDocument/2006/relationships/hyperlink" Target="https://trackleaders.com/tourdivide22i.php?name=Rj_Sauer" TargetMode="External"/><Relationship Id="rId33" Type="http://schemas.openxmlformats.org/officeDocument/2006/relationships/hyperlink" Target="https://trackleaders.com/tourdivide22i.php?name=Wendy_Stevenson" TargetMode="External"/><Relationship Id="rId38" Type="http://schemas.openxmlformats.org/officeDocument/2006/relationships/hyperlink" Target="https://trackleaders.com/tourdivide22i.php?name=Phil_Jones" TargetMode="External"/><Relationship Id="rId46" Type="http://schemas.openxmlformats.org/officeDocument/2006/relationships/hyperlink" Target="https://trackleaders.com/tourdivide22i.php?name=Ken_Waring" TargetMode="External"/><Relationship Id="rId59" Type="http://schemas.openxmlformats.org/officeDocument/2006/relationships/hyperlink" Target="https://trackleaders.com/tourdivide22i.php?name=Duncan_Scholtz" TargetMode="External"/><Relationship Id="rId20" Type="http://schemas.openxmlformats.org/officeDocument/2006/relationships/hyperlink" Target="https://trackleaders.com/tourdivide22i.php?name=Brent_Olson" TargetMode="External"/><Relationship Id="rId41" Type="http://schemas.openxmlformats.org/officeDocument/2006/relationships/hyperlink" Target="https://trackleaders.com/tourdivide22i.php?name=Carl_Gable" TargetMode="External"/><Relationship Id="rId54" Type="http://schemas.openxmlformats.org/officeDocument/2006/relationships/hyperlink" Target="https://trackleaders.com/tourdivide22i.php?name=Sam_Bailey" TargetMode="External"/><Relationship Id="rId62" Type="http://schemas.openxmlformats.org/officeDocument/2006/relationships/hyperlink" Target="https://trackleaders.com/tourdivide22i.php?name=David_Moss" TargetMode="External"/><Relationship Id="rId1" Type="http://schemas.openxmlformats.org/officeDocument/2006/relationships/hyperlink" Target="https://trackleaders.com/tourdivide22i.php?name=Manu_Cattrysse" TargetMode="External"/><Relationship Id="rId6" Type="http://schemas.openxmlformats.org/officeDocument/2006/relationships/hyperlink" Target="https://trackleaders.com/tourdivide22i.php?name=Ben_Steurbaut" TargetMode="External"/><Relationship Id="rId15" Type="http://schemas.openxmlformats.org/officeDocument/2006/relationships/hyperlink" Target="https://trackleaders.com/tourdivide22i.php?name=Zack_Friendly" TargetMode="External"/><Relationship Id="rId23" Type="http://schemas.openxmlformats.org/officeDocument/2006/relationships/hyperlink" Target="https://trackleaders.com/tourdivide22i.php?name=Karol_Kristov" TargetMode="External"/><Relationship Id="rId28" Type="http://schemas.openxmlformats.org/officeDocument/2006/relationships/hyperlink" Target="https://trackleaders.com/tourdivide22i.php?name=Artec_Durham" TargetMode="External"/><Relationship Id="rId36" Type="http://schemas.openxmlformats.org/officeDocument/2006/relationships/hyperlink" Target="https://trackleaders.com/tourdivide22i.php?name=Paul_Kuzdas" TargetMode="External"/><Relationship Id="rId49" Type="http://schemas.openxmlformats.org/officeDocument/2006/relationships/hyperlink" Target="https://trackleaders.com/tourdivide22i.php?name=Chris_Miksovsky" TargetMode="External"/><Relationship Id="rId57" Type="http://schemas.openxmlformats.org/officeDocument/2006/relationships/hyperlink" Target="https://trackleaders.com/tourdivide22i.php?name=Sean_Di_Lizio" TargetMode="External"/><Relationship Id="rId10" Type="http://schemas.openxmlformats.org/officeDocument/2006/relationships/hyperlink" Target="https://trackleaders.com/tourdivide22i.php?name=Brian_Toone" TargetMode="External"/><Relationship Id="rId31" Type="http://schemas.openxmlformats.org/officeDocument/2006/relationships/hyperlink" Target="https://trackleaders.com/tourdivide22i.php?name=Sandro_Poppe" TargetMode="External"/><Relationship Id="rId44" Type="http://schemas.openxmlformats.org/officeDocument/2006/relationships/hyperlink" Target="https://trackleaders.com/tourdivide22i.php?name=Patrick_Mckellips" TargetMode="External"/><Relationship Id="rId52" Type="http://schemas.openxmlformats.org/officeDocument/2006/relationships/hyperlink" Target="https://trackleaders.com/tourdivide22i.php?name=Robert_Joseph" TargetMode="External"/><Relationship Id="rId60" Type="http://schemas.openxmlformats.org/officeDocument/2006/relationships/hyperlink" Target="https://trackleaders.com/tourdivide22i.php?name=Brie_Hevener" TargetMode="External"/><Relationship Id="rId4" Type="http://schemas.openxmlformats.org/officeDocument/2006/relationships/hyperlink" Target="https://trackleaders.com/tourdivide22i.php?name=Andy_Leveto" TargetMode="External"/><Relationship Id="rId9" Type="http://schemas.openxmlformats.org/officeDocument/2006/relationships/hyperlink" Target="https://trackleaders.com/tourdivide22i.php?name=Daniel_Conne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92F25-F1A7-4B49-9289-9A3BA40B0AAA}">
  <dimension ref="A1:V81"/>
  <sheetViews>
    <sheetView tabSelected="1" workbookViewId="0">
      <selection activeCell="F27" sqref="F27"/>
    </sheetView>
  </sheetViews>
  <sheetFormatPr defaultColWidth="31.140625" defaultRowHeight="15" x14ac:dyDescent="0.25"/>
  <cols>
    <col min="1" max="1" width="14.7109375" customWidth="1"/>
    <col min="4" max="4" width="51" customWidth="1"/>
    <col min="10" max="10" width="20" hidden="1" customWidth="1"/>
    <col min="11" max="11" width="19.7109375" hidden="1" customWidth="1"/>
    <col min="12" max="12" width="15.7109375" hidden="1" customWidth="1"/>
    <col min="13" max="18" width="0" hidden="1" customWidth="1"/>
  </cols>
  <sheetData>
    <row r="1" spans="1:22" x14ac:dyDescent="0.25">
      <c r="A1" t="s">
        <v>1499</v>
      </c>
      <c r="B1" t="s">
        <v>296</v>
      </c>
      <c r="C1" t="s">
        <v>297</v>
      </c>
      <c r="D1" t="s">
        <v>298</v>
      </c>
      <c r="E1" t="s">
        <v>299</v>
      </c>
      <c r="F1" t="s">
        <v>300</v>
      </c>
      <c r="G1" t="s">
        <v>301</v>
      </c>
      <c r="H1" t="s">
        <v>302</v>
      </c>
      <c r="I1" t="s">
        <v>303</v>
      </c>
      <c r="J1" t="s">
        <v>1468</v>
      </c>
      <c r="K1" t="s">
        <v>1466</v>
      </c>
      <c r="L1" t="s">
        <v>1467</v>
      </c>
      <c r="M1" t="s">
        <v>1470</v>
      </c>
      <c r="N1" t="s">
        <v>1469</v>
      </c>
      <c r="O1" t="s">
        <v>1471</v>
      </c>
      <c r="P1" t="s">
        <v>1472</v>
      </c>
      <c r="Q1" t="s">
        <v>1473</v>
      </c>
      <c r="R1" t="s">
        <v>1474</v>
      </c>
      <c r="S1" t="s">
        <v>1477</v>
      </c>
      <c r="T1" t="s">
        <v>1475</v>
      </c>
      <c r="U1" t="s">
        <v>1476</v>
      </c>
      <c r="V1" t="s">
        <v>1478</v>
      </c>
    </row>
    <row r="2" spans="1:22" ht="17.25" thickBot="1" x14ac:dyDescent="0.3">
      <c r="A2">
        <v>1</v>
      </c>
      <c r="B2" s="14" t="s">
        <v>7</v>
      </c>
      <c r="C2" s="12" t="s">
        <v>8</v>
      </c>
      <c r="D2" s="12" t="s">
        <v>0</v>
      </c>
      <c r="E2" s="12" t="s">
        <v>9</v>
      </c>
      <c r="F2" s="12" t="s">
        <v>10</v>
      </c>
      <c r="G2" s="12" t="s">
        <v>11</v>
      </c>
      <c r="H2" s="15">
        <v>0.748</v>
      </c>
      <c r="I2" s="12" t="s">
        <v>12</v>
      </c>
      <c r="J2" s="12">
        <v>10</v>
      </c>
      <c r="K2" s="12">
        <v>23</v>
      </c>
      <c r="L2" s="12">
        <v>19</v>
      </c>
      <c r="M2">
        <v>3</v>
      </c>
      <c r="N2">
        <v>16</v>
      </c>
      <c r="O2">
        <v>57</v>
      </c>
      <c r="P2">
        <v>14</v>
      </c>
      <c r="Q2">
        <v>16</v>
      </c>
      <c r="R2">
        <v>16</v>
      </c>
      <c r="S2">
        <f>$J2*1440+$K2*60+$L2</f>
        <v>15799</v>
      </c>
      <c r="T2">
        <f>$M2*1440+$N2*60+$O2</f>
        <v>5337</v>
      </c>
      <c r="U2">
        <f>$P2*1440+$Q2*60+$R2</f>
        <v>21136</v>
      </c>
      <c r="V2">
        <f>$S2/$U2</f>
        <v>0.74749242997728993</v>
      </c>
    </row>
    <row r="3" spans="1:22" ht="17.25" thickBot="1" x14ac:dyDescent="0.3">
      <c r="A3">
        <v>2</v>
      </c>
      <c r="B3" s="6" t="s">
        <v>36</v>
      </c>
      <c r="C3" s="7" t="s">
        <v>2</v>
      </c>
      <c r="D3" s="7" t="s">
        <v>0</v>
      </c>
      <c r="E3" s="7" t="s">
        <v>37</v>
      </c>
      <c r="F3" s="7" t="s">
        <v>38</v>
      </c>
      <c r="G3" s="7" t="s">
        <v>39</v>
      </c>
      <c r="H3" s="8">
        <v>0.66200000000000003</v>
      </c>
      <c r="I3" s="7" t="s">
        <v>40</v>
      </c>
      <c r="J3" s="12">
        <v>10</v>
      </c>
      <c r="K3" s="12">
        <v>3</v>
      </c>
      <c r="L3" s="12">
        <v>35</v>
      </c>
      <c r="M3">
        <v>5</v>
      </c>
      <c r="N3">
        <v>4</v>
      </c>
      <c r="O3">
        <v>10</v>
      </c>
      <c r="P3">
        <v>15</v>
      </c>
      <c r="Q3">
        <v>7</v>
      </c>
      <c r="R3">
        <v>46</v>
      </c>
      <c r="S3">
        <f>$J3*1440+$K3*60+$L3</f>
        <v>14615</v>
      </c>
      <c r="T3">
        <f>$M3*1440+$N3*60+$O3</f>
        <v>7450</v>
      </c>
      <c r="U3">
        <f>$P3*1440+$Q3*60+$R3</f>
        <v>22066</v>
      </c>
      <c r="V3">
        <f>$S3/$U3</f>
        <v>0.66233118825342152</v>
      </c>
    </row>
    <row r="4" spans="1:22" ht="17.25" thickBot="1" x14ac:dyDescent="0.3">
      <c r="A4">
        <v>3</v>
      </c>
      <c r="B4" s="6" t="s">
        <v>19</v>
      </c>
      <c r="C4" s="7" t="s">
        <v>2</v>
      </c>
      <c r="D4" s="7" t="s">
        <v>0</v>
      </c>
      <c r="E4" s="7" t="s">
        <v>20</v>
      </c>
      <c r="F4" s="7" t="s">
        <v>21</v>
      </c>
      <c r="G4" s="7" t="s">
        <v>22</v>
      </c>
      <c r="H4" s="8">
        <v>0.68400000000000005</v>
      </c>
      <c r="I4" s="7" t="s">
        <v>23</v>
      </c>
      <c r="J4" s="12">
        <v>10</v>
      </c>
      <c r="K4" s="12">
        <v>15</v>
      </c>
      <c r="L4" s="12">
        <v>6</v>
      </c>
      <c r="M4">
        <v>4</v>
      </c>
      <c r="N4">
        <v>21</v>
      </c>
      <c r="O4">
        <v>52</v>
      </c>
      <c r="P4">
        <v>15</v>
      </c>
      <c r="Q4">
        <v>12</v>
      </c>
      <c r="R4">
        <v>59</v>
      </c>
      <c r="S4">
        <f>$J4*1440+$K4*60+$L4</f>
        <v>15306</v>
      </c>
      <c r="T4">
        <f>$M4*1440+$N4*60+$O4</f>
        <v>7072</v>
      </c>
      <c r="U4">
        <f>$P4*1440+$Q4*60+$R4</f>
        <v>22379</v>
      </c>
      <c r="V4">
        <f>$S4/$U4</f>
        <v>0.68394476965011841</v>
      </c>
    </row>
    <row r="5" spans="1:22" ht="17.25" thickBot="1" x14ac:dyDescent="0.3">
      <c r="A5">
        <v>4</v>
      </c>
      <c r="B5" s="3" t="s">
        <v>51</v>
      </c>
      <c r="C5" s="4" t="s">
        <v>2</v>
      </c>
      <c r="D5" s="4" t="s">
        <v>0</v>
      </c>
      <c r="E5" s="4" t="s">
        <v>52</v>
      </c>
      <c r="F5" s="4" t="s">
        <v>53</v>
      </c>
      <c r="G5" s="4" t="s">
        <v>54</v>
      </c>
      <c r="H5" s="5">
        <v>0.64500000000000002</v>
      </c>
      <c r="I5" s="4" t="s">
        <v>55</v>
      </c>
      <c r="J5" s="13">
        <v>10</v>
      </c>
      <c r="K5" s="13">
        <v>2</v>
      </c>
      <c r="L5" s="13">
        <v>9</v>
      </c>
      <c r="M5">
        <v>5</v>
      </c>
      <c r="N5">
        <v>13</v>
      </c>
      <c r="O5">
        <v>15</v>
      </c>
      <c r="P5">
        <v>15</v>
      </c>
      <c r="Q5">
        <v>15</v>
      </c>
      <c r="R5">
        <v>24</v>
      </c>
      <c r="S5">
        <f>$J5*1440+$K5*60+$L5</f>
        <v>14529</v>
      </c>
      <c r="T5">
        <f>$M5*1440+$N5*60+$O5</f>
        <v>7995</v>
      </c>
      <c r="U5">
        <f>$P5*1440+$Q5*60+$R5</f>
        <v>22524</v>
      </c>
      <c r="V5">
        <f>$S5/$U5</f>
        <v>0.64504528502930203</v>
      </c>
    </row>
    <row r="6" spans="1:22" ht="17.25" thickBot="1" x14ac:dyDescent="0.3">
      <c r="A6">
        <v>5</v>
      </c>
      <c r="B6" s="6" t="s">
        <v>46</v>
      </c>
      <c r="C6" s="7" t="s">
        <v>2</v>
      </c>
      <c r="D6" s="7" t="s">
        <v>0</v>
      </c>
      <c r="E6" s="7" t="s">
        <v>47</v>
      </c>
      <c r="F6" s="7" t="s">
        <v>48</v>
      </c>
      <c r="G6" s="7" t="s">
        <v>49</v>
      </c>
      <c r="H6" s="8">
        <v>0.65100000000000002</v>
      </c>
      <c r="I6" s="7" t="s">
        <v>50</v>
      </c>
      <c r="J6" s="12">
        <v>10</v>
      </c>
      <c r="K6" s="12">
        <v>7</v>
      </c>
      <c r="L6" s="12">
        <v>15</v>
      </c>
      <c r="M6">
        <v>5</v>
      </c>
      <c r="N6">
        <v>12</v>
      </c>
      <c r="O6">
        <v>45</v>
      </c>
      <c r="P6">
        <v>15</v>
      </c>
      <c r="Q6">
        <v>20</v>
      </c>
      <c r="R6">
        <v>0</v>
      </c>
      <c r="S6">
        <f>$J6*1440+$K6*60+$L6</f>
        <v>14835</v>
      </c>
      <c r="T6">
        <f>$M6*1440+$N6*60+$O6</f>
        <v>7965</v>
      </c>
      <c r="U6">
        <f>$P6*1440+$Q6*60+$R6</f>
        <v>22800</v>
      </c>
      <c r="V6">
        <f>$S6/$U6</f>
        <v>0.6506578947368421</v>
      </c>
    </row>
    <row r="7" spans="1:22" ht="17.25" thickBot="1" x14ac:dyDescent="0.3">
      <c r="A7">
        <v>6</v>
      </c>
      <c r="B7" s="3" t="s">
        <v>41</v>
      </c>
      <c r="C7" s="4" t="s">
        <v>2</v>
      </c>
      <c r="D7" s="4" t="s">
        <v>0</v>
      </c>
      <c r="E7" s="4" t="s">
        <v>42</v>
      </c>
      <c r="F7" s="4" t="s">
        <v>43</v>
      </c>
      <c r="G7" s="4" t="s">
        <v>44</v>
      </c>
      <c r="H7" s="5">
        <v>0.65300000000000002</v>
      </c>
      <c r="I7" s="4" t="s">
        <v>45</v>
      </c>
      <c r="J7" s="13">
        <v>10</v>
      </c>
      <c r="K7" s="13">
        <v>12</v>
      </c>
      <c r="L7" s="13">
        <v>35</v>
      </c>
      <c r="M7">
        <v>5</v>
      </c>
      <c r="N7">
        <v>14</v>
      </c>
      <c r="O7">
        <v>19</v>
      </c>
      <c r="P7">
        <v>16</v>
      </c>
      <c r="Q7">
        <v>2</v>
      </c>
      <c r="R7">
        <v>54</v>
      </c>
      <c r="S7">
        <f>$J7*1440+$K7*60+$L7</f>
        <v>15155</v>
      </c>
      <c r="T7">
        <f>$M7*1440+$N7*60+$O7</f>
        <v>8059</v>
      </c>
      <c r="U7">
        <f>$P7*1440+$Q7*60+$R7</f>
        <v>23214</v>
      </c>
      <c r="V7">
        <f>$S7/$U7</f>
        <v>0.65283880416989748</v>
      </c>
    </row>
    <row r="8" spans="1:22" ht="17.25" thickBot="1" x14ac:dyDescent="0.3">
      <c r="A8">
        <v>7</v>
      </c>
      <c r="B8" s="6" t="s">
        <v>56</v>
      </c>
      <c r="C8" s="7" t="s">
        <v>2</v>
      </c>
      <c r="D8" s="7" t="s">
        <v>0</v>
      </c>
      <c r="E8" s="7" t="s">
        <v>57</v>
      </c>
      <c r="F8" s="7" t="s">
        <v>58</v>
      </c>
      <c r="G8" s="7" t="s">
        <v>59</v>
      </c>
      <c r="H8" s="8">
        <v>0.64200000000000002</v>
      </c>
      <c r="I8" s="7" t="s">
        <v>60</v>
      </c>
      <c r="J8" s="12">
        <v>10</v>
      </c>
      <c r="K8" s="12">
        <v>9</v>
      </c>
      <c r="L8" s="12">
        <v>5</v>
      </c>
      <c r="M8">
        <v>5</v>
      </c>
      <c r="N8">
        <v>18</v>
      </c>
      <c r="O8">
        <v>46</v>
      </c>
      <c r="P8">
        <v>16</v>
      </c>
      <c r="Q8">
        <v>3</v>
      </c>
      <c r="R8">
        <v>51</v>
      </c>
      <c r="S8">
        <f>$J8*1440+$K8*60+$L8</f>
        <v>14945</v>
      </c>
      <c r="T8">
        <f>$M8*1440+$N8*60+$O8</f>
        <v>8326</v>
      </c>
      <c r="U8">
        <f>$P8*1440+$Q8*60+$R8</f>
        <v>23271</v>
      </c>
      <c r="V8">
        <f>$S8/$U8</f>
        <v>0.64221563319152597</v>
      </c>
    </row>
    <row r="9" spans="1:22" ht="17.25" thickBot="1" x14ac:dyDescent="0.3">
      <c r="A9">
        <v>8</v>
      </c>
      <c r="B9" s="3" t="s">
        <v>13</v>
      </c>
      <c r="C9" s="4" t="s">
        <v>14</v>
      </c>
      <c r="D9" s="4" t="s">
        <v>0</v>
      </c>
      <c r="E9" s="4" t="s">
        <v>15</v>
      </c>
      <c r="F9" s="4" t="s">
        <v>16</v>
      </c>
      <c r="G9" s="4" t="s">
        <v>17</v>
      </c>
      <c r="H9" s="5">
        <v>0.69199999999999995</v>
      </c>
      <c r="I9" s="4" t="s">
        <v>18</v>
      </c>
      <c r="J9" s="13">
        <v>11</v>
      </c>
      <c r="K9" s="13">
        <v>12</v>
      </c>
      <c r="L9" s="13">
        <v>44</v>
      </c>
      <c r="M9">
        <v>5</v>
      </c>
      <c r="N9">
        <v>2</v>
      </c>
      <c r="O9">
        <v>58</v>
      </c>
      <c r="P9">
        <v>16</v>
      </c>
      <c r="Q9">
        <v>15</v>
      </c>
      <c r="R9">
        <v>43</v>
      </c>
      <c r="S9">
        <f>$J9*1440+$K9*60+$L9</f>
        <v>16604</v>
      </c>
      <c r="T9">
        <f>$M9*1440+$N9*60+$O9</f>
        <v>7378</v>
      </c>
      <c r="U9">
        <f>$P9*1440+$Q9*60+$R9</f>
        <v>23983</v>
      </c>
      <c r="V9">
        <f>$S9/$U9</f>
        <v>0.69232372930826003</v>
      </c>
    </row>
    <row r="10" spans="1:22" ht="17.25" thickBot="1" x14ac:dyDescent="0.3">
      <c r="A10">
        <v>9</v>
      </c>
      <c r="B10" s="3" t="s">
        <v>24</v>
      </c>
      <c r="C10" s="4" t="s">
        <v>2</v>
      </c>
      <c r="D10" s="4" t="s">
        <v>25</v>
      </c>
      <c r="E10" s="4" t="s">
        <v>26</v>
      </c>
      <c r="F10" s="4" t="s">
        <v>27</v>
      </c>
      <c r="G10" s="4" t="s">
        <v>28</v>
      </c>
      <c r="H10" s="5">
        <v>0.67800000000000005</v>
      </c>
      <c r="I10" s="4" t="s">
        <v>29</v>
      </c>
      <c r="J10" s="13">
        <v>11</v>
      </c>
      <c r="K10" s="13">
        <v>9</v>
      </c>
      <c r="L10" s="13">
        <v>13</v>
      </c>
      <c r="M10">
        <v>5</v>
      </c>
      <c r="N10">
        <v>9</v>
      </c>
      <c r="O10">
        <v>34</v>
      </c>
      <c r="P10">
        <v>16</v>
      </c>
      <c r="Q10">
        <v>18</v>
      </c>
      <c r="R10">
        <v>47</v>
      </c>
      <c r="S10">
        <f>$J10*1440+$K10*60+$L10</f>
        <v>16393</v>
      </c>
      <c r="T10">
        <f>$M10*1440+$N10*60+$O10</f>
        <v>7774</v>
      </c>
      <c r="U10">
        <f>$P10*1440+$Q10*60+$R10</f>
        <v>24167</v>
      </c>
      <c r="V10">
        <f>$S10/$U10</f>
        <v>0.67832167832167833</v>
      </c>
    </row>
    <row r="11" spans="1:22" ht="17.25" thickBot="1" x14ac:dyDescent="0.3">
      <c r="A11">
        <v>10</v>
      </c>
      <c r="B11" s="3" t="s">
        <v>61</v>
      </c>
      <c r="C11" s="4" t="s">
        <v>62</v>
      </c>
      <c r="D11" s="4" t="s">
        <v>0</v>
      </c>
      <c r="E11" s="4" t="s">
        <v>63</v>
      </c>
      <c r="F11" s="4" t="s">
        <v>64</v>
      </c>
      <c r="G11" s="4" t="s">
        <v>65</v>
      </c>
      <c r="H11" s="5">
        <v>0.63700000000000001</v>
      </c>
      <c r="I11" s="4" t="s">
        <v>66</v>
      </c>
      <c r="J11" s="13">
        <v>11</v>
      </c>
      <c r="K11" s="13">
        <v>2</v>
      </c>
      <c r="L11" s="13">
        <v>40</v>
      </c>
      <c r="M11">
        <v>6</v>
      </c>
      <c r="N11">
        <v>7</v>
      </c>
      <c r="O11">
        <v>45</v>
      </c>
      <c r="P11">
        <v>17</v>
      </c>
      <c r="Q11">
        <v>10</v>
      </c>
      <c r="R11">
        <v>26</v>
      </c>
      <c r="S11">
        <f>$J11*1440+$K11*60+$L11</f>
        <v>16000</v>
      </c>
      <c r="T11">
        <f>$M11*1440+$N11*60+$O11</f>
        <v>9105</v>
      </c>
      <c r="U11">
        <f>$P11*1440+$Q11*60+$R11</f>
        <v>25106</v>
      </c>
      <c r="V11">
        <f>$S11/$U11</f>
        <v>0.63729785708595554</v>
      </c>
    </row>
    <row r="12" spans="1:22" ht="17.25" thickBot="1" x14ac:dyDescent="0.3">
      <c r="A12">
        <v>11</v>
      </c>
      <c r="B12" s="3" t="s">
        <v>85</v>
      </c>
      <c r="C12" s="4" t="s">
        <v>86</v>
      </c>
      <c r="D12" s="4" t="s">
        <v>0</v>
      </c>
      <c r="E12" s="4" t="s">
        <v>87</v>
      </c>
      <c r="F12" s="4" t="s">
        <v>88</v>
      </c>
      <c r="G12" s="4" t="s">
        <v>89</v>
      </c>
      <c r="H12" s="5">
        <v>0.61</v>
      </c>
      <c r="I12" s="4" t="s">
        <v>29</v>
      </c>
      <c r="J12" s="13">
        <v>11</v>
      </c>
      <c r="K12" s="13">
        <v>5</v>
      </c>
      <c r="L12" s="13">
        <v>43</v>
      </c>
      <c r="M12">
        <v>7</v>
      </c>
      <c r="N12">
        <v>4</v>
      </c>
      <c r="O12">
        <v>48</v>
      </c>
      <c r="P12">
        <v>18</v>
      </c>
      <c r="Q12">
        <v>10</v>
      </c>
      <c r="R12">
        <v>32</v>
      </c>
      <c r="S12">
        <f>$J12*1440+$K12*60+$L12</f>
        <v>16183</v>
      </c>
      <c r="T12">
        <f>$M12*1440+$N12*60+$O12</f>
        <v>10368</v>
      </c>
      <c r="U12">
        <f>$P12*1440+$Q12*60+$R12</f>
        <v>26552</v>
      </c>
      <c r="V12">
        <f>$S12/$U12</f>
        <v>0.60948327809581204</v>
      </c>
    </row>
    <row r="13" spans="1:22" ht="17.25" thickBot="1" x14ac:dyDescent="0.3">
      <c r="A13">
        <v>12</v>
      </c>
      <c r="B13" s="3" t="s">
        <v>73</v>
      </c>
      <c r="C13" s="4" t="s">
        <v>2</v>
      </c>
      <c r="D13" s="4" t="s">
        <v>74</v>
      </c>
      <c r="E13" s="4" t="s">
        <v>75</v>
      </c>
      <c r="F13" s="4" t="s">
        <v>76</v>
      </c>
      <c r="G13" s="4" t="s">
        <v>77</v>
      </c>
      <c r="H13" s="5">
        <v>0.61599999999999999</v>
      </c>
      <c r="I13" s="4" t="s">
        <v>78</v>
      </c>
      <c r="J13" s="13">
        <v>11</v>
      </c>
      <c r="K13" s="13">
        <v>17</v>
      </c>
      <c r="L13" s="13">
        <v>4</v>
      </c>
      <c r="M13">
        <v>7</v>
      </c>
      <c r="N13">
        <v>7</v>
      </c>
      <c r="O13">
        <v>23</v>
      </c>
      <c r="P13">
        <v>19</v>
      </c>
      <c r="Q13">
        <v>0</v>
      </c>
      <c r="R13">
        <v>28</v>
      </c>
      <c r="S13">
        <f>$J13*1440+$K13*60+$L13</f>
        <v>16864</v>
      </c>
      <c r="T13">
        <f>$M13*1440+$N13*60+$O13</f>
        <v>10523</v>
      </c>
      <c r="U13">
        <f>$P13*1440+$Q13*60+$R13</f>
        <v>27388</v>
      </c>
      <c r="V13">
        <f>$S13/$U13</f>
        <v>0.61574412151307145</v>
      </c>
    </row>
    <row r="14" spans="1:22" ht="17.25" thickBot="1" x14ac:dyDescent="0.3">
      <c r="A14">
        <v>13</v>
      </c>
      <c r="B14" s="6" t="s">
        <v>90</v>
      </c>
      <c r="C14" s="7" t="s">
        <v>2</v>
      </c>
      <c r="D14" s="7" t="s">
        <v>0</v>
      </c>
      <c r="E14" s="7" t="s">
        <v>91</v>
      </c>
      <c r="F14" s="7" t="s">
        <v>92</v>
      </c>
      <c r="G14" s="7" t="s">
        <v>93</v>
      </c>
      <c r="H14" s="8">
        <v>0.60499999999999998</v>
      </c>
      <c r="I14" s="7" t="s">
        <v>18</v>
      </c>
      <c r="J14" s="12">
        <v>11</v>
      </c>
      <c r="K14" s="12">
        <v>12</v>
      </c>
      <c r="L14" s="12">
        <v>39</v>
      </c>
      <c r="M14">
        <v>7</v>
      </c>
      <c r="N14">
        <v>12</v>
      </c>
      <c r="O14">
        <v>20</v>
      </c>
      <c r="P14">
        <v>19</v>
      </c>
      <c r="Q14">
        <v>0</v>
      </c>
      <c r="R14">
        <v>59</v>
      </c>
      <c r="S14">
        <f>$J14*1440+$K14*60+$L14</f>
        <v>16599</v>
      </c>
      <c r="T14">
        <f>$M14*1440+$N14*60+$O14</f>
        <v>10820</v>
      </c>
      <c r="U14">
        <f>$P14*1440+$Q14*60+$R14</f>
        <v>27419</v>
      </c>
      <c r="V14">
        <f>$S14/$U14</f>
        <v>0.60538312848754516</v>
      </c>
    </row>
    <row r="15" spans="1:22" ht="17.25" thickBot="1" x14ac:dyDescent="0.3">
      <c r="A15">
        <v>14</v>
      </c>
      <c r="B15" s="3" t="s">
        <v>102</v>
      </c>
      <c r="C15" s="4" t="s">
        <v>2</v>
      </c>
      <c r="D15" s="4" t="s">
        <v>0</v>
      </c>
      <c r="E15" s="4" t="s">
        <v>103</v>
      </c>
      <c r="F15" s="4" t="s">
        <v>104</v>
      </c>
      <c r="G15" s="4" t="s">
        <v>105</v>
      </c>
      <c r="H15" s="5">
        <v>0.59599999999999997</v>
      </c>
      <c r="I15" s="4" t="s">
        <v>29</v>
      </c>
      <c r="J15" s="13">
        <v>11</v>
      </c>
      <c r="K15" s="13">
        <v>8</v>
      </c>
      <c r="L15" s="13">
        <v>23</v>
      </c>
      <c r="M15">
        <v>7</v>
      </c>
      <c r="N15">
        <v>16</v>
      </c>
      <c r="O15">
        <v>42</v>
      </c>
      <c r="P15">
        <v>19</v>
      </c>
      <c r="Q15">
        <v>1</v>
      </c>
      <c r="R15">
        <v>6</v>
      </c>
      <c r="S15">
        <f>$J15*1440+$K15*60+$L15</f>
        <v>16343</v>
      </c>
      <c r="T15">
        <f>$M15*1440+$N15*60+$O15</f>
        <v>11082</v>
      </c>
      <c r="U15">
        <f>$P15*1440+$Q15*60+$R15</f>
        <v>27426</v>
      </c>
      <c r="V15">
        <f>$S15/$U15</f>
        <v>0.5958944067673011</v>
      </c>
    </row>
    <row r="16" spans="1:22" ht="17.25" thickBot="1" x14ac:dyDescent="0.3">
      <c r="A16">
        <v>15</v>
      </c>
      <c r="B16" s="6" t="s">
        <v>79</v>
      </c>
      <c r="C16" s="7" t="s">
        <v>80</v>
      </c>
      <c r="D16" s="7" t="s">
        <v>25</v>
      </c>
      <c r="E16" s="7" t="s">
        <v>81</v>
      </c>
      <c r="F16" s="7" t="s">
        <v>82</v>
      </c>
      <c r="G16" s="7" t="s">
        <v>83</v>
      </c>
      <c r="H16" s="8">
        <v>0.61199999999999999</v>
      </c>
      <c r="I16" s="7" t="s">
        <v>84</v>
      </c>
      <c r="J16" s="12">
        <v>11</v>
      </c>
      <c r="K16" s="12">
        <v>20</v>
      </c>
      <c r="L16" s="12">
        <v>24</v>
      </c>
      <c r="M16">
        <v>7</v>
      </c>
      <c r="N16">
        <v>12</v>
      </c>
      <c r="O16">
        <v>36</v>
      </c>
      <c r="P16">
        <v>19</v>
      </c>
      <c r="Q16">
        <v>9</v>
      </c>
      <c r="R16">
        <v>0</v>
      </c>
      <c r="S16">
        <f>$J16*1440+$K16*60+$L16</f>
        <v>17064</v>
      </c>
      <c r="T16">
        <f>$M16*1440+$N16*60+$O16</f>
        <v>10836</v>
      </c>
      <c r="U16">
        <f>$P16*1440+$Q16*60+$R16</f>
        <v>27900</v>
      </c>
      <c r="V16">
        <f>$S16/$U16</f>
        <v>0.61161290322580641</v>
      </c>
    </row>
    <row r="17" spans="1:22" ht="17.25" thickBot="1" x14ac:dyDescent="0.3">
      <c r="A17">
        <v>16</v>
      </c>
      <c r="B17" s="6" t="s">
        <v>99</v>
      </c>
      <c r="C17" s="7" t="s">
        <v>68</v>
      </c>
      <c r="D17" s="7" t="s">
        <v>25</v>
      </c>
      <c r="E17" s="7" t="s">
        <v>100</v>
      </c>
      <c r="F17" s="7" t="s">
        <v>101</v>
      </c>
      <c r="G17" s="7" t="s">
        <v>83</v>
      </c>
      <c r="H17" s="8">
        <v>0.59799999999999998</v>
      </c>
      <c r="I17" s="7" t="s">
        <v>18</v>
      </c>
      <c r="J17" s="12">
        <v>11</v>
      </c>
      <c r="K17" s="12">
        <v>13</v>
      </c>
      <c r="L17" s="12">
        <v>54</v>
      </c>
      <c r="M17">
        <v>7</v>
      </c>
      <c r="N17">
        <v>19</v>
      </c>
      <c r="O17">
        <v>6</v>
      </c>
      <c r="P17">
        <v>19</v>
      </c>
      <c r="Q17">
        <v>9</v>
      </c>
      <c r="R17">
        <v>0</v>
      </c>
      <c r="S17">
        <f>$J17*1440+$K17*60+$L17</f>
        <v>16674</v>
      </c>
      <c r="T17">
        <f>$M17*1440+$N17*60+$O17</f>
        <v>11226</v>
      </c>
      <c r="U17">
        <f>$P17*1440+$Q17*60+$R17</f>
        <v>27900</v>
      </c>
      <c r="V17">
        <f>$S17/$U17</f>
        <v>0.59763440860215056</v>
      </c>
    </row>
    <row r="18" spans="1:22" ht="17.25" thickBot="1" x14ac:dyDescent="0.3">
      <c r="A18">
        <v>17</v>
      </c>
      <c r="B18" s="3" t="s">
        <v>31</v>
      </c>
      <c r="C18" s="4" t="s">
        <v>2</v>
      </c>
      <c r="D18" s="4" t="s">
        <v>0</v>
      </c>
      <c r="E18" s="4" t="s">
        <v>32</v>
      </c>
      <c r="F18" s="4" t="s">
        <v>33</v>
      </c>
      <c r="G18" s="4" t="s">
        <v>34</v>
      </c>
      <c r="H18" s="5">
        <v>0.66500000000000004</v>
      </c>
      <c r="I18" s="4" t="s">
        <v>35</v>
      </c>
      <c r="J18" s="13">
        <v>13</v>
      </c>
      <c r="K18" s="13">
        <v>1</v>
      </c>
      <c r="L18" s="13">
        <v>6</v>
      </c>
      <c r="M18">
        <v>6</v>
      </c>
      <c r="N18">
        <v>13</v>
      </c>
      <c r="O18">
        <v>24</v>
      </c>
      <c r="P18">
        <v>19</v>
      </c>
      <c r="Q18">
        <v>14</v>
      </c>
      <c r="R18">
        <v>30</v>
      </c>
      <c r="S18">
        <f>$J18*1440+$K18*60+$L18</f>
        <v>18786</v>
      </c>
      <c r="T18">
        <f>$M18*1440+$N18*60+$O18</f>
        <v>9444</v>
      </c>
      <c r="U18">
        <f>$P18*1440+$Q18*60+$R18</f>
        <v>28230</v>
      </c>
      <c r="V18">
        <f>$S18/$U18</f>
        <v>0.66546227417640813</v>
      </c>
    </row>
    <row r="19" spans="1:22" ht="17.25" thickBot="1" x14ac:dyDescent="0.3">
      <c r="A19">
        <v>18</v>
      </c>
      <c r="B19" s="6" t="s">
        <v>67</v>
      </c>
      <c r="C19" s="7" t="s">
        <v>68</v>
      </c>
      <c r="D19" s="7" t="s">
        <v>30</v>
      </c>
      <c r="E19" s="7" t="s">
        <v>69</v>
      </c>
      <c r="F19" s="7" t="s">
        <v>70</v>
      </c>
      <c r="G19" s="7" t="s">
        <v>71</v>
      </c>
      <c r="H19" s="8">
        <v>0.624</v>
      </c>
      <c r="I19" s="7" t="s">
        <v>72</v>
      </c>
      <c r="J19" s="12">
        <v>12</v>
      </c>
      <c r="K19" s="12">
        <v>6</v>
      </c>
      <c r="L19" s="12">
        <v>33</v>
      </c>
      <c r="M19">
        <v>7</v>
      </c>
      <c r="N19">
        <v>9</v>
      </c>
      <c r="O19">
        <v>7</v>
      </c>
      <c r="P19">
        <v>19</v>
      </c>
      <c r="Q19">
        <v>15</v>
      </c>
      <c r="R19">
        <v>40</v>
      </c>
      <c r="S19">
        <f>$J19*1440+$K19*60+$L19</f>
        <v>17673</v>
      </c>
      <c r="T19">
        <f>$M19*1440+$N19*60+$O19</f>
        <v>10627</v>
      </c>
      <c r="U19">
        <f>$P19*1440+$Q19*60+$R19</f>
        <v>28300</v>
      </c>
      <c r="V19">
        <f>$S19/$U19</f>
        <v>0.62448763250883388</v>
      </c>
    </row>
    <row r="20" spans="1:22" ht="17.25" thickBot="1" x14ac:dyDescent="0.3">
      <c r="A20">
        <v>19</v>
      </c>
      <c r="B20" s="3" t="s">
        <v>110</v>
      </c>
      <c r="C20" s="4" t="s">
        <v>111</v>
      </c>
      <c r="D20" s="4" t="s">
        <v>0</v>
      </c>
      <c r="E20" s="4" t="s">
        <v>112</v>
      </c>
      <c r="F20" s="4" t="s">
        <v>113</v>
      </c>
      <c r="G20" s="4" t="s">
        <v>114</v>
      </c>
      <c r="H20" s="5">
        <v>0.56799999999999995</v>
      </c>
      <c r="I20" s="4" t="s">
        <v>29</v>
      </c>
      <c r="J20" s="13">
        <v>11</v>
      </c>
      <c r="K20" s="13">
        <v>7</v>
      </c>
      <c r="L20" s="13">
        <v>5</v>
      </c>
      <c r="M20">
        <v>8</v>
      </c>
      <c r="N20">
        <v>13</v>
      </c>
      <c r="O20">
        <v>54</v>
      </c>
      <c r="P20">
        <v>19</v>
      </c>
      <c r="Q20">
        <v>21</v>
      </c>
      <c r="R20">
        <v>0</v>
      </c>
      <c r="S20">
        <f>$J20*1440+$K20*60+$L20</f>
        <v>16265</v>
      </c>
      <c r="T20">
        <f>$M20*1440+$N20*60+$O20</f>
        <v>12354</v>
      </c>
      <c r="U20">
        <f>$P20*1440+$Q20*60+$R20</f>
        <v>28620</v>
      </c>
      <c r="V20">
        <f>$S20/$U20</f>
        <v>0.56830887491264848</v>
      </c>
    </row>
    <row r="21" spans="1:22" ht="17.25" thickBot="1" x14ac:dyDescent="0.3">
      <c r="A21">
        <v>20</v>
      </c>
      <c r="B21" s="3" t="s">
        <v>1</v>
      </c>
      <c r="C21" s="4" t="s">
        <v>2</v>
      </c>
      <c r="D21" s="4" t="s">
        <v>0</v>
      </c>
      <c r="E21" s="4" t="s">
        <v>3</v>
      </c>
      <c r="F21" s="4" t="s">
        <v>4</v>
      </c>
      <c r="G21" s="4" t="s">
        <v>5</v>
      </c>
      <c r="H21" s="5">
        <v>0.754</v>
      </c>
      <c r="I21" s="4" t="s">
        <v>6</v>
      </c>
      <c r="J21" s="10">
        <v>15</v>
      </c>
      <c r="K21" s="10">
        <v>1</v>
      </c>
      <c r="L21" s="10">
        <v>23</v>
      </c>
      <c r="M21">
        <v>4</v>
      </c>
      <c r="N21">
        <v>21</v>
      </c>
      <c r="O21">
        <v>35</v>
      </c>
      <c r="P21">
        <v>19</v>
      </c>
      <c r="Q21">
        <v>22</v>
      </c>
      <c r="R21">
        <v>59</v>
      </c>
      <c r="S21">
        <f>$J21*1440+$K21*60+$L21</f>
        <v>21683</v>
      </c>
      <c r="T21">
        <f>$M21*1440+$N21*60+$O21</f>
        <v>7055</v>
      </c>
      <c r="U21">
        <f>$P21*1440+$Q21*60+$R21</f>
        <v>28739</v>
      </c>
      <c r="V21">
        <f>$S21/$U21</f>
        <v>0.75447997494693619</v>
      </c>
    </row>
    <row r="22" spans="1:22" ht="17.25" thickBot="1" x14ac:dyDescent="0.3">
      <c r="A22">
        <v>21</v>
      </c>
      <c r="B22" s="6" t="s">
        <v>106</v>
      </c>
      <c r="C22" s="7" t="s">
        <v>2</v>
      </c>
      <c r="D22" s="7" t="s">
        <v>0</v>
      </c>
      <c r="E22" s="7" t="s">
        <v>107</v>
      </c>
      <c r="F22" s="7" t="s">
        <v>108</v>
      </c>
      <c r="G22" s="7" t="s">
        <v>109</v>
      </c>
      <c r="H22" s="8">
        <v>0.57699999999999996</v>
      </c>
      <c r="I22" s="7" t="s">
        <v>18</v>
      </c>
      <c r="J22" s="12">
        <v>11</v>
      </c>
      <c r="K22" s="12">
        <v>13</v>
      </c>
      <c r="L22" s="12">
        <v>7</v>
      </c>
      <c r="M22">
        <v>8</v>
      </c>
      <c r="N22">
        <v>10</v>
      </c>
      <c r="O22">
        <v>56</v>
      </c>
      <c r="P22">
        <v>20</v>
      </c>
      <c r="Q22">
        <v>0</v>
      </c>
      <c r="R22">
        <v>4</v>
      </c>
      <c r="S22">
        <f>$J22*1440+$K22*60+$L22</f>
        <v>16627</v>
      </c>
      <c r="T22">
        <f>$M22*1440+$N22*60+$O22</f>
        <v>12176</v>
      </c>
      <c r="U22">
        <f>$P22*1440+$Q22*60+$R22</f>
        <v>28804</v>
      </c>
      <c r="V22">
        <f>$S22/$U22</f>
        <v>0.57724621580336066</v>
      </c>
    </row>
    <row r="23" spans="1:22" ht="17.25" thickBot="1" x14ac:dyDescent="0.3">
      <c r="A23">
        <v>22</v>
      </c>
      <c r="B23" s="3" t="s">
        <v>94</v>
      </c>
      <c r="C23" s="4" t="s">
        <v>95</v>
      </c>
      <c r="D23" s="4" t="s">
        <v>0</v>
      </c>
      <c r="E23" s="4" t="s">
        <v>96</v>
      </c>
      <c r="F23" s="4" t="s">
        <v>97</v>
      </c>
      <c r="G23" s="4" t="s">
        <v>98</v>
      </c>
      <c r="H23" s="5">
        <v>0.6</v>
      </c>
      <c r="I23" s="4" t="s">
        <v>72</v>
      </c>
      <c r="J23" s="13">
        <v>12</v>
      </c>
      <c r="K23" s="13">
        <v>1</v>
      </c>
      <c r="L23" s="13">
        <v>45</v>
      </c>
      <c r="M23">
        <v>8</v>
      </c>
      <c r="N23">
        <v>0</v>
      </c>
      <c r="O23">
        <v>51</v>
      </c>
      <c r="P23">
        <v>20</v>
      </c>
      <c r="Q23">
        <v>2</v>
      </c>
      <c r="R23">
        <v>37</v>
      </c>
      <c r="S23">
        <f>$J23*1440+$K23*60+$L23</f>
        <v>17385</v>
      </c>
      <c r="T23">
        <f>$M23*1440+$N23*60+$O23</f>
        <v>11571</v>
      </c>
      <c r="U23">
        <f>$P23*1440+$Q23*60+$R23</f>
        <v>28957</v>
      </c>
      <c r="V23">
        <f>$S23/$U23</f>
        <v>0.60037296681286045</v>
      </c>
    </row>
    <row r="24" spans="1:22" ht="17.25" thickBot="1" x14ac:dyDescent="0.3">
      <c r="A24">
        <v>23</v>
      </c>
      <c r="B24" s="3" t="s">
        <v>120</v>
      </c>
      <c r="C24" s="4" t="s">
        <v>80</v>
      </c>
      <c r="D24" s="4" t="s">
        <v>0</v>
      </c>
      <c r="E24" s="4" t="s">
        <v>121</v>
      </c>
      <c r="F24" s="4" t="s">
        <v>122</v>
      </c>
      <c r="G24" s="4" t="s">
        <v>123</v>
      </c>
      <c r="H24" s="5">
        <v>0.52900000000000003</v>
      </c>
      <c r="I24" s="4" t="s">
        <v>124</v>
      </c>
      <c r="J24" s="13">
        <v>10</v>
      </c>
      <c r="K24" s="13">
        <v>18</v>
      </c>
      <c r="L24" s="13">
        <v>31</v>
      </c>
      <c r="M24">
        <v>9</v>
      </c>
      <c r="N24">
        <v>14</v>
      </c>
      <c r="O24">
        <v>15</v>
      </c>
      <c r="P24">
        <v>20</v>
      </c>
      <c r="Q24">
        <v>8</v>
      </c>
      <c r="R24">
        <v>47</v>
      </c>
      <c r="S24">
        <f>$J24*1440+$K24*60+$L24</f>
        <v>15511</v>
      </c>
      <c r="T24">
        <f>$M24*1440+$N24*60+$O24</f>
        <v>13815</v>
      </c>
      <c r="U24">
        <f>$P24*1440+$Q24*60+$R24</f>
        <v>29327</v>
      </c>
      <c r="V24">
        <f>$S24/$U24</f>
        <v>0.52889828485695778</v>
      </c>
    </row>
    <row r="25" spans="1:22" ht="17.25" thickBot="1" x14ac:dyDescent="0.3">
      <c r="A25">
        <v>24</v>
      </c>
      <c r="B25" s="6" t="s">
        <v>153</v>
      </c>
      <c r="C25" s="7" t="s">
        <v>154</v>
      </c>
      <c r="D25" s="7" t="s">
        <v>0</v>
      </c>
      <c r="E25" s="7" t="s">
        <v>155</v>
      </c>
      <c r="F25" s="7" t="s">
        <v>156</v>
      </c>
      <c r="G25" s="7" t="s">
        <v>157</v>
      </c>
      <c r="H25" s="8">
        <v>0.503</v>
      </c>
      <c r="I25" s="7" t="s">
        <v>60</v>
      </c>
      <c r="J25" s="12">
        <v>10</v>
      </c>
      <c r="K25" s="12">
        <v>6</v>
      </c>
      <c r="L25" s="12">
        <v>54</v>
      </c>
      <c r="M25">
        <v>10</v>
      </c>
      <c r="N25">
        <v>3</v>
      </c>
      <c r="O25">
        <v>49</v>
      </c>
      <c r="P25">
        <v>20</v>
      </c>
      <c r="Q25">
        <v>10</v>
      </c>
      <c r="R25">
        <v>44</v>
      </c>
      <c r="S25">
        <f>$J25*1440+$K25*60+$L25</f>
        <v>14814</v>
      </c>
      <c r="T25">
        <f>$M25*1440+$N25*60+$O25</f>
        <v>14629</v>
      </c>
      <c r="U25">
        <f>$P25*1440+$Q25*60+$R25</f>
        <v>29444</v>
      </c>
      <c r="V25">
        <f>$S25/$U25</f>
        <v>0.50312457546528999</v>
      </c>
    </row>
    <row r="26" spans="1:22" ht="17.25" thickBot="1" x14ac:dyDescent="0.3">
      <c r="A26">
        <v>25</v>
      </c>
      <c r="B26" s="3" t="s">
        <v>149</v>
      </c>
      <c r="C26" s="4" t="s">
        <v>111</v>
      </c>
      <c r="D26" s="4" t="s">
        <v>0</v>
      </c>
      <c r="E26" s="4" t="s">
        <v>150</v>
      </c>
      <c r="F26" s="4" t="s">
        <v>151</v>
      </c>
      <c r="G26" s="4" t="s">
        <v>152</v>
      </c>
      <c r="H26" s="5">
        <v>0.50900000000000001</v>
      </c>
      <c r="I26" s="4" t="s">
        <v>45</v>
      </c>
      <c r="J26" s="13">
        <v>10</v>
      </c>
      <c r="K26" s="13">
        <v>9</v>
      </c>
      <c r="L26" s="13">
        <v>40</v>
      </c>
      <c r="M26">
        <v>10</v>
      </c>
      <c r="N26">
        <v>1</v>
      </c>
      <c r="O26">
        <v>6</v>
      </c>
      <c r="P26">
        <v>20</v>
      </c>
      <c r="Q26">
        <v>10</v>
      </c>
      <c r="R26">
        <v>46</v>
      </c>
      <c r="S26">
        <f>$J26*1440+$K26*60+$L26</f>
        <v>14980</v>
      </c>
      <c r="T26">
        <f>$M26*1440+$N26*60+$O26</f>
        <v>14466</v>
      </c>
      <c r="U26">
        <f>$P26*1440+$Q26*60+$R26</f>
        <v>29446</v>
      </c>
      <c r="V26">
        <f>$S26/$U26</f>
        <v>0.50872784079331657</v>
      </c>
    </row>
    <row r="27" spans="1:22" ht="17.25" thickBot="1" x14ac:dyDescent="0.3">
      <c r="A27">
        <v>26</v>
      </c>
      <c r="B27" s="6" t="s">
        <v>135</v>
      </c>
      <c r="C27" s="7" t="s">
        <v>14</v>
      </c>
      <c r="D27" s="7" t="s">
        <v>0</v>
      </c>
      <c r="E27" s="7" t="s">
        <v>136</v>
      </c>
      <c r="F27" s="7" t="s">
        <v>137</v>
      </c>
      <c r="G27" s="7" t="s">
        <v>138</v>
      </c>
      <c r="H27" s="8">
        <v>0.51400000000000001</v>
      </c>
      <c r="I27" s="7" t="s">
        <v>12</v>
      </c>
      <c r="J27" s="12">
        <v>11</v>
      </c>
      <c r="K27" s="12">
        <v>2</v>
      </c>
      <c r="L27" s="12">
        <v>21</v>
      </c>
      <c r="M27">
        <v>10</v>
      </c>
      <c r="N27">
        <v>11</v>
      </c>
      <c r="O27">
        <v>24</v>
      </c>
      <c r="P27">
        <v>21</v>
      </c>
      <c r="Q27">
        <v>13</v>
      </c>
      <c r="R27">
        <v>45</v>
      </c>
      <c r="S27">
        <f>$J27*1440+$K27*60+$L27</f>
        <v>15981</v>
      </c>
      <c r="T27">
        <f>$M27*1440+$N27*60+$O27</f>
        <v>15084</v>
      </c>
      <c r="U27">
        <f>$P27*1440+$Q27*60+$R27</f>
        <v>31065</v>
      </c>
      <c r="V27">
        <f>$S27/$U27</f>
        <v>0.51443746982134231</v>
      </c>
    </row>
    <row r="28" spans="1:22" ht="17.25" thickBot="1" x14ac:dyDescent="0.3">
      <c r="A28">
        <v>27</v>
      </c>
      <c r="B28" s="6" t="s">
        <v>187</v>
      </c>
      <c r="C28" s="7" t="s">
        <v>130</v>
      </c>
      <c r="D28" s="7" t="s">
        <v>74</v>
      </c>
      <c r="E28" s="7" t="s">
        <v>188</v>
      </c>
      <c r="F28" s="7" t="s">
        <v>189</v>
      </c>
      <c r="G28" s="7" t="s">
        <v>190</v>
      </c>
      <c r="H28" s="8">
        <v>0.47299999999999998</v>
      </c>
      <c r="I28" s="7" t="s">
        <v>45</v>
      </c>
      <c r="J28" s="12">
        <v>10</v>
      </c>
      <c r="K28" s="12">
        <v>10</v>
      </c>
      <c r="L28" s="12">
        <v>23</v>
      </c>
      <c r="M28">
        <v>11</v>
      </c>
      <c r="N28">
        <v>14</v>
      </c>
      <c r="O28">
        <v>45</v>
      </c>
      <c r="P28">
        <v>22</v>
      </c>
      <c r="Q28">
        <v>1</v>
      </c>
      <c r="R28">
        <v>9</v>
      </c>
      <c r="S28">
        <f>$J28*1440+$K28*60+$L28</f>
        <v>15023</v>
      </c>
      <c r="T28">
        <f>$M28*1440+$N28*60+$O28</f>
        <v>16725</v>
      </c>
      <c r="U28">
        <f>$P28*1440+$Q28*60+$R28</f>
        <v>31749</v>
      </c>
      <c r="V28">
        <f>$S28/$U28</f>
        <v>0.4731802576459101</v>
      </c>
    </row>
    <row r="29" spans="1:22" ht="17.25" thickBot="1" x14ac:dyDescent="0.3">
      <c r="A29">
        <v>28</v>
      </c>
      <c r="B29" s="6" t="s">
        <v>125</v>
      </c>
      <c r="C29" s="7" t="s">
        <v>80</v>
      </c>
      <c r="D29" s="7" t="s">
        <v>0</v>
      </c>
      <c r="E29" s="7" t="s">
        <v>126</v>
      </c>
      <c r="F29" s="7" t="s">
        <v>127</v>
      </c>
      <c r="G29" s="7" t="s">
        <v>128</v>
      </c>
      <c r="H29" s="8">
        <v>0.52200000000000002</v>
      </c>
      <c r="I29" s="7" t="s">
        <v>78</v>
      </c>
      <c r="J29" s="12">
        <v>11</v>
      </c>
      <c r="K29" s="12">
        <v>15</v>
      </c>
      <c r="L29" s="12">
        <v>14</v>
      </c>
      <c r="M29">
        <v>10</v>
      </c>
      <c r="N29">
        <v>15</v>
      </c>
      <c r="O29">
        <v>37</v>
      </c>
      <c r="P29">
        <v>22</v>
      </c>
      <c r="Q29">
        <v>6</v>
      </c>
      <c r="R29">
        <v>52</v>
      </c>
      <c r="S29">
        <f>$J29*1440+$K29*60+$L29</f>
        <v>16754</v>
      </c>
      <c r="T29">
        <f>$M29*1440+$N29*60+$O29</f>
        <v>15337</v>
      </c>
      <c r="U29">
        <f>$P29*1440+$Q29*60+$R29</f>
        <v>32092</v>
      </c>
      <c r="V29">
        <f>$S29/$U29</f>
        <v>0.52206157297768918</v>
      </c>
    </row>
    <row r="30" spans="1:22" ht="17.25" thickBot="1" x14ac:dyDescent="0.3">
      <c r="A30">
        <v>29</v>
      </c>
      <c r="B30" s="3" t="s">
        <v>158</v>
      </c>
      <c r="C30" s="4" t="s">
        <v>80</v>
      </c>
      <c r="D30" s="4" t="s">
        <v>0</v>
      </c>
      <c r="E30" s="4" t="s">
        <v>159</v>
      </c>
      <c r="F30" s="4" t="s">
        <v>160</v>
      </c>
      <c r="G30" s="4" t="s">
        <v>161</v>
      </c>
      <c r="H30" s="5">
        <v>0.503</v>
      </c>
      <c r="I30" s="4" t="s">
        <v>12</v>
      </c>
      <c r="J30" s="13">
        <v>11</v>
      </c>
      <c r="K30" s="13">
        <v>5</v>
      </c>
      <c r="L30" s="13">
        <v>7</v>
      </c>
      <c r="M30">
        <v>11</v>
      </c>
      <c r="N30">
        <v>2</v>
      </c>
      <c r="O30">
        <v>14</v>
      </c>
      <c r="P30">
        <v>22</v>
      </c>
      <c r="Q30">
        <v>7</v>
      </c>
      <c r="R30">
        <v>21</v>
      </c>
      <c r="S30">
        <f>$J30*1440+$K30*60+$L30</f>
        <v>16147</v>
      </c>
      <c r="T30">
        <f>$M30*1440+$N30*60+$O30</f>
        <v>15974</v>
      </c>
      <c r="U30">
        <f>$P30*1440+$Q30*60+$R30</f>
        <v>32121</v>
      </c>
      <c r="V30">
        <f>$S30/$U30</f>
        <v>0.50269294231188322</v>
      </c>
    </row>
    <row r="31" spans="1:22" ht="17.25" thickBot="1" x14ac:dyDescent="0.3">
      <c r="A31">
        <v>30</v>
      </c>
      <c r="B31" s="3" t="s">
        <v>166</v>
      </c>
      <c r="C31" s="4" t="s">
        <v>80</v>
      </c>
      <c r="D31" s="4" t="s">
        <v>0</v>
      </c>
      <c r="E31" s="4" t="s">
        <v>167</v>
      </c>
      <c r="F31" s="4" t="s">
        <v>168</v>
      </c>
      <c r="G31" s="4" t="s">
        <v>169</v>
      </c>
      <c r="H31" s="5">
        <v>0.497</v>
      </c>
      <c r="I31" s="4" t="s">
        <v>170</v>
      </c>
      <c r="J31" s="13">
        <v>11</v>
      </c>
      <c r="K31" s="13">
        <v>2</v>
      </c>
      <c r="L31" s="13">
        <v>36</v>
      </c>
      <c r="M31">
        <v>11</v>
      </c>
      <c r="N31">
        <v>5</v>
      </c>
      <c r="O31">
        <v>18</v>
      </c>
      <c r="P31">
        <v>22</v>
      </c>
      <c r="Q31">
        <v>7</v>
      </c>
      <c r="R31">
        <v>55</v>
      </c>
      <c r="S31">
        <f>$J31*1440+$K31*60+$L31</f>
        <v>15996</v>
      </c>
      <c r="T31">
        <f>$M31*1440+$N31*60+$O31</f>
        <v>16158</v>
      </c>
      <c r="U31">
        <f>$P31*1440+$Q31*60+$R31</f>
        <v>32155</v>
      </c>
      <c r="V31">
        <f>$S31/$U31</f>
        <v>0.49746540195925981</v>
      </c>
    </row>
    <row r="32" spans="1:22" ht="17.25" thickBot="1" x14ac:dyDescent="0.3">
      <c r="A32">
        <v>31</v>
      </c>
      <c r="B32" s="3" t="s">
        <v>228</v>
      </c>
      <c r="C32" s="4" t="s">
        <v>2</v>
      </c>
      <c r="D32" s="4" t="s">
        <v>0</v>
      </c>
      <c r="E32" s="4" t="s">
        <v>229</v>
      </c>
      <c r="F32" s="4" t="s">
        <v>230</v>
      </c>
      <c r="G32" s="4" t="s">
        <v>231</v>
      </c>
      <c r="H32" s="5">
        <v>0.45400000000000001</v>
      </c>
      <c r="I32" s="4" t="s">
        <v>50</v>
      </c>
      <c r="J32" s="13">
        <v>10</v>
      </c>
      <c r="K32" s="13">
        <v>6</v>
      </c>
      <c r="L32" s="13">
        <v>59</v>
      </c>
      <c r="M32">
        <v>12</v>
      </c>
      <c r="N32">
        <v>9</v>
      </c>
      <c r="O32">
        <v>22</v>
      </c>
      <c r="P32">
        <v>22</v>
      </c>
      <c r="Q32">
        <v>16</v>
      </c>
      <c r="R32">
        <v>21</v>
      </c>
      <c r="S32">
        <f>$J32*1440+$K32*60+$L32</f>
        <v>14819</v>
      </c>
      <c r="T32">
        <f>$M32*1440+$N32*60+$O32</f>
        <v>17842</v>
      </c>
      <c r="U32">
        <f>$P32*1440+$Q32*60+$R32</f>
        <v>32661</v>
      </c>
      <c r="V32">
        <f>$S32/$U32</f>
        <v>0.45372156394476593</v>
      </c>
    </row>
    <row r="33" spans="1:22" ht="17.25" thickBot="1" x14ac:dyDescent="0.3">
      <c r="A33">
        <v>32</v>
      </c>
      <c r="B33" s="3" t="s">
        <v>183</v>
      </c>
      <c r="C33" s="4" t="s">
        <v>2</v>
      </c>
      <c r="D33" s="4" t="s">
        <v>0</v>
      </c>
      <c r="E33" s="4" t="s">
        <v>184</v>
      </c>
      <c r="F33" s="4" t="s">
        <v>185</v>
      </c>
      <c r="G33" s="4" t="s">
        <v>186</v>
      </c>
      <c r="H33" s="5">
        <v>0.47599999999999998</v>
      </c>
      <c r="I33" s="4" t="s">
        <v>124</v>
      </c>
      <c r="J33" s="13">
        <v>10</v>
      </c>
      <c r="K33" s="13">
        <v>19</v>
      </c>
      <c r="L33" s="13">
        <v>5</v>
      </c>
      <c r="M33">
        <v>11</v>
      </c>
      <c r="N33">
        <v>21</v>
      </c>
      <c r="O33">
        <v>45</v>
      </c>
      <c r="P33">
        <v>22</v>
      </c>
      <c r="Q33">
        <v>16</v>
      </c>
      <c r="R33">
        <v>51</v>
      </c>
      <c r="S33">
        <f>$J33*1440+$K33*60+$L33</f>
        <v>15545</v>
      </c>
      <c r="T33">
        <f>$M33*1440+$N33*60+$O33</f>
        <v>17145</v>
      </c>
      <c r="U33">
        <f>$P33*1440+$Q33*60+$R33</f>
        <v>32691</v>
      </c>
      <c r="V33">
        <f>$S33/$U33</f>
        <v>0.47551313817258573</v>
      </c>
    </row>
    <row r="34" spans="1:22" ht="17.25" thickBot="1" x14ac:dyDescent="0.3">
      <c r="A34">
        <v>33</v>
      </c>
      <c r="B34" s="6" t="s">
        <v>162</v>
      </c>
      <c r="C34" s="7" t="s">
        <v>80</v>
      </c>
      <c r="D34" s="7" t="s">
        <v>0</v>
      </c>
      <c r="E34" s="7" t="s">
        <v>163</v>
      </c>
      <c r="F34" s="7" t="s">
        <v>164</v>
      </c>
      <c r="G34" s="7" t="s">
        <v>165</v>
      </c>
      <c r="H34" s="8">
        <v>0.503</v>
      </c>
      <c r="I34" s="7" t="s">
        <v>78</v>
      </c>
      <c r="J34" s="12">
        <v>11</v>
      </c>
      <c r="K34" s="12">
        <v>16</v>
      </c>
      <c r="L34" s="12">
        <v>58</v>
      </c>
      <c r="M34">
        <v>11</v>
      </c>
      <c r="N34">
        <v>13</v>
      </c>
      <c r="O34">
        <v>5</v>
      </c>
      <c r="P34">
        <v>23</v>
      </c>
      <c r="Q34">
        <v>6</v>
      </c>
      <c r="R34">
        <v>3</v>
      </c>
      <c r="S34">
        <f>$J34*1440+$K34*60+$L34</f>
        <v>16858</v>
      </c>
      <c r="T34">
        <f>$M34*1440+$N34*60+$O34</f>
        <v>16625</v>
      </c>
      <c r="U34">
        <f>$P34*1440+$Q34*60+$R34</f>
        <v>33483</v>
      </c>
      <c r="V34">
        <f>$S34/$U34</f>
        <v>0.50347937759460026</v>
      </c>
    </row>
    <row r="35" spans="1:22" ht="17.25" thickBot="1" x14ac:dyDescent="0.3">
      <c r="A35">
        <v>34</v>
      </c>
      <c r="B35" s="3" t="s">
        <v>139</v>
      </c>
      <c r="C35" s="4" t="s">
        <v>80</v>
      </c>
      <c r="D35" s="4" t="s">
        <v>74</v>
      </c>
      <c r="E35" s="4" t="s">
        <v>140</v>
      </c>
      <c r="F35" s="4" t="s">
        <v>141</v>
      </c>
      <c r="G35" s="4" t="s">
        <v>142</v>
      </c>
      <c r="H35" s="5">
        <v>0.51100000000000001</v>
      </c>
      <c r="I35" s="4" t="s">
        <v>143</v>
      </c>
      <c r="J35" s="13">
        <v>11</v>
      </c>
      <c r="K35" s="13">
        <v>21</v>
      </c>
      <c r="L35" s="13">
        <v>54</v>
      </c>
      <c r="M35">
        <v>11</v>
      </c>
      <c r="N35">
        <v>9</v>
      </c>
      <c r="O35">
        <v>21</v>
      </c>
      <c r="P35">
        <v>23</v>
      </c>
      <c r="Q35">
        <v>7</v>
      </c>
      <c r="R35">
        <v>15</v>
      </c>
      <c r="S35">
        <f>$J35*1440+$K35*60+$L35</f>
        <v>17154</v>
      </c>
      <c r="T35">
        <f>$M35*1440+$N35*60+$O35</f>
        <v>16401</v>
      </c>
      <c r="U35">
        <f>$P35*1440+$Q35*60+$R35</f>
        <v>33555</v>
      </c>
      <c r="V35">
        <f>$S35/$U35</f>
        <v>0.51122038444345108</v>
      </c>
    </row>
    <row r="36" spans="1:22" ht="17.25" thickBot="1" x14ac:dyDescent="0.3">
      <c r="A36">
        <v>35</v>
      </c>
      <c r="B36" s="6" t="s">
        <v>265</v>
      </c>
      <c r="C36" s="7" t="s">
        <v>2</v>
      </c>
      <c r="D36" s="7" t="s">
        <v>0</v>
      </c>
      <c r="E36" s="7" t="s">
        <v>266</v>
      </c>
      <c r="F36" s="7" t="s">
        <v>267</v>
      </c>
      <c r="G36" s="7" t="s">
        <v>268</v>
      </c>
      <c r="H36" s="8">
        <v>0.436</v>
      </c>
      <c r="I36" s="7" t="s">
        <v>40</v>
      </c>
      <c r="J36" s="12">
        <v>10</v>
      </c>
      <c r="K36" s="12">
        <v>4</v>
      </c>
      <c r="L36" s="12">
        <v>24</v>
      </c>
      <c r="M36">
        <v>13</v>
      </c>
      <c r="N36">
        <v>4</v>
      </c>
      <c r="O36">
        <v>13</v>
      </c>
      <c r="P36">
        <v>23</v>
      </c>
      <c r="Q36">
        <v>8</v>
      </c>
      <c r="R36">
        <v>37</v>
      </c>
      <c r="S36">
        <f>$J36*1440+$K36*60+$L36</f>
        <v>14664</v>
      </c>
      <c r="T36">
        <f>$M36*1440+$N36*60+$O36</f>
        <v>18973</v>
      </c>
      <c r="U36">
        <f>$P36*1440+$Q36*60+$R36</f>
        <v>33637</v>
      </c>
      <c r="V36">
        <f>$S36/$U36</f>
        <v>0.43594850908226063</v>
      </c>
    </row>
    <row r="37" spans="1:22" ht="17.25" thickBot="1" x14ac:dyDescent="0.3">
      <c r="A37">
        <v>36</v>
      </c>
      <c r="B37" s="6" t="s">
        <v>179</v>
      </c>
      <c r="C37" s="7" t="s">
        <v>2</v>
      </c>
      <c r="D37" s="7" t="s">
        <v>25</v>
      </c>
      <c r="E37" s="7" t="s">
        <v>180</v>
      </c>
      <c r="F37" s="7" t="s">
        <v>181</v>
      </c>
      <c r="G37" s="7" t="s">
        <v>182</v>
      </c>
      <c r="H37" s="8">
        <v>0.48199999999999998</v>
      </c>
      <c r="I37" s="7" t="s">
        <v>12</v>
      </c>
      <c r="J37" s="12">
        <v>11</v>
      </c>
      <c r="K37" s="12">
        <v>6</v>
      </c>
      <c r="L37" s="12">
        <v>31</v>
      </c>
      <c r="M37">
        <v>12</v>
      </c>
      <c r="N37">
        <v>2</v>
      </c>
      <c r="O37">
        <v>36</v>
      </c>
      <c r="P37">
        <v>23</v>
      </c>
      <c r="Q37">
        <v>9</v>
      </c>
      <c r="R37">
        <v>7</v>
      </c>
      <c r="S37">
        <f>$J37*1440+$K37*60+$L37</f>
        <v>16231</v>
      </c>
      <c r="T37">
        <f>$M37*1440+$N37*60+$O37</f>
        <v>17436</v>
      </c>
      <c r="U37">
        <f>$P37*1440+$Q37*60+$R37</f>
        <v>33667</v>
      </c>
      <c r="V37">
        <f>$S37/$U37</f>
        <v>0.48210413758279619</v>
      </c>
    </row>
    <row r="38" spans="1:22" ht="17.25" thickBot="1" x14ac:dyDescent="0.3">
      <c r="A38">
        <v>37</v>
      </c>
      <c r="B38" s="6" t="s">
        <v>144</v>
      </c>
      <c r="C38" s="7" t="s">
        <v>111</v>
      </c>
      <c r="D38" s="7" t="s">
        <v>0</v>
      </c>
      <c r="E38" s="7" t="s">
        <v>145</v>
      </c>
      <c r="F38" s="7" t="s">
        <v>146</v>
      </c>
      <c r="G38" s="7" t="s">
        <v>147</v>
      </c>
      <c r="H38" s="8">
        <v>0.51</v>
      </c>
      <c r="I38" s="7" t="s">
        <v>148</v>
      </c>
      <c r="J38" s="12">
        <v>11</v>
      </c>
      <c r="K38" s="12">
        <v>23</v>
      </c>
      <c r="L38" s="12">
        <v>16</v>
      </c>
      <c r="M38">
        <v>11</v>
      </c>
      <c r="N38">
        <v>11</v>
      </c>
      <c r="O38">
        <v>32</v>
      </c>
      <c r="P38">
        <v>23</v>
      </c>
      <c r="Q38">
        <v>10</v>
      </c>
      <c r="R38">
        <v>48</v>
      </c>
      <c r="S38">
        <f>$J38*1440+$K38*60+$L38</f>
        <v>17236</v>
      </c>
      <c r="T38">
        <f>$M38*1440+$N38*60+$O38</f>
        <v>16532</v>
      </c>
      <c r="U38">
        <f>$P38*1440+$Q38*60+$R38</f>
        <v>33768</v>
      </c>
      <c r="V38">
        <f>$S38/$U38</f>
        <v>0.51042407012556268</v>
      </c>
    </row>
    <row r="39" spans="1:22" ht="17.25" thickBot="1" x14ac:dyDescent="0.3">
      <c r="A39">
        <v>38</v>
      </c>
      <c r="B39" s="6" t="s">
        <v>115</v>
      </c>
      <c r="C39" s="7" t="s">
        <v>68</v>
      </c>
      <c r="D39" s="7" t="s">
        <v>0</v>
      </c>
      <c r="E39" s="7" t="s">
        <v>116</v>
      </c>
      <c r="F39" s="7" t="s">
        <v>117</v>
      </c>
      <c r="G39" s="7" t="s">
        <v>118</v>
      </c>
      <c r="H39" s="8">
        <v>0.53500000000000003</v>
      </c>
      <c r="I39" s="7" t="s">
        <v>119</v>
      </c>
      <c r="J39" s="12">
        <v>12</v>
      </c>
      <c r="K39" s="12">
        <v>20</v>
      </c>
      <c r="L39" s="12">
        <v>26</v>
      </c>
      <c r="M39">
        <v>11</v>
      </c>
      <c r="N39">
        <v>3</v>
      </c>
      <c r="O39">
        <v>49</v>
      </c>
      <c r="P39">
        <v>24</v>
      </c>
      <c r="Q39">
        <v>0</v>
      </c>
      <c r="R39">
        <v>16</v>
      </c>
      <c r="S39">
        <f>$J39*1440+$K39*60+$L39</f>
        <v>18506</v>
      </c>
      <c r="T39">
        <f>$M39*1440+$N39*60+$O39</f>
        <v>16069</v>
      </c>
      <c r="U39">
        <f>$P39*1440+$Q39*60+$R39</f>
        <v>34576</v>
      </c>
      <c r="V39">
        <f>$S39/$U39</f>
        <v>0.53522674687644611</v>
      </c>
    </row>
    <row r="40" spans="1:22" ht="17.25" thickBot="1" x14ac:dyDescent="0.3">
      <c r="A40">
        <v>39</v>
      </c>
      <c r="B40" s="6" t="s">
        <v>273</v>
      </c>
      <c r="C40" s="7" t="s">
        <v>80</v>
      </c>
      <c r="D40" s="7" t="s">
        <v>0</v>
      </c>
      <c r="E40" s="7" t="s">
        <v>274</v>
      </c>
      <c r="F40" s="7" t="s">
        <v>275</v>
      </c>
      <c r="G40" s="7" t="s">
        <v>276</v>
      </c>
      <c r="H40" s="8">
        <v>0.42299999999999999</v>
      </c>
      <c r="I40" s="7" t="s">
        <v>50</v>
      </c>
      <c r="J40" s="12">
        <v>10</v>
      </c>
      <c r="K40" s="12">
        <v>6</v>
      </c>
      <c r="L40" s="12">
        <v>9</v>
      </c>
      <c r="M40">
        <v>13</v>
      </c>
      <c r="N40">
        <v>23</v>
      </c>
      <c r="O40">
        <v>57</v>
      </c>
      <c r="P40">
        <v>24</v>
      </c>
      <c r="Q40">
        <v>6</v>
      </c>
      <c r="R40">
        <v>7</v>
      </c>
      <c r="S40">
        <f>$J40*1440+$K40*60+$L40</f>
        <v>14769</v>
      </c>
      <c r="T40">
        <f>$M40*1440+$N40*60+$O40</f>
        <v>20157</v>
      </c>
      <c r="U40">
        <f>$P40*1440+$Q40*60+$R40</f>
        <v>34927</v>
      </c>
      <c r="V40">
        <f>$S40/$U40</f>
        <v>0.42285337990666244</v>
      </c>
    </row>
    <row r="41" spans="1:22" ht="17.25" thickBot="1" x14ac:dyDescent="0.3">
      <c r="A41">
        <v>40</v>
      </c>
      <c r="B41" s="6" t="s">
        <v>206</v>
      </c>
      <c r="C41" s="7" t="s">
        <v>80</v>
      </c>
      <c r="D41" s="7" t="s">
        <v>0</v>
      </c>
      <c r="E41" s="7" t="s">
        <v>207</v>
      </c>
      <c r="F41" s="7" t="s">
        <v>208</v>
      </c>
      <c r="G41" s="7" t="s">
        <v>209</v>
      </c>
      <c r="H41" s="8">
        <v>0.46899999999999997</v>
      </c>
      <c r="I41" s="7" t="s">
        <v>66</v>
      </c>
      <c r="J41" s="12">
        <v>11</v>
      </c>
      <c r="K41" s="12">
        <v>9</v>
      </c>
      <c r="L41" s="12">
        <v>37</v>
      </c>
      <c r="M41">
        <v>12</v>
      </c>
      <c r="N41">
        <v>21</v>
      </c>
      <c r="O41">
        <v>23</v>
      </c>
      <c r="P41">
        <v>24</v>
      </c>
      <c r="Q41">
        <v>7</v>
      </c>
      <c r="R41">
        <v>0</v>
      </c>
      <c r="S41">
        <f>$J41*1440+$K41*60+$L41</f>
        <v>16417</v>
      </c>
      <c r="T41">
        <f>$M41*1440+$N41*60+$O41</f>
        <v>18563</v>
      </c>
      <c r="U41">
        <f>$P41*1440+$Q41*60+$R41</f>
        <v>34980</v>
      </c>
      <c r="V41">
        <f>$S41/$U41</f>
        <v>0.46932532875929101</v>
      </c>
    </row>
    <row r="42" spans="1:22" ht="17.25" thickBot="1" x14ac:dyDescent="0.3">
      <c r="A42">
        <v>41</v>
      </c>
      <c r="B42" s="3" t="s">
        <v>210</v>
      </c>
      <c r="C42" s="4" t="s">
        <v>211</v>
      </c>
      <c r="D42" s="4" t="s">
        <v>0</v>
      </c>
      <c r="E42" s="4" t="s">
        <v>212</v>
      </c>
      <c r="F42" s="4" t="s">
        <v>213</v>
      </c>
      <c r="G42" s="4" t="s">
        <v>214</v>
      </c>
      <c r="H42" s="5">
        <v>0.46899999999999997</v>
      </c>
      <c r="I42" s="4" t="s">
        <v>66</v>
      </c>
      <c r="J42" s="13">
        <v>11</v>
      </c>
      <c r="K42" s="13">
        <v>9</v>
      </c>
      <c r="L42" s="13">
        <v>41</v>
      </c>
      <c r="M42">
        <v>12</v>
      </c>
      <c r="N42">
        <v>21</v>
      </c>
      <c r="O42">
        <v>44</v>
      </c>
      <c r="P42">
        <v>24</v>
      </c>
      <c r="Q42">
        <v>7</v>
      </c>
      <c r="R42">
        <v>26</v>
      </c>
      <c r="S42">
        <f>$J42*1440+$K42*60+$L42</f>
        <v>16421</v>
      </c>
      <c r="T42">
        <f>$M42*1440+$N42*60+$O42</f>
        <v>18584</v>
      </c>
      <c r="U42">
        <f>$P42*1440+$Q42*60+$R42</f>
        <v>35006</v>
      </c>
      <c r="V42">
        <f>$S42/$U42</f>
        <v>0.4690910129692053</v>
      </c>
    </row>
    <row r="43" spans="1:22" ht="17.25" thickBot="1" x14ac:dyDescent="0.3">
      <c r="A43">
        <v>42</v>
      </c>
      <c r="B43" s="6" t="s">
        <v>171</v>
      </c>
      <c r="C43" s="7" t="s">
        <v>80</v>
      </c>
      <c r="D43" s="7" t="s">
        <v>0</v>
      </c>
      <c r="E43" s="7" t="s">
        <v>172</v>
      </c>
      <c r="F43" s="7" t="s">
        <v>173</v>
      </c>
      <c r="G43" s="7" t="s">
        <v>174</v>
      </c>
      <c r="H43" s="8">
        <v>0.497</v>
      </c>
      <c r="I43" s="7" t="s">
        <v>148</v>
      </c>
      <c r="J43" s="12">
        <v>12</v>
      </c>
      <c r="K43" s="12">
        <v>2</v>
      </c>
      <c r="L43" s="12">
        <v>55</v>
      </c>
      <c r="M43">
        <v>12</v>
      </c>
      <c r="N43">
        <v>6</v>
      </c>
      <c r="O43">
        <v>23</v>
      </c>
      <c r="P43">
        <v>24</v>
      </c>
      <c r="Q43">
        <v>9</v>
      </c>
      <c r="R43">
        <v>18</v>
      </c>
      <c r="S43">
        <f>$J43*1440+$K43*60+$L43</f>
        <v>17455</v>
      </c>
      <c r="T43">
        <f>$M43*1440+$N43*60+$O43</f>
        <v>17663</v>
      </c>
      <c r="U43">
        <f>$P43*1440+$Q43*60+$R43</f>
        <v>35118</v>
      </c>
      <c r="V43">
        <f>$S43/$U43</f>
        <v>0.49703855572640809</v>
      </c>
    </row>
    <row r="44" spans="1:22" ht="17.25" thickBot="1" x14ac:dyDescent="0.3">
      <c r="A44">
        <v>43</v>
      </c>
      <c r="B44" s="6" t="s">
        <v>232</v>
      </c>
      <c r="C44" s="7" t="s">
        <v>2</v>
      </c>
      <c r="D44" s="7" t="s">
        <v>0</v>
      </c>
      <c r="E44" s="7" t="s">
        <v>233</v>
      </c>
      <c r="F44" s="7" t="s">
        <v>234</v>
      </c>
      <c r="G44" s="7" t="s">
        <v>235</v>
      </c>
      <c r="H44" s="8">
        <v>0.45300000000000001</v>
      </c>
      <c r="I44" s="7" t="s">
        <v>170</v>
      </c>
      <c r="J44" s="12">
        <v>11</v>
      </c>
      <c r="K44" s="12">
        <v>3</v>
      </c>
      <c r="L44" s="12">
        <v>44</v>
      </c>
      <c r="M44">
        <v>13</v>
      </c>
      <c r="N44">
        <v>11</v>
      </c>
      <c r="O44">
        <v>10</v>
      </c>
      <c r="P44">
        <v>24</v>
      </c>
      <c r="Q44">
        <v>14</v>
      </c>
      <c r="R44">
        <v>55</v>
      </c>
      <c r="S44">
        <f>$J44*1440+$K44*60+$L44</f>
        <v>16064</v>
      </c>
      <c r="T44">
        <f>$M44*1440+$N44*60+$O44</f>
        <v>19390</v>
      </c>
      <c r="U44">
        <f>$P44*1440+$Q44*60+$R44</f>
        <v>35455</v>
      </c>
      <c r="V44">
        <f>$S44/$U44</f>
        <v>0.45308137075165705</v>
      </c>
    </row>
    <row r="45" spans="1:22" ht="17.25" thickBot="1" x14ac:dyDescent="0.3">
      <c r="A45">
        <v>44</v>
      </c>
      <c r="B45" s="6" t="s">
        <v>257</v>
      </c>
      <c r="C45" s="7" t="s">
        <v>80</v>
      </c>
      <c r="D45" s="7" t="s">
        <v>0</v>
      </c>
      <c r="E45" s="7" t="s">
        <v>258</v>
      </c>
      <c r="F45" s="7" t="s">
        <v>259</v>
      </c>
      <c r="G45" s="7" t="s">
        <v>260</v>
      </c>
      <c r="H45" s="8">
        <v>0.439</v>
      </c>
      <c r="I45" s="7" t="s">
        <v>124</v>
      </c>
      <c r="J45" s="12">
        <v>10</v>
      </c>
      <c r="K45" s="12">
        <v>19</v>
      </c>
      <c r="L45" s="12">
        <v>25</v>
      </c>
      <c r="M45">
        <v>13</v>
      </c>
      <c r="N45">
        <v>19</v>
      </c>
      <c r="O45">
        <v>43</v>
      </c>
      <c r="P45">
        <v>24</v>
      </c>
      <c r="Q45">
        <v>15</v>
      </c>
      <c r="R45">
        <v>8</v>
      </c>
      <c r="S45">
        <f>$J45*1440+$K45*60+$L45</f>
        <v>15565</v>
      </c>
      <c r="T45">
        <f>$M45*1440+$N45*60+$O45</f>
        <v>19903</v>
      </c>
      <c r="U45">
        <f>$P45*1440+$Q45*60+$R45</f>
        <v>35468</v>
      </c>
      <c r="V45">
        <f>$S45/$U45</f>
        <v>0.43884628397428666</v>
      </c>
    </row>
    <row r="46" spans="1:22" ht="17.25" thickBot="1" x14ac:dyDescent="0.3">
      <c r="A46">
        <v>45</v>
      </c>
      <c r="B46" s="6" t="s">
        <v>240</v>
      </c>
      <c r="C46" s="7" t="s">
        <v>2</v>
      </c>
      <c r="D46" s="7" t="s">
        <v>0</v>
      </c>
      <c r="E46" s="7" t="s">
        <v>241</v>
      </c>
      <c r="F46" s="7" t="s">
        <v>242</v>
      </c>
      <c r="G46" s="7" t="s">
        <v>243</v>
      </c>
      <c r="H46" s="8">
        <v>0.44900000000000001</v>
      </c>
      <c r="I46" s="7" t="s">
        <v>170</v>
      </c>
      <c r="J46" s="12">
        <v>11</v>
      </c>
      <c r="K46" s="12">
        <v>1</v>
      </c>
      <c r="L46" s="12">
        <v>30</v>
      </c>
      <c r="M46">
        <v>13</v>
      </c>
      <c r="N46">
        <v>14</v>
      </c>
      <c r="O46">
        <v>5</v>
      </c>
      <c r="P46">
        <v>24</v>
      </c>
      <c r="Q46">
        <v>15</v>
      </c>
      <c r="R46">
        <v>35</v>
      </c>
      <c r="S46">
        <f>$J46*1440+$K46*60+$L46</f>
        <v>15930</v>
      </c>
      <c r="T46">
        <f>$M46*1440+$N46*60+$O46</f>
        <v>19565</v>
      </c>
      <c r="U46">
        <f>$P46*1440+$Q46*60+$R46</f>
        <v>35495</v>
      </c>
      <c r="V46">
        <f>$S46/$U46</f>
        <v>0.44879560501479082</v>
      </c>
    </row>
    <row r="47" spans="1:22" ht="17.25" thickBot="1" x14ac:dyDescent="0.3">
      <c r="A47">
        <v>46</v>
      </c>
      <c r="B47" s="3" t="s">
        <v>175</v>
      </c>
      <c r="C47" s="4" t="s">
        <v>2</v>
      </c>
      <c r="D47" s="4" t="s">
        <v>0</v>
      </c>
      <c r="E47" s="4" t="s">
        <v>176</v>
      </c>
      <c r="F47" s="4" t="s">
        <v>177</v>
      </c>
      <c r="G47" s="4" t="s">
        <v>178</v>
      </c>
      <c r="H47" s="5">
        <v>0.496</v>
      </c>
      <c r="I47" s="4" t="s">
        <v>72</v>
      </c>
      <c r="J47" s="13">
        <v>12</v>
      </c>
      <c r="K47" s="13">
        <v>7</v>
      </c>
      <c r="L47" s="13">
        <v>6</v>
      </c>
      <c r="M47">
        <v>12</v>
      </c>
      <c r="N47">
        <v>12</v>
      </c>
      <c r="O47">
        <v>12</v>
      </c>
      <c r="P47">
        <v>24</v>
      </c>
      <c r="Q47">
        <v>19</v>
      </c>
      <c r="R47">
        <v>19</v>
      </c>
      <c r="S47">
        <f>$J47*1440+$K47*60+$L47</f>
        <v>17706</v>
      </c>
      <c r="T47">
        <f>$M47*1440+$N47*60+$O47</f>
        <v>18012</v>
      </c>
      <c r="U47">
        <f>$P47*1440+$Q47*60+$R47</f>
        <v>35719</v>
      </c>
      <c r="V47">
        <f>$S47/$U47</f>
        <v>0.49570256726112155</v>
      </c>
    </row>
    <row r="48" spans="1:22" ht="17.25" thickBot="1" x14ac:dyDescent="0.3">
      <c r="A48">
        <v>47</v>
      </c>
      <c r="B48" s="6" t="s">
        <v>215</v>
      </c>
      <c r="C48" s="7" t="s">
        <v>2</v>
      </c>
      <c r="D48" s="7" t="s">
        <v>0</v>
      </c>
      <c r="E48" s="7" t="s">
        <v>216</v>
      </c>
      <c r="F48" s="7" t="s">
        <v>217</v>
      </c>
      <c r="G48" s="7" t="s">
        <v>218</v>
      </c>
      <c r="H48" s="8">
        <v>0.46700000000000003</v>
      </c>
      <c r="I48" s="7" t="s">
        <v>143</v>
      </c>
      <c r="J48" s="12">
        <v>11</v>
      </c>
      <c r="K48" s="12">
        <v>22</v>
      </c>
      <c r="L48" s="12">
        <v>19</v>
      </c>
      <c r="M48">
        <v>13</v>
      </c>
      <c r="N48">
        <v>14</v>
      </c>
      <c r="O48">
        <v>55</v>
      </c>
      <c r="P48">
        <v>25</v>
      </c>
      <c r="Q48">
        <v>13</v>
      </c>
      <c r="R48">
        <v>15</v>
      </c>
      <c r="S48">
        <f>$J48*1440+$K48*60+$L48</f>
        <v>17179</v>
      </c>
      <c r="T48">
        <f>$M48*1440+$N48*60+$O48</f>
        <v>19615</v>
      </c>
      <c r="U48">
        <f>$P48*1440+$Q48*60+$R48</f>
        <v>36795</v>
      </c>
      <c r="V48">
        <f>$S48/$U48</f>
        <v>0.4668840875118902</v>
      </c>
    </row>
    <row r="49" spans="1:22" ht="17.25" thickBot="1" x14ac:dyDescent="0.3">
      <c r="A49">
        <v>48</v>
      </c>
      <c r="B49" s="3" t="s">
        <v>129</v>
      </c>
      <c r="C49" s="4" t="s">
        <v>130</v>
      </c>
      <c r="D49" s="4" t="s">
        <v>0</v>
      </c>
      <c r="E49" s="4" t="s">
        <v>131</v>
      </c>
      <c r="F49" s="4" t="s">
        <v>132</v>
      </c>
      <c r="G49" s="4" t="s">
        <v>133</v>
      </c>
      <c r="H49" s="5">
        <v>0.51500000000000001</v>
      </c>
      <c r="I49" s="4" t="s">
        <v>134</v>
      </c>
      <c r="J49" s="13">
        <v>13</v>
      </c>
      <c r="K49" s="13">
        <v>9</v>
      </c>
      <c r="L49" s="13">
        <v>7</v>
      </c>
      <c r="M49">
        <v>12</v>
      </c>
      <c r="N49">
        <v>14</v>
      </c>
      <c r="O49">
        <v>4</v>
      </c>
      <c r="P49">
        <v>25</v>
      </c>
      <c r="Q49">
        <v>23</v>
      </c>
      <c r="R49">
        <v>12</v>
      </c>
      <c r="S49">
        <f>$J49*1440+$K49*60+$L49</f>
        <v>19267</v>
      </c>
      <c r="T49">
        <f>$M49*1440+$N49*60+$O49</f>
        <v>18124</v>
      </c>
      <c r="U49">
        <f>$P49*1440+$Q49*60+$R49</f>
        <v>37392</v>
      </c>
      <c r="V49">
        <f>$S49/$U49</f>
        <v>0.51527064612751394</v>
      </c>
    </row>
    <row r="50" spans="1:22" ht="17.25" thickBot="1" x14ac:dyDescent="0.3">
      <c r="A50">
        <v>49</v>
      </c>
      <c r="B50" s="3" t="s">
        <v>244</v>
      </c>
      <c r="C50" s="4" t="s">
        <v>14</v>
      </c>
      <c r="D50" s="4" t="s">
        <v>0</v>
      </c>
      <c r="E50" s="4" t="s">
        <v>245</v>
      </c>
      <c r="F50" s="4" t="s">
        <v>246</v>
      </c>
      <c r="G50" s="4" t="s">
        <v>247</v>
      </c>
      <c r="H50" s="5">
        <v>0.44900000000000001</v>
      </c>
      <c r="I50" s="4" t="s">
        <v>84</v>
      </c>
      <c r="J50" s="13">
        <v>11</v>
      </c>
      <c r="K50" s="13">
        <v>17</v>
      </c>
      <c r="L50" s="13">
        <v>50</v>
      </c>
      <c r="M50">
        <v>14</v>
      </c>
      <c r="N50">
        <v>9</v>
      </c>
      <c r="O50">
        <v>27</v>
      </c>
      <c r="P50">
        <v>26</v>
      </c>
      <c r="Q50">
        <v>3</v>
      </c>
      <c r="R50">
        <v>18</v>
      </c>
      <c r="S50">
        <f>$J50*1440+$K50*60+$L50</f>
        <v>16910</v>
      </c>
      <c r="T50">
        <f>$M50*1440+$N50*60+$O50</f>
        <v>20727</v>
      </c>
      <c r="U50">
        <f>$P50*1440+$Q50*60+$R50</f>
        <v>37638</v>
      </c>
      <c r="V50">
        <f>$S50/$U50</f>
        <v>0.44927998299590838</v>
      </c>
    </row>
    <row r="51" spans="1:22" ht="17.25" thickBot="1" x14ac:dyDescent="0.3">
      <c r="A51">
        <v>50</v>
      </c>
      <c r="B51" s="3" t="s">
        <v>261</v>
      </c>
      <c r="C51" s="4" t="s">
        <v>68</v>
      </c>
      <c r="D51" s="4" t="s">
        <v>0</v>
      </c>
      <c r="E51" s="4" t="s">
        <v>262</v>
      </c>
      <c r="F51" s="4" t="s">
        <v>263</v>
      </c>
      <c r="G51" s="4" t="s">
        <v>264</v>
      </c>
      <c r="H51" s="5">
        <v>0.438</v>
      </c>
      <c r="I51" s="4" t="s">
        <v>84</v>
      </c>
      <c r="J51" s="13">
        <v>11</v>
      </c>
      <c r="K51" s="13">
        <v>18</v>
      </c>
      <c r="L51" s="13">
        <v>36</v>
      </c>
      <c r="M51">
        <v>15</v>
      </c>
      <c r="N51">
        <v>2</v>
      </c>
      <c r="O51">
        <v>30</v>
      </c>
      <c r="P51">
        <v>26</v>
      </c>
      <c r="Q51">
        <v>21</v>
      </c>
      <c r="R51">
        <v>6</v>
      </c>
      <c r="S51">
        <f>$J51*1440+$K51*60+$L51</f>
        <v>16956</v>
      </c>
      <c r="T51">
        <f>$M51*1440+$N51*60+$O51</f>
        <v>21750</v>
      </c>
      <c r="U51">
        <f>$P51*1440+$Q51*60+$R51</f>
        <v>38706</v>
      </c>
      <c r="V51">
        <f>$S51/$U51</f>
        <v>0.43807161680359635</v>
      </c>
    </row>
    <row r="52" spans="1:22" ht="17.25" thickBot="1" x14ac:dyDescent="0.3">
      <c r="A52">
        <v>51</v>
      </c>
      <c r="B52" s="3" t="s">
        <v>201</v>
      </c>
      <c r="C52" s="4" t="s">
        <v>2</v>
      </c>
      <c r="D52" s="4" t="s">
        <v>0</v>
      </c>
      <c r="E52" s="4" t="s">
        <v>202</v>
      </c>
      <c r="F52" s="4" t="s">
        <v>203</v>
      </c>
      <c r="G52" s="4" t="s">
        <v>204</v>
      </c>
      <c r="H52" s="5">
        <v>0.47</v>
      </c>
      <c r="I52" s="4" t="s">
        <v>205</v>
      </c>
      <c r="J52" s="13">
        <v>12</v>
      </c>
      <c r="K52" s="13">
        <v>17</v>
      </c>
      <c r="L52" s="13">
        <v>2</v>
      </c>
      <c r="M52">
        <v>14</v>
      </c>
      <c r="N52">
        <v>8</v>
      </c>
      <c r="O52">
        <v>29</v>
      </c>
      <c r="P52">
        <v>27</v>
      </c>
      <c r="Q52">
        <v>1</v>
      </c>
      <c r="R52">
        <v>31</v>
      </c>
      <c r="S52">
        <f>$J52*1440+$K52*60+$L52</f>
        <v>18302</v>
      </c>
      <c r="T52">
        <f>$M52*1440+$N52*60+$O52</f>
        <v>20669</v>
      </c>
      <c r="U52">
        <f>$P52*1440+$Q52*60+$R52</f>
        <v>38971</v>
      </c>
      <c r="V52">
        <f>$S52/$U52</f>
        <v>0.4696312642734341</v>
      </c>
    </row>
    <row r="53" spans="1:22" ht="17.25" thickBot="1" x14ac:dyDescent="0.3">
      <c r="A53">
        <v>52</v>
      </c>
      <c r="B53" s="3" t="s">
        <v>219</v>
      </c>
      <c r="C53" s="4" t="s">
        <v>2</v>
      </c>
      <c r="D53" s="4" t="s">
        <v>0</v>
      </c>
      <c r="E53" s="4" t="s">
        <v>220</v>
      </c>
      <c r="F53" s="4" t="s">
        <v>221</v>
      </c>
      <c r="G53" s="4" t="s">
        <v>222</v>
      </c>
      <c r="H53" s="5">
        <v>0.46400000000000002</v>
      </c>
      <c r="I53" s="4" t="s">
        <v>223</v>
      </c>
      <c r="J53" s="13">
        <v>12</v>
      </c>
      <c r="K53" s="13">
        <v>15</v>
      </c>
      <c r="L53" s="13">
        <v>20</v>
      </c>
      <c r="M53">
        <v>14</v>
      </c>
      <c r="N53">
        <v>14</v>
      </c>
      <c r="O53">
        <v>54</v>
      </c>
      <c r="P53">
        <v>27</v>
      </c>
      <c r="Q53">
        <v>6</v>
      </c>
      <c r="R53">
        <v>15</v>
      </c>
      <c r="S53">
        <f>$J53*1440+$K53*60+$L53</f>
        <v>18200</v>
      </c>
      <c r="T53">
        <f>$M53*1440+$N53*60+$O53</f>
        <v>21054</v>
      </c>
      <c r="U53">
        <f>$P53*1440+$Q53*60+$R53</f>
        <v>39255</v>
      </c>
      <c r="V53">
        <f>$S53/$U53</f>
        <v>0.46363520570627947</v>
      </c>
    </row>
    <row r="54" spans="1:22" ht="17.25" thickBot="1" x14ac:dyDescent="0.3">
      <c r="A54">
        <v>53</v>
      </c>
      <c r="B54" s="6" t="s">
        <v>224</v>
      </c>
      <c r="C54" s="7" t="s">
        <v>2</v>
      </c>
      <c r="D54" s="7" t="s">
        <v>0</v>
      </c>
      <c r="E54" s="7" t="s">
        <v>225</v>
      </c>
      <c r="F54" s="7" t="s">
        <v>226</v>
      </c>
      <c r="G54" s="7" t="s">
        <v>227</v>
      </c>
      <c r="H54" s="8">
        <v>0.46200000000000002</v>
      </c>
      <c r="I54" s="7" t="s">
        <v>223</v>
      </c>
      <c r="J54" s="12">
        <v>12</v>
      </c>
      <c r="K54" s="12">
        <v>14</v>
      </c>
      <c r="L54" s="12">
        <v>21</v>
      </c>
      <c r="M54">
        <v>14</v>
      </c>
      <c r="N54">
        <v>16</v>
      </c>
      <c r="O54">
        <v>2</v>
      </c>
      <c r="P54">
        <v>27</v>
      </c>
      <c r="Q54">
        <v>6</v>
      </c>
      <c r="R54">
        <v>24</v>
      </c>
      <c r="S54">
        <f>$J54*1440+$K54*60+$L54</f>
        <v>18141</v>
      </c>
      <c r="T54">
        <f>$M54*1440+$N54*60+$O54</f>
        <v>21122</v>
      </c>
      <c r="U54">
        <f>$P54*1440+$Q54*60+$R54</f>
        <v>39264</v>
      </c>
      <c r="V54">
        <f>$S54/$U54</f>
        <v>0.46202628361858189</v>
      </c>
    </row>
    <row r="55" spans="1:22" ht="17.25" thickBot="1" x14ac:dyDescent="0.3">
      <c r="A55">
        <v>54</v>
      </c>
      <c r="B55" s="3" t="s">
        <v>253</v>
      </c>
      <c r="C55" s="4" t="s">
        <v>80</v>
      </c>
      <c r="D55" s="4" t="s">
        <v>0</v>
      </c>
      <c r="E55" s="4" t="s">
        <v>254</v>
      </c>
      <c r="F55" s="4" t="s">
        <v>255</v>
      </c>
      <c r="G55" s="4" t="s">
        <v>256</v>
      </c>
      <c r="H55" s="5">
        <v>0.441</v>
      </c>
      <c r="I55" s="4" t="s">
        <v>148</v>
      </c>
      <c r="J55" s="13">
        <v>12</v>
      </c>
      <c r="K55" s="13">
        <v>1</v>
      </c>
      <c r="L55" s="13">
        <v>40</v>
      </c>
      <c r="M55">
        <v>15</v>
      </c>
      <c r="N55">
        <v>6</v>
      </c>
      <c r="O55">
        <v>56</v>
      </c>
      <c r="P55">
        <v>27</v>
      </c>
      <c r="Q55">
        <v>8</v>
      </c>
      <c r="R55">
        <v>36</v>
      </c>
      <c r="S55">
        <f>$J55*1440+$K55*60+$L55</f>
        <v>17380</v>
      </c>
      <c r="T55">
        <f>$M55*1440+$N55*60+$O55</f>
        <v>22016</v>
      </c>
      <c r="U55">
        <f>$P55*1440+$Q55*60+$R55</f>
        <v>39396</v>
      </c>
      <c r="V55">
        <f>$S55/$U55</f>
        <v>0.44116153924256268</v>
      </c>
    </row>
    <row r="56" spans="1:22" ht="17.25" thickBot="1" x14ac:dyDescent="0.3">
      <c r="A56">
        <v>55</v>
      </c>
      <c r="B56" s="3" t="s">
        <v>282</v>
      </c>
      <c r="C56" s="4" t="s">
        <v>80</v>
      </c>
      <c r="D56" s="4" t="s">
        <v>0</v>
      </c>
      <c r="E56" s="4" t="s">
        <v>283</v>
      </c>
      <c r="F56" s="4" t="s">
        <v>284</v>
      </c>
      <c r="G56" s="4" t="s">
        <v>285</v>
      </c>
      <c r="H56" s="5">
        <v>0.38100000000000001</v>
      </c>
      <c r="I56" s="4" t="s">
        <v>45</v>
      </c>
      <c r="J56" s="13">
        <v>10</v>
      </c>
      <c r="K56" s="13">
        <v>10</v>
      </c>
      <c r="L56" s="13">
        <v>52</v>
      </c>
      <c r="M56">
        <v>16</v>
      </c>
      <c r="N56">
        <v>23</v>
      </c>
      <c r="O56">
        <v>57</v>
      </c>
      <c r="P56">
        <v>27</v>
      </c>
      <c r="Q56">
        <v>10</v>
      </c>
      <c r="R56">
        <v>49</v>
      </c>
      <c r="S56">
        <f>$J56*1440+$K56*60+$L56</f>
        <v>15052</v>
      </c>
      <c r="T56">
        <f>$M56*1440+$N56*60+$O56</f>
        <v>24477</v>
      </c>
      <c r="U56">
        <f>$P56*1440+$Q56*60+$R56</f>
        <v>39529</v>
      </c>
      <c r="V56">
        <f>$S56/$U56</f>
        <v>0.38078372840193275</v>
      </c>
    </row>
    <row r="57" spans="1:22" ht="17.25" thickBot="1" x14ac:dyDescent="0.3">
      <c r="A57">
        <v>56</v>
      </c>
      <c r="B57" s="3" t="s">
        <v>236</v>
      </c>
      <c r="C57" s="4" t="s">
        <v>2</v>
      </c>
      <c r="D57" s="4" t="s">
        <v>0</v>
      </c>
      <c r="E57" s="4" t="s">
        <v>237</v>
      </c>
      <c r="F57" s="4" t="s">
        <v>238</v>
      </c>
      <c r="G57" s="4" t="s">
        <v>239</v>
      </c>
      <c r="H57" s="5">
        <v>0.45100000000000001</v>
      </c>
      <c r="I57" s="4" t="s">
        <v>72</v>
      </c>
      <c r="J57" s="13">
        <v>12</v>
      </c>
      <c r="K57" s="13">
        <v>9</v>
      </c>
      <c r="L57" s="13">
        <v>28</v>
      </c>
      <c r="M57">
        <v>15</v>
      </c>
      <c r="N57">
        <v>1</v>
      </c>
      <c r="O57">
        <v>46</v>
      </c>
      <c r="P57">
        <v>27</v>
      </c>
      <c r="Q57">
        <v>11</v>
      </c>
      <c r="R57">
        <v>15</v>
      </c>
      <c r="S57">
        <f>$J57*1440+$K57*60+$L57</f>
        <v>17848</v>
      </c>
      <c r="T57">
        <f>$M57*1440+$N57*60+$O57</f>
        <v>21706</v>
      </c>
      <c r="U57">
        <f>$P57*1440+$Q57*60+$R57</f>
        <v>39555</v>
      </c>
      <c r="V57">
        <f>$S57/$U57</f>
        <v>0.45121982050309695</v>
      </c>
    </row>
    <row r="58" spans="1:22" ht="17.25" thickBot="1" x14ac:dyDescent="0.3">
      <c r="A58">
        <v>57</v>
      </c>
      <c r="B58" s="6" t="s">
        <v>248</v>
      </c>
      <c r="C58" s="7" t="s">
        <v>80</v>
      </c>
      <c r="D58" s="7" t="s">
        <v>0</v>
      </c>
      <c r="E58" s="7" t="s">
        <v>249</v>
      </c>
      <c r="F58" s="7" t="s">
        <v>250</v>
      </c>
      <c r="G58" s="7" t="s">
        <v>251</v>
      </c>
      <c r="H58" s="8">
        <v>0.443</v>
      </c>
      <c r="I58" s="7" t="s">
        <v>252</v>
      </c>
      <c r="J58" s="12">
        <v>12</v>
      </c>
      <c r="K58" s="12">
        <v>4</v>
      </c>
      <c r="L58" s="12">
        <v>19</v>
      </c>
      <c r="M58">
        <v>15</v>
      </c>
      <c r="N58">
        <v>7</v>
      </c>
      <c r="O58">
        <v>21</v>
      </c>
      <c r="P58">
        <v>27</v>
      </c>
      <c r="Q58">
        <v>11</v>
      </c>
      <c r="R58">
        <v>41</v>
      </c>
      <c r="S58">
        <f>$J58*1440+$K58*60+$L58</f>
        <v>17539</v>
      </c>
      <c r="T58">
        <f>$M58*1440+$N58*60+$O58</f>
        <v>22041</v>
      </c>
      <c r="U58">
        <f>$P58*1440+$Q58*60+$R58</f>
        <v>39581</v>
      </c>
      <c r="V58">
        <f>$S58/$U58</f>
        <v>0.44311664687602637</v>
      </c>
    </row>
    <row r="59" spans="1:22" ht="17.25" thickBot="1" x14ac:dyDescent="0.3">
      <c r="A59">
        <v>58</v>
      </c>
      <c r="B59" s="3" t="s">
        <v>291</v>
      </c>
      <c r="C59" s="4" t="s">
        <v>2</v>
      </c>
      <c r="D59" s="4" t="s">
        <v>0</v>
      </c>
      <c r="E59" s="4" t="s">
        <v>292</v>
      </c>
      <c r="F59" s="4" t="s">
        <v>293</v>
      </c>
      <c r="G59" s="4" t="s">
        <v>294</v>
      </c>
      <c r="H59" s="5">
        <v>0.34300000000000003</v>
      </c>
      <c r="I59" s="4" t="s">
        <v>295</v>
      </c>
      <c r="J59" s="13">
        <v>9</v>
      </c>
      <c r="K59" s="13">
        <v>10</v>
      </c>
      <c r="L59" s="13">
        <v>26</v>
      </c>
      <c r="M59">
        <v>18</v>
      </c>
      <c r="N59">
        <v>1</v>
      </c>
      <c r="O59">
        <v>17</v>
      </c>
      <c r="P59">
        <v>27</v>
      </c>
      <c r="Q59">
        <v>11</v>
      </c>
      <c r="R59">
        <v>43</v>
      </c>
      <c r="S59">
        <f>$J59*1440+$K59*60+$L59</f>
        <v>13586</v>
      </c>
      <c r="T59">
        <f>$M59*1440+$N59*60+$O59</f>
        <v>25997</v>
      </c>
      <c r="U59">
        <f>$P59*1440+$Q59*60+$R59</f>
        <v>39583</v>
      </c>
      <c r="V59">
        <f>$S59/$U59</f>
        <v>0.34322815350024</v>
      </c>
    </row>
    <row r="60" spans="1:22" ht="17.25" thickBot="1" x14ac:dyDescent="0.3">
      <c r="A60">
        <v>59</v>
      </c>
      <c r="B60" s="3" t="s">
        <v>191</v>
      </c>
      <c r="C60" s="4" t="s">
        <v>192</v>
      </c>
      <c r="D60" s="4" t="s">
        <v>0</v>
      </c>
      <c r="E60" s="4" t="s">
        <v>193</v>
      </c>
      <c r="F60" s="4" t="s">
        <v>194</v>
      </c>
      <c r="G60" s="4" t="s">
        <v>195</v>
      </c>
      <c r="H60" s="5">
        <v>0.47199999999999998</v>
      </c>
      <c r="I60" s="4" t="s">
        <v>35</v>
      </c>
      <c r="J60" s="13">
        <v>13</v>
      </c>
      <c r="K60" s="13">
        <v>2</v>
      </c>
      <c r="L60" s="13">
        <v>43</v>
      </c>
      <c r="M60">
        <v>14</v>
      </c>
      <c r="N60">
        <v>15</v>
      </c>
      <c r="O60">
        <v>43</v>
      </c>
      <c r="P60">
        <v>27</v>
      </c>
      <c r="Q60">
        <v>18</v>
      </c>
      <c r="R60">
        <v>26</v>
      </c>
      <c r="S60">
        <f>$J60*1440+$K60*60+$L60</f>
        <v>18883</v>
      </c>
      <c r="T60">
        <f>$M60*1440+$N60*60+$O60</f>
        <v>21103</v>
      </c>
      <c r="U60">
        <f>$P60*1440+$Q60*60+$R60</f>
        <v>39986</v>
      </c>
      <c r="V60">
        <f>$S60/$U60</f>
        <v>0.4722402840994348</v>
      </c>
    </row>
    <row r="61" spans="1:22" ht="17.25" thickBot="1" x14ac:dyDescent="0.3">
      <c r="A61">
        <v>60</v>
      </c>
      <c r="B61" s="3" t="s">
        <v>269</v>
      </c>
      <c r="C61" s="4" t="s">
        <v>68</v>
      </c>
      <c r="D61" s="4" t="s">
        <v>0</v>
      </c>
      <c r="E61" s="4" t="s">
        <v>270</v>
      </c>
      <c r="F61" s="4" t="s">
        <v>271</v>
      </c>
      <c r="G61" s="4" t="s">
        <v>272</v>
      </c>
      <c r="H61" s="5">
        <v>0.435</v>
      </c>
      <c r="I61" s="4" t="s">
        <v>252</v>
      </c>
      <c r="J61" s="13">
        <v>12</v>
      </c>
      <c r="K61" s="13">
        <v>4</v>
      </c>
      <c r="L61" s="13">
        <v>13</v>
      </c>
      <c r="M61">
        <v>15</v>
      </c>
      <c r="N61">
        <v>19</v>
      </c>
      <c r="O61">
        <v>53</v>
      </c>
      <c r="P61">
        <v>28</v>
      </c>
      <c r="Q61">
        <v>0</v>
      </c>
      <c r="R61">
        <v>7</v>
      </c>
      <c r="S61">
        <f>$J61*1440+$K61*60+$L61</f>
        <v>17533</v>
      </c>
      <c r="T61">
        <f>$M61*1440+$N61*60+$O61</f>
        <v>22793</v>
      </c>
      <c r="U61">
        <f>$P61*1440+$Q61*60+$R61</f>
        <v>40327</v>
      </c>
      <c r="V61">
        <f>$S61/$U61</f>
        <v>0.43477074912589581</v>
      </c>
    </row>
    <row r="62" spans="1:22" ht="17.25" thickBot="1" x14ac:dyDescent="0.3">
      <c r="A62">
        <v>61</v>
      </c>
      <c r="B62" s="6" t="s">
        <v>196</v>
      </c>
      <c r="C62" s="7" t="s">
        <v>2</v>
      </c>
      <c r="D62" s="7" t="s">
        <v>74</v>
      </c>
      <c r="E62" s="7" t="s">
        <v>197</v>
      </c>
      <c r="F62" s="7" t="s">
        <v>198</v>
      </c>
      <c r="G62" s="7" t="s">
        <v>199</v>
      </c>
      <c r="H62" s="8">
        <v>0.47099999999999997</v>
      </c>
      <c r="I62" s="7" t="s">
        <v>200</v>
      </c>
      <c r="J62" s="12">
        <v>13</v>
      </c>
      <c r="K62" s="12">
        <v>5</v>
      </c>
      <c r="L62" s="12">
        <v>27</v>
      </c>
      <c r="M62">
        <v>14</v>
      </c>
      <c r="N62">
        <v>20</v>
      </c>
      <c r="O62">
        <v>31</v>
      </c>
      <c r="P62">
        <v>28</v>
      </c>
      <c r="Q62">
        <v>1</v>
      </c>
      <c r="R62">
        <v>58</v>
      </c>
      <c r="S62">
        <f>$J62*1440+$K62*60+$L62</f>
        <v>19047</v>
      </c>
      <c r="T62">
        <f>$M62*1440+$N62*60+$O62</f>
        <v>21391</v>
      </c>
      <c r="U62">
        <f>$P62*1440+$Q62*60+$R62</f>
        <v>40438</v>
      </c>
      <c r="V62">
        <f>$S62/$U62</f>
        <v>0.47101735990899651</v>
      </c>
    </row>
    <row r="63" spans="1:22" ht="17.25" thickBot="1" x14ac:dyDescent="0.3">
      <c r="A63">
        <v>62</v>
      </c>
      <c r="B63" s="6" t="s">
        <v>286</v>
      </c>
      <c r="C63" s="7" t="s">
        <v>287</v>
      </c>
      <c r="D63" s="7" t="s">
        <v>0</v>
      </c>
      <c r="E63" s="7" t="s">
        <v>288</v>
      </c>
      <c r="F63" s="7" t="s">
        <v>289</v>
      </c>
      <c r="G63" s="7" t="s">
        <v>290</v>
      </c>
      <c r="H63" s="8">
        <v>0.378</v>
      </c>
      <c r="I63" s="7" t="s">
        <v>124</v>
      </c>
      <c r="J63" s="12">
        <v>10</v>
      </c>
      <c r="K63" s="12">
        <v>18</v>
      </c>
      <c r="L63" s="12">
        <v>20</v>
      </c>
      <c r="M63">
        <v>17</v>
      </c>
      <c r="N63">
        <v>16</v>
      </c>
      <c r="O63">
        <v>39</v>
      </c>
      <c r="P63">
        <v>28</v>
      </c>
      <c r="Q63">
        <v>10</v>
      </c>
      <c r="R63">
        <v>59</v>
      </c>
      <c r="S63">
        <f>$J63*1440+$K63*60+$L63</f>
        <v>15500</v>
      </c>
      <c r="T63">
        <f>$M63*1440+$N63*60+$O63</f>
        <v>25479</v>
      </c>
      <c r="U63">
        <f>$P63*1440+$Q63*60+$R63</f>
        <v>40979</v>
      </c>
      <c r="V63">
        <f>$S63/$U63</f>
        <v>0.37824251445862517</v>
      </c>
    </row>
    <row r="64" spans="1:22" ht="17.25" thickBot="1" x14ac:dyDescent="0.3">
      <c r="A64">
        <v>63</v>
      </c>
      <c r="B64" s="3" t="s">
        <v>277</v>
      </c>
      <c r="C64" s="4" t="s">
        <v>278</v>
      </c>
      <c r="D64" s="4" t="s">
        <v>0</v>
      </c>
      <c r="E64" s="4" t="s">
        <v>279</v>
      </c>
      <c r="F64" s="4" t="s">
        <v>280</v>
      </c>
      <c r="G64" s="4" t="s">
        <v>281</v>
      </c>
      <c r="H64" s="5">
        <v>0.42199999999999999</v>
      </c>
      <c r="I64" s="4" t="s">
        <v>119</v>
      </c>
      <c r="J64" s="13">
        <v>12</v>
      </c>
      <c r="K64" s="13">
        <v>15</v>
      </c>
      <c r="L64" s="13">
        <v>9</v>
      </c>
      <c r="M64">
        <v>17</v>
      </c>
      <c r="N64">
        <v>7</v>
      </c>
      <c r="O64">
        <v>14</v>
      </c>
      <c r="P64">
        <v>29</v>
      </c>
      <c r="Q64">
        <v>22</v>
      </c>
      <c r="R64">
        <v>24</v>
      </c>
      <c r="S64">
        <f>$J64*1440+$K64*60+$L64</f>
        <v>18189</v>
      </c>
      <c r="T64">
        <f>$M64*1440+$N64*60+$O64</f>
        <v>24914</v>
      </c>
      <c r="U64">
        <f>$P64*1440+$Q64*60+$R64</f>
        <v>43104</v>
      </c>
      <c r="V64">
        <f>$S64/$U64</f>
        <v>0.4219793986636971</v>
      </c>
    </row>
    <row r="65" spans="2:12" ht="17.25" thickBot="1" x14ac:dyDescent="0.3">
      <c r="B65" s="6"/>
      <c r="C65" s="7"/>
      <c r="D65" s="7"/>
      <c r="E65" s="7"/>
      <c r="F65" s="7"/>
      <c r="G65" s="7"/>
      <c r="H65" s="8"/>
      <c r="I65" s="7"/>
      <c r="J65" s="12"/>
      <c r="K65" s="12"/>
      <c r="L65" s="12"/>
    </row>
    <row r="66" spans="2:12" ht="17.25" thickBot="1" x14ac:dyDescent="0.3">
      <c r="B66" s="6"/>
      <c r="C66" s="7"/>
      <c r="D66" s="7"/>
      <c r="E66" s="7"/>
      <c r="F66" s="7"/>
      <c r="G66" s="7"/>
      <c r="H66" s="8"/>
      <c r="I66" s="7"/>
      <c r="J66" s="12"/>
      <c r="K66" s="12"/>
      <c r="L66" s="12"/>
    </row>
    <row r="67" spans="2:12" ht="17.25" thickBot="1" x14ac:dyDescent="0.3">
      <c r="B67" s="3"/>
      <c r="C67" s="4"/>
      <c r="D67" s="4"/>
      <c r="E67" s="4"/>
      <c r="F67" s="4"/>
      <c r="G67" s="4"/>
      <c r="H67" s="5"/>
      <c r="I67" s="4"/>
      <c r="J67" s="13"/>
      <c r="K67" s="13"/>
      <c r="L67" s="13"/>
    </row>
    <row r="68" spans="2:12" ht="17.25" thickBot="1" x14ac:dyDescent="0.3">
      <c r="B68" s="6"/>
      <c r="C68" s="7"/>
      <c r="D68" s="7"/>
      <c r="E68" s="7"/>
      <c r="F68" s="7"/>
      <c r="G68" s="7"/>
      <c r="H68" s="8"/>
      <c r="I68" s="7"/>
      <c r="J68" s="12"/>
      <c r="K68" s="12"/>
      <c r="L68" s="12"/>
    </row>
    <row r="69" spans="2:12" ht="17.25" thickBot="1" x14ac:dyDescent="0.3">
      <c r="B69" s="6"/>
      <c r="C69" s="7"/>
      <c r="D69" s="7"/>
      <c r="E69" s="7"/>
      <c r="F69" s="7"/>
      <c r="G69" s="7"/>
      <c r="H69" s="8"/>
      <c r="I69" s="7"/>
      <c r="J69" s="12"/>
      <c r="K69" s="12"/>
      <c r="L69" s="12"/>
    </row>
    <row r="70" spans="2:12" ht="17.25" thickBot="1" x14ac:dyDescent="0.3">
      <c r="B70" s="6"/>
      <c r="C70" s="7"/>
      <c r="D70" s="7"/>
      <c r="E70" s="7"/>
      <c r="F70" s="7"/>
      <c r="G70" s="7"/>
      <c r="H70" s="8"/>
      <c r="I70" s="7"/>
      <c r="J70" s="12"/>
      <c r="K70" s="12"/>
      <c r="L70" s="12"/>
    </row>
    <row r="71" spans="2:12" ht="17.25" thickBot="1" x14ac:dyDescent="0.3">
      <c r="B71" s="3"/>
      <c r="C71" s="4"/>
      <c r="D71" s="4"/>
      <c r="E71" s="4"/>
      <c r="F71" s="4"/>
      <c r="G71" s="4"/>
      <c r="H71" s="5"/>
      <c r="I71" s="4"/>
      <c r="J71" s="13"/>
      <c r="K71" s="13"/>
      <c r="L71" s="13"/>
    </row>
    <row r="72" spans="2:12" ht="17.25" thickBot="1" x14ac:dyDescent="0.3">
      <c r="B72" s="3"/>
      <c r="C72" s="4"/>
      <c r="D72" s="4"/>
      <c r="E72" s="4"/>
      <c r="F72" s="4"/>
      <c r="G72" s="4"/>
      <c r="H72" s="5"/>
      <c r="I72" s="4"/>
      <c r="J72" s="13"/>
      <c r="K72" s="13"/>
      <c r="L72" s="13"/>
    </row>
    <row r="73" spans="2:12" ht="17.25" thickBot="1" x14ac:dyDescent="0.3">
      <c r="B73" s="6"/>
      <c r="C73" s="7"/>
      <c r="D73" s="7"/>
      <c r="E73" s="7"/>
      <c r="F73" s="7"/>
      <c r="G73" s="7"/>
      <c r="H73" s="8"/>
      <c r="I73" s="7"/>
      <c r="J73" s="12"/>
      <c r="K73" s="12"/>
      <c r="L73" s="12"/>
    </row>
    <row r="74" spans="2:12" ht="17.25" thickBot="1" x14ac:dyDescent="0.3">
      <c r="B74" s="3"/>
      <c r="C74" s="4"/>
      <c r="D74" s="4"/>
      <c r="E74" s="4"/>
      <c r="F74" s="4"/>
      <c r="G74" s="4"/>
      <c r="H74" s="5"/>
      <c r="I74" s="4"/>
      <c r="J74" s="13"/>
      <c r="K74" s="13"/>
      <c r="L74" s="13"/>
    </row>
    <row r="75" spans="2:12" ht="17.25" thickBot="1" x14ac:dyDescent="0.3">
      <c r="B75" s="6"/>
      <c r="C75" s="7"/>
      <c r="D75" s="7"/>
      <c r="E75" s="7"/>
      <c r="F75" s="7"/>
      <c r="G75" s="7"/>
      <c r="H75" s="8"/>
      <c r="I75" s="7"/>
      <c r="J75" s="12"/>
      <c r="K75" s="12"/>
      <c r="L75" s="12"/>
    </row>
    <row r="76" spans="2:12" ht="17.25" thickBot="1" x14ac:dyDescent="0.3">
      <c r="B76" s="3"/>
      <c r="C76" s="4"/>
      <c r="D76" s="4"/>
      <c r="E76" s="4"/>
      <c r="F76" s="4"/>
      <c r="G76" s="4"/>
      <c r="H76" s="5"/>
      <c r="I76" s="4"/>
      <c r="J76" s="13"/>
      <c r="K76" s="13"/>
      <c r="L76" s="13"/>
    </row>
    <row r="77" spans="2:12" ht="17.25" thickBot="1" x14ac:dyDescent="0.3">
      <c r="B77" s="6"/>
      <c r="C77" s="7"/>
      <c r="D77" s="7"/>
      <c r="E77" s="7"/>
      <c r="F77" s="7"/>
      <c r="G77" s="7"/>
      <c r="H77" s="8"/>
      <c r="I77" s="7"/>
      <c r="J77" s="12"/>
      <c r="K77" s="12"/>
      <c r="L77" s="12"/>
    </row>
    <row r="78" spans="2:12" ht="17.25" thickBot="1" x14ac:dyDescent="0.3">
      <c r="B78" s="6"/>
      <c r="C78" s="7"/>
      <c r="D78" s="7"/>
      <c r="E78" s="7"/>
      <c r="F78" s="7"/>
      <c r="G78" s="7"/>
      <c r="H78" s="8"/>
      <c r="I78" s="7"/>
      <c r="J78" s="12"/>
      <c r="K78" s="12"/>
      <c r="L78" s="12"/>
    </row>
    <row r="79" spans="2:12" ht="17.25" thickBot="1" x14ac:dyDescent="0.3">
      <c r="B79" s="3"/>
      <c r="C79" s="4"/>
      <c r="D79" s="4"/>
      <c r="E79" s="4"/>
      <c r="F79" s="4"/>
      <c r="G79" s="4"/>
      <c r="H79" s="5"/>
      <c r="I79" s="4"/>
      <c r="J79" s="13"/>
      <c r="K79" s="13"/>
      <c r="L79" s="13"/>
    </row>
    <row r="80" spans="2:12" ht="17.25" thickBot="1" x14ac:dyDescent="0.3">
      <c r="B80" s="3"/>
      <c r="C80" s="4"/>
      <c r="D80" s="4"/>
      <c r="E80" s="4"/>
      <c r="F80" s="4"/>
      <c r="G80" s="4"/>
      <c r="H80" s="5"/>
      <c r="I80" s="4"/>
      <c r="J80" s="13"/>
      <c r="K80" s="13"/>
      <c r="L80" s="13"/>
    </row>
    <row r="81" spans="2:12" ht="16.5" x14ac:dyDescent="0.25">
      <c r="B81" s="6"/>
      <c r="C81" s="7"/>
      <c r="D81" s="7"/>
      <c r="E81" s="7"/>
      <c r="F81" s="7"/>
      <c r="G81" s="7"/>
      <c r="H81" s="9"/>
      <c r="I81" s="7"/>
      <c r="J81" s="12"/>
      <c r="K81" s="12"/>
      <c r="L81" s="12"/>
    </row>
  </sheetData>
  <autoFilter ref="B1:V65" xr:uid="{2AB92F25-F1A7-4B49-9289-9A3BA40B0AAA}">
    <sortState xmlns:xlrd2="http://schemas.microsoft.com/office/spreadsheetml/2017/richdata2" ref="B2:V65">
      <sortCondition ref="U1:U65"/>
    </sortState>
  </autoFilter>
  <hyperlinks>
    <hyperlink ref="B59" r:id="rId1" display="https://trackleaders.com/tourdivide22i.php?name=Sam_Bailey" xr:uid="{ADCA2A23-EB37-4559-B431-2303E37636D7}"/>
    <hyperlink ref="B63" r:id="rId2" display="https://trackleaders.com/tourdivide22i.php?name=Jim_Sevaly" xr:uid="{6A135057-EC4C-4D90-9408-E1D13F14C1E9}"/>
    <hyperlink ref="B56" r:id="rId3" display="https://trackleaders.com/tourdivide22i.php?name=Sean_Di_Lizio" xr:uid="{AD3712A4-479D-46BA-8591-F8913D0A012E}"/>
    <hyperlink ref="B64" r:id="rId4" display="https://trackleaders.com/tourdivide22i.php?name=David_Moss" xr:uid="{EACC06FE-6D43-438D-8EB7-B886D7C42006}"/>
    <hyperlink ref="B40" r:id="rId5" display="https://trackleaders.com/tourdivide22i.php?name=Martin_Grethe" xr:uid="{991B5FBA-BF12-4113-9DE0-473531B26E05}"/>
    <hyperlink ref="B61" r:id="rId6" display="https://trackleaders.com/tourdivide22i.php?name=Duncan_Scholtz" xr:uid="{CC354DA5-F0AD-4A09-920E-D2E8C1DBE284}"/>
    <hyperlink ref="B36" r:id="rId7" display="https://trackleaders.com/tourdivide22i.php?name=Jacob_Ashton" xr:uid="{60267051-505A-47C9-AD68-A5B3D932AF4A}"/>
    <hyperlink ref="B51" r:id="rId8" display="https://trackleaders.com/tourdivide22i.php?name=Chris_Miksovsky" xr:uid="{A104314F-2BD2-435F-B8EB-17D8CB84FAAF}"/>
    <hyperlink ref="B45" r:id="rId9" display="https://trackleaders.com/tourdivide22i.php?name=Keith_Jordan" xr:uid="{5D02C278-3280-4798-82A6-417A62896D71}"/>
    <hyperlink ref="B55" r:id="rId10" display="https://trackleaders.com/tourdivide22i.php?name=Jakub_Cychowski" xr:uid="{12AE7511-BAA7-42FA-928E-BD7EF1820650}"/>
    <hyperlink ref="B58" r:id="rId11" display="https://trackleaders.com/tourdivide22i.php?name=Bennie_Black" xr:uid="{6946C219-45A7-42C8-A02F-FBDA7568B66C}"/>
    <hyperlink ref="B50" r:id="rId12" display="https://trackleaders.com/tourdivide22i.php?name=Mathias_Mueller" xr:uid="{66321442-7BEC-442D-BDE5-77D5B8224E96}"/>
    <hyperlink ref="B46" r:id="rId13" display="https://trackleaders.com/tourdivide22i.php?name=Patrick_Mckellips" xr:uid="{3B320D7A-BE36-4F68-AEC9-B868AB83481A}"/>
    <hyperlink ref="B57" r:id="rId14" display="https://trackleaders.com/tourdivide22i.php?name=Kevin_Meier" xr:uid="{A410D055-7894-4939-939B-295128A510B6}"/>
    <hyperlink ref="B44" r:id="rId15" display="https://trackleaders.com/tourdivide22i.php?name=Tyler_Gatlin" xr:uid="{FA7DBDFD-2A8B-4019-8429-E99E66207DC0}"/>
    <hyperlink ref="B32" r:id="rId16" display="https://trackleaders.com/tourdivide22i.php?name=Nick_Runtsch" xr:uid="{33642DC2-3BC8-4799-8FC6-AA06E838BD4D}"/>
    <hyperlink ref="B54" r:id="rId17" display="https://trackleaders.com/tourdivide22i.php?name=Robert_Joseph" xr:uid="{F3DB0A02-CB3C-4ED0-BB25-3736B92AA645}"/>
    <hyperlink ref="B53" r:id="rId18" display="https://trackleaders.com/tourdivide22i.php?name=Mat_King" xr:uid="{B611B372-5EFE-401D-B84B-9B487323A95F}"/>
    <hyperlink ref="B48" r:id="rId19" display="https://trackleaders.com/tourdivide22i.php?name=Ken_Waring" xr:uid="{4AE62F9A-15AB-425D-B2F5-D15C830666D5}"/>
    <hyperlink ref="B42" r:id="rId20" display="https://trackleaders.com/tourdivide22i.php?name=Anthony_Ball" xr:uid="{514C2393-FB7F-4AD6-985A-744564616A3E}"/>
    <hyperlink ref="B41" r:id="rId21" display="https://trackleaders.com/tourdivide22i.php?name=Phil_Jones" xr:uid="{92AE41E1-D7DB-44A1-88E1-DFC236AF5776}"/>
    <hyperlink ref="B52" r:id="rId22" display="https://trackleaders.com/tourdivide22i.php?name=Chris_Kuzdas" xr:uid="{4F1C33C8-185C-49B8-B7AD-2ECEB4C88357}"/>
    <hyperlink ref="B62" r:id="rId23" display="https://trackleaders.com/tourdivide22i.php?name=Brie_Hevener" xr:uid="{B8C53646-BA87-4CAE-A6F1-E7FD80E8B90F}"/>
    <hyperlink ref="B60" r:id="rId24" display="https://trackleaders.com/tourdivide22i.php?name=Gary_Johnson" xr:uid="{C812FDD4-8D59-455B-9633-71B4983DBD0C}"/>
    <hyperlink ref="B28" r:id="rId25" display="https://trackleaders.com/tourdivide22i.php?name=Katie_Dolan" xr:uid="{27D4DE4C-A7BE-489B-8371-53BB66ECA087}"/>
    <hyperlink ref="B33" r:id="rId26" display="https://trackleaders.com/tourdivide22i.php?name=Sandro_Poppe" xr:uid="{79F619D1-B1B6-4582-ADB7-E5EDB6AE626C}"/>
    <hyperlink ref="B37" r:id="rId27" display="https://trackleaders.com/tourdivide22i.php?name=Aaron_Ehlers" xr:uid="{0430E233-31B0-4039-9E15-F6B57C199E9E}"/>
    <hyperlink ref="B47" r:id="rId28" display="https://trackleaders.com/tourdivide22i.php?name=Brett_Humphrey" xr:uid="{EA796EA6-AA8C-4048-B736-146788ACAD68}"/>
    <hyperlink ref="B43" r:id="rId29" display="https://trackleaders.com/tourdivide22i.php?name=Carl_Gable" xr:uid="{B0AD1977-ADC1-4D05-AD28-E8DFBD7A4E05}"/>
    <hyperlink ref="B31" r:id="rId30" display="https://trackleaders.com/tourdivide22i.php?name=Tom_Baker" xr:uid="{57CF6C2F-F684-4898-83C5-EAAFC3AE2E6A}"/>
    <hyperlink ref="B34" r:id="rId31" display="https://trackleaders.com/tourdivide22i.php?name=Patrick_Carlson" xr:uid="{1963DF43-F496-44DB-870E-0EEF7B595330}"/>
    <hyperlink ref="B30" r:id="rId32" display="https://trackleaders.com/tourdivide22i.php?name=Bart_Muylle" xr:uid="{F100BC33-7A8B-4150-B81C-8B6219A20021}"/>
    <hyperlink ref="B25" r:id="rId33" display="https://trackleaders.com/tourdivide22i.php?name=Markus_Weinberg" xr:uid="{B15465EB-B957-49A3-9F81-A47755D0815C}"/>
    <hyperlink ref="B26" r:id="rId34" display="https://trackleaders.com/tourdivide22i.php?name=Karol_Kristov" xr:uid="{E2CC7BE6-F0D6-48AD-B766-553F131F9AF9}"/>
    <hyperlink ref="B38" r:id="rId35" display="https://trackleaders.com/tourdivide22i.php?name=Paul_Kuzdas" xr:uid="{0DBBE5BE-41C4-4A19-88B0-CFB0E48147A8}"/>
    <hyperlink ref="B35" r:id="rId36" display="https://trackleaders.com/tourdivide22i.php?name=Wendy_Stevenson" xr:uid="{BCC312B1-B85A-4570-BD75-82AB4D208C35}"/>
    <hyperlink ref="B27" r:id="rId37" display="https://trackleaders.com/tourdivide22i.php?name=Rj_Sauer" xr:uid="{B1ACD43E-07F1-49C5-ADC8-88B3C2F3BB0D}"/>
    <hyperlink ref="B49" r:id="rId38" display="https://trackleaders.com/tourdivide22i.php?name=Chris_Ellison" xr:uid="{BE45F07A-4A58-426B-8A44-A4A7F9D01527}"/>
    <hyperlink ref="B29" r:id="rId39" display="https://trackleaders.com/tourdivide22i.php?name=Artec_Durham" xr:uid="{BD38AA28-30D2-4616-94E3-6EE114A67A05}"/>
    <hyperlink ref="B24" r:id="rId40" display="https://trackleaders.com/tourdivide22i.php?name=Nick_Marzano" xr:uid="{8DB851A4-EAB1-4D2B-8CD5-F6A1F17EF827}"/>
    <hyperlink ref="B39" r:id="rId41" display="https://trackleaders.com/tourdivide22i.php?name=Daniel_Moss" xr:uid="{8C5958CE-B98A-4664-94EA-04F833D16174}"/>
    <hyperlink ref="B20" r:id="rId42" display="https://trackleaders.com/tourdivide22i.php?name=Bruno_Martin" xr:uid="{23A7E1B8-7994-47D4-A540-7CEB3D334911}"/>
    <hyperlink ref="B22" r:id="rId43" display="https://trackleaders.com/tourdivide22i.php?name=Brent_Olson" xr:uid="{84912D65-1730-4300-9503-9B155F7A8831}"/>
    <hyperlink ref="B15" r:id="rId44" display="https://trackleaders.com/tourdivide22i.php?name=Steve_Large" xr:uid="{37647D1E-979D-4650-BF74-200754B79D19}"/>
    <hyperlink ref="B17" r:id="rId45" display="https://trackleaders.com/tourdivide22i.php?name=Gehrig_Haberstock" xr:uid="{0AE4E9AC-B2DC-4900-A956-50B8BEC0C297}"/>
    <hyperlink ref="B23" r:id="rId46" display="https://trackleaders.com/tourdivide22i.php?name=Allan_Shaw" xr:uid="{F0259C69-7A7A-4679-B91A-33033DA82436}"/>
    <hyperlink ref="B14" r:id="rId47" display="https://trackleaders.com/tourdivide22i.php?name=Colin_Schindler" xr:uid="{C982C35B-A812-49C7-A172-1F2758F25D6A}"/>
    <hyperlink ref="B12" r:id="rId48" display="https://trackleaders.com/tourdivide22i.php?name=Brian_Toone" xr:uid="{CA2C247D-DDBB-4DD1-93ED-2B0474126C00}"/>
    <hyperlink ref="B16" r:id="rId49" display="https://trackleaders.com/tourdivide22i.php?name=Zack_Friendly" xr:uid="{14C67F15-36FF-4F48-9064-D33D4935A919}"/>
    <hyperlink ref="B13" r:id="rId50" display="https://trackleaders.com/tourdivide22i.php?name=Ana_Jager" xr:uid="{5E5FED64-836D-483C-B6A9-05F3F80D98CA}"/>
    <hyperlink ref="B19" r:id="rId51" display="https://trackleaders.com/tourdivide22i.php?name=Katie_Strempke" xr:uid="{6E2718DC-FB0D-4E50-8BD2-34C01A260B63}"/>
    <hyperlink ref="B11" r:id="rId52" display="https://trackleaders.com/tourdivide22i.php?name=Daniel_Connell" xr:uid="{87F18B59-7D99-41F8-A45C-A102A250A8A0}"/>
    <hyperlink ref="B8" r:id="rId53" display="https://trackleaders.com/tourdivide22i.php?name=Ben_Steurbaut" xr:uid="{84D190CB-2AD5-4619-AFDE-D9728DE65016}"/>
    <hyperlink ref="B5" r:id="rId54" display="https://trackleaders.com/tourdivide22i.php?name=Abe_Kaufman" xr:uid="{B867EF47-0386-4A6A-A268-887447421232}"/>
    <hyperlink ref="B6" r:id="rId55" display="https://trackleaders.com/tourdivide22i.php?name=Andy_Leveto" xr:uid="{228770F6-A07B-488F-82F0-A6912CE9692B}"/>
    <hyperlink ref="B7" r:id="rId56" display="https://trackleaders.com/tourdivide22i.php?name=Danny_Green" xr:uid="{8366FEE0-3B7B-4660-B598-427D33DDC593}"/>
    <hyperlink ref="B3" r:id="rId57" display="https://trackleaders.com/tourdivide22i.php?name=Manu_Cattrysse" xr:uid="{FE781EB7-97FB-4F9E-B535-187E2B668D92}"/>
    <hyperlink ref="B18" r:id="rId58" display="https://trackleaders.com/tourdivide22i.php?name=Dave_Meissner" xr:uid="{33B58524-3735-4BF5-8534-30DBE5157192}"/>
    <hyperlink ref="B10" r:id="rId59" display="https://trackleaders.com/tourdivide22i.php?name=Andrew_Strempke" xr:uid="{1CF8BCB8-0D0B-4124-AF35-C8D4C4FA9D8C}"/>
    <hyperlink ref="B4" r:id="rId60" display="https://trackleaders.com/tourdivide22i.php?name=Adrien_Liechti" xr:uid="{D4949B13-2A91-4192-A615-2A331A4A1B14}"/>
    <hyperlink ref="B9" r:id="rId61" display="https://trackleaders.com/tourdivide22i.php?name=Tim_Tait" xr:uid="{F7E01A75-8D7A-4FA1-98EF-16F5188BA5D4}"/>
    <hyperlink ref="B2" r:id="rId62" display="https://trackleaders.com/tourdivide22i.php?name=Sofiane_Sehili" xr:uid="{4BDEB85C-C443-4A9A-9808-3801EA053136}"/>
    <hyperlink ref="B21" r:id="rId63" display="https://trackleaders.com/tourdivide22i.php?name=David_Landis" xr:uid="{4CAC1E6C-75CD-48B4-B28A-D1FF3A2344D1}"/>
  </hyperlinks>
  <pageMargins left="0.7" right="0.7" top="0.75" bottom="0.75" header="0.3" footer="0.3"/>
  <pageSetup orientation="portrait"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2C8A-E0E7-4AC2-8320-8662BD66C71B}">
  <dimension ref="A1:AN81"/>
  <sheetViews>
    <sheetView topLeftCell="AA1" workbookViewId="0">
      <selection activeCell="AD30" sqref="AD30"/>
    </sheetView>
  </sheetViews>
  <sheetFormatPr defaultColWidth="24.7109375" defaultRowHeight="15" x14ac:dyDescent="0.25"/>
  <cols>
    <col min="1" max="1" width="14.5703125" customWidth="1"/>
    <col min="2" max="2" width="18.7109375" bestFit="1" customWidth="1"/>
    <col min="3" max="3" width="13.140625" bestFit="1" customWidth="1"/>
    <col min="4" max="4" width="25.28515625" customWidth="1"/>
    <col min="5" max="5" width="10.42578125" bestFit="1" customWidth="1"/>
    <col min="6" max="6" width="10.42578125" customWidth="1"/>
    <col min="7" max="7" width="10.42578125" bestFit="1" customWidth="1"/>
    <col min="8" max="8" width="10.42578125" customWidth="1"/>
    <col min="9" max="9" width="10.42578125" bestFit="1" customWidth="1"/>
    <col min="10" max="10" width="10.42578125" customWidth="1"/>
    <col min="11" max="11" width="11.42578125" bestFit="1" customWidth="1"/>
    <col min="12" max="12" width="11.42578125" customWidth="1"/>
    <col min="13" max="13" width="11.42578125" bestFit="1" customWidth="1"/>
    <col min="14" max="14" width="11.42578125" customWidth="1"/>
    <col min="15" max="15" width="11.42578125" bestFit="1" customWidth="1"/>
    <col min="16" max="16" width="11.42578125" customWidth="1"/>
    <col min="17" max="17" width="11.42578125" bestFit="1" customWidth="1"/>
    <col min="18" max="18" width="11.42578125" customWidth="1"/>
    <col min="19" max="19" width="11.42578125" bestFit="1" customWidth="1"/>
    <col min="20" max="20" width="11.42578125" customWidth="1"/>
    <col min="21" max="21" width="11.7109375" bestFit="1" customWidth="1"/>
    <col min="22" max="22" width="11.7109375" customWidth="1"/>
    <col min="23" max="23" width="11.5703125" bestFit="1" customWidth="1"/>
    <col min="24" max="24" width="11.5703125" customWidth="1"/>
    <col min="25" max="25" width="17.7109375" bestFit="1" customWidth="1"/>
    <col min="26" max="26" width="17.7109375" customWidth="1"/>
    <col min="27" max="27" width="12" bestFit="1" customWidth="1"/>
    <col min="28" max="28" width="12" customWidth="1"/>
    <col min="29" max="29" width="11.42578125" bestFit="1" customWidth="1"/>
    <col min="30" max="30" width="11.42578125" customWidth="1"/>
    <col min="31" max="31" width="11.42578125" bestFit="1" customWidth="1"/>
    <col min="32" max="32" width="11.42578125" customWidth="1"/>
    <col min="33" max="33" width="11.42578125" bestFit="1" customWidth="1"/>
    <col min="34" max="34" width="11.42578125" customWidth="1"/>
    <col min="35" max="35" width="11.42578125" bestFit="1" customWidth="1"/>
    <col min="36" max="36" width="11.42578125" customWidth="1"/>
    <col min="37" max="37" width="11.42578125" bestFit="1" customWidth="1"/>
    <col min="38" max="38" width="11.42578125" customWidth="1"/>
    <col min="39" max="39" width="14.85546875" bestFit="1" customWidth="1"/>
  </cols>
  <sheetData>
    <row r="1" spans="1:40" x14ac:dyDescent="0.25">
      <c r="A1" t="s">
        <v>1499</v>
      </c>
      <c r="B1" s="1" t="s">
        <v>296</v>
      </c>
      <c r="C1" s="1" t="s">
        <v>1445</v>
      </c>
      <c r="D1" s="1" t="s">
        <v>1479</v>
      </c>
      <c r="E1" s="1" t="s">
        <v>1446</v>
      </c>
      <c r="F1" s="1" t="s">
        <v>1480</v>
      </c>
      <c r="G1" s="1" t="s">
        <v>1447</v>
      </c>
      <c r="H1" s="1" t="s">
        <v>1481</v>
      </c>
      <c r="I1" s="1" t="s">
        <v>1448</v>
      </c>
      <c r="J1" s="1" t="s">
        <v>1482</v>
      </c>
      <c r="K1" s="1" t="s">
        <v>1449</v>
      </c>
      <c r="L1" s="1" t="s">
        <v>1483</v>
      </c>
      <c r="M1" s="1" t="s">
        <v>1450</v>
      </c>
      <c r="N1" s="1" t="s">
        <v>1484</v>
      </c>
      <c r="O1" s="1" t="s">
        <v>1451</v>
      </c>
      <c r="P1" s="1" t="s">
        <v>1485</v>
      </c>
      <c r="Q1" s="1" t="s">
        <v>1452</v>
      </c>
      <c r="R1" s="1" t="s">
        <v>1486</v>
      </c>
      <c r="S1" s="1" t="s">
        <v>1453</v>
      </c>
      <c r="T1" s="1" t="s">
        <v>1487</v>
      </c>
      <c r="U1" s="1" t="s">
        <v>1454</v>
      </c>
      <c r="V1" s="1" t="s">
        <v>1488</v>
      </c>
      <c r="W1" s="1" t="s">
        <v>1455</v>
      </c>
      <c r="X1" s="1" t="s">
        <v>1489</v>
      </c>
      <c r="Y1" s="1" t="s">
        <v>1456</v>
      </c>
      <c r="Z1" s="1" t="s">
        <v>1490</v>
      </c>
      <c r="AA1" s="1" t="s">
        <v>1463</v>
      </c>
      <c r="AB1" s="1" t="s">
        <v>1491</v>
      </c>
      <c r="AC1" s="1" t="s">
        <v>1457</v>
      </c>
      <c r="AD1" s="1" t="s">
        <v>1492</v>
      </c>
      <c r="AE1" s="1" t="s">
        <v>1458</v>
      </c>
      <c r="AF1" s="1" t="s">
        <v>1493</v>
      </c>
      <c r="AG1" s="1" t="s">
        <v>1459</v>
      </c>
      <c r="AH1" s="1" t="s">
        <v>1494</v>
      </c>
      <c r="AI1" s="1" t="s">
        <v>1460</v>
      </c>
      <c r="AJ1" s="1" t="s">
        <v>1495</v>
      </c>
      <c r="AK1" s="1" t="s">
        <v>1461</v>
      </c>
      <c r="AL1" s="1" t="s">
        <v>1496</v>
      </c>
      <c r="AM1" s="1" t="s">
        <v>1462</v>
      </c>
      <c r="AN1" s="1" t="s">
        <v>1497</v>
      </c>
    </row>
    <row r="2" spans="1:40" ht="17.25" thickBot="1" x14ac:dyDescent="0.3">
      <c r="A2">
        <v>1</v>
      </c>
      <c r="B2" s="11" t="s">
        <v>7</v>
      </c>
      <c r="C2" s="2" t="s">
        <v>304</v>
      </c>
      <c r="D2" s="2">
        <f>0*1440+7*60+57</f>
        <v>477</v>
      </c>
      <c r="E2" s="2" t="s">
        <v>305</v>
      </c>
      <c r="F2" s="2">
        <f>1*1440+3*60+12</f>
        <v>1632</v>
      </c>
      <c r="G2" s="2" t="s">
        <v>306</v>
      </c>
      <c r="H2" s="2">
        <f>1*1440+14*60+19</f>
        <v>2299</v>
      </c>
      <c r="I2" s="2" t="s">
        <v>307</v>
      </c>
      <c r="J2" s="2">
        <f>2*1440+13*60+47</f>
        <v>3707</v>
      </c>
      <c r="K2" s="2" t="s">
        <v>308</v>
      </c>
      <c r="L2" s="2">
        <f>3*1440+13*60+53</f>
        <v>5153</v>
      </c>
      <c r="M2" s="2" t="s">
        <v>309</v>
      </c>
      <c r="N2" s="2">
        <f>4*1440+10*60+30</f>
        <v>6390</v>
      </c>
      <c r="O2" s="2" t="s">
        <v>310</v>
      </c>
      <c r="P2" s="2">
        <f>5*1440+0*60+33</f>
        <v>7233</v>
      </c>
      <c r="Q2" s="2" t="s">
        <v>311</v>
      </c>
      <c r="R2" s="2">
        <f>5*1440+9*60+45</f>
        <v>7785</v>
      </c>
      <c r="S2" s="2" t="s">
        <v>312</v>
      </c>
      <c r="T2" s="2">
        <f>6*1440+6*60+25</f>
        <v>9025</v>
      </c>
      <c r="U2" s="2" t="s">
        <v>313</v>
      </c>
      <c r="V2" s="2">
        <f>6*1440+20*60+11</f>
        <v>9851</v>
      </c>
      <c r="W2" s="2" t="s">
        <v>314</v>
      </c>
      <c r="X2" s="2">
        <f>7*1440+6*60+48</f>
        <v>10488</v>
      </c>
      <c r="Y2" s="2" t="s">
        <v>315</v>
      </c>
      <c r="Z2" s="2">
        <f>8*1440+3*60+46</f>
        <v>11746</v>
      </c>
      <c r="AA2" s="2" t="s">
        <v>316</v>
      </c>
      <c r="AB2" s="2">
        <f>8*1440+17*60+27</f>
        <v>12567</v>
      </c>
      <c r="AC2" s="2" t="s">
        <v>317</v>
      </c>
      <c r="AD2" s="2">
        <f>9*1440+12*60+55</f>
        <v>13735</v>
      </c>
      <c r="AE2" s="2" t="s">
        <v>318</v>
      </c>
      <c r="AF2" s="2">
        <f>10*1440+11*60+39</f>
        <v>15099</v>
      </c>
      <c r="AG2" s="2" t="s">
        <v>319</v>
      </c>
      <c r="AH2" s="2">
        <f>11*1440+13*60+13</f>
        <v>16633</v>
      </c>
      <c r="AI2" s="2" t="s">
        <v>320</v>
      </c>
      <c r="AJ2" s="2">
        <f>12*1440+18*60+22</f>
        <v>18382</v>
      </c>
      <c r="AK2" s="2" t="s">
        <v>321</v>
      </c>
      <c r="AL2" s="2">
        <f>14*1440+7*60+27</f>
        <v>20607</v>
      </c>
      <c r="AM2" s="2" t="s">
        <v>322</v>
      </c>
      <c r="AN2">
        <f>14*1440+16*60+21</f>
        <v>21141</v>
      </c>
    </row>
    <row r="3" spans="1:40" ht="17.25" thickBot="1" x14ac:dyDescent="0.3">
      <c r="A3">
        <v>2</v>
      </c>
      <c r="B3" s="3" t="s">
        <v>36</v>
      </c>
      <c r="C3" s="4" t="s">
        <v>323</v>
      </c>
      <c r="D3" s="4">
        <f>0*1440+8*60+1</f>
        <v>481</v>
      </c>
      <c r="E3" s="4" t="s">
        <v>324</v>
      </c>
      <c r="F3" s="4">
        <f>1*1440+6*60+36</f>
        <v>1836</v>
      </c>
      <c r="G3" s="4" t="s">
        <v>325</v>
      </c>
      <c r="H3" s="4">
        <f>1*1440+17*60+53</f>
        <v>2513</v>
      </c>
      <c r="I3" s="4" t="s">
        <v>326</v>
      </c>
      <c r="J3" s="4">
        <f>3*1440+1*60+47</f>
        <v>4427</v>
      </c>
      <c r="K3" s="4" t="s">
        <v>327</v>
      </c>
      <c r="L3" s="4">
        <f>4*1440+0*60+48</f>
        <v>5808</v>
      </c>
      <c r="M3" s="4" t="s">
        <v>328</v>
      </c>
      <c r="N3" s="4">
        <f>4*1440+19*60+14</f>
        <v>6914</v>
      </c>
      <c r="O3" s="4" t="s">
        <v>329</v>
      </c>
      <c r="P3" s="4">
        <f>5*1440+6*60+11</f>
        <v>7571</v>
      </c>
      <c r="Q3" s="4" t="s">
        <v>330</v>
      </c>
      <c r="R3" s="4">
        <f>5*1440+15*60+33</f>
        <v>8133</v>
      </c>
      <c r="S3" s="4" t="s">
        <v>331</v>
      </c>
      <c r="T3" s="4">
        <f>6*1440+16*60+46</f>
        <v>9646</v>
      </c>
      <c r="U3" s="4" t="s">
        <v>332</v>
      </c>
      <c r="V3" s="4">
        <f>7*1440+4*60+19</f>
        <v>10339</v>
      </c>
      <c r="W3" s="4" t="s">
        <v>333</v>
      </c>
      <c r="X3" s="4">
        <f>7*1440+13*60+20</f>
        <v>10880</v>
      </c>
      <c r="Y3" s="4" t="s">
        <v>334</v>
      </c>
      <c r="Z3" s="4">
        <f>8*1440+10*60+54</f>
        <v>12174</v>
      </c>
      <c r="AA3" s="4" t="s">
        <v>335</v>
      </c>
      <c r="AB3" s="4">
        <f>9*1440+8*60+22</f>
        <v>13462</v>
      </c>
      <c r="AC3" s="4" t="s">
        <v>336</v>
      </c>
      <c r="AD3" s="4">
        <f>10*1440+5*60+39</f>
        <v>14739</v>
      </c>
      <c r="AE3" s="4" t="s">
        <v>337</v>
      </c>
      <c r="AF3" s="4">
        <f>11*1440+5*60+52</f>
        <v>16192</v>
      </c>
      <c r="AG3" s="4" t="s">
        <v>338</v>
      </c>
      <c r="AH3" s="4">
        <f>12*1440+16*60+31</f>
        <v>18271</v>
      </c>
      <c r="AI3" s="4" t="s">
        <v>339</v>
      </c>
      <c r="AJ3" s="4">
        <f>13*1440+13*60+3</f>
        <v>19503</v>
      </c>
      <c r="AK3" s="4" t="s">
        <v>340</v>
      </c>
      <c r="AL3" s="4">
        <f>14*1440+18*60+29</f>
        <v>21269</v>
      </c>
      <c r="AM3" s="4" t="s">
        <v>341</v>
      </c>
      <c r="AN3">
        <f>15*1440+8*60+2</f>
        <v>22082</v>
      </c>
    </row>
    <row r="4" spans="1:40" ht="17.25" thickBot="1" x14ac:dyDescent="0.3">
      <c r="A4">
        <v>3</v>
      </c>
      <c r="B4" s="6" t="s">
        <v>19</v>
      </c>
      <c r="C4" s="7" t="s">
        <v>342</v>
      </c>
      <c r="D4" s="7">
        <f>0*1440+8*60+27</f>
        <v>507</v>
      </c>
      <c r="E4" s="7" t="s">
        <v>343</v>
      </c>
      <c r="F4" s="7">
        <f>1*1440+7*60+31</f>
        <v>1891</v>
      </c>
      <c r="G4" s="7" t="s">
        <v>344</v>
      </c>
      <c r="H4" s="7">
        <f>1*1440+22*60+30</f>
        <v>2790</v>
      </c>
      <c r="I4" s="7" t="s">
        <v>345</v>
      </c>
      <c r="J4" s="7">
        <f>3*1440+3*60+52</f>
        <v>4552</v>
      </c>
      <c r="K4" s="7" t="s">
        <v>346</v>
      </c>
      <c r="L4" s="7">
        <f>4*1440+2*60+57</f>
        <v>5937</v>
      </c>
      <c r="M4" s="7" t="s">
        <v>347</v>
      </c>
      <c r="N4" s="7">
        <f>5*1440+5*60+1</f>
        <v>7501</v>
      </c>
      <c r="O4" s="7" t="s">
        <v>348</v>
      </c>
      <c r="P4" s="7">
        <f>5*1440+13*60+58</f>
        <v>8038</v>
      </c>
      <c r="Q4" s="7" t="s">
        <v>349</v>
      </c>
      <c r="R4" s="7">
        <f>6*1440+4*60+25</f>
        <v>8905</v>
      </c>
      <c r="S4" s="7" t="s">
        <v>350</v>
      </c>
      <c r="T4" s="7">
        <f>7*1440+4*60+11</f>
        <v>10331</v>
      </c>
      <c r="U4" s="7" t="s">
        <v>351</v>
      </c>
      <c r="V4" s="7">
        <f>7*1440+17*60+12</f>
        <v>11112</v>
      </c>
      <c r="W4" s="7" t="s">
        <v>352</v>
      </c>
      <c r="X4" s="7">
        <f>8*1440+3*60+14</f>
        <v>11714</v>
      </c>
      <c r="Y4" s="7" t="s">
        <v>353</v>
      </c>
      <c r="Z4" s="7">
        <f>9*1440+2*60+56</f>
        <v>13136</v>
      </c>
      <c r="AA4" s="7" t="s">
        <v>354</v>
      </c>
      <c r="AB4" s="7">
        <f>9*1440+23*60+2</f>
        <v>14342</v>
      </c>
      <c r="AC4" s="7" t="s">
        <v>355</v>
      </c>
      <c r="AD4" s="7">
        <f>10*1440+11*60+28</f>
        <v>15088</v>
      </c>
      <c r="AE4" s="7" t="s">
        <v>356</v>
      </c>
      <c r="AF4" s="7">
        <f>11*1440+9*60+51</f>
        <v>16431</v>
      </c>
      <c r="AG4" s="7" t="s">
        <v>357</v>
      </c>
      <c r="AH4" s="7">
        <f>13*1440+0*60+19</f>
        <v>18739</v>
      </c>
      <c r="AI4" s="7" t="s">
        <v>358</v>
      </c>
      <c r="AJ4" s="7">
        <f>13*1440+22*60+34</f>
        <v>20074</v>
      </c>
      <c r="AK4" s="7" t="s">
        <v>359</v>
      </c>
      <c r="AL4" s="7">
        <f>15*1440+3*60+27</f>
        <v>21807</v>
      </c>
      <c r="AM4" s="7" t="s">
        <v>360</v>
      </c>
      <c r="AN4">
        <f>15*1440+13*60+1</f>
        <v>22381</v>
      </c>
    </row>
    <row r="5" spans="1:40" ht="17.25" thickBot="1" x14ac:dyDescent="0.3">
      <c r="A5">
        <v>4</v>
      </c>
      <c r="B5" s="3" t="s">
        <v>51</v>
      </c>
      <c r="C5" s="4" t="s">
        <v>361</v>
      </c>
      <c r="D5" s="4">
        <f>0*1440+10*60+40</f>
        <v>640</v>
      </c>
      <c r="E5" s="4" t="s">
        <v>362</v>
      </c>
      <c r="F5" s="4">
        <f>1*1440+9*60+33</f>
        <v>2013</v>
      </c>
      <c r="G5" s="4" t="s">
        <v>363</v>
      </c>
      <c r="H5" s="4">
        <f>2*1440+4*60+14</f>
        <v>3134</v>
      </c>
      <c r="I5" s="4" t="s">
        <v>364</v>
      </c>
      <c r="J5" s="4">
        <f>3*1440+9*60+18</f>
        <v>4878</v>
      </c>
      <c r="K5" s="4" t="s">
        <v>365</v>
      </c>
      <c r="L5" s="4">
        <f>4*1440+6*60+54</f>
        <v>6174</v>
      </c>
      <c r="M5" s="4" t="s">
        <v>366</v>
      </c>
      <c r="N5" s="4">
        <f>5*1440+6*60+24</f>
        <v>7584</v>
      </c>
      <c r="O5" s="4" t="s">
        <v>367</v>
      </c>
      <c r="P5" s="4">
        <f>5*1440+14*60+24</f>
        <v>8064</v>
      </c>
      <c r="Q5" s="4" t="s">
        <v>368</v>
      </c>
      <c r="R5" s="4">
        <f>6*1440+4*60+36</f>
        <v>8916</v>
      </c>
      <c r="S5" s="4" t="s">
        <v>369</v>
      </c>
      <c r="T5" s="4">
        <f>7*1440+5*60+4</f>
        <v>10384</v>
      </c>
      <c r="U5" s="4" t="s">
        <v>370</v>
      </c>
      <c r="V5" s="4">
        <f>7*1440+17*60+13</f>
        <v>11113</v>
      </c>
      <c r="W5" s="4" t="s">
        <v>371</v>
      </c>
      <c r="X5" s="4">
        <f>8*1440+3*60+13</f>
        <v>11713</v>
      </c>
      <c r="Y5" s="4" t="s">
        <v>372</v>
      </c>
      <c r="Z5" s="4">
        <f>9*1440+5*60+50</f>
        <v>13310</v>
      </c>
      <c r="AA5" s="4" t="s">
        <v>373</v>
      </c>
      <c r="AB5" s="4">
        <f>10*1440+4*60+36</f>
        <v>14676</v>
      </c>
      <c r="AC5" s="4" t="s">
        <v>374</v>
      </c>
      <c r="AD5" s="4">
        <f>11*1440+0*60+3</f>
        <v>15843</v>
      </c>
      <c r="AE5" s="4" t="s">
        <v>375</v>
      </c>
      <c r="AF5" s="4">
        <f>11*1440+14*60+46</f>
        <v>16726</v>
      </c>
      <c r="AG5" s="4" t="s">
        <v>376</v>
      </c>
      <c r="AH5" s="4">
        <f>13*1440+0*60+23</f>
        <v>18743</v>
      </c>
      <c r="AI5" s="4" t="s">
        <v>377</v>
      </c>
      <c r="AJ5" s="4">
        <f>14*1440+1*60+8</f>
        <v>20228</v>
      </c>
      <c r="AK5" s="4" t="s">
        <v>378</v>
      </c>
      <c r="AL5" s="4">
        <f>15*1440+5*60+51</f>
        <v>21951</v>
      </c>
      <c r="AM5" s="4" t="s">
        <v>379</v>
      </c>
      <c r="AN5">
        <f>15*1440+15*60+31</f>
        <v>22531</v>
      </c>
    </row>
    <row r="6" spans="1:40" ht="17.25" thickBot="1" x14ac:dyDescent="0.3">
      <c r="A6">
        <v>5</v>
      </c>
      <c r="B6" s="6" t="s">
        <v>46</v>
      </c>
      <c r="C6" s="7" t="s">
        <v>380</v>
      </c>
      <c r="D6" s="7">
        <f>0*1440+9*60+7</f>
        <v>547</v>
      </c>
      <c r="E6" s="7" t="s">
        <v>381</v>
      </c>
      <c r="F6" s="7">
        <f>1*1440+12*60+20</f>
        <v>2180</v>
      </c>
      <c r="G6" s="7" t="s">
        <v>382</v>
      </c>
      <c r="H6" s="7">
        <f>2*1440+4*60+50</f>
        <v>3170</v>
      </c>
      <c r="I6" s="7" t="s">
        <v>383</v>
      </c>
      <c r="J6" s="7">
        <f>3*1440+9*60+43</f>
        <v>4903</v>
      </c>
      <c r="K6" s="7" t="s">
        <v>384</v>
      </c>
      <c r="L6" s="7">
        <f>4*1440+9*60+17</f>
        <v>6317</v>
      </c>
      <c r="M6" s="7" t="s">
        <v>385</v>
      </c>
      <c r="N6" s="7">
        <f>5*1440+9*60+25</f>
        <v>7765</v>
      </c>
      <c r="O6" s="7" t="s">
        <v>386</v>
      </c>
      <c r="P6" s="7">
        <f>6*1440+0*60+59</f>
        <v>8699</v>
      </c>
      <c r="Q6" s="7" t="s">
        <v>387</v>
      </c>
      <c r="R6" s="7">
        <f>6*1440+9*60+57</f>
        <v>9237</v>
      </c>
      <c r="S6" s="7" t="s">
        <v>388</v>
      </c>
      <c r="T6" s="7">
        <f>7*1440+21*60+57</f>
        <v>11397</v>
      </c>
      <c r="U6" s="7" t="s">
        <v>389</v>
      </c>
      <c r="V6" s="7">
        <f>8*1440+4*60+30</f>
        <v>11790</v>
      </c>
      <c r="W6" s="7" t="s">
        <v>390</v>
      </c>
      <c r="X6" s="7">
        <f>8*1440+22*60+39</f>
        <v>12879</v>
      </c>
      <c r="Y6" s="7" t="s">
        <v>391</v>
      </c>
      <c r="Z6" s="7">
        <f>9*1440+15*60+7</f>
        <v>13867</v>
      </c>
      <c r="AA6" s="7" t="s">
        <v>392</v>
      </c>
      <c r="AB6" s="7">
        <f>10*1440+12*60+31</f>
        <v>15151</v>
      </c>
      <c r="AC6" s="7" t="s">
        <v>393</v>
      </c>
      <c r="AD6" s="7">
        <f>11*1440+6*60+58</f>
        <v>16258</v>
      </c>
      <c r="AE6" s="7" t="s">
        <v>394</v>
      </c>
      <c r="AF6" s="7">
        <f>12*1440+5*60+18</f>
        <v>17598</v>
      </c>
      <c r="AG6" s="7" t="s">
        <v>395</v>
      </c>
      <c r="AH6" s="7">
        <f>13*1440+7*60+28</f>
        <v>19168</v>
      </c>
      <c r="AI6" s="7" t="s">
        <v>396</v>
      </c>
      <c r="AJ6" s="7">
        <f>14*1440+6*60+55</f>
        <v>20575</v>
      </c>
      <c r="AK6" s="7" t="s">
        <v>397</v>
      </c>
      <c r="AL6" s="7">
        <f>15*1440+10*60+14</f>
        <v>22214</v>
      </c>
      <c r="AM6" s="7" t="s">
        <v>398</v>
      </c>
      <c r="AN6">
        <f>15*1440+20*60+5</f>
        <v>22805</v>
      </c>
    </row>
    <row r="7" spans="1:40" ht="17.25" thickBot="1" x14ac:dyDescent="0.3">
      <c r="A7">
        <v>6</v>
      </c>
      <c r="B7" s="3" t="s">
        <v>41</v>
      </c>
      <c r="C7" s="4" t="s">
        <v>399</v>
      </c>
      <c r="D7" s="4">
        <f>0*1440+8*60+30</f>
        <v>510</v>
      </c>
      <c r="E7" s="4" t="s">
        <v>400</v>
      </c>
      <c r="F7" s="4">
        <f>1*1440+11*60+28</f>
        <v>2128</v>
      </c>
      <c r="G7" s="4" t="s">
        <v>401</v>
      </c>
      <c r="H7" s="4">
        <f>2*1440+2*60+50</f>
        <v>3050</v>
      </c>
      <c r="I7" s="4" t="s">
        <v>402</v>
      </c>
      <c r="J7" s="4">
        <f>3*1440+9*60+19</f>
        <v>4879</v>
      </c>
      <c r="K7" s="4" t="s">
        <v>403</v>
      </c>
      <c r="L7" s="4">
        <f>4*1440+21*60+58</f>
        <v>7078</v>
      </c>
      <c r="M7" s="4" t="s">
        <v>404</v>
      </c>
      <c r="N7" s="4">
        <f>5*1440+16*60+53</f>
        <v>8213</v>
      </c>
      <c r="O7" s="4" t="s">
        <v>405</v>
      </c>
      <c r="P7" s="4">
        <f>6*1440+8*60+35</f>
        <v>9155</v>
      </c>
      <c r="Q7" s="4" t="s">
        <v>406</v>
      </c>
      <c r="R7" s="4">
        <f>6*1440+18*60+5</f>
        <v>9725</v>
      </c>
      <c r="S7" s="4" t="s">
        <v>407</v>
      </c>
      <c r="T7" s="4">
        <f>8*1440+1*60+50</f>
        <v>11630</v>
      </c>
      <c r="U7" s="4" t="s">
        <v>408</v>
      </c>
      <c r="V7" s="4">
        <f>8*1440+8*60+39</f>
        <v>12039</v>
      </c>
      <c r="W7" s="4" t="s">
        <v>409</v>
      </c>
      <c r="X7" s="4">
        <f>9*1440+0*60+28</f>
        <v>12988</v>
      </c>
      <c r="Y7" s="4" t="s">
        <v>410</v>
      </c>
      <c r="Z7" s="4">
        <f>10*1440+2*60+26</f>
        <v>14546</v>
      </c>
      <c r="AA7" s="4" t="s">
        <v>411</v>
      </c>
      <c r="AB7" s="4">
        <f>10*1440+18*60+29</f>
        <v>15509</v>
      </c>
      <c r="AC7" s="4" t="s">
        <v>412</v>
      </c>
      <c r="AD7" s="4">
        <f>11*1440+12*60+28</f>
        <v>16588</v>
      </c>
      <c r="AE7" s="4" t="s">
        <v>413</v>
      </c>
      <c r="AF7" s="4">
        <f>12*1440+11*60+41</f>
        <v>17981</v>
      </c>
      <c r="AG7" s="4" t="s">
        <v>414</v>
      </c>
      <c r="AH7" s="4">
        <f>13*1440+16*60+27</f>
        <v>19707</v>
      </c>
      <c r="AI7" s="4" t="s">
        <v>415</v>
      </c>
      <c r="AJ7" s="4">
        <f>14*1440+14*60+24</f>
        <v>21024</v>
      </c>
      <c r="AK7" s="4" t="s">
        <v>416</v>
      </c>
      <c r="AL7" s="4">
        <f>15*1440+16*60+50</f>
        <v>22610</v>
      </c>
      <c r="AM7" s="4" t="s">
        <v>417</v>
      </c>
      <c r="AN7">
        <f>16*1440+3*60+37</f>
        <v>23257</v>
      </c>
    </row>
    <row r="8" spans="1:40" ht="17.25" thickBot="1" x14ac:dyDescent="0.3">
      <c r="A8">
        <v>7</v>
      </c>
      <c r="B8" s="6" t="s">
        <v>56</v>
      </c>
      <c r="C8" s="7" t="s">
        <v>418</v>
      </c>
      <c r="D8" s="7">
        <f>0*1440+8*60+0</f>
        <v>480</v>
      </c>
      <c r="E8" s="7" t="s">
        <v>419</v>
      </c>
      <c r="F8" s="7">
        <f>1*1440+9*60+59</f>
        <v>2039</v>
      </c>
      <c r="G8" s="7" t="s">
        <v>420</v>
      </c>
      <c r="H8" s="7">
        <f>2*1440+3*60+18</f>
        <v>3078</v>
      </c>
      <c r="I8" s="7" t="s">
        <v>421</v>
      </c>
      <c r="J8" s="7">
        <f>3*1440+7*60+33</f>
        <v>4773</v>
      </c>
      <c r="K8" s="7" t="s">
        <v>422</v>
      </c>
      <c r="L8" s="7">
        <f>4*1440+6*60+17</f>
        <v>6137</v>
      </c>
      <c r="M8" s="7" t="s">
        <v>423</v>
      </c>
      <c r="N8" s="7">
        <f>5*1440+6*60+51</f>
        <v>7611</v>
      </c>
      <c r="O8" s="7" t="s">
        <v>424</v>
      </c>
      <c r="P8" s="7">
        <f>5*1440+14*60+38</f>
        <v>8078</v>
      </c>
      <c r="Q8" s="7" t="s">
        <v>425</v>
      </c>
      <c r="R8" s="7">
        <f>6*1440+4*60+34</f>
        <v>8914</v>
      </c>
      <c r="S8" s="7" t="s">
        <v>426</v>
      </c>
      <c r="T8" s="7">
        <f>7*1440+4*60+13</f>
        <v>10333</v>
      </c>
      <c r="U8" s="7" t="s">
        <v>427</v>
      </c>
      <c r="V8" s="7">
        <f>7*1440+17*60+22</f>
        <v>11122</v>
      </c>
      <c r="W8" s="7" t="s">
        <v>428</v>
      </c>
      <c r="X8" s="7">
        <f>8*1440+3*60+7</f>
        <v>11707</v>
      </c>
      <c r="Y8" s="7" t="s">
        <v>429</v>
      </c>
      <c r="Z8" s="7">
        <f>9*1440+5*60+53</f>
        <v>13313</v>
      </c>
      <c r="AA8" s="7" t="s">
        <v>430</v>
      </c>
      <c r="AB8" s="7">
        <f>10*1440+4*60+19</f>
        <v>14659</v>
      </c>
      <c r="AC8" s="7" t="s">
        <v>431</v>
      </c>
      <c r="AD8" s="7">
        <f>11*1440+0*60+5</f>
        <v>15845</v>
      </c>
      <c r="AE8" s="7" t="s">
        <v>432</v>
      </c>
      <c r="AF8" s="7">
        <f>11*1440+14*60+48</f>
        <v>16728</v>
      </c>
      <c r="AG8" s="7" t="s">
        <v>433</v>
      </c>
      <c r="AH8" s="7">
        <f>13*1440+7*60+20</f>
        <v>19160</v>
      </c>
      <c r="AI8" s="7" t="s">
        <v>434</v>
      </c>
      <c r="AJ8" s="7">
        <f>14*1440+8*60+10</f>
        <v>20650</v>
      </c>
      <c r="AK8" s="7" t="s">
        <v>435</v>
      </c>
      <c r="AL8" s="7">
        <f>15*1440+12*60+11</f>
        <v>22331</v>
      </c>
      <c r="AM8" s="7" t="s">
        <v>436</v>
      </c>
      <c r="AN8">
        <f>16*1440+3*60+55</f>
        <v>23275</v>
      </c>
    </row>
    <row r="9" spans="1:40" ht="17.25" thickBot="1" x14ac:dyDescent="0.3">
      <c r="A9">
        <v>8</v>
      </c>
      <c r="B9" s="3" t="s">
        <v>13</v>
      </c>
      <c r="C9" s="4" t="s">
        <v>437</v>
      </c>
      <c r="D9" s="4">
        <f>0*1440+9*60+21</f>
        <v>561</v>
      </c>
      <c r="E9" s="4" t="s">
        <v>438</v>
      </c>
      <c r="F9" s="4">
        <f>1*1440+11*60+30</f>
        <v>2130</v>
      </c>
      <c r="G9" s="4" t="s">
        <v>439</v>
      </c>
      <c r="H9" s="4">
        <f>2*1440+5*60+49</f>
        <v>3229</v>
      </c>
      <c r="I9" s="4" t="s">
        <v>440</v>
      </c>
      <c r="J9" s="4">
        <f>3*1440+10*60+43</f>
        <v>4963</v>
      </c>
      <c r="K9" s="4" t="s">
        <v>441</v>
      </c>
      <c r="L9" s="4">
        <f>4*1440+11*60+15</f>
        <v>6435</v>
      </c>
      <c r="M9" s="4" t="s">
        <v>442</v>
      </c>
      <c r="N9" s="4">
        <f>5*1440+13*60+41</f>
        <v>8021</v>
      </c>
      <c r="O9" s="4" t="s">
        <v>443</v>
      </c>
      <c r="P9" s="4">
        <f>6*1440+4*60+24</f>
        <v>8904</v>
      </c>
      <c r="Q9" s="4" t="s">
        <v>444</v>
      </c>
      <c r="R9" s="4">
        <f>6*1440+15*60+36</f>
        <v>9576</v>
      </c>
      <c r="S9" s="4" t="s">
        <v>445</v>
      </c>
      <c r="T9" s="4">
        <f>8*1440+0*60+26</f>
        <v>11546</v>
      </c>
      <c r="U9" s="4" t="s">
        <v>446</v>
      </c>
      <c r="V9" s="4">
        <f>8*1440+8*60+7</f>
        <v>12007</v>
      </c>
      <c r="W9" s="4" t="s">
        <v>447</v>
      </c>
      <c r="X9" s="4">
        <f>9*1440+0*60+33</f>
        <v>12993</v>
      </c>
      <c r="Y9" s="4" t="s">
        <v>448</v>
      </c>
      <c r="Z9" s="4">
        <f>10*1440+2*60+35</f>
        <v>14555</v>
      </c>
      <c r="AA9" s="4" t="s">
        <v>449</v>
      </c>
      <c r="AB9" s="4">
        <f>11*1440+0*60+23</f>
        <v>15863</v>
      </c>
      <c r="AC9" s="4" t="s">
        <v>450</v>
      </c>
      <c r="AD9" s="4">
        <f>11*1440+15*60+24</f>
        <v>16764</v>
      </c>
      <c r="AE9" s="4" t="s">
        <v>451</v>
      </c>
      <c r="AF9" s="4">
        <f>12*1440+15*60+50</f>
        <v>18230</v>
      </c>
      <c r="AG9" s="4" t="s">
        <v>452</v>
      </c>
      <c r="AH9" s="4">
        <f>14*1440+2*60+2</f>
        <v>20282</v>
      </c>
      <c r="AI9" s="4" t="s">
        <v>453</v>
      </c>
      <c r="AJ9" s="4">
        <f>15*1440+2*60+17</f>
        <v>21737</v>
      </c>
      <c r="AK9" s="4" t="s">
        <v>454</v>
      </c>
      <c r="AL9" s="4">
        <f>16*1440+6*60+43</f>
        <v>23443</v>
      </c>
      <c r="AM9" s="4" t="s">
        <v>455</v>
      </c>
      <c r="AN9">
        <f>16*1440+15*60+45</f>
        <v>23985</v>
      </c>
    </row>
    <row r="10" spans="1:40" ht="17.25" thickBot="1" x14ac:dyDescent="0.3">
      <c r="A10">
        <v>9</v>
      </c>
      <c r="B10" s="6" t="s">
        <v>24</v>
      </c>
      <c r="C10" s="7" t="s">
        <v>456</v>
      </c>
      <c r="D10" s="7">
        <f>0*1440+9*60+6</f>
        <v>546</v>
      </c>
      <c r="E10" s="7" t="s">
        <v>457</v>
      </c>
      <c r="F10" s="7">
        <f>1*1440+12*60+23</f>
        <v>2183</v>
      </c>
      <c r="G10" s="7" t="s">
        <v>458</v>
      </c>
      <c r="H10" s="7">
        <f>2*1440+6*60+49</f>
        <v>3289</v>
      </c>
      <c r="I10" s="7" t="s">
        <v>459</v>
      </c>
      <c r="J10" s="7">
        <f>3*1440+12*60+44</f>
        <v>5084</v>
      </c>
      <c r="K10" s="7" t="s">
        <v>460</v>
      </c>
      <c r="L10" s="7">
        <f>4*1440+15*60+41</f>
        <v>6701</v>
      </c>
      <c r="M10" s="7" t="s">
        <v>461</v>
      </c>
      <c r="N10" s="7">
        <f>5*1440+18*60+42</f>
        <v>8322</v>
      </c>
      <c r="O10" s="7" t="s">
        <v>462</v>
      </c>
      <c r="P10" s="7">
        <f>6*1440+9*60+50</f>
        <v>9230</v>
      </c>
      <c r="Q10" s="7" t="s">
        <v>463</v>
      </c>
      <c r="R10" s="7">
        <f>7*1440+2*60+39</f>
        <v>10239</v>
      </c>
      <c r="S10" s="7" t="s">
        <v>464</v>
      </c>
      <c r="T10" s="7">
        <f>8*1440+8*60+23</f>
        <v>12023</v>
      </c>
      <c r="U10" s="7" t="s">
        <v>465</v>
      </c>
      <c r="V10" s="7">
        <f>8*1440+16*60+19</f>
        <v>12499</v>
      </c>
      <c r="W10" s="7" t="s">
        <v>466</v>
      </c>
      <c r="X10" s="7">
        <f>9*1440+7*60+46</f>
        <v>13426</v>
      </c>
      <c r="Y10" s="7" t="s">
        <v>467</v>
      </c>
      <c r="Z10" s="7">
        <f>10*1440+7*60+25</f>
        <v>14845</v>
      </c>
      <c r="AA10" s="7" t="s">
        <v>468</v>
      </c>
      <c r="AB10" s="7">
        <f>11*1440+3*60+41</f>
        <v>16061</v>
      </c>
      <c r="AC10" s="7" t="s">
        <v>469</v>
      </c>
      <c r="AD10" s="7">
        <f>12*1440+1*60+34</f>
        <v>17374</v>
      </c>
      <c r="AE10" s="7" t="s">
        <v>470</v>
      </c>
      <c r="AF10" s="7">
        <f>13*1440+0*60+54</f>
        <v>18774</v>
      </c>
      <c r="AG10" s="7" t="s">
        <v>471</v>
      </c>
      <c r="AH10" s="7">
        <f>14*1440+5*60+17</f>
        <v>20477</v>
      </c>
      <c r="AI10" s="7" t="s">
        <v>472</v>
      </c>
      <c r="AJ10" s="7">
        <f>15*1440+6*60+19</f>
        <v>21979</v>
      </c>
      <c r="AK10" s="7" t="s">
        <v>473</v>
      </c>
      <c r="AL10" s="7">
        <f>16*1440+6*60+46</f>
        <v>23446</v>
      </c>
      <c r="AM10" s="7" t="s">
        <v>474</v>
      </c>
      <c r="AN10">
        <f>16*1440+18*60+51</f>
        <v>24171</v>
      </c>
    </row>
    <row r="11" spans="1:40" ht="17.25" thickBot="1" x14ac:dyDescent="0.3">
      <c r="A11">
        <v>10</v>
      </c>
      <c r="B11" s="3" t="s">
        <v>61</v>
      </c>
      <c r="C11" s="4" t="s">
        <v>475</v>
      </c>
      <c r="D11" s="4">
        <f>0*1440+9*60+54</f>
        <v>594</v>
      </c>
      <c r="E11" s="4" t="s">
        <v>476</v>
      </c>
      <c r="F11" s="4">
        <f>1*1440+14*60+16</f>
        <v>2296</v>
      </c>
      <c r="G11" s="4" t="s">
        <v>477</v>
      </c>
      <c r="H11" s="4">
        <f>2*1440+8*60+39</f>
        <v>3399</v>
      </c>
      <c r="I11" s="4" t="s">
        <v>478</v>
      </c>
      <c r="J11" s="4">
        <f>3*1440+15*60+5</f>
        <v>5225</v>
      </c>
      <c r="K11" s="4" t="s">
        <v>479</v>
      </c>
      <c r="L11" s="4">
        <f>4*1440+16*60+13</f>
        <v>6733</v>
      </c>
      <c r="M11" s="4" t="s">
        <v>480</v>
      </c>
      <c r="N11" s="4">
        <f>6*1440+1*60+50</f>
        <v>8750</v>
      </c>
      <c r="O11" s="4" t="s">
        <v>481</v>
      </c>
      <c r="P11" s="4">
        <f>6*1440+10*60+23</f>
        <v>9263</v>
      </c>
      <c r="Q11" s="4" t="s">
        <v>482</v>
      </c>
      <c r="R11" s="4">
        <f>7*1440+3*60+3</f>
        <v>10263</v>
      </c>
      <c r="S11" s="4" t="s">
        <v>483</v>
      </c>
      <c r="T11" s="4">
        <f>8*1440+8*60+40</f>
        <v>12040</v>
      </c>
      <c r="U11" s="4" t="s">
        <v>484</v>
      </c>
      <c r="V11" s="4">
        <f>8*1440+23*60+42</f>
        <v>12942</v>
      </c>
      <c r="W11" s="4" t="s">
        <v>485</v>
      </c>
      <c r="X11" s="4">
        <f>9*1440+8*60+57</f>
        <v>13497</v>
      </c>
      <c r="Y11" s="4" t="s">
        <v>486</v>
      </c>
      <c r="Z11" s="4">
        <f>10*1440+8*60+20</f>
        <v>14900</v>
      </c>
      <c r="AA11" s="4" t="s">
        <v>487</v>
      </c>
      <c r="AB11" s="4">
        <f>11*1440+5*60+3</f>
        <v>16143</v>
      </c>
      <c r="AC11" s="4" t="s">
        <v>488</v>
      </c>
      <c r="AD11" s="4">
        <f>11*1440+18*60+34</f>
        <v>16954</v>
      </c>
      <c r="AE11" s="4" t="s">
        <v>489</v>
      </c>
      <c r="AF11" s="4">
        <f>13*1440+3*60+51</f>
        <v>18951</v>
      </c>
      <c r="AG11" s="4" t="s">
        <v>490</v>
      </c>
      <c r="AH11" s="4">
        <f>14*1440+9*60+9</f>
        <v>20709</v>
      </c>
      <c r="AI11" s="4" t="s">
        <v>491</v>
      </c>
      <c r="AJ11" s="4">
        <f>15*1440+7*60+18</f>
        <v>22038</v>
      </c>
      <c r="AK11" s="4" t="s">
        <v>492</v>
      </c>
      <c r="AL11" s="4">
        <f>16*1440+16*60+58</f>
        <v>24058</v>
      </c>
      <c r="AM11" s="4" t="s">
        <v>493</v>
      </c>
      <c r="AN11">
        <f>17*1440+10*60+32</f>
        <v>25112</v>
      </c>
    </row>
    <row r="12" spans="1:40" ht="17.25" thickBot="1" x14ac:dyDescent="0.3">
      <c r="A12">
        <v>11</v>
      </c>
      <c r="B12" s="6" t="s">
        <v>85</v>
      </c>
      <c r="C12" s="7" t="s">
        <v>494</v>
      </c>
      <c r="D12" s="7">
        <f>0*1440+8*60+51</f>
        <v>531</v>
      </c>
      <c r="E12" s="7" t="s">
        <v>495</v>
      </c>
      <c r="F12" s="7">
        <f>1*1440+12*60+56</f>
        <v>2216</v>
      </c>
      <c r="G12" s="7" t="s">
        <v>496</v>
      </c>
      <c r="H12" s="7">
        <f>2*1440+6*60+24</f>
        <v>3264</v>
      </c>
      <c r="I12" s="7" t="s">
        <v>497</v>
      </c>
      <c r="J12" s="7">
        <f>4*1440+0*60+2</f>
        <v>5762</v>
      </c>
      <c r="K12" s="7" t="s">
        <v>498</v>
      </c>
      <c r="L12" s="7">
        <f>5*1440+0*60+5</f>
        <v>7205</v>
      </c>
      <c r="M12" s="7" t="s">
        <v>499</v>
      </c>
      <c r="N12" s="7">
        <f>6*1440+2*60+15</f>
        <v>8775</v>
      </c>
      <c r="O12" s="7" t="s">
        <v>500</v>
      </c>
      <c r="P12" s="7">
        <f>6*1440+12*60+35</f>
        <v>9395</v>
      </c>
      <c r="Q12" s="7" t="s">
        <v>501</v>
      </c>
      <c r="R12" s="7">
        <f>7*1440+6*60+8</f>
        <v>10448</v>
      </c>
      <c r="S12" s="7" t="s">
        <v>502</v>
      </c>
      <c r="T12" s="7">
        <f>8*1440+12*60+7</f>
        <v>12247</v>
      </c>
      <c r="U12" s="7" t="s">
        <v>503</v>
      </c>
      <c r="V12" s="7">
        <f>9*1440+6*60+55</f>
        <v>13375</v>
      </c>
      <c r="W12" s="7" t="s">
        <v>504</v>
      </c>
      <c r="X12" s="7">
        <f>10*1440+2*60+23</f>
        <v>14543</v>
      </c>
      <c r="Y12" s="7" t="s">
        <v>505</v>
      </c>
      <c r="Z12" s="7">
        <f>11*1440+1*60+59</f>
        <v>15959</v>
      </c>
      <c r="AA12" s="7" t="s">
        <v>506</v>
      </c>
      <c r="AB12" s="7">
        <f>11*1440+16*60+15</f>
        <v>16815</v>
      </c>
      <c r="AC12" s="7" t="s">
        <v>507</v>
      </c>
      <c r="AD12" s="7">
        <f>12*1440+10*60+38</f>
        <v>17918</v>
      </c>
      <c r="AE12" s="7" t="s">
        <v>508</v>
      </c>
      <c r="AF12" s="7">
        <f>13*1440+11*60+17</f>
        <v>19397</v>
      </c>
      <c r="AG12" s="7" t="s">
        <v>509</v>
      </c>
      <c r="AH12" s="7">
        <f>14*1440+23*60+27</f>
        <v>21567</v>
      </c>
      <c r="AI12" s="7" t="s">
        <v>510</v>
      </c>
      <c r="AJ12" s="7">
        <f>16*1440+4*60+14</f>
        <v>23294</v>
      </c>
      <c r="AK12" s="7" t="s">
        <v>511</v>
      </c>
      <c r="AL12" s="7">
        <f>17*1440+13*60+54</f>
        <v>25314</v>
      </c>
      <c r="AM12" s="7" t="s">
        <v>512</v>
      </c>
      <c r="AN12">
        <f>18*1440+10*60+33</f>
        <v>26553</v>
      </c>
    </row>
    <row r="13" spans="1:40" ht="17.25" thickBot="1" x14ac:dyDescent="0.3">
      <c r="A13">
        <v>12</v>
      </c>
      <c r="B13" s="3" t="s">
        <v>73</v>
      </c>
      <c r="C13" s="4" t="s">
        <v>513</v>
      </c>
      <c r="D13" s="4">
        <f>0*1440+9*60+42</f>
        <v>582</v>
      </c>
      <c r="E13" s="4" t="s">
        <v>514</v>
      </c>
      <c r="F13" s="4">
        <f>1*1440+14*60+15</f>
        <v>2295</v>
      </c>
      <c r="G13" s="4" t="s">
        <v>515</v>
      </c>
      <c r="H13" s="4">
        <f>2*1440+10*60+57</f>
        <v>3537</v>
      </c>
      <c r="I13" s="4" t="s">
        <v>516</v>
      </c>
      <c r="J13" s="4">
        <f>4*1440+3*60+0</f>
        <v>5940</v>
      </c>
      <c r="K13" s="4" t="s">
        <v>517</v>
      </c>
      <c r="L13" s="4">
        <f>5*1440+8*60+18</f>
        <v>7698</v>
      </c>
      <c r="M13" s="4" t="s">
        <v>518</v>
      </c>
      <c r="N13" s="4">
        <f>6*1440+14*60+38</f>
        <v>9518</v>
      </c>
      <c r="O13" s="4" t="s">
        <v>519</v>
      </c>
      <c r="P13" s="4">
        <f>7*1440+7*60+42</f>
        <v>10542</v>
      </c>
      <c r="Q13" s="4" t="s">
        <v>520</v>
      </c>
      <c r="R13" s="4">
        <f>8*1440+2*60+8</f>
        <v>11648</v>
      </c>
      <c r="S13" s="4" t="s">
        <v>521</v>
      </c>
      <c r="T13" s="4">
        <f>9*1440+8*60+26</f>
        <v>13466</v>
      </c>
      <c r="U13" s="4" t="s">
        <v>522</v>
      </c>
      <c r="V13" s="4">
        <f>10*1440+0*60+16</f>
        <v>14416</v>
      </c>
      <c r="W13" s="4" t="s">
        <v>523</v>
      </c>
      <c r="X13" s="4">
        <f>10*1440+10*60+56</f>
        <v>15056</v>
      </c>
      <c r="Y13" s="4" t="s">
        <v>524</v>
      </c>
      <c r="Z13" s="4">
        <f>11*1440+10*60+38</f>
        <v>16478</v>
      </c>
      <c r="AA13" s="4" t="s">
        <v>525</v>
      </c>
      <c r="AB13" s="4">
        <f>12*1440+9*60+31</f>
        <v>17851</v>
      </c>
      <c r="AC13" s="4" t="s">
        <v>526</v>
      </c>
      <c r="AD13" s="4">
        <f>13*1440+7*60+5</f>
        <v>19145</v>
      </c>
      <c r="AE13" s="4" t="s">
        <v>527</v>
      </c>
      <c r="AF13" s="4">
        <f>14*1440+8*60+8</f>
        <v>20648</v>
      </c>
      <c r="AG13" s="4" t="s">
        <v>528</v>
      </c>
      <c r="AH13" s="4">
        <f>15*1440+13*60+43</f>
        <v>22423</v>
      </c>
      <c r="AI13" s="4" t="s">
        <v>529</v>
      </c>
      <c r="AJ13" s="4">
        <f>17*1440+3*60+0</f>
        <v>24660</v>
      </c>
      <c r="AK13" s="4" t="s">
        <v>530</v>
      </c>
      <c r="AL13" s="4">
        <f>18*1440+14*60+3</f>
        <v>26763</v>
      </c>
      <c r="AM13" s="4" t="s">
        <v>531</v>
      </c>
      <c r="AN13">
        <f>19*1440+0*60+44</f>
        <v>27404</v>
      </c>
    </row>
    <row r="14" spans="1:40" ht="17.25" thickBot="1" x14ac:dyDescent="0.3">
      <c r="A14">
        <v>13</v>
      </c>
      <c r="B14" s="6" t="s">
        <v>90</v>
      </c>
      <c r="C14" s="7" t="s">
        <v>532</v>
      </c>
      <c r="D14" s="7">
        <f>0*1440+9*60+49</f>
        <v>589</v>
      </c>
      <c r="E14" s="7" t="s">
        <v>533</v>
      </c>
      <c r="F14" s="7">
        <f>1*1440+15*60+3</f>
        <v>2343</v>
      </c>
      <c r="G14" s="7" t="s">
        <v>534</v>
      </c>
      <c r="H14" s="7">
        <f>2*1440+13*60+1</f>
        <v>3661</v>
      </c>
      <c r="I14" s="7" t="s">
        <v>535</v>
      </c>
      <c r="J14" s="7">
        <f>4*1440+7*60+35</f>
        <v>6215</v>
      </c>
      <c r="K14" s="7" t="s">
        <v>536</v>
      </c>
      <c r="L14" s="7">
        <f>5*1440+10*60+40</f>
        <v>7840</v>
      </c>
      <c r="M14" s="7" t="s">
        <v>537</v>
      </c>
      <c r="N14" s="7">
        <f>6*1440+14*60+29</f>
        <v>9509</v>
      </c>
      <c r="O14" s="7" t="s">
        <v>538</v>
      </c>
      <c r="P14" s="7">
        <f>7*1440+8*60+12</f>
        <v>10572</v>
      </c>
      <c r="Q14" s="7" t="s">
        <v>539</v>
      </c>
      <c r="R14" s="7">
        <f>8*1440+2*60+48</f>
        <v>11688</v>
      </c>
      <c r="S14" s="7" t="s">
        <v>540</v>
      </c>
      <c r="T14" s="7">
        <f>9*1440+9*60+35</f>
        <v>13535</v>
      </c>
      <c r="U14" s="7" t="s">
        <v>541</v>
      </c>
      <c r="V14" s="7">
        <f>10*1440+0*60+15</f>
        <v>14415</v>
      </c>
      <c r="W14" s="7" t="s">
        <v>542</v>
      </c>
      <c r="X14" s="7">
        <f>10*1440+10*60+59</f>
        <v>15059</v>
      </c>
      <c r="Y14" s="7" t="s">
        <v>524</v>
      </c>
      <c r="Z14" s="7">
        <f>11*1440+10*60+38</f>
        <v>16478</v>
      </c>
      <c r="AA14" s="7" t="s">
        <v>543</v>
      </c>
      <c r="AB14" s="7">
        <f>12*1440+9*60+3</f>
        <v>17823</v>
      </c>
      <c r="AC14" s="7" t="s">
        <v>544</v>
      </c>
      <c r="AD14" s="7">
        <f>13*1440+6*60+47</f>
        <v>19127</v>
      </c>
      <c r="AE14" s="7" t="s">
        <v>545</v>
      </c>
      <c r="AF14" s="7">
        <f>14*1440+8*60+12</f>
        <v>20652</v>
      </c>
      <c r="AG14" s="7" t="s">
        <v>546</v>
      </c>
      <c r="AH14" s="7">
        <f>15*1440+12*60+33</f>
        <v>22353</v>
      </c>
      <c r="AI14" s="7" t="s">
        <v>547</v>
      </c>
      <c r="AJ14" s="7">
        <f>17*1440+2*60+55</f>
        <v>24655</v>
      </c>
      <c r="AK14" s="7" t="s">
        <v>548</v>
      </c>
      <c r="AL14" s="7">
        <f>18*1440+14*60+4</f>
        <v>26764</v>
      </c>
      <c r="AM14" s="7" t="s">
        <v>549</v>
      </c>
      <c r="AN14">
        <f>19*1440+1*60+2</f>
        <v>27422</v>
      </c>
    </row>
    <row r="15" spans="1:40" ht="17.25" thickBot="1" x14ac:dyDescent="0.3">
      <c r="A15">
        <v>14</v>
      </c>
      <c r="B15" s="3" t="s">
        <v>102</v>
      </c>
      <c r="C15" s="4" t="s">
        <v>550</v>
      </c>
      <c r="D15" s="4">
        <f>0*1440+10*60+9</f>
        <v>609</v>
      </c>
      <c r="E15" s="4" t="s">
        <v>551</v>
      </c>
      <c r="F15" s="4">
        <f>1*1440+14*60+6</f>
        <v>2286</v>
      </c>
      <c r="G15" s="4" t="s">
        <v>552</v>
      </c>
      <c r="H15" s="4">
        <f>2*1440+9*60+46</f>
        <v>3466</v>
      </c>
      <c r="I15" s="4" t="s">
        <v>553</v>
      </c>
      <c r="J15" s="4">
        <f>3*1440+23*60+44</f>
        <v>5744</v>
      </c>
      <c r="K15" s="4" t="s">
        <v>554</v>
      </c>
      <c r="L15" s="4">
        <f>5*1440+2*60+53</f>
        <v>7373</v>
      </c>
      <c r="M15" s="4" t="s">
        <v>555</v>
      </c>
      <c r="N15" s="4">
        <f>6*1440+6*60+13</f>
        <v>9013</v>
      </c>
      <c r="O15" s="4" t="s">
        <v>556</v>
      </c>
      <c r="P15" s="4">
        <f>6*1440+16*60+26</f>
        <v>9626</v>
      </c>
      <c r="Q15" s="4" t="s">
        <v>557</v>
      </c>
      <c r="R15" s="4">
        <f>7*1440+9*60+55</f>
        <v>10675</v>
      </c>
      <c r="S15" s="4" t="s">
        <v>558</v>
      </c>
      <c r="T15" s="4">
        <f>8*1440+23*60+35</f>
        <v>12935</v>
      </c>
      <c r="U15" s="4" t="s">
        <v>559</v>
      </c>
      <c r="V15" s="4">
        <f>9*1440+7*60+3</f>
        <v>13383</v>
      </c>
      <c r="W15" s="4" t="s">
        <v>560</v>
      </c>
      <c r="X15" s="4">
        <f>10*1440+1*60+59</f>
        <v>14519</v>
      </c>
      <c r="Y15" s="4" t="s">
        <v>561</v>
      </c>
      <c r="Z15" s="4">
        <f>11*1440+2*60+22</f>
        <v>15982</v>
      </c>
      <c r="AA15" s="4" t="s">
        <v>562</v>
      </c>
      <c r="AB15" s="4">
        <f>12*1440+3*60+1</f>
        <v>17461</v>
      </c>
      <c r="AC15" s="4" t="s">
        <v>563</v>
      </c>
      <c r="AD15" s="4">
        <f>13*1440+1*60+48</f>
        <v>18828</v>
      </c>
      <c r="AE15" s="4" t="s">
        <v>564</v>
      </c>
      <c r="AF15" s="4">
        <f>14*1440+5*60+5</f>
        <v>20465</v>
      </c>
      <c r="AG15" s="4" t="s">
        <v>565</v>
      </c>
      <c r="AH15" s="4">
        <f>15*1440+23*60+23</f>
        <v>23003</v>
      </c>
      <c r="AI15" s="4" t="s">
        <v>566</v>
      </c>
      <c r="AJ15" s="4">
        <f>17*1440+6*60+10</f>
        <v>24850</v>
      </c>
      <c r="AK15" s="4" t="s">
        <v>567</v>
      </c>
      <c r="AL15" s="4">
        <f>18*1440+14*60+8</f>
        <v>26768</v>
      </c>
      <c r="AM15" s="4" t="s">
        <v>568</v>
      </c>
      <c r="AN15">
        <f>19*1440+1*60+8</f>
        <v>27428</v>
      </c>
    </row>
    <row r="16" spans="1:40" ht="17.25" thickBot="1" x14ac:dyDescent="0.3">
      <c r="A16">
        <v>15</v>
      </c>
      <c r="B16" s="6" t="s">
        <v>99</v>
      </c>
      <c r="C16" s="7" t="s">
        <v>569</v>
      </c>
      <c r="D16" s="7">
        <f>0*1440+10*60+28</f>
        <v>628</v>
      </c>
      <c r="E16" s="7" t="s">
        <v>570</v>
      </c>
      <c r="F16" s="7">
        <f>1*1440+17*60+19</f>
        <v>2479</v>
      </c>
      <c r="G16" s="7" t="s">
        <v>571</v>
      </c>
      <c r="H16" s="7">
        <f>2*1440+13*60+27</f>
        <v>3687</v>
      </c>
      <c r="I16" s="7" t="s">
        <v>572</v>
      </c>
      <c r="J16" s="7">
        <f>4*1440+10*60+37</f>
        <v>6397</v>
      </c>
      <c r="K16" s="7" t="s">
        <v>573</v>
      </c>
      <c r="L16" s="7">
        <f>6*1440+8*60+16</f>
        <v>9136</v>
      </c>
      <c r="M16" s="7" t="s">
        <v>574</v>
      </c>
      <c r="N16" s="7">
        <f>7*1440+8*60+39</f>
        <v>10599</v>
      </c>
      <c r="O16" s="7" t="s">
        <v>575</v>
      </c>
      <c r="P16" s="7">
        <f>8*1440+0*60+16</f>
        <v>11536</v>
      </c>
      <c r="Q16" s="7" t="s">
        <v>576</v>
      </c>
      <c r="R16" s="7">
        <f>8*1440+9*60+52</f>
        <v>12112</v>
      </c>
      <c r="S16" s="7" t="s">
        <v>577</v>
      </c>
      <c r="T16" s="7">
        <f>9*1440+21*60+43</f>
        <v>14263</v>
      </c>
      <c r="U16" s="7" t="s">
        <v>578</v>
      </c>
      <c r="V16" s="7">
        <f>10*1440+3*60+45</f>
        <v>14625</v>
      </c>
      <c r="W16" s="7" t="s">
        <v>579</v>
      </c>
      <c r="X16" s="7">
        <f>10*1440+15*60+42</f>
        <v>15342</v>
      </c>
      <c r="Y16" s="7" t="s">
        <v>580</v>
      </c>
      <c r="Z16" s="7">
        <f>11*1440+14*60+55</f>
        <v>16735</v>
      </c>
      <c r="AA16" s="7" t="s">
        <v>581</v>
      </c>
      <c r="AB16" s="7">
        <f>12*1440+14*60+47</f>
        <v>18167</v>
      </c>
      <c r="AC16" s="7" t="s">
        <v>582</v>
      </c>
      <c r="AD16" s="7">
        <f>13*1440+10*60+26</f>
        <v>19346</v>
      </c>
      <c r="AE16" s="7" t="s">
        <v>583</v>
      </c>
      <c r="AF16" s="7">
        <f>14*1440+13*60+47</f>
        <v>20987</v>
      </c>
      <c r="AG16" s="7" t="s">
        <v>584</v>
      </c>
      <c r="AH16" s="7">
        <f>16*1440+3*60+2</f>
        <v>23222</v>
      </c>
      <c r="AI16" s="7" t="s">
        <v>585</v>
      </c>
      <c r="AJ16" s="7">
        <f>17*1440+8*60+33</f>
        <v>24993</v>
      </c>
      <c r="AK16" s="7" t="s">
        <v>586</v>
      </c>
      <c r="AL16" s="7">
        <f>18*1440+17*60+3</f>
        <v>26943</v>
      </c>
      <c r="AM16" s="7" t="s">
        <v>587</v>
      </c>
      <c r="AN16">
        <f>19*1440+9*60+2</f>
        <v>27902</v>
      </c>
    </row>
    <row r="17" spans="1:40" ht="17.25" thickBot="1" x14ac:dyDescent="0.3">
      <c r="A17">
        <v>16</v>
      </c>
      <c r="B17" s="3" t="s">
        <v>79</v>
      </c>
      <c r="C17" s="4" t="s">
        <v>588</v>
      </c>
      <c r="D17" s="4">
        <f>0*1440+11*60+10</f>
        <v>670</v>
      </c>
      <c r="E17" s="4" t="s">
        <v>589</v>
      </c>
      <c r="F17" s="4">
        <f>1*1440+17*60+21</f>
        <v>2481</v>
      </c>
      <c r="G17" s="4" t="s">
        <v>590</v>
      </c>
      <c r="H17" s="4">
        <f>2*1440+13*60+23</f>
        <v>3683</v>
      </c>
      <c r="I17" s="4" t="s">
        <v>591</v>
      </c>
      <c r="J17" s="4">
        <f>4*1440+10*60+8</f>
        <v>6368</v>
      </c>
      <c r="K17" s="4" t="s">
        <v>592</v>
      </c>
      <c r="L17" s="4">
        <f>5*1440+23*60+44</f>
        <v>8624</v>
      </c>
      <c r="M17" s="4" t="s">
        <v>593</v>
      </c>
      <c r="N17" s="4">
        <f>7*1440+2*60+58</f>
        <v>10258</v>
      </c>
      <c r="O17" s="4" t="s">
        <v>594</v>
      </c>
      <c r="P17" s="4">
        <f>7*1440+13*60+59</f>
        <v>10919</v>
      </c>
      <c r="Q17" s="4" t="s">
        <v>595</v>
      </c>
      <c r="R17" s="4">
        <f>8*1440+6*60+22</f>
        <v>11902</v>
      </c>
      <c r="S17" s="4" t="s">
        <v>596</v>
      </c>
      <c r="T17" s="4">
        <f>9*1440+12*60+51</f>
        <v>13731</v>
      </c>
      <c r="U17" s="4" t="s">
        <v>597</v>
      </c>
      <c r="V17" s="4">
        <f>10*1440+2*60+51</f>
        <v>14571</v>
      </c>
      <c r="W17" s="4" t="s">
        <v>598</v>
      </c>
      <c r="X17" s="4">
        <f>10*1440+14*60+41</f>
        <v>15281</v>
      </c>
      <c r="Y17" s="4" t="s">
        <v>599</v>
      </c>
      <c r="Z17" s="4">
        <f>11*1440+15*60+34</f>
        <v>16774</v>
      </c>
      <c r="AA17" s="4" t="s">
        <v>600</v>
      </c>
      <c r="AB17" s="4">
        <f>12*1440+15*60+16</f>
        <v>18196</v>
      </c>
      <c r="AC17" s="4" t="s">
        <v>601</v>
      </c>
      <c r="AD17" s="4">
        <f>13*1440+10*60+39</f>
        <v>19359</v>
      </c>
      <c r="AE17" s="4" t="s">
        <v>602</v>
      </c>
      <c r="AF17" s="4">
        <f>14*1440+13*60+33</f>
        <v>20973</v>
      </c>
      <c r="AG17" s="4" t="s">
        <v>603</v>
      </c>
      <c r="AH17" s="4">
        <f>16*1440+2*60+58</f>
        <v>23218</v>
      </c>
      <c r="AI17" s="4" t="s">
        <v>604</v>
      </c>
      <c r="AJ17" s="4">
        <f>17*1440+8*60+34</f>
        <v>24994</v>
      </c>
      <c r="AK17" s="4" t="s">
        <v>586</v>
      </c>
      <c r="AL17" s="4">
        <f>18*1440+17*60+3</f>
        <v>26943</v>
      </c>
      <c r="AM17" s="4" t="s">
        <v>605</v>
      </c>
      <c r="AN17">
        <f>19*1440+9*60+3</f>
        <v>27903</v>
      </c>
    </row>
    <row r="18" spans="1:40" ht="17.25" thickBot="1" x14ac:dyDescent="0.3">
      <c r="A18">
        <v>17</v>
      </c>
      <c r="B18" s="6" t="s">
        <v>67</v>
      </c>
      <c r="C18" s="7" t="s">
        <v>606</v>
      </c>
      <c r="D18" s="7">
        <f>0*1440+10*60+41</f>
        <v>641</v>
      </c>
      <c r="E18" s="7" t="s">
        <v>325</v>
      </c>
      <c r="F18" s="7">
        <f>1*1440+17*60+53</f>
        <v>2513</v>
      </c>
      <c r="G18" s="7" t="s">
        <v>607</v>
      </c>
      <c r="H18" s="7">
        <f>2*1440+14*60+37</f>
        <v>3757</v>
      </c>
      <c r="I18" s="7" t="s">
        <v>608</v>
      </c>
      <c r="J18" s="7">
        <f>4*1440+10*60+27</f>
        <v>6387</v>
      </c>
      <c r="K18" s="7" t="s">
        <v>609</v>
      </c>
      <c r="L18" s="7">
        <f>5*1440+15*60+26</f>
        <v>8126</v>
      </c>
      <c r="M18" s="7" t="s">
        <v>610</v>
      </c>
      <c r="N18" s="7">
        <f>7*1440+3*60+27</f>
        <v>10287</v>
      </c>
      <c r="O18" s="7" t="s">
        <v>611</v>
      </c>
      <c r="P18" s="7">
        <f>7*1440+14*60+36</f>
        <v>10956</v>
      </c>
      <c r="Q18" s="7" t="s">
        <v>612</v>
      </c>
      <c r="R18" s="7">
        <f>8*1440+6*60+44</f>
        <v>11924</v>
      </c>
      <c r="S18" s="7" t="s">
        <v>613</v>
      </c>
      <c r="T18" s="7">
        <f>9*1440+13*60+52</f>
        <v>13792</v>
      </c>
      <c r="U18" s="7" t="s">
        <v>614</v>
      </c>
      <c r="V18" s="7">
        <f>10*1440+4*60+41</f>
        <v>14681</v>
      </c>
      <c r="W18" s="7" t="s">
        <v>615</v>
      </c>
      <c r="X18" s="7">
        <f>10*1440+15*60+58</f>
        <v>15358</v>
      </c>
      <c r="Y18" s="7" t="s">
        <v>616</v>
      </c>
      <c r="Z18" s="7">
        <f>11*1440+16*60+29</f>
        <v>16829</v>
      </c>
      <c r="AA18" s="7" t="s">
        <v>617</v>
      </c>
      <c r="AB18" s="7">
        <f>12*1440+13*60+51</f>
        <v>18111</v>
      </c>
      <c r="AC18" s="7" t="s">
        <v>618</v>
      </c>
      <c r="AD18" s="7">
        <f>13*1440+11*60+13</f>
        <v>19393</v>
      </c>
      <c r="AE18" s="7" t="s">
        <v>619</v>
      </c>
      <c r="AF18" s="7">
        <f>14*1440+13*60+5</f>
        <v>20945</v>
      </c>
      <c r="AG18" s="7" t="s">
        <v>620</v>
      </c>
      <c r="AH18" s="7">
        <f>16*1440+8*60+46</f>
        <v>23566</v>
      </c>
      <c r="AI18" s="7" t="s">
        <v>621</v>
      </c>
      <c r="AJ18" s="7">
        <f>17*1440+13*60+39</f>
        <v>25299</v>
      </c>
      <c r="AK18" s="7" t="s">
        <v>622</v>
      </c>
      <c r="AL18" s="7">
        <f>19*1440+1*60+1</f>
        <v>27421</v>
      </c>
      <c r="AM18" s="7" t="s">
        <v>623</v>
      </c>
      <c r="AN18">
        <f>19*1440+15*60+50</f>
        <v>28310</v>
      </c>
    </row>
    <row r="19" spans="1:40" ht="17.25" thickBot="1" x14ac:dyDescent="0.3">
      <c r="A19">
        <v>18</v>
      </c>
      <c r="B19" s="3" t="s">
        <v>31</v>
      </c>
      <c r="C19" s="4" t="s">
        <v>624</v>
      </c>
      <c r="D19" s="4">
        <f>0*1440+11*60+36</f>
        <v>696</v>
      </c>
      <c r="E19" s="4" t="s">
        <v>625</v>
      </c>
      <c r="F19" s="4">
        <f>2*1440+11*60+41</f>
        <v>3581</v>
      </c>
      <c r="G19" s="4" t="s">
        <v>625</v>
      </c>
      <c r="H19" s="4">
        <f>2*1440+11*60+41</f>
        <v>3581</v>
      </c>
      <c r="I19" s="4" t="s">
        <v>626</v>
      </c>
      <c r="J19" s="4">
        <f>5*1440+6*60+28</f>
        <v>7588</v>
      </c>
      <c r="K19" s="4" t="s">
        <v>627</v>
      </c>
      <c r="L19" s="4">
        <f>6*1440+1*60+10</f>
        <v>8710</v>
      </c>
      <c r="M19" s="4" t="s">
        <v>628</v>
      </c>
      <c r="N19" s="4">
        <f>7*1440+5*60+50</f>
        <v>10430</v>
      </c>
      <c r="O19" s="4" t="s">
        <v>629</v>
      </c>
      <c r="P19" s="4">
        <f>8*1440+3*60+5</f>
        <v>11705</v>
      </c>
      <c r="Q19" s="4" t="s">
        <v>630</v>
      </c>
      <c r="R19" s="4">
        <f>8*1440+10*60+41</f>
        <v>12161</v>
      </c>
      <c r="S19" s="4" t="s">
        <v>631</v>
      </c>
      <c r="T19" s="4">
        <f>9*1440+23*60+7</f>
        <v>14347</v>
      </c>
      <c r="U19" s="4" t="s">
        <v>632</v>
      </c>
      <c r="V19" s="4">
        <f>10*1440+4*60+55</f>
        <v>14695</v>
      </c>
      <c r="W19" s="4" t="s">
        <v>633</v>
      </c>
      <c r="X19" s="4">
        <f>10*1440+15*60+9</f>
        <v>15309</v>
      </c>
      <c r="Y19" s="4" t="s">
        <v>634</v>
      </c>
      <c r="Z19" s="4">
        <f>12*1440+2*60+13</f>
        <v>17413</v>
      </c>
      <c r="AA19" s="4" t="s">
        <v>635</v>
      </c>
      <c r="AB19" s="4">
        <f>13*1440+1*60+10</f>
        <v>18790</v>
      </c>
      <c r="AC19" s="4" t="s">
        <v>242</v>
      </c>
      <c r="AD19" s="4">
        <f>13*1440+14*60+5</f>
        <v>19565</v>
      </c>
      <c r="AE19" s="4" t="s">
        <v>221</v>
      </c>
      <c r="AF19" s="4">
        <f>14*1440+14*60+54</f>
        <v>21054</v>
      </c>
      <c r="AG19" s="4" t="s">
        <v>636</v>
      </c>
      <c r="AH19" s="4">
        <f>16*1440+5*60+17</f>
        <v>23357</v>
      </c>
      <c r="AI19" s="4" t="s">
        <v>637</v>
      </c>
      <c r="AJ19" s="4">
        <f>18*1440+1*60+35</f>
        <v>26015</v>
      </c>
      <c r="AK19" s="4" t="s">
        <v>638</v>
      </c>
      <c r="AL19" s="4">
        <f>19*1440+6*60+20</f>
        <v>27740</v>
      </c>
      <c r="AM19" s="4" t="s">
        <v>639</v>
      </c>
      <c r="AN19">
        <f>19*1440+16*60+7</f>
        <v>28327</v>
      </c>
    </row>
    <row r="20" spans="1:40" ht="17.25" thickBot="1" x14ac:dyDescent="0.3">
      <c r="A20">
        <v>19</v>
      </c>
      <c r="B20" s="6" t="s">
        <v>110</v>
      </c>
      <c r="C20" s="7" t="s">
        <v>640</v>
      </c>
      <c r="D20" s="7">
        <f>0*1440+10*60+1</f>
        <v>601</v>
      </c>
      <c r="E20" s="7" t="s">
        <v>641</v>
      </c>
      <c r="F20" s="7">
        <f>1*1440+16*60+42</f>
        <v>2442</v>
      </c>
      <c r="G20" s="7" t="s">
        <v>642</v>
      </c>
      <c r="H20" s="7">
        <f>2*1440+13*60+26</f>
        <v>3686</v>
      </c>
      <c r="I20" s="7" t="s">
        <v>643</v>
      </c>
      <c r="J20" s="7">
        <f>4*1440+15*60+35</f>
        <v>6695</v>
      </c>
      <c r="K20" s="7" t="s">
        <v>644</v>
      </c>
      <c r="L20" s="7">
        <f>6*1440+2*60+4</f>
        <v>8764</v>
      </c>
      <c r="M20" s="7" t="s">
        <v>645</v>
      </c>
      <c r="N20" s="7">
        <f>7*1440+5*60+46</f>
        <v>10426</v>
      </c>
      <c r="O20" s="7" t="s">
        <v>646</v>
      </c>
      <c r="P20" s="7">
        <f>8*1440+0*60+18</f>
        <v>11538</v>
      </c>
      <c r="Q20" s="7" t="s">
        <v>647</v>
      </c>
      <c r="R20" s="7">
        <f>8*1440+9*60+23</f>
        <v>12083</v>
      </c>
      <c r="S20" s="7" t="s">
        <v>648</v>
      </c>
      <c r="T20" s="7">
        <f>9*1440+22*60+59</f>
        <v>14339</v>
      </c>
      <c r="U20" s="7" t="s">
        <v>649</v>
      </c>
      <c r="V20" s="7">
        <f>10*1440+4*60+50</f>
        <v>14690</v>
      </c>
      <c r="W20" s="7" t="s">
        <v>650</v>
      </c>
      <c r="X20" s="7">
        <f>10*1440+15*60+52</f>
        <v>15352</v>
      </c>
      <c r="Y20" s="7" t="s">
        <v>651</v>
      </c>
      <c r="Z20" s="7">
        <f>11*1440+14*60+41</f>
        <v>16721</v>
      </c>
      <c r="AA20" s="7" t="s">
        <v>652</v>
      </c>
      <c r="AB20" s="7">
        <f>12*1440+12*60+56</f>
        <v>18056</v>
      </c>
      <c r="AC20" s="7" t="s">
        <v>653</v>
      </c>
      <c r="AD20" s="7">
        <f>13*1440+11*60+41</f>
        <v>19421</v>
      </c>
      <c r="AE20" s="7" t="s">
        <v>602</v>
      </c>
      <c r="AF20" s="7">
        <f>14*1440+13*60+33</f>
        <v>20973</v>
      </c>
      <c r="AG20" s="7" t="s">
        <v>654</v>
      </c>
      <c r="AH20" s="7">
        <f>17*1440+0*60+27</f>
        <v>24507</v>
      </c>
      <c r="AI20" s="7" t="s">
        <v>655</v>
      </c>
      <c r="AJ20" s="7">
        <f>18*1440+5*60+28</f>
        <v>26248</v>
      </c>
      <c r="AK20" s="7" t="s">
        <v>656</v>
      </c>
      <c r="AL20" s="7">
        <f>19*1440+8*60+54</f>
        <v>27894</v>
      </c>
      <c r="AM20" s="7" t="s">
        <v>657</v>
      </c>
      <c r="AN20">
        <f>19*1440+21*60+8</f>
        <v>28628</v>
      </c>
    </row>
    <row r="21" spans="1:40" ht="17.25" thickBot="1" x14ac:dyDescent="0.3">
      <c r="A21">
        <v>20</v>
      </c>
      <c r="B21" s="3" t="s">
        <v>1</v>
      </c>
      <c r="C21" s="4" t="s">
        <v>658</v>
      </c>
      <c r="D21" s="4">
        <f>0*1440+10*60+23</f>
        <v>623</v>
      </c>
      <c r="E21" s="4" t="s">
        <v>659</v>
      </c>
      <c r="F21" s="4">
        <f>1*1440+19*60+48</f>
        <v>2628</v>
      </c>
      <c r="G21" s="4" t="s">
        <v>660</v>
      </c>
      <c r="H21" s="4">
        <f>3*1440+3*60+22</f>
        <v>4522</v>
      </c>
      <c r="I21" s="4" t="s">
        <v>661</v>
      </c>
      <c r="J21" s="4">
        <f>5*1440+11*60+38</f>
        <v>7898</v>
      </c>
      <c r="K21" s="4" t="s">
        <v>662</v>
      </c>
      <c r="L21" s="4">
        <f>6*1440+15*60+10</f>
        <v>9550</v>
      </c>
      <c r="M21" s="4" t="s">
        <v>663</v>
      </c>
      <c r="N21" s="4">
        <f>7*1440+19*60+29</f>
        <v>11249</v>
      </c>
      <c r="O21" s="4" t="s">
        <v>664</v>
      </c>
      <c r="P21" s="4">
        <f>8*1440+11*60+53</f>
        <v>12233</v>
      </c>
      <c r="Q21" s="4" t="s">
        <v>665</v>
      </c>
      <c r="R21" s="4">
        <f>9*1440+5*60+39</f>
        <v>13299</v>
      </c>
      <c r="S21" s="4" t="s">
        <v>666</v>
      </c>
      <c r="T21" s="4">
        <f>10*1440+22*60+42</f>
        <v>15762</v>
      </c>
      <c r="U21" s="4" t="s">
        <v>667</v>
      </c>
      <c r="V21" s="4">
        <f>11*1440+6*60+32</f>
        <v>16232</v>
      </c>
      <c r="W21" s="4" t="s">
        <v>668</v>
      </c>
      <c r="X21" s="4">
        <f>11*1440+16*60+12</f>
        <v>16812</v>
      </c>
      <c r="Y21" s="4" t="s">
        <v>669</v>
      </c>
      <c r="Z21" s="4">
        <f>13*1440+2*60+36</f>
        <v>18876</v>
      </c>
      <c r="AA21" s="4" t="s">
        <v>670</v>
      </c>
      <c r="AB21" s="4">
        <f>13*1440+18*60+7</f>
        <v>19807</v>
      </c>
      <c r="AC21" s="4" t="s">
        <v>671</v>
      </c>
      <c r="AD21" s="4">
        <f>14*1440+15*60+8</f>
        <v>21068</v>
      </c>
      <c r="AE21" s="4" t="s">
        <v>672</v>
      </c>
      <c r="AF21" s="4">
        <f>15*1440+16*60+27</f>
        <v>22587</v>
      </c>
      <c r="AG21" s="4" t="s">
        <v>673</v>
      </c>
      <c r="AH21" s="4">
        <f>17*1440+8*60+46</f>
        <v>25006</v>
      </c>
      <c r="AI21" s="4" t="s">
        <v>674</v>
      </c>
      <c r="AJ21" s="4">
        <f>18*1440+7*60+50</f>
        <v>26390</v>
      </c>
      <c r="AK21" s="4" t="s">
        <v>675</v>
      </c>
      <c r="AL21" s="4">
        <f>19*1440+15*60+22</f>
        <v>28282</v>
      </c>
      <c r="AM21" s="4" t="s">
        <v>676</v>
      </c>
      <c r="AN21">
        <f>19*1440+23*60+22</f>
        <v>28762</v>
      </c>
    </row>
    <row r="22" spans="1:40" ht="17.25" thickBot="1" x14ac:dyDescent="0.3">
      <c r="A22">
        <v>21</v>
      </c>
      <c r="B22" s="6" t="s">
        <v>106</v>
      </c>
      <c r="C22" s="7" t="s">
        <v>677</v>
      </c>
      <c r="D22" s="7">
        <f>0*1440+10*60+22</f>
        <v>622</v>
      </c>
      <c r="E22" s="7" t="s">
        <v>678</v>
      </c>
      <c r="F22" s="7">
        <f>1*1440+15*60+43</f>
        <v>2383</v>
      </c>
      <c r="G22" s="7" t="s">
        <v>679</v>
      </c>
      <c r="H22" s="7">
        <f>2*1440+12*60+51</f>
        <v>3651</v>
      </c>
      <c r="I22" s="7" t="s">
        <v>680</v>
      </c>
      <c r="J22" s="7">
        <f>4*1440+8*60+47</f>
        <v>6287</v>
      </c>
      <c r="K22" s="7" t="s">
        <v>681</v>
      </c>
      <c r="L22" s="7">
        <f>5*1440+23*60+40</f>
        <v>8620</v>
      </c>
      <c r="M22" s="7" t="s">
        <v>682</v>
      </c>
      <c r="N22" s="7">
        <f>7*1440+6*60+3</f>
        <v>10443</v>
      </c>
      <c r="O22" s="7" t="s">
        <v>683</v>
      </c>
      <c r="P22" s="7">
        <f>8*1440+0*60+33</f>
        <v>11553</v>
      </c>
      <c r="Q22" s="7" t="s">
        <v>684</v>
      </c>
      <c r="R22" s="7">
        <f>8*1440+12*60+28</f>
        <v>12268</v>
      </c>
      <c r="S22" s="7" t="s">
        <v>685</v>
      </c>
      <c r="T22" s="7">
        <f>10*1440+7*60+33</f>
        <v>14853</v>
      </c>
      <c r="U22" s="7" t="s">
        <v>686</v>
      </c>
      <c r="V22" s="7">
        <f>10*1440+13*60+50</f>
        <v>15230</v>
      </c>
      <c r="W22" s="7" t="s">
        <v>103</v>
      </c>
      <c r="X22" s="7">
        <f>11*1440+8*60+23</f>
        <v>16343</v>
      </c>
      <c r="Y22" s="7" t="s">
        <v>230</v>
      </c>
      <c r="Z22" s="7">
        <f>12*1440+9*60+22</f>
        <v>17842</v>
      </c>
      <c r="AA22" s="7" t="s">
        <v>687</v>
      </c>
      <c r="AB22" s="7">
        <f>13*1440+8*60+36</f>
        <v>19236</v>
      </c>
      <c r="AC22" s="7" t="s">
        <v>688</v>
      </c>
      <c r="AD22" s="7">
        <f>14*1440+5*60+29</f>
        <v>20489</v>
      </c>
      <c r="AE22" s="7" t="s">
        <v>689</v>
      </c>
      <c r="AF22" s="7">
        <f>15*1440+10*60+49</f>
        <v>22249</v>
      </c>
      <c r="AG22" s="7" t="s">
        <v>690</v>
      </c>
      <c r="AH22" s="7">
        <f>17*1440+4*60+51</f>
        <v>24771</v>
      </c>
      <c r="AI22" s="7" t="s">
        <v>691</v>
      </c>
      <c r="AJ22" s="7">
        <f>18*1440+6*60+37</f>
        <v>26317</v>
      </c>
      <c r="AK22" s="7" t="s">
        <v>692</v>
      </c>
      <c r="AL22" s="7">
        <f>19*1440+13*60+39</f>
        <v>28179</v>
      </c>
      <c r="AM22" s="7" t="s">
        <v>693</v>
      </c>
      <c r="AN22">
        <f>20*1440+0*60+8</f>
        <v>28808</v>
      </c>
    </row>
    <row r="23" spans="1:40" ht="17.25" thickBot="1" x14ac:dyDescent="0.3">
      <c r="A23">
        <v>22</v>
      </c>
      <c r="B23" s="3" t="s">
        <v>120</v>
      </c>
      <c r="C23" s="4" t="s">
        <v>694</v>
      </c>
      <c r="D23" s="4">
        <f>0*1440+10*60+34</f>
        <v>634</v>
      </c>
      <c r="E23" s="4" t="s">
        <v>695</v>
      </c>
      <c r="F23" s="4">
        <f>1*1440+19*60+49</f>
        <v>2629</v>
      </c>
      <c r="G23" s="4" t="s">
        <v>696</v>
      </c>
      <c r="H23" s="4">
        <f>2*1440+15*60+48</f>
        <v>3828</v>
      </c>
      <c r="I23" s="4" t="s">
        <v>697</v>
      </c>
      <c r="J23" s="4">
        <f>5*1440+11*60+47</f>
        <v>7907</v>
      </c>
      <c r="K23" s="4" t="s">
        <v>698</v>
      </c>
      <c r="L23" s="4">
        <f>6*1440+15*60+16</f>
        <v>9556</v>
      </c>
      <c r="M23" s="4" t="s">
        <v>699</v>
      </c>
      <c r="N23" s="4">
        <f>7*1440+18*60+51</f>
        <v>11211</v>
      </c>
      <c r="O23" s="4" t="s">
        <v>700</v>
      </c>
      <c r="P23" s="4">
        <f>8*1440+10*60+34</f>
        <v>12154</v>
      </c>
      <c r="Q23" s="4" t="s">
        <v>701</v>
      </c>
      <c r="R23" s="4">
        <f>9*1440+5*60+23</f>
        <v>13283</v>
      </c>
      <c r="S23" s="4" t="s">
        <v>702</v>
      </c>
      <c r="T23" s="4">
        <f>10*1440+22*60+43</f>
        <v>15763</v>
      </c>
      <c r="U23" s="4" t="s">
        <v>703</v>
      </c>
      <c r="V23" s="4">
        <f>11*1440+6*60+14</f>
        <v>16214</v>
      </c>
      <c r="W23" s="4" t="s">
        <v>704</v>
      </c>
      <c r="X23" s="4">
        <f>11*1440+14*60+20</f>
        <v>16700</v>
      </c>
      <c r="Y23" s="4" t="s">
        <v>705</v>
      </c>
      <c r="Z23" s="4">
        <f>13*1440+2*60+44</f>
        <v>18884</v>
      </c>
      <c r="AA23" s="4" t="s">
        <v>670</v>
      </c>
      <c r="AB23" s="4">
        <f>13*1440+18*60+7</f>
        <v>19807</v>
      </c>
      <c r="AC23" s="4" t="s">
        <v>706</v>
      </c>
      <c r="AD23" s="4">
        <f>14*1440+15*60+1</f>
        <v>21061</v>
      </c>
      <c r="AE23" s="4" t="s">
        <v>707</v>
      </c>
      <c r="AF23" s="4">
        <f>15*1440+15*60+39</f>
        <v>22539</v>
      </c>
      <c r="AG23" s="4" t="s">
        <v>708</v>
      </c>
      <c r="AH23" s="4">
        <f>17*1440+13*60+10</f>
        <v>25270</v>
      </c>
      <c r="AI23" s="4" t="s">
        <v>709</v>
      </c>
      <c r="AJ23" s="4">
        <f>18*1440+13*60+6</f>
        <v>26706</v>
      </c>
      <c r="AK23" s="4" t="s">
        <v>710</v>
      </c>
      <c r="AL23" s="4">
        <f>19*1440+17*60+41</f>
        <v>28421</v>
      </c>
      <c r="AM23" s="4" t="s">
        <v>711</v>
      </c>
      <c r="AN23">
        <f>20*1440+8*60+51</f>
        <v>29331</v>
      </c>
    </row>
    <row r="24" spans="1:40" ht="17.25" thickBot="1" x14ac:dyDescent="0.3">
      <c r="A24">
        <v>23</v>
      </c>
      <c r="B24" s="6" t="s">
        <v>153</v>
      </c>
      <c r="C24" s="7" t="s">
        <v>712</v>
      </c>
      <c r="D24" s="7">
        <f>0*1440+11*60+20</f>
        <v>680</v>
      </c>
      <c r="E24" s="7" t="s">
        <v>713</v>
      </c>
      <c r="F24" s="7">
        <f>2*1440+5*60+30</f>
        <v>3210</v>
      </c>
      <c r="G24" s="7" t="s">
        <v>714</v>
      </c>
      <c r="H24" s="7">
        <f>3*1440+5*60+20</f>
        <v>4640</v>
      </c>
      <c r="I24" s="7" t="s">
        <v>715</v>
      </c>
      <c r="J24" s="7">
        <f>5*1440+8*60+19</f>
        <v>7699</v>
      </c>
      <c r="K24" s="7" t="s">
        <v>716</v>
      </c>
      <c r="L24" s="7">
        <f>6*1440+23*60+26</f>
        <v>10046</v>
      </c>
      <c r="M24" s="7" t="s">
        <v>717</v>
      </c>
      <c r="N24" s="7">
        <f>8*1440+4*60+24</f>
        <v>11784</v>
      </c>
      <c r="O24" s="7" t="s">
        <v>718</v>
      </c>
      <c r="P24" s="7">
        <f>8*1440+13*60+34</f>
        <v>12334</v>
      </c>
      <c r="Q24" s="7" t="s">
        <v>719</v>
      </c>
      <c r="R24" s="7">
        <f>9*1440+9*60+44</f>
        <v>13544</v>
      </c>
      <c r="S24" s="7" t="s">
        <v>720</v>
      </c>
      <c r="T24" s="7">
        <f>10*1440+12*60+58</f>
        <v>15178</v>
      </c>
      <c r="U24" s="7" t="s">
        <v>721</v>
      </c>
      <c r="V24" s="7">
        <f>11*1440+4*60+28</f>
        <v>16108</v>
      </c>
      <c r="W24" s="7" t="s">
        <v>722</v>
      </c>
      <c r="X24" s="7">
        <f>11*1440+14*60+8</f>
        <v>16688</v>
      </c>
      <c r="Y24" s="7" t="s">
        <v>723</v>
      </c>
      <c r="Z24" s="7">
        <f>13*1440+2*60+49</f>
        <v>18889</v>
      </c>
      <c r="AA24" s="7" t="s">
        <v>724</v>
      </c>
      <c r="AB24" s="7">
        <f>14*1440+2*60+49</f>
        <v>20329</v>
      </c>
      <c r="AC24" s="7" t="s">
        <v>725</v>
      </c>
      <c r="AD24" s="7">
        <f>14*1440+15*60+39</f>
        <v>21099</v>
      </c>
      <c r="AE24" s="7" t="s">
        <v>726</v>
      </c>
      <c r="AF24" s="7">
        <f>15*1440+16*60+9</f>
        <v>22569</v>
      </c>
      <c r="AG24" s="7" t="s">
        <v>727</v>
      </c>
      <c r="AH24" s="7">
        <f>17*1440+10*60+6</f>
        <v>25086</v>
      </c>
      <c r="AI24" s="7" t="s">
        <v>728</v>
      </c>
      <c r="AJ24" s="7">
        <f>18*1440+11*60+10</f>
        <v>26590</v>
      </c>
      <c r="AK24" s="7" t="s">
        <v>729</v>
      </c>
      <c r="AL24" s="7">
        <f>19*1440+15*60+42</f>
        <v>28302</v>
      </c>
      <c r="AM24" s="7" t="s">
        <v>730</v>
      </c>
      <c r="AN24">
        <f>20*1440+10*60+54</f>
        <v>29454</v>
      </c>
    </row>
    <row r="25" spans="1:40" ht="17.25" thickBot="1" x14ac:dyDescent="0.3">
      <c r="A25">
        <v>24</v>
      </c>
      <c r="B25" s="3" t="s">
        <v>149</v>
      </c>
      <c r="C25" s="4" t="s">
        <v>731</v>
      </c>
      <c r="D25" s="4">
        <f>0*1440+10*60+32</f>
        <v>632</v>
      </c>
      <c r="E25" s="4" t="s">
        <v>732</v>
      </c>
      <c r="F25" s="4">
        <f>2*1440+2*60+56</f>
        <v>3056</v>
      </c>
      <c r="G25" s="4" t="s">
        <v>733</v>
      </c>
      <c r="H25" s="4">
        <f>3*1440+2*60+30</f>
        <v>4470</v>
      </c>
      <c r="I25" s="4" t="s">
        <v>734</v>
      </c>
      <c r="J25" s="4">
        <f>5*1440+13*60+14</f>
        <v>7994</v>
      </c>
      <c r="K25" s="4" t="s">
        <v>735</v>
      </c>
      <c r="L25" s="4">
        <f>7*1440+2*60+6</f>
        <v>10206</v>
      </c>
      <c r="M25" s="4" t="s">
        <v>736</v>
      </c>
      <c r="N25" s="4">
        <f>8*1440+6*60+31</f>
        <v>11911</v>
      </c>
      <c r="O25" s="4" t="s">
        <v>737</v>
      </c>
      <c r="P25" s="4">
        <f>8*1440+14*60+35</f>
        <v>12395</v>
      </c>
      <c r="Q25" s="4" t="s">
        <v>738</v>
      </c>
      <c r="R25" s="4">
        <f>9*1440+8*60+55</f>
        <v>13495</v>
      </c>
      <c r="S25" s="4" t="s">
        <v>739</v>
      </c>
      <c r="T25" s="4">
        <f>11*1440+3*60+17</f>
        <v>16037</v>
      </c>
      <c r="U25" s="4" t="s">
        <v>740</v>
      </c>
      <c r="V25" s="4">
        <f>11*1440+10*60+7</f>
        <v>16447</v>
      </c>
      <c r="W25" s="4" t="s">
        <v>741</v>
      </c>
      <c r="X25" s="4">
        <f>12*1440+3*60+7</f>
        <v>17467</v>
      </c>
      <c r="Y25" s="4" t="s">
        <v>742</v>
      </c>
      <c r="Z25" s="4">
        <f>13*1440+4*60+35</f>
        <v>18995</v>
      </c>
      <c r="AA25" s="4" t="s">
        <v>743</v>
      </c>
      <c r="AB25" s="4">
        <f>14*1440+3*60+18</f>
        <v>20358</v>
      </c>
      <c r="AC25" s="4" t="s">
        <v>744</v>
      </c>
      <c r="AD25" s="4">
        <f>15*1440+0*60+48</f>
        <v>21648</v>
      </c>
      <c r="AE25" s="4" t="s">
        <v>745</v>
      </c>
      <c r="AF25" s="4">
        <f>15*1440+16*60+6</f>
        <v>22566</v>
      </c>
      <c r="AG25" s="4" t="s">
        <v>746</v>
      </c>
      <c r="AH25" s="4">
        <f>17*1440+7*60+57</f>
        <v>24957</v>
      </c>
      <c r="AI25" s="4" t="s">
        <v>747</v>
      </c>
      <c r="AJ25" s="4">
        <f>18*1440+9*60+11</f>
        <v>26471</v>
      </c>
      <c r="AK25" s="4" t="s">
        <v>748</v>
      </c>
      <c r="AL25" s="4">
        <f>20*1440+1*60+1</f>
        <v>28861</v>
      </c>
      <c r="AM25" s="4" t="s">
        <v>749</v>
      </c>
      <c r="AN25">
        <f>20*1440+11*60+8</f>
        <v>29468</v>
      </c>
    </row>
    <row r="26" spans="1:40" ht="17.25" thickBot="1" x14ac:dyDescent="0.3">
      <c r="A26">
        <v>25</v>
      </c>
      <c r="B26" s="6" t="s">
        <v>94</v>
      </c>
      <c r="C26" s="7" t="s">
        <v>750</v>
      </c>
      <c r="D26" s="7">
        <f>1*1440+3*60+19</f>
        <v>1639</v>
      </c>
      <c r="E26" s="7" t="s">
        <v>751</v>
      </c>
      <c r="F26" s="7">
        <f>2*1440+4*60+18</f>
        <v>3138</v>
      </c>
      <c r="G26" s="7" t="s">
        <v>752</v>
      </c>
      <c r="H26" s="7">
        <f>3*1440+3*60+0</f>
        <v>4500</v>
      </c>
      <c r="I26" s="7" t="s">
        <v>753</v>
      </c>
      <c r="J26" s="7">
        <f>5*1440+9*60+0</f>
        <v>7740</v>
      </c>
      <c r="K26" s="7" t="s">
        <v>754</v>
      </c>
      <c r="L26" s="7">
        <f>6*1440+11*60+46</f>
        <v>9346</v>
      </c>
      <c r="M26" s="7" t="s">
        <v>755</v>
      </c>
      <c r="N26" s="7">
        <f>8*1440+2*60+21</f>
        <v>11661</v>
      </c>
      <c r="O26" s="7" t="s">
        <v>756</v>
      </c>
      <c r="P26" s="7">
        <f>8*1440+12*60+6</f>
        <v>12246</v>
      </c>
      <c r="Q26" s="7" t="s">
        <v>757</v>
      </c>
      <c r="R26" s="7">
        <f>9*1440+6*60+52</f>
        <v>13372</v>
      </c>
      <c r="S26" s="7" t="s">
        <v>758</v>
      </c>
      <c r="T26" s="7">
        <f>11*1440+4*60+57</f>
        <v>16137</v>
      </c>
      <c r="U26" s="7" t="s">
        <v>759</v>
      </c>
      <c r="V26" s="7">
        <f>11*1440+11*60+29</f>
        <v>16529</v>
      </c>
      <c r="W26" s="7" t="s">
        <v>760</v>
      </c>
      <c r="X26" s="7">
        <f>12*1440+3*60+24</f>
        <v>17484</v>
      </c>
      <c r="Y26" s="7" t="s">
        <v>761</v>
      </c>
      <c r="Z26" s="7">
        <f>13*1440+4*60+14</f>
        <v>18974</v>
      </c>
      <c r="AA26" s="7" t="s">
        <v>762</v>
      </c>
      <c r="AB26" s="7">
        <f>14*1440+2*60+35</f>
        <v>20315</v>
      </c>
      <c r="AC26" s="7" t="s">
        <v>763</v>
      </c>
      <c r="AD26" s="7">
        <f>15*1440+0*60+40</f>
        <v>21640</v>
      </c>
      <c r="AE26" s="7" t="s">
        <v>764</v>
      </c>
      <c r="AF26" s="7">
        <f>20*1440+5*60+34</f>
        <v>29134</v>
      </c>
      <c r="AG26" s="7" t="s">
        <v>764</v>
      </c>
      <c r="AH26" s="7">
        <f>20*1440+5*60+34</f>
        <v>29134</v>
      </c>
      <c r="AI26" s="7" t="s">
        <v>764</v>
      </c>
      <c r="AJ26" s="7">
        <f>20*1440+5*60+34</f>
        <v>29134</v>
      </c>
      <c r="AK26" s="7" t="s">
        <v>765</v>
      </c>
      <c r="AL26" s="7">
        <f>20*1440+9*60+57</f>
        <v>29397</v>
      </c>
      <c r="AM26" s="7" t="s">
        <v>766</v>
      </c>
      <c r="AN26">
        <f>21*1440+5*60+57</f>
        <v>30597</v>
      </c>
    </row>
    <row r="27" spans="1:40" ht="17.25" thickBot="1" x14ac:dyDescent="0.3">
      <c r="A27">
        <v>26</v>
      </c>
      <c r="B27" s="3" t="s">
        <v>135</v>
      </c>
      <c r="C27" s="4" t="s">
        <v>767</v>
      </c>
      <c r="D27" s="4">
        <f>0*1440+10*60+18</f>
        <v>618</v>
      </c>
      <c r="E27" s="4" t="s">
        <v>768</v>
      </c>
      <c r="F27" s="4">
        <f>1*1440+22*60+46</f>
        <v>2806</v>
      </c>
      <c r="G27" s="4" t="s">
        <v>769</v>
      </c>
      <c r="H27" s="4">
        <f>3*1440+0*60+24</f>
        <v>4344</v>
      </c>
      <c r="I27" s="4" t="s">
        <v>770</v>
      </c>
      <c r="J27" s="4">
        <f>5*1440+6*60+31</f>
        <v>7591</v>
      </c>
      <c r="K27" s="4" t="s">
        <v>771</v>
      </c>
      <c r="L27" s="4">
        <f>6*1440+13*60+3</f>
        <v>9423</v>
      </c>
      <c r="M27" s="4" t="s">
        <v>772</v>
      </c>
      <c r="N27" s="4">
        <f>8*1440+1*60+49</f>
        <v>11629</v>
      </c>
      <c r="O27" s="4" t="s">
        <v>773</v>
      </c>
      <c r="P27" s="4">
        <f>8*1440+11*60+1</f>
        <v>12181</v>
      </c>
      <c r="Q27" s="4" t="s">
        <v>774</v>
      </c>
      <c r="R27" s="4">
        <f>9*1440+6*60+41</f>
        <v>13361</v>
      </c>
      <c r="S27" s="4" t="s">
        <v>775</v>
      </c>
      <c r="T27" s="4">
        <f>10*1440+11*60+54</f>
        <v>15114</v>
      </c>
      <c r="U27" s="4" t="s">
        <v>776</v>
      </c>
      <c r="V27" s="4">
        <f>11*1440+1*60+15</f>
        <v>15915</v>
      </c>
      <c r="W27" s="4" t="s">
        <v>777</v>
      </c>
      <c r="X27" s="4">
        <f>11*1440+10*60+8</f>
        <v>16448</v>
      </c>
      <c r="Y27" s="4" t="s">
        <v>778</v>
      </c>
      <c r="Z27" s="4">
        <f>12*1440+16*60+30</f>
        <v>18270</v>
      </c>
      <c r="AA27" s="4" t="s">
        <v>779</v>
      </c>
      <c r="AB27" s="4">
        <f>13*1440+18*60+29</f>
        <v>19829</v>
      </c>
      <c r="AC27" s="4" t="s">
        <v>780</v>
      </c>
      <c r="AD27" s="4">
        <f>15*1440+3*60+57</f>
        <v>21837</v>
      </c>
      <c r="AE27" s="4" t="s">
        <v>781</v>
      </c>
      <c r="AF27" s="4">
        <f>16*1440+8*60+20</f>
        <v>23540</v>
      </c>
      <c r="AG27" s="4" t="s">
        <v>782</v>
      </c>
      <c r="AH27" s="4">
        <f>18*1440+2*60+13</f>
        <v>26053</v>
      </c>
      <c r="AI27" s="4" t="s">
        <v>783</v>
      </c>
      <c r="AJ27" s="4">
        <f>19*1440+3*60+56</f>
        <v>27596</v>
      </c>
      <c r="AK27" s="4" t="s">
        <v>784</v>
      </c>
      <c r="AL27" s="4">
        <f>20*1440+17*60+18</f>
        <v>29838</v>
      </c>
      <c r="AM27" s="4" t="s">
        <v>785</v>
      </c>
      <c r="AN27">
        <f>21*1440+13*60+50</f>
        <v>31070</v>
      </c>
    </row>
    <row r="28" spans="1:40" ht="17.25" thickBot="1" x14ac:dyDescent="0.3">
      <c r="A28">
        <v>27</v>
      </c>
      <c r="B28" s="6" t="s">
        <v>187</v>
      </c>
      <c r="C28" s="7" t="s">
        <v>786</v>
      </c>
      <c r="D28" s="7">
        <f>0*1440+11*60+25</f>
        <v>685</v>
      </c>
      <c r="E28" s="7" t="s">
        <v>787</v>
      </c>
      <c r="F28" s="7">
        <f>2*1440+10*60+10</f>
        <v>3490</v>
      </c>
      <c r="G28" s="7" t="s">
        <v>788</v>
      </c>
      <c r="H28" s="7">
        <f>3*1440+11*60+34</f>
        <v>5014</v>
      </c>
      <c r="I28" s="7" t="s">
        <v>789</v>
      </c>
      <c r="J28" s="7">
        <f>6*1440+14*60+19</f>
        <v>9499</v>
      </c>
      <c r="K28" s="7" t="s">
        <v>790</v>
      </c>
      <c r="L28" s="7">
        <f>8*1440+1*60+23</f>
        <v>11603</v>
      </c>
      <c r="M28" s="7" t="s">
        <v>757</v>
      </c>
      <c r="N28" s="7">
        <f>9*1440+6*60+52</f>
        <v>13372</v>
      </c>
      <c r="O28" s="7" t="s">
        <v>791</v>
      </c>
      <c r="P28" s="7">
        <f>9*1440+17*60+4</f>
        <v>13984</v>
      </c>
      <c r="Q28" s="7" t="s">
        <v>792</v>
      </c>
      <c r="R28" s="7">
        <f>10*1440+12*60+0</f>
        <v>15120</v>
      </c>
      <c r="S28" s="7" t="s">
        <v>793</v>
      </c>
      <c r="T28" s="7">
        <f>12*1440+0*60+32</f>
        <v>17312</v>
      </c>
      <c r="U28" s="7" t="s">
        <v>794</v>
      </c>
      <c r="V28" s="7">
        <f>12*1440+9*60+13</f>
        <v>17833</v>
      </c>
      <c r="W28" s="7" t="s">
        <v>795</v>
      </c>
      <c r="X28" s="7">
        <f>13*1440+4*60+38</f>
        <v>18998</v>
      </c>
      <c r="Y28" s="7" t="s">
        <v>796</v>
      </c>
      <c r="Z28" s="7">
        <f>14*1440+5*60+55</f>
        <v>20515</v>
      </c>
      <c r="AA28" s="7" t="s">
        <v>797</v>
      </c>
      <c r="AB28" s="7">
        <f>15*1440+8*60+3</f>
        <v>22083</v>
      </c>
      <c r="AC28" s="7" t="s">
        <v>798</v>
      </c>
      <c r="AD28" s="7">
        <f>16*1440+8*60+18</f>
        <v>23538</v>
      </c>
      <c r="AE28" s="7" t="s">
        <v>799</v>
      </c>
      <c r="AF28" s="7">
        <f>17*1440+13*60+57</f>
        <v>25317</v>
      </c>
      <c r="AG28" s="7" t="s">
        <v>800</v>
      </c>
      <c r="AH28" s="7">
        <f>19*1440+2*60+35</f>
        <v>27515</v>
      </c>
      <c r="AI28" s="7" t="s">
        <v>801</v>
      </c>
      <c r="AJ28" s="7">
        <f>20*1440+2*60+29</f>
        <v>28949</v>
      </c>
      <c r="AK28" s="7" t="s">
        <v>802</v>
      </c>
      <c r="AL28" s="7">
        <f>21*1440+10*60+34</f>
        <v>30874</v>
      </c>
      <c r="AM28" s="7" t="s">
        <v>803</v>
      </c>
      <c r="AN28">
        <f>22*1440+2*60+9</f>
        <v>31809</v>
      </c>
    </row>
    <row r="29" spans="1:40" ht="17.25" thickBot="1" x14ac:dyDescent="0.3">
      <c r="A29">
        <v>28</v>
      </c>
      <c r="B29" s="3" t="s">
        <v>158</v>
      </c>
      <c r="C29" s="4" t="s">
        <v>804</v>
      </c>
      <c r="D29" s="4">
        <f>0*1440+10*60+43</f>
        <v>643</v>
      </c>
      <c r="E29" s="4" t="s">
        <v>805</v>
      </c>
      <c r="F29" s="4">
        <f>2*1440+3*60+14</f>
        <v>3074</v>
      </c>
      <c r="G29" s="4" t="s">
        <v>806</v>
      </c>
      <c r="H29" s="4">
        <f>3*1440+3*60+37</f>
        <v>4537</v>
      </c>
      <c r="I29" s="4" t="s">
        <v>807</v>
      </c>
      <c r="J29" s="4">
        <f>6*1440+2*60+54</f>
        <v>8814</v>
      </c>
      <c r="K29" s="4" t="s">
        <v>808</v>
      </c>
      <c r="L29" s="4">
        <f>7*1440+7*60+43</f>
        <v>10543</v>
      </c>
      <c r="M29" s="4" t="s">
        <v>809</v>
      </c>
      <c r="N29" s="4">
        <f>8*1440+12*60+54</f>
        <v>12294</v>
      </c>
      <c r="O29" s="4" t="s">
        <v>810</v>
      </c>
      <c r="P29" s="4">
        <f>9*1440+6*60+45</f>
        <v>13365</v>
      </c>
      <c r="Q29" s="4" t="s">
        <v>811</v>
      </c>
      <c r="R29" s="4">
        <f>10*1440+1*60+16</f>
        <v>14476</v>
      </c>
      <c r="S29" s="4" t="s">
        <v>812</v>
      </c>
      <c r="T29" s="4">
        <f>11*1440+15*60+49</f>
        <v>16789</v>
      </c>
      <c r="U29" s="4" t="s">
        <v>813</v>
      </c>
      <c r="V29" s="4">
        <f>12*1440+3*60+53</f>
        <v>17513</v>
      </c>
      <c r="W29" s="4" t="s">
        <v>814</v>
      </c>
      <c r="X29" s="4">
        <f>12*1440+12*60+58</f>
        <v>18058</v>
      </c>
      <c r="Y29" s="4" t="s">
        <v>815</v>
      </c>
      <c r="Z29" s="4">
        <f>14*1440+1*60+48</f>
        <v>20268</v>
      </c>
      <c r="AA29" s="4" t="s">
        <v>816</v>
      </c>
      <c r="AB29" s="4">
        <f>15*1440+2*60+31</f>
        <v>21751</v>
      </c>
      <c r="AC29" s="4" t="s">
        <v>817</v>
      </c>
      <c r="AD29" s="4">
        <f>16*1440+0*60+18</f>
        <v>23058</v>
      </c>
      <c r="AE29" s="4" t="s">
        <v>818</v>
      </c>
      <c r="AF29" s="4">
        <f>17*1440+7*60+55</f>
        <v>24955</v>
      </c>
      <c r="AG29" s="4" t="s">
        <v>819</v>
      </c>
      <c r="AH29" s="4">
        <f>19*1440+10*60+28</f>
        <v>27988</v>
      </c>
      <c r="AI29" s="4" t="s">
        <v>820</v>
      </c>
      <c r="AJ29" s="4">
        <f>20*1440+10*60+41</f>
        <v>29441</v>
      </c>
      <c r="AK29" s="4" t="s">
        <v>821</v>
      </c>
      <c r="AL29" s="4">
        <f>22*1440+0*60+16</f>
        <v>31696</v>
      </c>
      <c r="AM29" s="4" t="s">
        <v>822</v>
      </c>
      <c r="AN29">
        <f>22*1440+7*60+38</f>
        <v>32138</v>
      </c>
    </row>
    <row r="30" spans="1:40" ht="17.25" thickBot="1" x14ac:dyDescent="0.3">
      <c r="A30">
        <v>29</v>
      </c>
      <c r="B30" s="6" t="s">
        <v>125</v>
      </c>
      <c r="C30" s="7" t="s">
        <v>823</v>
      </c>
      <c r="D30" s="7">
        <f>0*1440+12*60+14</f>
        <v>734</v>
      </c>
      <c r="E30" s="7" t="s">
        <v>496</v>
      </c>
      <c r="F30" s="7">
        <f>2*1440+6*60+24</f>
        <v>3264</v>
      </c>
      <c r="G30" s="7" t="s">
        <v>824</v>
      </c>
      <c r="H30" s="7">
        <f>4*1440+6*60+3</f>
        <v>6123</v>
      </c>
      <c r="I30" s="7" t="s">
        <v>825</v>
      </c>
      <c r="J30" s="7">
        <f>6*1440+5*60+9</f>
        <v>8949</v>
      </c>
      <c r="K30" s="7" t="s">
        <v>826</v>
      </c>
      <c r="L30" s="7">
        <f>7*1440+12*60+41</f>
        <v>10841</v>
      </c>
      <c r="M30" s="7" t="s">
        <v>827</v>
      </c>
      <c r="N30" s="7">
        <f>9*1440+3*60+43</f>
        <v>13183</v>
      </c>
      <c r="O30" s="7" t="s">
        <v>828</v>
      </c>
      <c r="P30" s="7">
        <f>9*1440+15*60+15</f>
        <v>13875</v>
      </c>
      <c r="Q30" s="7" t="s">
        <v>829</v>
      </c>
      <c r="R30" s="7">
        <f>10*1440+11*60+59</f>
        <v>15119</v>
      </c>
      <c r="S30" s="7" t="s">
        <v>830</v>
      </c>
      <c r="T30" s="7">
        <f>12*1440+0*60+41</f>
        <v>17321</v>
      </c>
      <c r="U30" s="7" t="s">
        <v>831</v>
      </c>
      <c r="V30" s="7">
        <f>12*1440+7*60+28</f>
        <v>17728</v>
      </c>
      <c r="W30" s="7" t="s">
        <v>832</v>
      </c>
      <c r="X30" s="7">
        <f>13*1440+1*60+31</f>
        <v>18811</v>
      </c>
      <c r="Y30" s="7" t="s">
        <v>833</v>
      </c>
      <c r="Z30" s="7">
        <f>14*1440+4*60+14</f>
        <v>20414</v>
      </c>
      <c r="AA30" s="7" t="s">
        <v>834</v>
      </c>
      <c r="AB30" s="7">
        <f>15*1440+5*60+15</f>
        <v>21915</v>
      </c>
      <c r="AC30" s="7" t="s">
        <v>835</v>
      </c>
      <c r="AD30" s="7">
        <f>16*1440+5*60+21</f>
        <v>23361</v>
      </c>
      <c r="AE30" s="7" t="s">
        <v>836</v>
      </c>
      <c r="AF30" s="7">
        <f>17*1440+12*60+41</f>
        <v>25241</v>
      </c>
      <c r="AG30" s="7" t="s">
        <v>837</v>
      </c>
      <c r="AH30" s="7">
        <f>19*1440+1*60+18</f>
        <v>27438</v>
      </c>
      <c r="AI30" s="7" t="s">
        <v>838</v>
      </c>
      <c r="AJ30" s="7">
        <f>20*1440+9*60+2</f>
        <v>29342</v>
      </c>
      <c r="AK30" s="7" t="s">
        <v>839</v>
      </c>
      <c r="AL30" s="7">
        <f>21*1440+15*60+50</f>
        <v>31190</v>
      </c>
      <c r="AM30" s="7" t="s">
        <v>840</v>
      </c>
      <c r="AN30">
        <f>22*1440+7*60+45</f>
        <v>32145</v>
      </c>
    </row>
    <row r="31" spans="1:40" ht="17.25" thickBot="1" x14ac:dyDescent="0.3">
      <c r="A31">
        <v>30</v>
      </c>
      <c r="B31" s="3" t="s">
        <v>166</v>
      </c>
      <c r="C31" s="4" t="s">
        <v>841</v>
      </c>
      <c r="D31" s="4">
        <f>0*1440+12*60+9</f>
        <v>729</v>
      </c>
      <c r="E31" s="4" t="s">
        <v>842</v>
      </c>
      <c r="F31" s="4">
        <f>2*1440+7*60+7</f>
        <v>3307</v>
      </c>
      <c r="G31" s="4" t="s">
        <v>843</v>
      </c>
      <c r="H31" s="4">
        <f>3*1440+7*60+22</f>
        <v>4762</v>
      </c>
      <c r="I31" s="4" t="s">
        <v>844</v>
      </c>
      <c r="J31" s="4">
        <f>6*1440+0*60+23</f>
        <v>8663</v>
      </c>
      <c r="K31" s="4" t="s">
        <v>845</v>
      </c>
      <c r="L31" s="4">
        <f>7*1440+4*60+20</f>
        <v>10340</v>
      </c>
      <c r="M31" s="4" t="s">
        <v>846</v>
      </c>
      <c r="N31" s="4">
        <f>8*1440+11*60+43</f>
        <v>12223</v>
      </c>
      <c r="O31" s="4" t="s">
        <v>847</v>
      </c>
      <c r="P31" s="4">
        <f>9*1440+6*60+18</f>
        <v>13338</v>
      </c>
      <c r="Q31" s="4" t="s">
        <v>848</v>
      </c>
      <c r="R31" s="4">
        <f>10*1440+1*60+20</f>
        <v>14480</v>
      </c>
      <c r="S31" s="4" t="s">
        <v>849</v>
      </c>
      <c r="T31" s="4">
        <f>11*1440+23*60+11</f>
        <v>17231</v>
      </c>
      <c r="U31" s="4" t="s">
        <v>850</v>
      </c>
      <c r="V31" s="4">
        <f>12*1440+5*60+14</f>
        <v>17594</v>
      </c>
      <c r="W31" s="4" t="s">
        <v>851</v>
      </c>
      <c r="X31" s="4">
        <f>12*1440+14*60+20</f>
        <v>18140</v>
      </c>
      <c r="Y31" s="4" t="s">
        <v>852</v>
      </c>
      <c r="Z31" s="4">
        <f>14*1440+1*60+56</f>
        <v>20276</v>
      </c>
      <c r="AA31" s="4" t="s">
        <v>853</v>
      </c>
      <c r="AB31" s="4">
        <f>15*1440+2*60+29</f>
        <v>21749</v>
      </c>
      <c r="AC31" s="4" t="s">
        <v>817</v>
      </c>
      <c r="AD31" s="4">
        <f>16*1440+0*60+18</f>
        <v>23058</v>
      </c>
      <c r="AE31" s="4" t="s">
        <v>854</v>
      </c>
      <c r="AF31" s="4">
        <f>17*1440+7*60+50</f>
        <v>24950</v>
      </c>
      <c r="AG31" s="4" t="s">
        <v>855</v>
      </c>
      <c r="AH31" s="4">
        <f>19*1440+0*60+39</f>
        <v>27399</v>
      </c>
      <c r="AI31" s="4" t="s">
        <v>856</v>
      </c>
      <c r="AJ31" s="4">
        <f>20*1440+10*60+43</f>
        <v>29443</v>
      </c>
      <c r="AK31" s="4" t="s">
        <v>857</v>
      </c>
      <c r="AL31" s="4">
        <f>21*1440+15*60+44</f>
        <v>31184</v>
      </c>
      <c r="AM31" s="4" t="s">
        <v>858</v>
      </c>
      <c r="AN31">
        <f>22*1440+8*60+26</f>
        <v>32186</v>
      </c>
    </row>
    <row r="32" spans="1:40" ht="17.25" thickBot="1" x14ac:dyDescent="0.3">
      <c r="A32">
        <v>31</v>
      </c>
      <c r="B32" s="6" t="s">
        <v>228</v>
      </c>
      <c r="C32" s="7" t="s">
        <v>859</v>
      </c>
      <c r="D32" s="7">
        <f>0*1440+12*60+5</f>
        <v>725</v>
      </c>
      <c r="E32" s="7" t="s">
        <v>860</v>
      </c>
      <c r="F32" s="7">
        <f>2*1440+5*60+21</f>
        <v>3201</v>
      </c>
      <c r="G32" s="7" t="s">
        <v>861</v>
      </c>
      <c r="H32" s="7">
        <f>5*1440+23*60+29</f>
        <v>8609</v>
      </c>
      <c r="I32" s="7" t="s">
        <v>862</v>
      </c>
      <c r="J32" s="7">
        <f>6*1440+0*60+31</f>
        <v>8671</v>
      </c>
      <c r="K32" s="7" t="s">
        <v>863</v>
      </c>
      <c r="L32" s="7">
        <f>7*1440+3*60+14</f>
        <v>10274</v>
      </c>
      <c r="M32" s="7" t="s">
        <v>864</v>
      </c>
      <c r="N32" s="7">
        <f>8*1440+10*60+1</f>
        <v>12121</v>
      </c>
      <c r="O32" s="7" t="s">
        <v>865</v>
      </c>
      <c r="P32" s="7">
        <f>9*1440+7*60+32</f>
        <v>13412</v>
      </c>
      <c r="Q32" s="7" t="s">
        <v>37</v>
      </c>
      <c r="R32" s="7">
        <f>10*1440+3*60+35</f>
        <v>14615</v>
      </c>
      <c r="S32" s="7" t="s">
        <v>866</v>
      </c>
      <c r="T32" s="7">
        <f>11*1440+12*60+55</f>
        <v>16615</v>
      </c>
      <c r="U32" s="7" t="s">
        <v>867</v>
      </c>
      <c r="V32" s="7">
        <f>12*1440+3*60+39</f>
        <v>17499</v>
      </c>
      <c r="W32" s="7" t="s">
        <v>868</v>
      </c>
      <c r="X32" s="7">
        <f>12*1440+13*60+16</f>
        <v>18076</v>
      </c>
      <c r="Y32" s="7" t="s">
        <v>869</v>
      </c>
      <c r="Z32" s="7">
        <f>13*1440+23*60+5</f>
        <v>20105</v>
      </c>
      <c r="AA32" s="7" t="s">
        <v>870</v>
      </c>
      <c r="AB32" s="7">
        <f>15*1440+0*60+4</f>
        <v>21604</v>
      </c>
      <c r="AC32" s="7" t="s">
        <v>871</v>
      </c>
      <c r="AD32" s="7">
        <f>15*1440+14*60+51</f>
        <v>22491</v>
      </c>
      <c r="AE32" s="7" t="s">
        <v>872</v>
      </c>
      <c r="AF32" s="7">
        <f>17*1440+8*60+51</f>
        <v>25011</v>
      </c>
      <c r="AG32" s="7" t="s">
        <v>873</v>
      </c>
      <c r="AH32" s="7">
        <f>18*1440+13*60+30</f>
        <v>26730</v>
      </c>
      <c r="AI32" s="7" t="s">
        <v>874</v>
      </c>
      <c r="AJ32" s="7">
        <f>20*1440+2*60+17</f>
        <v>28937</v>
      </c>
      <c r="AK32" s="7" t="s">
        <v>875</v>
      </c>
      <c r="AL32" s="7">
        <f>21*1440+11*60+0</f>
        <v>30900</v>
      </c>
      <c r="AM32" s="7" t="s">
        <v>876</v>
      </c>
      <c r="AN32">
        <f>22*1440+17*60+5</f>
        <v>32705</v>
      </c>
    </row>
    <row r="33" spans="1:40" ht="17.25" thickBot="1" x14ac:dyDescent="0.3">
      <c r="A33">
        <v>32</v>
      </c>
      <c r="B33" s="3" t="s">
        <v>183</v>
      </c>
      <c r="C33" s="4" t="s">
        <v>877</v>
      </c>
      <c r="D33" s="4">
        <f>0*1440+11*60+0</f>
        <v>660</v>
      </c>
      <c r="E33" s="4" t="s">
        <v>382</v>
      </c>
      <c r="F33" s="4">
        <f>2*1440+4*60+50</f>
        <v>3170</v>
      </c>
      <c r="G33" s="4" t="s">
        <v>878</v>
      </c>
      <c r="H33" s="4">
        <f>3*1440+2*60+3</f>
        <v>4443</v>
      </c>
      <c r="I33" s="4" t="s">
        <v>879</v>
      </c>
      <c r="J33" s="4">
        <f>5*1440+8*60+31</f>
        <v>7711</v>
      </c>
      <c r="K33" s="4" t="s">
        <v>880</v>
      </c>
      <c r="L33" s="4">
        <f>6*1440+12*60+38</f>
        <v>9398</v>
      </c>
      <c r="M33" s="4" t="s">
        <v>881</v>
      </c>
      <c r="N33" s="4">
        <f>8*1440+3*60+21</f>
        <v>11721</v>
      </c>
      <c r="O33" s="4" t="s">
        <v>882</v>
      </c>
      <c r="P33" s="4">
        <f>9*1440+0*60+51</f>
        <v>13011</v>
      </c>
      <c r="Q33" s="4" t="s">
        <v>883</v>
      </c>
      <c r="R33" s="4">
        <f>9*1440+9*60+48</f>
        <v>13548</v>
      </c>
      <c r="S33" s="4" t="s">
        <v>884</v>
      </c>
      <c r="T33" s="4">
        <f>12*1440+10*60+48</f>
        <v>17928</v>
      </c>
      <c r="U33" s="4" t="s">
        <v>885</v>
      </c>
      <c r="V33" s="4">
        <f>12*1440+16*60+56</f>
        <v>18296</v>
      </c>
      <c r="W33" s="4" t="s">
        <v>395</v>
      </c>
      <c r="X33" s="4">
        <f>13*1440+7*60+28</f>
        <v>19168</v>
      </c>
      <c r="Y33" s="4" t="s">
        <v>434</v>
      </c>
      <c r="Z33" s="4">
        <f>14*1440+8*60+10</f>
        <v>20650</v>
      </c>
      <c r="AA33" s="4" t="s">
        <v>886</v>
      </c>
      <c r="AB33" s="4">
        <f>15*1440+8*60+31</f>
        <v>22111</v>
      </c>
      <c r="AC33" s="4" t="s">
        <v>887</v>
      </c>
      <c r="AD33" s="4">
        <f>16*1440+9*60+7</f>
        <v>23587</v>
      </c>
      <c r="AE33" s="4" t="s">
        <v>888</v>
      </c>
      <c r="AF33" s="4">
        <f>18*1440+1*60+54</f>
        <v>26034</v>
      </c>
      <c r="AG33" s="4" t="s">
        <v>889</v>
      </c>
      <c r="AH33" s="4">
        <f>19*1440+10*60+31</f>
        <v>27991</v>
      </c>
      <c r="AI33" s="4" t="s">
        <v>890</v>
      </c>
      <c r="AJ33" s="4">
        <f>20*1440+12*60+0</f>
        <v>29520</v>
      </c>
      <c r="AK33" s="4" t="s">
        <v>891</v>
      </c>
      <c r="AL33" s="4">
        <f>22*1440+5*60+1</f>
        <v>31981</v>
      </c>
      <c r="AM33" s="4" t="s">
        <v>892</v>
      </c>
      <c r="AN33">
        <f>22*1440+17*60+6</f>
        <v>32706</v>
      </c>
    </row>
    <row r="34" spans="1:40" ht="17.25" thickBot="1" x14ac:dyDescent="0.3">
      <c r="A34">
        <v>33</v>
      </c>
      <c r="B34" s="6" t="s">
        <v>162</v>
      </c>
      <c r="C34" s="7" t="s">
        <v>893</v>
      </c>
      <c r="D34" s="7">
        <f>0*1440+12*60+36</f>
        <v>756</v>
      </c>
      <c r="E34" s="7" t="s">
        <v>534</v>
      </c>
      <c r="F34" s="7">
        <f>2*1440+13*60+1</f>
        <v>3661</v>
      </c>
      <c r="G34" s="7" t="s">
        <v>894</v>
      </c>
      <c r="H34" s="7">
        <f>4*1440+3*60+43</f>
        <v>5983</v>
      </c>
      <c r="I34" s="7" t="s">
        <v>895</v>
      </c>
      <c r="J34" s="7">
        <f>6*1440+12*60+40</f>
        <v>9400</v>
      </c>
      <c r="K34" s="7" t="s">
        <v>896</v>
      </c>
      <c r="L34" s="7">
        <f>8*1440+5*60+22</f>
        <v>11842</v>
      </c>
      <c r="M34" s="7" t="s">
        <v>897</v>
      </c>
      <c r="N34" s="7">
        <f>9*1440+11*60+53</f>
        <v>13673</v>
      </c>
      <c r="O34" s="7" t="s">
        <v>898</v>
      </c>
      <c r="P34" s="7">
        <f>10*1440+7*60+52</f>
        <v>14872</v>
      </c>
      <c r="Q34" s="7" t="s">
        <v>899</v>
      </c>
      <c r="R34" s="7">
        <f>11*1440+4*60+48</f>
        <v>16128</v>
      </c>
      <c r="S34" s="7" t="s">
        <v>900</v>
      </c>
      <c r="T34" s="7">
        <f>12*1440+10*60+0</f>
        <v>17880</v>
      </c>
      <c r="U34" s="7" t="s">
        <v>901</v>
      </c>
      <c r="V34" s="7">
        <f>12*1440+17*60+31</f>
        <v>18331</v>
      </c>
      <c r="W34" s="7" t="s">
        <v>902</v>
      </c>
      <c r="X34" s="7">
        <f>13*1440+11*60+12</f>
        <v>19392</v>
      </c>
      <c r="Y34" s="7" t="s">
        <v>903</v>
      </c>
      <c r="Z34" s="7">
        <f>14*1440+15*60+45</f>
        <v>21105</v>
      </c>
      <c r="AA34" s="7" t="s">
        <v>904</v>
      </c>
      <c r="AB34" s="7">
        <f>16*1440+4*60+50</f>
        <v>23330</v>
      </c>
      <c r="AC34" s="7" t="s">
        <v>818</v>
      </c>
      <c r="AD34" s="7">
        <f>17*1440+7*60+55</f>
        <v>24955</v>
      </c>
      <c r="AE34" s="7" t="s">
        <v>905</v>
      </c>
      <c r="AF34" s="7">
        <f>18*1440+13*60+24</f>
        <v>26724</v>
      </c>
      <c r="AG34" s="7" t="s">
        <v>906</v>
      </c>
      <c r="AH34" s="7">
        <f>20*1440+6*60+13</f>
        <v>29173</v>
      </c>
      <c r="AI34" s="7" t="s">
        <v>907</v>
      </c>
      <c r="AJ34" s="7">
        <f>21*1440+6*60+17</f>
        <v>30617</v>
      </c>
      <c r="AK34" s="7" t="s">
        <v>908</v>
      </c>
      <c r="AL34" s="7">
        <f>22*1440+12*60+56</f>
        <v>32456</v>
      </c>
      <c r="AM34" s="7" t="s">
        <v>909</v>
      </c>
      <c r="AN34">
        <f>23*1440+6*60+20</f>
        <v>33500</v>
      </c>
    </row>
    <row r="35" spans="1:40" ht="17.25" thickBot="1" x14ac:dyDescent="0.3">
      <c r="A35">
        <v>34</v>
      </c>
      <c r="B35" s="3" t="s">
        <v>139</v>
      </c>
      <c r="C35" s="4" t="s">
        <v>910</v>
      </c>
      <c r="D35" s="4">
        <f>0*1440+11*60+26</f>
        <v>686</v>
      </c>
      <c r="E35" s="4" t="s">
        <v>911</v>
      </c>
      <c r="F35" s="4">
        <f>2*1440+7*60+59</f>
        <v>3359</v>
      </c>
      <c r="G35" s="4" t="s">
        <v>912</v>
      </c>
      <c r="H35" s="4">
        <f>3*1440+11*60+17</f>
        <v>4997</v>
      </c>
      <c r="I35" s="4" t="s">
        <v>913</v>
      </c>
      <c r="J35" s="4">
        <f>6*1440+4*60+42</f>
        <v>8922</v>
      </c>
      <c r="K35" s="4" t="s">
        <v>914</v>
      </c>
      <c r="L35" s="4">
        <f>7*1440+10*60+23</f>
        <v>10703</v>
      </c>
      <c r="M35" s="4" t="s">
        <v>915</v>
      </c>
      <c r="N35" s="4">
        <f>9*1440+1*60+48</f>
        <v>13068</v>
      </c>
      <c r="O35" s="4" t="s">
        <v>916</v>
      </c>
      <c r="P35" s="4">
        <f>9*1440+22*60+41</f>
        <v>14321</v>
      </c>
      <c r="Q35" s="4" t="s">
        <v>917</v>
      </c>
      <c r="R35" s="4">
        <f>10*1440+9*60+19</f>
        <v>14959</v>
      </c>
      <c r="S35" s="4" t="s">
        <v>918</v>
      </c>
      <c r="T35" s="4">
        <f>12*1440+4*60+23</f>
        <v>17543</v>
      </c>
      <c r="U35" s="4" t="s">
        <v>919</v>
      </c>
      <c r="V35" s="4">
        <f>12*1440+11*60+33</f>
        <v>17973</v>
      </c>
      <c r="W35" s="4" t="s">
        <v>920</v>
      </c>
      <c r="X35" s="4">
        <f>13*1440+6*60+53</f>
        <v>19133</v>
      </c>
      <c r="Y35" s="4" t="s">
        <v>921</v>
      </c>
      <c r="Z35" s="4">
        <f>14*1440+10*60+41</f>
        <v>20801</v>
      </c>
      <c r="AA35" s="4" t="s">
        <v>922</v>
      </c>
      <c r="AB35" s="4">
        <f>15*1440+11*60+22</f>
        <v>22282</v>
      </c>
      <c r="AC35" s="4" t="s">
        <v>923</v>
      </c>
      <c r="AD35" s="4">
        <f>16*1440+14*60+34</f>
        <v>23914</v>
      </c>
      <c r="AE35" s="4" t="s">
        <v>924</v>
      </c>
      <c r="AF35" s="4">
        <f>18*1440+3*60+44</f>
        <v>26144</v>
      </c>
      <c r="AG35" s="4" t="s">
        <v>925</v>
      </c>
      <c r="AH35" s="4">
        <f>20*1440+0*60+13</f>
        <v>28813</v>
      </c>
      <c r="AI35" s="4" t="s">
        <v>926</v>
      </c>
      <c r="AJ35" s="4">
        <f>21*1440+3*60+40</f>
        <v>30460</v>
      </c>
      <c r="AK35" s="4" t="s">
        <v>927</v>
      </c>
      <c r="AL35" s="4">
        <f>22*1440+13*60+9</f>
        <v>32469</v>
      </c>
      <c r="AM35" s="4" t="s">
        <v>928</v>
      </c>
      <c r="AN35">
        <f>23*1440+7*60+19</f>
        <v>33559</v>
      </c>
    </row>
    <row r="36" spans="1:40" ht="17.25" thickBot="1" x14ac:dyDescent="0.3">
      <c r="A36">
        <v>35</v>
      </c>
      <c r="B36" s="6" t="s">
        <v>265</v>
      </c>
      <c r="C36" s="7" t="s">
        <v>929</v>
      </c>
      <c r="D36" s="7">
        <f>0*1440+8*60+26</f>
        <v>506</v>
      </c>
      <c r="E36" s="7" t="s">
        <v>930</v>
      </c>
      <c r="F36" s="7">
        <f>1*1440+9*60+51</f>
        <v>2031</v>
      </c>
      <c r="G36" s="7" t="s">
        <v>931</v>
      </c>
      <c r="H36" s="7">
        <f>2*1440+5*60+2</f>
        <v>3182</v>
      </c>
      <c r="I36" s="7" t="s">
        <v>932</v>
      </c>
      <c r="J36" s="7">
        <f>3*1440+10*60+28</f>
        <v>4948</v>
      </c>
      <c r="K36" s="7" t="s">
        <v>933</v>
      </c>
      <c r="L36" s="7">
        <f>6*1440+14*60+56</f>
        <v>9536</v>
      </c>
      <c r="M36" s="7" t="s">
        <v>934</v>
      </c>
      <c r="N36" s="7">
        <f>8*1440+4*60+16</f>
        <v>11776</v>
      </c>
      <c r="O36" s="7" t="s">
        <v>935</v>
      </c>
      <c r="P36" s="7">
        <f>8*1440+12*60+30</f>
        <v>12270</v>
      </c>
      <c r="Q36" s="7" t="s">
        <v>936</v>
      </c>
      <c r="R36" s="7">
        <f>9*1440+9*60+7</f>
        <v>13507</v>
      </c>
      <c r="S36" s="7" t="s">
        <v>937</v>
      </c>
      <c r="T36" s="7">
        <f>10*1440+11*60+0</f>
        <v>15060</v>
      </c>
      <c r="U36" s="7" t="s">
        <v>938</v>
      </c>
      <c r="V36" s="7">
        <f>11*1440+1*60+3</f>
        <v>15903</v>
      </c>
      <c r="W36" s="7" t="s">
        <v>939</v>
      </c>
      <c r="X36" s="7">
        <f>11*1440+11*60+35</f>
        <v>16535</v>
      </c>
      <c r="Y36" s="7" t="s">
        <v>940</v>
      </c>
      <c r="Z36" s="7">
        <f>13*1440+7*60+10</f>
        <v>19150</v>
      </c>
      <c r="AA36" s="7" t="s">
        <v>941</v>
      </c>
      <c r="AB36" s="7">
        <f>16*1440+4*60+53</f>
        <v>23333</v>
      </c>
      <c r="AC36" s="7" t="s">
        <v>872</v>
      </c>
      <c r="AD36" s="7">
        <f>17*1440+8*60+51</f>
        <v>25011</v>
      </c>
      <c r="AE36" s="7" t="s">
        <v>942</v>
      </c>
      <c r="AF36" s="7">
        <f>19*1440+0*60+35</f>
        <v>27395</v>
      </c>
      <c r="AG36" s="7" t="s">
        <v>943</v>
      </c>
      <c r="AH36" s="7">
        <f>20*1440+6*60+27</f>
        <v>29187</v>
      </c>
      <c r="AI36" s="7" t="s">
        <v>944</v>
      </c>
      <c r="AJ36" s="7">
        <f>21*1440+9*60+12</f>
        <v>30792</v>
      </c>
      <c r="AK36" s="7" t="s">
        <v>945</v>
      </c>
      <c r="AL36" s="7">
        <f>22*1440+23*60+49</f>
        <v>33109</v>
      </c>
      <c r="AM36" s="7" t="s">
        <v>946</v>
      </c>
      <c r="AN36">
        <f>23*1440+9*60+46</f>
        <v>33706</v>
      </c>
    </row>
    <row r="37" spans="1:40" ht="17.25" thickBot="1" x14ac:dyDescent="0.3">
      <c r="A37">
        <v>36</v>
      </c>
      <c r="B37" s="3" t="s">
        <v>179</v>
      </c>
      <c r="C37" s="4" t="s">
        <v>947</v>
      </c>
      <c r="D37" s="4">
        <f>0*1440+13*60+51</f>
        <v>831</v>
      </c>
      <c r="E37" s="4" t="s">
        <v>948</v>
      </c>
      <c r="F37" s="4">
        <f>2*1440+7*60+8</f>
        <v>3308</v>
      </c>
      <c r="G37" s="4" t="s">
        <v>949</v>
      </c>
      <c r="H37" s="4">
        <f>3*1440+4*60+49</f>
        <v>4609</v>
      </c>
      <c r="I37" s="4" t="s">
        <v>950</v>
      </c>
      <c r="J37" s="4">
        <f>5*1440+23*60+45</f>
        <v>8625</v>
      </c>
      <c r="K37" s="4" t="s">
        <v>951</v>
      </c>
      <c r="L37" s="4">
        <f>8*1440+1*60+0</f>
        <v>11580</v>
      </c>
      <c r="M37" s="4" t="s">
        <v>952</v>
      </c>
      <c r="N37" s="4">
        <f>9*1440+8*60+11</f>
        <v>13451</v>
      </c>
      <c r="O37" s="4" t="s">
        <v>953</v>
      </c>
      <c r="P37" s="4">
        <f>10*1440+2*60+52</f>
        <v>14572</v>
      </c>
      <c r="Q37" s="4" t="s">
        <v>954</v>
      </c>
      <c r="R37" s="4">
        <f>11*1440+6*60+22</f>
        <v>16222</v>
      </c>
      <c r="S37" s="4" t="s">
        <v>955</v>
      </c>
      <c r="T37" s="4">
        <f>13*1440+2*60+31</f>
        <v>18871</v>
      </c>
      <c r="U37" s="4" t="s">
        <v>956</v>
      </c>
      <c r="V37" s="4">
        <f>13*1440+9*60+51</f>
        <v>19311</v>
      </c>
      <c r="W37" s="4" t="s">
        <v>957</v>
      </c>
      <c r="X37" s="4">
        <f>14*1440+4*60+1</f>
        <v>20401</v>
      </c>
      <c r="Y37" s="4" t="s">
        <v>341</v>
      </c>
      <c r="Z37" s="4">
        <f>15*1440+8*60+2</f>
        <v>22082</v>
      </c>
      <c r="AA37" s="4" t="s">
        <v>958</v>
      </c>
      <c r="AB37" s="4">
        <f>16*1440+7*60+22</f>
        <v>23482</v>
      </c>
      <c r="AC37" s="4" t="s">
        <v>959</v>
      </c>
      <c r="AD37" s="4">
        <f>17*1440+12*60+1</f>
        <v>25201</v>
      </c>
      <c r="AE37" s="4" t="s">
        <v>960</v>
      </c>
      <c r="AF37" s="4">
        <f>19*1440+0*60+22</f>
        <v>27382</v>
      </c>
      <c r="AG37" s="4" t="s">
        <v>961</v>
      </c>
      <c r="AH37" s="4">
        <f>20*1440+9*60+17</f>
        <v>29357</v>
      </c>
      <c r="AI37" s="4" t="s">
        <v>962</v>
      </c>
      <c r="AJ37" s="4">
        <f>21*1440+8*60+8</f>
        <v>30728</v>
      </c>
      <c r="AK37" s="4" t="s">
        <v>963</v>
      </c>
      <c r="AL37" s="4">
        <f>22*1440+16*60+19</f>
        <v>32659</v>
      </c>
      <c r="AM37" s="4" t="s">
        <v>964</v>
      </c>
      <c r="AN37">
        <f>23*1440+10*60+8</f>
        <v>33728</v>
      </c>
    </row>
    <row r="38" spans="1:40" ht="17.25" thickBot="1" x14ac:dyDescent="0.3">
      <c r="A38">
        <v>37</v>
      </c>
      <c r="B38" s="6" t="s">
        <v>144</v>
      </c>
      <c r="C38" s="7" t="s">
        <v>965</v>
      </c>
      <c r="D38" s="7">
        <f>0*1440+12*60+37</f>
        <v>757</v>
      </c>
      <c r="E38" s="7" t="s">
        <v>966</v>
      </c>
      <c r="F38" s="7">
        <f>2*1440+12*60+6</f>
        <v>3606</v>
      </c>
      <c r="G38" s="7" t="s">
        <v>967</v>
      </c>
      <c r="H38" s="7">
        <f>4*1440+3*60+19</f>
        <v>5959</v>
      </c>
      <c r="I38" s="7" t="s">
        <v>968</v>
      </c>
      <c r="J38" s="7">
        <f>6*1440+8*60+36</f>
        <v>9156</v>
      </c>
      <c r="K38" s="7" t="s">
        <v>969</v>
      </c>
      <c r="L38" s="7">
        <f>8*1440+0*60+30</f>
        <v>11550</v>
      </c>
      <c r="M38" s="7" t="s">
        <v>970</v>
      </c>
      <c r="N38" s="7">
        <f>9*1440+7*60+35</f>
        <v>13415</v>
      </c>
      <c r="O38" s="7" t="s">
        <v>971</v>
      </c>
      <c r="P38" s="7">
        <f>10*1440+4*60+49</f>
        <v>14689</v>
      </c>
      <c r="Q38" s="7" t="s">
        <v>972</v>
      </c>
      <c r="R38" s="7">
        <f>11*1440+4*60+34</f>
        <v>16114</v>
      </c>
      <c r="S38" s="7" t="s">
        <v>973</v>
      </c>
      <c r="T38" s="7">
        <f>13*1440+0*60+55</f>
        <v>18775</v>
      </c>
      <c r="U38" s="7" t="s">
        <v>974</v>
      </c>
      <c r="V38" s="7">
        <f>13*1440+7*60+52</f>
        <v>19192</v>
      </c>
      <c r="W38" s="7" t="s">
        <v>975</v>
      </c>
      <c r="X38" s="7">
        <f>14*1440+4*60+45</f>
        <v>20445</v>
      </c>
      <c r="Y38" s="7" t="s">
        <v>976</v>
      </c>
      <c r="Z38" s="7">
        <f>15*1440+7*60+15</f>
        <v>22035</v>
      </c>
      <c r="AA38" s="7" t="s">
        <v>977</v>
      </c>
      <c r="AB38" s="7">
        <f>16*1440+10*60+35</f>
        <v>23675</v>
      </c>
      <c r="AC38" s="7" t="s">
        <v>978</v>
      </c>
      <c r="AD38" s="7">
        <f>17*1440+11*60+55</f>
        <v>25195</v>
      </c>
      <c r="AE38" s="7" t="s">
        <v>979</v>
      </c>
      <c r="AF38" s="7">
        <f>18*1440+16*60+47</f>
        <v>26927</v>
      </c>
      <c r="AG38" s="7" t="s">
        <v>980</v>
      </c>
      <c r="AH38" s="7">
        <f>20*1440+6*60+9</f>
        <v>29169</v>
      </c>
      <c r="AI38" s="7" t="s">
        <v>981</v>
      </c>
      <c r="AJ38" s="7">
        <f>21*1440+7*60+6</f>
        <v>30666</v>
      </c>
      <c r="AK38" s="7" t="s">
        <v>982</v>
      </c>
      <c r="AL38" s="7">
        <f>22*1440+16*60+30</f>
        <v>32670</v>
      </c>
      <c r="AM38" s="7" t="s">
        <v>983</v>
      </c>
      <c r="AN38">
        <f>23*1440+11*60+2</f>
        <v>33782</v>
      </c>
    </row>
    <row r="39" spans="1:40" ht="17.25" thickBot="1" x14ac:dyDescent="0.3">
      <c r="A39">
        <v>38</v>
      </c>
      <c r="B39" s="3" t="s">
        <v>115</v>
      </c>
      <c r="C39" s="4" t="s">
        <v>984</v>
      </c>
      <c r="D39" s="4">
        <f>0*1440+11*60+43</f>
        <v>703</v>
      </c>
      <c r="E39" s="4" t="s">
        <v>985</v>
      </c>
      <c r="F39" s="4">
        <f>2*1440+13*60+10</f>
        <v>3670</v>
      </c>
      <c r="G39" s="4" t="s">
        <v>986</v>
      </c>
      <c r="H39" s="4">
        <f>4*1440+3*60+10</f>
        <v>5950</v>
      </c>
      <c r="I39" s="4" t="s">
        <v>987</v>
      </c>
      <c r="J39" s="4">
        <f>6*1440+10*60+32</f>
        <v>9272</v>
      </c>
      <c r="K39" s="4" t="s">
        <v>988</v>
      </c>
      <c r="L39" s="4">
        <f>8*1440+4*60+34</f>
        <v>11794</v>
      </c>
      <c r="M39" s="4" t="s">
        <v>989</v>
      </c>
      <c r="N39" s="4">
        <f>9*1440+11*60+15</f>
        <v>13635</v>
      </c>
      <c r="O39" s="4" t="s">
        <v>990</v>
      </c>
      <c r="P39" s="4">
        <f>10*1440+4*60+59</f>
        <v>14699</v>
      </c>
      <c r="Q39" s="4" t="s">
        <v>777</v>
      </c>
      <c r="R39" s="4">
        <f>11*1440+10*60+8</f>
        <v>16448</v>
      </c>
      <c r="S39" s="4" t="s">
        <v>991</v>
      </c>
      <c r="T39" s="4">
        <f>13*1440+0*60+11</f>
        <v>18731</v>
      </c>
      <c r="U39" s="4" t="s">
        <v>992</v>
      </c>
      <c r="V39" s="4">
        <f>13*1440+8*60+12</f>
        <v>19212</v>
      </c>
      <c r="W39" s="4" t="s">
        <v>993</v>
      </c>
      <c r="X39" s="4">
        <f>14*1440+4*60+3</f>
        <v>20403</v>
      </c>
      <c r="Y39" s="4" t="s">
        <v>994</v>
      </c>
      <c r="Z39" s="4">
        <f>15*1440+5*60+39</f>
        <v>21939</v>
      </c>
      <c r="AA39" s="4" t="s">
        <v>995</v>
      </c>
      <c r="AB39" s="4">
        <f>16*1440+6*60+9</f>
        <v>23409</v>
      </c>
      <c r="AC39" s="4" t="s">
        <v>996</v>
      </c>
      <c r="AD39" s="4">
        <f>17*1440+5*60+30</f>
        <v>24810</v>
      </c>
      <c r="AE39" s="4" t="s">
        <v>997</v>
      </c>
      <c r="AF39" s="4">
        <f>18*1440+12*60+33</f>
        <v>26673</v>
      </c>
      <c r="AG39" s="4" t="s">
        <v>998</v>
      </c>
      <c r="AH39" s="4">
        <f>20*1440+6*60+31</f>
        <v>29191</v>
      </c>
      <c r="AI39" s="4" t="s">
        <v>999</v>
      </c>
      <c r="AJ39" s="4">
        <f>21*1440+12*60+6</f>
        <v>30966</v>
      </c>
      <c r="AK39" s="4" t="s">
        <v>1000</v>
      </c>
      <c r="AL39" s="4">
        <f>23*1440+5*60+51</f>
        <v>33471</v>
      </c>
      <c r="AM39" s="4" t="s">
        <v>1001</v>
      </c>
      <c r="AN39">
        <f>24*1440+0*60+21</f>
        <v>34581</v>
      </c>
    </row>
    <row r="40" spans="1:40" ht="17.25" thickBot="1" x14ac:dyDescent="0.3">
      <c r="A40">
        <v>39</v>
      </c>
      <c r="B40" s="6" t="s">
        <v>206</v>
      </c>
      <c r="C40" s="7" t="s">
        <v>1002</v>
      </c>
      <c r="D40" s="7">
        <f>0*1440+10*60+53</f>
        <v>653</v>
      </c>
      <c r="E40" s="7" t="s">
        <v>1003</v>
      </c>
      <c r="F40" s="7">
        <f>2*1440+5*60+6</f>
        <v>3186</v>
      </c>
      <c r="G40" s="7" t="s">
        <v>1004</v>
      </c>
      <c r="H40" s="7">
        <f>3*1440+4*60+5</f>
        <v>4565</v>
      </c>
      <c r="I40" s="7" t="s">
        <v>1005</v>
      </c>
      <c r="J40" s="7">
        <f>6*1440+0*60+34</f>
        <v>8674</v>
      </c>
      <c r="K40" s="7" t="s">
        <v>1006</v>
      </c>
      <c r="L40" s="7">
        <f>7*1440+6*60+17</f>
        <v>10457</v>
      </c>
      <c r="M40" s="7" t="s">
        <v>1007</v>
      </c>
      <c r="N40" s="7">
        <f>9*1440+1*60+0</f>
        <v>13020</v>
      </c>
      <c r="O40" s="7" t="s">
        <v>1008</v>
      </c>
      <c r="P40" s="7">
        <f>9*1440+11*60+44</f>
        <v>13664</v>
      </c>
      <c r="Q40" s="7" t="s">
        <v>1009</v>
      </c>
      <c r="R40" s="7">
        <f>10*1440+9*60+20</f>
        <v>14960</v>
      </c>
      <c r="S40" s="7" t="s">
        <v>1010</v>
      </c>
      <c r="T40" s="7">
        <f>12*1440+1*60+32</f>
        <v>17372</v>
      </c>
      <c r="U40" s="7" t="s">
        <v>1011</v>
      </c>
      <c r="V40" s="7">
        <f>12*1440+8*60+4</f>
        <v>17764</v>
      </c>
      <c r="W40" s="7" t="s">
        <v>1012</v>
      </c>
      <c r="X40" s="7">
        <f>13*1440+8*60+58</f>
        <v>19258</v>
      </c>
      <c r="Y40" s="7" t="s">
        <v>1013</v>
      </c>
      <c r="Z40" s="7">
        <f>14*1440+13*60+48</f>
        <v>20988</v>
      </c>
      <c r="AA40" s="7" t="s">
        <v>1014</v>
      </c>
      <c r="AB40" s="7">
        <f>16*1440+2*60+23</f>
        <v>23183</v>
      </c>
      <c r="AC40" s="7" t="s">
        <v>1015</v>
      </c>
      <c r="AD40" s="7">
        <f>17*1440+5*60+39</f>
        <v>24819</v>
      </c>
      <c r="AE40" s="7" t="s">
        <v>1016</v>
      </c>
      <c r="AF40" s="7">
        <f>18*1440+10*60+34</f>
        <v>26554</v>
      </c>
      <c r="AG40" s="7" t="s">
        <v>1017</v>
      </c>
      <c r="AH40" s="7">
        <f>20*1440+8*60+35</f>
        <v>29315</v>
      </c>
      <c r="AI40" s="7" t="s">
        <v>1018</v>
      </c>
      <c r="AJ40" s="7">
        <f>22*1440+1*60+58</f>
        <v>31798</v>
      </c>
      <c r="AK40" s="7" t="s">
        <v>1019</v>
      </c>
      <c r="AL40" s="7">
        <f>23*1440+11*60+34</f>
        <v>33814</v>
      </c>
      <c r="AM40" s="7" t="s">
        <v>1020</v>
      </c>
      <c r="AN40">
        <f>24*1440+7*60+43</f>
        <v>35023</v>
      </c>
    </row>
    <row r="41" spans="1:40" ht="17.25" thickBot="1" x14ac:dyDescent="0.3">
      <c r="A41">
        <v>40</v>
      </c>
      <c r="B41" s="3" t="s">
        <v>210</v>
      </c>
      <c r="C41" s="4" t="s">
        <v>1021</v>
      </c>
      <c r="D41" s="4">
        <f>0*1440+11*60+27</f>
        <v>687</v>
      </c>
      <c r="E41" s="4" t="s">
        <v>1022</v>
      </c>
      <c r="F41" s="4">
        <f>2*1440+6*60+37</f>
        <v>3277</v>
      </c>
      <c r="G41" s="4" t="s">
        <v>1023</v>
      </c>
      <c r="H41" s="4">
        <f>3*1440+6*60+50</f>
        <v>4730</v>
      </c>
      <c r="I41" s="4" t="s">
        <v>1024</v>
      </c>
      <c r="J41" s="4">
        <f>6*1440+0*60+37</f>
        <v>8677</v>
      </c>
      <c r="K41" s="4" t="s">
        <v>1025</v>
      </c>
      <c r="L41" s="4">
        <f>7*1440+6*60+16</f>
        <v>10456</v>
      </c>
      <c r="M41" s="4" t="s">
        <v>1026</v>
      </c>
      <c r="N41" s="4">
        <f>9*1440+0*60+58</f>
        <v>13018</v>
      </c>
      <c r="O41" s="4" t="s">
        <v>1008</v>
      </c>
      <c r="P41" s="4">
        <f>9*1440+11*60+44</f>
        <v>13664</v>
      </c>
      <c r="Q41" s="4" t="s">
        <v>1027</v>
      </c>
      <c r="R41" s="4">
        <f>10*1440+9*60+51</f>
        <v>14991</v>
      </c>
      <c r="S41" s="4" t="s">
        <v>1028</v>
      </c>
      <c r="T41" s="4">
        <f>12*1440+2*60+59</f>
        <v>17459</v>
      </c>
      <c r="U41" s="4" t="s">
        <v>1029</v>
      </c>
      <c r="V41" s="4">
        <f>13*1440+0*60+26</f>
        <v>18746</v>
      </c>
      <c r="W41" s="4" t="s">
        <v>1030</v>
      </c>
      <c r="X41" s="4">
        <f>13*1440+9*60+4</f>
        <v>19264</v>
      </c>
      <c r="Y41" s="4" t="s">
        <v>1031</v>
      </c>
      <c r="Z41" s="4">
        <f>14*1440+13*60+46</f>
        <v>20986</v>
      </c>
      <c r="AA41" s="4" t="s">
        <v>1014</v>
      </c>
      <c r="AB41" s="4">
        <f>16*1440+2*60+23</f>
        <v>23183</v>
      </c>
      <c r="AC41" s="4" t="s">
        <v>1032</v>
      </c>
      <c r="AD41" s="4">
        <f>17*1440+5*60+43</f>
        <v>24823</v>
      </c>
      <c r="AE41" s="4" t="s">
        <v>1033</v>
      </c>
      <c r="AF41" s="4">
        <f>18*1440+10*60+30</f>
        <v>26550</v>
      </c>
      <c r="AG41" s="4" t="s">
        <v>1017</v>
      </c>
      <c r="AH41" s="4">
        <f>20*1440+8*60+35</f>
        <v>29315</v>
      </c>
      <c r="AI41" s="4" t="s">
        <v>1034</v>
      </c>
      <c r="AJ41" s="4">
        <f>21*1440+15*60+40</f>
        <v>31180</v>
      </c>
      <c r="AK41" s="4" t="s">
        <v>1035</v>
      </c>
      <c r="AL41" s="4">
        <f>23*1440+11*60+42</f>
        <v>33822</v>
      </c>
      <c r="AM41" s="4" t="s">
        <v>1036</v>
      </c>
      <c r="AN41">
        <f>24*1440+7*60+47</f>
        <v>35027</v>
      </c>
    </row>
    <row r="42" spans="1:40" ht="17.25" thickBot="1" x14ac:dyDescent="0.3">
      <c r="A42">
        <v>41</v>
      </c>
      <c r="B42" s="6" t="s">
        <v>273</v>
      </c>
      <c r="C42" s="7" t="s">
        <v>1037</v>
      </c>
      <c r="D42" s="7">
        <f>0*1440+11*60+23</f>
        <v>683</v>
      </c>
      <c r="E42" s="7" t="s">
        <v>1038</v>
      </c>
      <c r="F42" s="7">
        <f>2*1440+9*60+19</f>
        <v>3439</v>
      </c>
      <c r="G42" s="7" t="s">
        <v>1039</v>
      </c>
      <c r="H42" s="7">
        <f>3*1440+11*60+4</f>
        <v>4984</v>
      </c>
      <c r="I42" s="7" t="s">
        <v>1040</v>
      </c>
      <c r="J42" s="7">
        <f>6*1440+4*60+45</f>
        <v>8925</v>
      </c>
      <c r="K42" s="7" t="s">
        <v>1041</v>
      </c>
      <c r="L42" s="7">
        <f>8*1440+7*60+55</f>
        <v>11995</v>
      </c>
      <c r="M42" s="7" t="s">
        <v>1042</v>
      </c>
      <c r="N42" s="7">
        <f>9*1440+11*60+28</f>
        <v>13648</v>
      </c>
      <c r="O42" s="7" t="s">
        <v>1043</v>
      </c>
      <c r="P42" s="7">
        <f>10*1440+7*60+35</f>
        <v>14855</v>
      </c>
      <c r="Q42" s="7" t="s">
        <v>1044</v>
      </c>
      <c r="R42" s="7">
        <f>11*1440+4*60+1</f>
        <v>16081</v>
      </c>
      <c r="S42" s="7" t="s">
        <v>1045</v>
      </c>
      <c r="T42" s="7">
        <f>12*1440+11*60+48</f>
        <v>17988</v>
      </c>
      <c r="U42" s="7" t="s">
        <v>1046</v>
      </c>
      <c r="V42" s="7">
        <f>13*1440+1*60+30</f>
        <v>18810</v>
      </c>
      <c r="W42" s="7" t="s">
        <v>1047</v>
      </c>
      <c r="X42" s="7">
        <f>13*1440+12*60+39</f>
        <v>19479</v>
      </c>
      <c r="Y42" s="7" t="s">
        <v>1048</v>
      </c>
      <c r="Z42" s="7">
        <f>15*1440+5*60+18</f>
        <v>21918</v>
      </c>
      <c r="AA42" s="7" t="s">
        <v>1049</v>
      </c>
      <c r="AB42" s="7">
        <f>16*1440+9*60+2</f>
        <v>23582</v>
      </c>
      <c r="AC42" s="7" t="s">
        <v>1050</v>
      </c>
      <c r="AD42" s="7">
        <f>17*1440+12*60+14</f>
        <v>25214</v>
      </c>
      <c r="AE42" s="7" t="s">
        <v>1051</v>
      </c>
      <c r="AF42" s="7">
        <f>19*1440+2*60+4</f>
        <v>27484</v>
      </c>
      <c r="AG42" s="7" t="s">
        <v>1052</v>
      </c>
      <c r="AH42" s="7">
        <f>20*1440+22*60+22</f>
        <v>30142</v>
      </c>
      <c r="AI42" s="7" t="s">
        <v>1053</v>
      </c>
      <c r="AJ42" s="7">
        <f>22*1440+4*60+37</f>
        <v>31957</v>
      </c>
      <c r="AK42" s="7" t="s">
        <v>1054</v>
      </c>
      <c r="AL42" s="7">
        <f>23*1440+16*60+26</f>
        <v>34106</v>
      </c>
      <c r="AM42" s="7" t="s">
        <v>1055</v>
      </c>
      <c r="AN42">
        <f>24*1440+9*60+2</f>
        <v>35102</v>
      </c>
    </row>
    <row r="43" spans="1:40" ht="17.25" thickBot="1" x14ac:dyDescent="0.3">
      <c r="A43">
        <v>42</v>
      </c>
      <c r="B43" s="3" t="s">
        <v>171</v>
      </c>
      <c r="C43" s="4" t="s">
        <v>1056</v>
      </c>
      <c r="D43" s="4">
        <f>0*1440+12*60+8</f>
        <v>728</v>
      </c>
      <c r="E43" s="4" t="s">
        <v>1057</v>
      </c>
      <c r="F43" s="4">
        <f>2*1440+7*60+18</f>
        <v>3318</v>
      </c>
      <c r="G43" s="4" t="s">
        <v>1058</v>
      </c>
      <c r="H43" s="4">
        <f>4*1440+22*60+14</f>
        <v>7094</v>
      </c>
      <c r="I43" s="4" t="s">
        <v>1059</v>
      </c>
      <c r="J43" s="4">
        <f>6*1440+9*60+54</f>
        <v>9234</v>
      </c>
      <c r="K43" s="4" t="s">
        <v>1060</v>
      </c>
      <c r="L43" s="4">
        <f>8*1440+1*60+30</f>
        <v>11610</v>
      </c>
      <c r="M43" s="4" t="s">
        <v>1061</v>
      </c>
      <c r="N43" s="4">
        <f>9*1440+11*60+46</f>
        <v>13666</v>
      </c>
      <c r="O43" s="4" t="s">
        <v>1062</v>
      </c>
      <c r="P43" s="4">
        <f>10*1440+7*60+42</f>
        <v>14862</v>
      </c>
      <c r="Q43" s="4" t="s">
        <v>1063</v>
      </c>
      <c r="R43" s="4">
        <f>11*1440+4*60+32</f>
        <v>16112</v>
      </c>
      <c r="S43" s="4" t="s">
        <v>1064</v>
      </c>
      <c r="T43" s="4">
        <f>12*1440+11*60+46</f>
        <v>17986</v>
      </c>
      <c r="U43" s="4" t="s">
        <v>1065</v>
      </c>
      <c r="V43" s="4">
        <f>13*1440+4*60+48</f>
        <v>19008</v>
      </c>
      <c r="W43" s="4" t="s">
        <v>1066</v>
      </c>
      <c r="X43" s="4">
        <f>13*1440+16*60+33</f>
        <v>19713</v>
      </c>
      <c r="Y43" s="4" t="s">
        <v>1067</v>
      </c>
      <c r="Z43" s="4">
        <f>15*1440+6*60+1</f>
        <v>21961</v>
      </c>
      <c r="AA43" s="4" t="s">
        <v>1068</v>
      </c>
      <c r="AB43" s="4">
        <f>16*1440+9*60+51</f>
        <v>23631</v>
      </c>
      <c r="AC43" s="4" t="s">
        <v>1069</v>
      </c>
      <c r="AD43" s="4">
        <f>17*1440+11*60+44</f>
        <v>25184</v>
      </c>
      <c r="AE43" s="4" t="s">
        <v>1070</v>
      </c>
      <c r="AF43" s="4">
        <f>19*1440+3*60+40</f>
        <v>27580</v>
      </c>
      <c r="AG43" s="4" t="s">
        <v>1071</v>
      </c>
      <c r="AH43" s="4">
        <f>20*1440+22*60+52</f>
        <v>30172</v>
      </c>
      <c r="AI43" s="4" t="s">
        <v>1072</v>
      </c>
      <c r="AJ43" s="4">
        <f>22*1440+4*60+40</f>
        <v>31960</v>
      </c>
      <c r="AK43" s="4" t="s">
        <v>1073</v>
      </c>
      <c r="AL43" s="4">
        <f>23*1440+16*60+27</f>
        <v>34107</v>
      </c>
      <c r="AM43" s="4" t="s">
        <v>1074</v>
      </c>
      <c r="AN43">
        <f>24*1440+10*60+3</f>
        <v>35163</v>
      </c>
    </row>
    <row r="44" spans="1:40" ht="17.25" thickBot="1" x14ac:dyDescent="0.3">
      <c r="A44">
        <v>43</v>
      </c>
      <c r="B44" s="6" t="s">
        <v>232</v>
      </c>
      <c r="C44" s="7" t="s">
        <v>1075</v>
      </c>
      <c r="D44" s="7">
        <f>0*1440+11*60+52</f>
        <v>712</v>
      </c>
      <c r="E44" s="7" t="s">
        <v>1076</v>
      </c>
      <c r="F44" s="7">
        <f>2*1440+10*60+58</f>
        <v>3538</v>
      </c>
      <c r="G44" s="7" t="s">
        <v>1077</v>
      </c>
      <c r="H44" s="7">
        <f>3*1440+12*60+9</f>
        <v>5049</v>
      </c>
      <c r="I44" s="7" t="s">
        <v>1078</v>
      </c>
      <c r="J44" s="7">
        <f>6*1440+3*60+54</f>
        <v>8874</v>
      </c>
      <c r="K44" s="7" t="s">
        <v>1079</v>
      </c>
      <c r="L44" s="7">
        <f>7*1440+23*60+10</f>
        <v>11470</v>
      </c>
      <c r="M44" s="7" t="s">
        <v>1080</v>
      </c>
      <c r="N44" s="7">
        <f>9*1440+7*60+22</f>
        <v>13402</v>
      </c>
      <c r="O44" s="7" t="s">
        <v>1081</v>
      </c>
      <c r="P44" s="7">
        <f>10*1440+6*60+32</f>
        <v>14792</v>
      </c>
      <c r="Q44" s="7" t="s">
        <v>1082</v>
      </c>
      <c r="R44" s="7">
        <f>11*1440+4*60+9</f>
        <v>16089</v>
      </c>
      <c r="S44" s="7" t="s">
        <v>1083</v>
      </c>
      <c r="T44" s="7">
        <f>12*1440+13*60+7</f>
        <v>18067</v>
      </c>
      <c r="U44" s="7" t="s">
        <v>1084</v>
      </c>
      <c r="V44" s="7">
        <f>13*1440+5*60+45</f>
        <v>19065</v>
      </c>
      <c r="W44" s="7" t="s">
        <v>1085</v>
      </c>
      <c r="X44" s="7">
        <f>14*1440+1*60+36</f>
        <v>20256</v>
      </c>
      <c r="Y44" s="7" t="s">
        <v>1086</v>
      </c>
      <c r="Z44" s="7">
        <f>15*1440+8*60+12</f>
        <v>22092</v>
      </c>
      <c r="AA44" s="7" t="s">
        <v>1087</v>
      </c>
      <c r="AB44" s="7">
        <f>16*1440+11*60+52</f>
        <v>23752</v>
      </c>
      <c r="AC44" s="7" t="s">
        <v>1088</v>
      </c>
      <c r="AD44" s="7">
        <f>17*1440+13*60+42</f>
        <v>25302</v>
      </c>
      <c r="AE44" s="7" t="s">
        <v>1089</v>
      </c>
      <c r="AF44" s="7">
        <f>19*1440+4*60+10</f>
        <v>27610</v>
      </c>
      <c r="AG44" s="7" t="s">
        <v>1090</v>
      </c>
      <c r="AH44" s="7">
        <f>21*1440+0*60+34</f>
        <v>30274</v>
      </c>
      <c r="AI44" s="7" t="s">
        <v>1091</v>
      </c>
      <c r="AJ44" s="7">
        <f>22*1440+6*60+58</f>
        <v>32098</v>
      </c>
      <c r="AK44" s="7" t="s">
        <v>1092</v>
      </c>
      <c r="AL44" s="7">
        <f>24*1440+3*60+56</f>
        <v>34796</v>
      </c>
      <c r="AM44" s="7" t="s">
        <v>1093</v>
      </c>
      <c r="AN44">
        <f>24*1440+15*60+36</f>
        <v>35496</v>
      </c>
    </row>
    <row r="45" spans="1:40" ht="17.25" thickBot="1" x14ac:dyDescent="0.3">
      <c r="A45">
        <v>44</v>
      </c>
      <c r="B45" s="3" t="s">
        <v>257</v>
      </c>
      <c r="C45" s="4" t="s">
        <v>1094</v>
      </c>
      <c r="D45" s="4">
        <f>0*1440+11*60+8</f>
        <v>668</v>
      </c>
      <c r="E45" s="4" t="s">
        <v>1095</v>
      </c>
      <c r="F45" s="4">
        <f>2*1440+11*60+2</f>
        <v>3542</v>
      </c>
      <c r="G45" s="4" t="s">
        <v>1096</v>
      </c>
      <c r="H45" s="4">
        <f>3*1440+12*60+10</f>
        <v>5050</v>
      </c>
      <c r="I45" s="4" t="s">
        <v>1097</v>
      </c>
      <c r="J45" s="4">
        <f>6*1440+3*60+51</f>
        <v>8871</v>
      </c>
      <c r="K45" s="4" t="s">
        <v>1098</v>
      </c>
      <c r="L45" s="4">
        <f>7*1440+23*60+8</f>
        <v>11468</v>
      </c>
      <c r="M45" s="4" t="s">
        <v>1080</v>
      </c>
      <c r="N45" s="4">
        <f>9*1440+7*60+22</f>
        <v>13402</v>
      </c>
      <c r="O45" s="4" t="s">
        <v>898</v>
      </c>
      <c r="P45" s="4">
        <f>10*1440+7*60+52</f>
        <v>14872</v>
      </c>
      <c r="Q45" s="4" t="s">
        <v>1099</v>
      </c>
      <c r="R45" s="4">
        <f>11*1440+4*60+12</f>
        <v>16092</v>
      </c>
      <c r="S45" s="4" t="s">
        <v>1100</v>
      </c>
      <c r="T45" s="4">
        <f>13*1440+0*60+7</f>
        <v>18727</v>
      </c>
      <c r="U45" s="4" t="s">
        <v>544</v>
      </c>
      <c r="V45" s="4">
        <f>13*1440+6*60+47</f>
        <v>19127</v>
      </c>
      <c r="W45" s="4" t="s">
        <v>1101</v>
      </c>
      <c r="X45" s="4">
        <f>14*1440+1*60+37</f>
        <v>20257</v>
      </c>
      <c r="Y45" s="4" t="s">
        <v>1102</v>
      </c>
      <c r="Z45" s="4">
        <f>15*1440+8*60+37</f>
        <v>22117</v>
      </c>
      <c r="AA45" s="4" t="s">
        <v>1103</v>
      </c>
      <c r="AB45" s="4">
        <f>16*1440+11*60+51</f>
        <v>23751</v>
      </c>
      <c r="AC45" s="4" t="s">
        <v>1104</v>
      </c>
      <c r="AD45" s="4">
        <f>17*1440+12*60+35</f>
        <v>25235</v>
      </c>
      <c r="AE45" s="4" t="s">
        <v>1105</v>
      </c>
      <c r="AF45" s="4">
        <f>19*1440+4*60+7</f>
        <v>27607</v>
      </c>
      <c r="AG45" s="4" t="s">
        <v>1106</v>
      </c>
      <c r="AH45" s="4">
        <f>21*1440+0*60+27</f>
        <v>30267</v>
      </c>
      <c r="AI45" s="4" t="s">
        <v>1107</v>
      </c>
      <c r="AJ45" s="4">
        <f>22*1440+6*60+48</f>
        <v>32088</v>
      </c>
      <c r="AK45" s="4" t="s">
        <v>1108</v>
      </c>
      <c r="AL45" s="4">
        <f>24*1440+4*60+8</f>
        <v>34808</v>
      </c>
      <c r="AM45" s="4" t="s">
        <v>1109</v>
      </c>
      <c r="AN45">
        <f>24*1440+15*60+39</f>
        <v>35499</v>
      </c>
    </row>
    <row r="46" spans="1:40" ht="17.25" thickBot="1" x14ac:dyDescent="0.3">
      <c r="A46">
        <v>45</v>
      </c>
      <c r="B46" s="6" t="s">
        <v>240</v>
      </c>
      <c r="C46" s="7" t="s">
        <v>1110</v>
      </c>
      <c r="D46" s="7">
        <f>0*1440+11*60+55</f>
        <v>715</v>
      </c>
      <c r="E46" s="7" t="s">
        <v>1111</v>
      </c>
      <c r="F46" s="7">
        <f>2*1440+10*60+54</f>
        <v>3534</v>
      </c>
      <c r="G46" s="7" t="s">
        <v>1112</v>
      </c>
      <c r="H46" s="7">
        <f>3*1440+12*60+7</f>
        <v>5047</v>
      </c>
      <c r="I46" s="7" t="s">
        <v>1097</v>
      </c>
      <c r="J46" s="7">
        <f>6*1440+3*60+51</f>
        <v>8871</v>
      </c>
      <c r="K46" s="7" t="s">
        <v>1113</v>
      </c>
      <c r="L46" s="7">
        <f>7*1440+23*60+11</f>
        <v>11471</v>
      </c>
      <c r="M46" s="7" t="s">
        <v>1114</v>
      </c>
      <c r="N46" s="7">
        <f>9*1440+7*60+27</f>
        <v>13407</v>
      </c>
      <c r="O46" s="7" t="s">
        <v>1115</v>
      </c>
      <c r="P46" s="7">
        <f>10*1440+6*60+30</f>
        <v>14790</v>
      </c>
      <c r="Q46" s="7" t="s">
        <v>1116</v>
      </c>
      <c r="R46" s="7">
        <f>11*1440+4*60+10</f>
        <v>16090</v>
      </c>
      <c r="S46" s="7" t="s">
        <v>1117</v>
      </c>
      <c r="T46" s="7">
        <f>12*1440+13*60+15</f>
        <v>18075</v>
      </c>
      <c r="U46" s="7" t="s">
        <v>1118</v>
      </c>
      <c r="V46" s="7">
        <f>13*1440+5*60+44</f>
        <v>19064</v>
      </c>
      <c r="W46" s="7" t="s">
        <v>1119</v>
      </c>
      <c r="X46" s="7">
        <f>14*1440+1*60+45</f>
        <v>20265</v>
      </c>
      <c r="Y46" s="7" t="s">
        <v>1086</v>
      </c>
      <c r="Z46" s="7">
        <f>15*1440+8*60+12</f>
        <v>22092</v>
      </c>
      <c r="AA46" s="7" t="s">
        <v>1120</v>
      </c>
      <c r="AB46" s="7">
        <f>16*1440+11*60+54</f>
        <v>23754</v>
      </c>
      <c r="AC46" s="7" t="s">
        <v>1121</v>
      </c>
      <c r="AD46" s="7">
        <f>17*1440+13*60+36</f>
        <v>25296</v>
      </c>
      <c r="AE46" s="7" t="s">
        <v>1122</v>
      </c>
      <c r="AF46" s="7">
        <f>19*1440+4*60+8</f>
        <v>27608</v>
      </c>
      <c r="AG46" s="7" t="s">
        <v>1123</v>
      </c>
      <c r="AH46" s="7">
        <f>21*1440+0*60+30</f>
        <v>30270</v>
      </c>
      <c r="AI46" s="7" t="s">
        <v>1124</v>
      </c>
      <c r="AJ46" s="7">
        <f>22*1440+7*60+8</f>
        <v>32108</v>
      </c>
      <c r="AK46" s="7" t="s">
        <v>1125</v>
      </c>
      <c r="AL46" s="7">
        <f>24*1440+4*60+1</f>
        <v>34801</v>
      </c>
      <c r="AM46" s="7" t="s">
        <v>1126</v>
      </c>
      <c r="AN46">
        <f>24*1440+15*60+41</f>
        <v>35501</v>
      </c>
    </row>
    <row r="47" spans="1:40" ht="17.25" thickBot="1" x14ac:dyDescent="0.3">
      <c r="A47">
        <v>46</v>
      </c>
      <c r="B47" s="3" t="s">
        <v>175</v>
      </c>
      <c r="C47" s="4" t="s">
        <v>1127</v>
      </c>
      <c r="D47" s="4">
        <f>0*1440+12*60+6</f>
        <v>726</v>
      </c>
      <c r="E47" s="4" t="s">
        <v>1128</v>
      </c>
      <c r="F47" s="4">
        <f>2*1440+10*60+19</f>
        <v>3499</v>
      </c>
      <c r="G47" s="4" t="s">
        <v>1129</v>
      </c>
      <c r="H47" s="4">
        <f>3*1440+23*60+47</f>
        <v>5747</v>
      </c>
      <c r="I47" s="4" t="s">
        <v>1130</v>
      </c>
      <c r="J47" s="4">
        <f>6*1440+0*60+40</f>
        <v>8680</v>
      </c>
      <c r="K47" s="4" t="s">
        <v>1131</v>
      </c>
      <c r="L47" s="4">
        <f>7*1440+21*60+24</f>
        <v>11364</v>
      </c>
      <c r="M47" s="4" t="s">
        <v>1132</v>
      </c>
      <c r="N47" s="4">
        <f>9*1440+5*60+18</f>
        <v>13278</v>
      </c>
      <c r="O47" s="4" t="s">
        <v>1133</v>
      </c>
      <c r="P47" s="4">
        <f>9*1440+17*60+21</f>
        <v>14001</v>
      </c>
      <c r="Q47" s="4" t="s">
        <v>775</v>
      </c>
      <c r="R47" s="4">
        <f>10*1440+11*60+54</f>
        <v>15114</v>
      </c>
      <c r="S47" s="4" t="s">
        <v>1134</v>
      </c>
      <c r="T47" s="4">
        <f>12*1440+3*60+45</f>
        <v>17505</v>
      </c>
      <c r="U47" s="4" t="s">
        <v>1135</v>
      </c>
      <c r="V47" s="4">
        <f>12*1440+11*60+36</f>
        <v>17976</v>
      </c>
      <c r="W47" s="4" t="s">
        <v>1136</v>
      </c>
      <c r="X47" s="4">
        <f>13*1440+8*60+47</f>
        <v>19247</v>
      </c>
      <c r="Y47" s="4" t="s">
        <v>1137</v>
      </c>
      <c r="Z47" s="4">
        <f>14*1440+15*60+14</f>
        <v>21074</v>
      </c>
      <c r="AA47" s="4" t="s">
        <v>1138</v>
      </c>
      <c r="AB47" s="4">
        <f>16*1440+4*60+52</f>
        <v>23332</v>
      </c>
      <c r="AC47" s="4" t="s">
        <v>1139</v>
      </c>
      <c r="AD47" s="4">
        <f>17*1440+8*60+52</f>
        <v>25012</v>
      </c>
      <c r="AE47" s="4" t="s">
        <v>1140</v>
      </c>
      <c r="AF47" s="4">
        <f>19*1440+4*60+3</f>
        <v>27603</v>
      </c>
      <c r="AG47" s="4" t="s">
        <v>1141</v>
      </c>
      <c r="AH47" s="4">
        <f>21*1440+0*60+21</f>
        <v>30261</v>
      </c>
      <c r="AI47" s="4" t="s">
        <v>1142</v>
      </c>
      <c r="AJ47" s="4">
        <f>22*1440+6*60+30</f>
        <v>32070</v>
      </c>
      <c r="AK47" s="4" t="s">
        <v>1143</v>
      </c>
      <c r="AL47" s="4">
        <f>24*1440+5*60+35</f>
        <v>34895</v>
      </c>
      <c r="AM47" s="4" t="s">
        <v>1144</v>
      </c>
      <c r="AN47">
        <f>24*1440+19*60+26</f>
        <v>35726</v>
      </c>
    </row>
    <row r="48" spans="1:40" ht="17.25" thickBot="1" x14ac:dyDescent="0.3">
      <c r="A48">
        <v>47</v>
      </c>
      <c r="B48" s="6" t="s">
        <v>215</v>
      </c>
      <c r="C48" s="7" t="s">
        <v>1145</v>
      </c>
      <c r="D48" s="7">
        <f>0*1440+12*60+10</f>
        <v>730</v>
      </c>
      <c r="E48" s="7" t="s">
        <v>1146</v>
      </c>
      <c r="F48" s="7">
        <f>2*1440+0*60+57</f>
        <v>2937</v>
      </c>
      <c r="G48" s="7" t="s">
        <v>1147</v>
      </c>
      <c r="H48" s="7">
        <f>3*1440+3*60+39</f>
        <v>4539</v>
      </c>
      <c r="I48" s="7" t="s">
        <v>1148</v>
      </c>
      <c r="J48" s="7">
        <f>5*1440+22*60+11</f>
        <v>8531</v>
      </c>
      <c r="K48" s="7" t="s">
        <v>1149</v>
      </c>
      <c r="L48" s="7">
        <f>7*1440+12*60+9</f>
        <v>10809</v>
      </c>
      <c r="M48" s="7" t="s">
        <v>1150</v>
      </c>
      <c r="N48" s="7">
        <f>9*1440+5*60+6</f>
        <v>13266</v>
      </c>
      <c r="O48" s="7" t="s">
        <v>1151</v>
      </c>
      <c r="P48" s="7">
        <f>9*1440+17*60+13</f>
        <v>13993</v>
      </c>
      <c r="Q48" s="7" t="s">
        <v>1152</v>
      </c>
      <c r="R48" s="7">
        <f>10*1440+13*60+14</f>
        <v>15194</v>
      </c>
      <c r="S48" s="7" t="s">
        <v>1153</v>
      </c>
      <c r="T48" s="7">
        <f>12*1440+4*60+29</f>
        <v>17549</v>
      </c>
      <c r="U48" s="7" t="s">
        <v>1154</v>
      </c>
      <c r="V48" s="7">
        <f>12*1440+12*60+45</f>
        <v>18045</v>
      </c>
      <c r="W48" s="7" t="s">
        <v>1155</v>
      </c>
      <c r="X48" s="7">
        <f>13*1440+8*60+25</f>
        <v>19225</v>
      </c>
      <c r="Y48" s="7" t="s">
        <v>1156</v>
      </c>
      <c r="Z48" s="7">
        <f>14*1440+12*60+58</f>
        <v>20938</v>
      </c>
      <c r="AA48" s="7" t="s">
        <v>1157</v>
      </c>
      <c r="AB48" s="7">
        <f>16*1440+0*60+28</f>
        <v>23068</v>
      </c>
      <c r="AC48" s="7" t="s">
        <v>1158</v>
      </c>
      <c r="AD48" s="7">
        <f>18*1440+1*60+20</f>
        <v>26000</v>
      </c>
      <c r="AE48" s="7" t="s">
        <v>1159</v>
      </c>
      <c r="AF48" s="7">
        <f>19*1440+9*60+58</f>
        <v>27958</v>
      </c>
      <c r="AG48" s="7" t="s">
        <v>1160</v>
      </c>
      <c r="AH48" s="7">
        <f>21*1440+7*60+28</f>
        <v>30688</v>
      </c>
      <c r="AI48" s="7" t="s">
        <v>1161</v>
      </c>
      <c r="AJ48" s="7">
        <f>22*1440+15*60+32</f>
        <v>32612</v>
      </c>
      <c r="AK48" s="7" t="s">
        <v>1162</v>
      </c>
      <c r="AL48" s="7">
        <f>25*1440+1*60+18</f>
        <v>36078</v>
      </c>
      <c r="AM48" s="7" t="s">
        <v>1163</v>
      </c>
      <c r="AN48">
        <f>25*1440+13*60+54</f>
        <v>36834</v>
      </c>
    </row>
    <row r="49" spans="1:40" ht="17.25" thickBot="1" x14ac:dyDescent="0.3">
      <c r="A49">
        <v>48</v>
      </c>
      <c r="B49" s="3" t="s">
        <v>129</v>
      </c>
      <c r="C49" s="4" t="s">
        <v>1164</v>
      </c>
      <c r="D49" s="4">
        <f>0*1440+12*60+32</f>
        <v>752</v>
      </c>
      <c r="E49" s="4" t="s">
        <v>1165</v>
      </c>
      <c r="F49" s="4">
        <f>2*1440+12*60+58</f>
        <v>3658</v>
      </c>
      <c r="G49" s="4" t="s">
        <v>1166</v>
      </c>
      <c r="H49" s="4">
        <f>4*1440+1*60+10</f>
        <v>5830</v>
      </c>
      <c r="I49" s="4" t="s">
        <v>1167</v>
      </c>
      <c r="J49" s="4">
        <f>6*1440+8*60+39</f>
        <v>9159</v>
      </c>
      <c r="K49" s="4" t="s">
        <v>1168</v>
      </c>
      <c r="L49" s="4">
        <f>8*1440+5*60+27</f>
        <v>11847</v>
      </c>
      <c r="M49" s="4" t="s">
        <v>1169</v>
      </c>
      <c r="N49" s="4">
        <f>9*1440+12*60+59</f>
        <v>13739</v>
      </c>
      <c r="O49" s="4" t="s">
        <v>1170</v>
      </c>
      <c r="P49" s="4">
        <f>10*1440+9*60+9</f>
        <v>14949</v>
      </c>
      <c r="Q49" s="4" t="s">
        <v>1171</v>
      </c>
      <c r="R49" s="4">
        <f>11*1440+5*60+27</f>
        <v>16167</v>
      </c>
      <c r="S49" s="4" t="s">
        <v>1172</v>
      </c>
      <c r="T49" s="4">
        <f>12*1440+23*60+45</f>
        <v>18705</v>
      </c>
      <c r="U49" s="4" t="s">
        <v>1173</v>
      </c>
      <c r="V49" s="4">
        <f>13*1440+8*60+22</f>
        <v>19222</v>
      </c>
      <c r="W49" s="4" t="s">
        <v>1174</v>
      </c>
      <c r="X49" s="4">
        <f>14*1440+5*60+9</f>
        <v>20469</v>
      </c>
      <c r="Y49" s="4" t="s">
        <v>1175</v>
      </c>
      <c r="Z49" s="4">
        <f>15*1440+14*60+6</f>
        <v>22446</v>
      </c>
      <c r="AA49" s="4" t="s">
        <v>1176</v>
      </c>
      <c r="AB49" s="4">
        <f>17*1440+4*60+47</f>
        <v>24767</v>
      </c>
      <c r="AC49" s="4" t="s">
        <v>1177</v>
      </c>
      <c r="AD49" s="4">
        <f>18*1440+5*60+39</f>
        <v>26259</v>
      </c>
      <c r="AE49" s="4" t="s">
        <v>1178</v>
      </c>
      <c r="AF49" s="4">
        <f>19*1440+14*60+12</f>
        <v>28212</v>
      </c>
      <c r="AG49" s="4" t="s">
        <v>1179</v>
      </c>
      <c r="AH49" s="4">
        <f>21*1440+22*60+13</f>
        <v>31573</v>
      </c>
      <c r="AI49" s="4" t="s">
        <v>1180</v>
      </c>
      <c r="AJ49" s="4">
        <f>23*1440+6*60+59</f>
        <v>33539</v>
      </c>
      <c r="AK49" s="4" t="s">
        <v>1181</v>
      </c>
      <c r="AL49" s="4">
        <f>25*1440+8*60+48</f>
        <v>36528</v>
      </c>
      <c r="AM49" s="4" t="s">
        <v>1182</v>
      </c>
      <c r="AN49">
        <f>25*1440+23*60+19</f>
        <v>37399</v>
      </c>
    </row>
    <row r="50" spans="1:40" ht="17.25" thickBot="1" x14ac:dyDescent="0.3">
      <c r="A50">
        <v>49</v>
      </c>
      <c r="B50" s="6" t="s">
        <v>244</v>
      </c>
      <c r="C50" s="7" t="s">
        <v>841</v>
      </c>
      <c r="D50" s="7">
        <f>0*1440+12*60+9</f>
        <v>729</v>
      </c>
      <c r="E50" s="7" t="s">
        <v>1183</v>
      </c>
      <c r="F50" s="7">
        <f>2*1440+10*60+7</f>
        <v>3487</v>
      </c>
      <c r="G50" s="7" t="s">
        <v>1184</v>
      </c>
      <c r="H50" s="7">
        <f>3*1440+12*60+58</f>
        <v>5098</v>
      </c>
      <c r="I50" s="7" t="s">
        <v>1185</v>
      </c>
      <c r="J50" s="7">
        <f>6*1440+11*60+28</f>
        <v>9328</v>
      </c>
      <c r="K50" s="7" t="s">
        <v>1186</v>
      </c>
      <c r="L50" s="7">
        <f>8*1440+5*60+16</f>
        <v>11836</v>
      </c>
      <c r="M50" s="7" t="s">
        <v>1169</v>
      </c>
      <c r="N50" s="7">
        <f>9*1440+12*60+59</f>
        <v>13739</v>
      </c>
      <c r="O50" s="7" t="s">
        <v>1187</v>
      </c>
      <c r="P50" s="7">
        <f>10*1440+8*60+37</f>
        <v>14917</v>
      </c>
      <c r="Q50" s="7" t="s">
        <v>1188</v>
      </c>
      <c r="R50" s="7">
        <f>11*1440+7*60+15</f>
        <v>16275</v>
      </c>
      <c r="S50" s="7" t="s">
        <v>1046</v>
      </c>
      <c r="T50" s="7">
        <f>13*1440+1*60+30</f>
        <v>18810</v>
      </c>
      <c r="U50" s="7" t="s">
        <v>131</v>
      </c>
      <c r="V50" s="7">
        <f>13*1440+9*60+7</f>
        <v>19267</v>
      </c>
      <c r="W50" s="7" t="s">
        <v>1189</v>
      </c>
      <c r="X50" s="7">
        <f>14*1440+4*60+13</f>
        <v>20413</v>
      </c>
      <c r="Y50" s="7" t="s">
        <v>1190</v>
      </c>
      <c r="Z50" s="7">
        <f>15*1440+11*60+29</f>
        <v>22289</v>
      </c>
      <c r="AA50" s="7" t="s">
        <v>1191</v>
      </c>
      <c r="AB50" s="7">
        <f>17*1440+7*60+46</f>
        <v>24946</v>
      </c>
      <c r="AC50" s="7" t="s">
        <v>1192</v>
      </c>
      <c r="AD50" s="7">
        <f>18*1440+6*60+54</f>
        <v>26334</v>
      </c>
      <c r="AE50" s="7" t="s">
        <v>1193</v>
      </c>
      <c r="AF50" s="7">
        <f>19*1440+13*60+7</f>
        <v>28147</v>
      </c>
      <c r="AG50" s="7" t="s">
        <v>1194</v>
      </c>
      <c r="AH50" s="7">
        <f>21*1440+23*60+48</f>
        <v>31668</v>
      </c>
      <c r="AI50" s="7" t="s">
        <v>1195</v>
      </c>
      <c r="AJ50" s="7">
        <f>23*1440+5*60+34</f>
        <v>33454</v>
      </c>
      <c r="AK50" s="7" t="s">
        <v>1196</v>
      </c>
      <c r="AL50" s="7">
        <f>25*1440+10*60+5</f>
        <v>36605</v>
      </c>
      <c r="AM50" s="7" t="s">
        <v>1197</v>
      </c>
      <c r="AN50">
        <f>26*1440+3*60+21</f>
        <v>37641</v>
      </c>
    </row>
    <row r="51" spans="1:40" ht="17.25" thickBot="1" x14ac:dyDescent="0.3">
      <c r="A51">
        <v>50</v>
      </c>
      <c r="B51" s="3" t="s">
        <v>261</v>
      </c>
      <c r="C51" s="4" t="s">
        <v>1198</v>
      </c>
      <c r="D51" s="4">
        <f>0*1440+22*60+19</f>
        <v>1339</v>
      </c>
      <c r="E51" s="4" t="s">
        <v>1199</v>
      </c>
      <c r="F51" s="4">
        <f>2*1440+15*60+6</f>
        <v>3786</v>
      </c>
      <c r="G51" s="4" t="s">
        <v>1200</v>
      </c>
      <c r="H51" s="4">
        <f>5*1440+11*60+9</f>
        <v>7869</v>
      </c>
      <c r="I51" s="4" t="s">
        <v>1201</v>
      </c>
      <c r="J51" s="4">
        <f>7*1440+23*60+27</f>
        <v>11487</v>
      </c>
      <c r="K51" s="4" t="s">
        <v>1202</v>
      </c>
      <c r="L51" s="4">
        <f>9*1440+6*60+48</f>
        <v>13368</v>
      </c>
      <c r="M51" s="4" t="s">
        <v>1203</v>
      </c>
      <c r="N51" s="4">
        <f>10*1440+15*60+46</f>
        <v>15346</v>
      </c>
      <c r="O51" s="4" t="s">
        <v>1204</v>
      </c>
      <c r="P51" s="4">
        <f>11*1440+11*60+53</f>
        <v>16553</v>
      </c>
      <c r="Q51" s="4" t="s">
        <v>1205</v>
      </c>
      <c r="R51" s="4">
        <f>12*1440+8*60+49</f>
        <v>17809</v>
      </c>
      <c r="S51" s="4" t="s">
        <v>1206</v>
      </c>
      <c r="T51" s="4">
        <f>14*1440+3*60+39</f>
        <v>20379</v>
      </c>
      <c r="U51" s="4" t="s">
        <v>1207</v>
      </c>
      <c r="V51" s="4">
        <f>14*1440+9*60+42</f>
        <v>20742</v>
      </c>
      <c r="W51" s="4" t="s">
        <v>1208</v>
      </c>
      <c r="X51" s="4">
        <f>15*1440+4*60+19</f>
        <v>21859</v>
      </c>
      <c r="Y51" s="4" t="s">
        <v>1209</v>
      </c>
      <c r="Z51" s="4">
        <f>16*1440+9*60+47</f>
        <v>23627</v>
      </c>
      <c r="AA51" s="4" t="s">
        <v>1210</v>
      </c>
      <c r="AB51" s="4">
        <f>17*1440+13*60+46</f>
        <v>25306</v>
      </c>
      <c r="AC51" s="4" t="s">
        <v>1211</v>
      </c>
      <c r="AD51" s="4">
        <f>18*1440+13*60+14</f>
        <v>26714</v>
      </c>
      <c r="AE51" s="4" t="s">
        <v>1212</v>
      </c>
      <c r="AF51" s="4">
        <f>20*1440+6*60+36</f>
        <v>29196</v>
      </c>
      <c r="AG51" s="4" t="s">
        <v>1213</v>
      </c>
      <c r="AH51" s="4">
        <f>22*1440+8*60+23</f>
        <v>32183</v>
      </c>
      <c r="AI51" s="4" t="s">
        <v>1214</v>
      </c>
      <c r="AJ51" s="4">
        <f>24*1440+5*60+42</f>
        <v>34902</v>
      </c>
      <c r="AK51" s="4" t="s">
        <v>1215</v>
      </c>
      <c r="AL51" s="4">
        <f>26*1440+7*60+3</f>
        <v>37863</v>
      </c>
      <c r="AM51" s="4" t="s">
        <v>1216</v>
      </c>
      <c r="AN51">
        <f>26*1440+21*60+27</f>
        <v>38727</v>
      </c>
    </row>
    <row r="52" spans="1:40" ht="17.25" thickBot="1" x14ac:dyDescent="0.3">
      <c r="A52">
        <v>51</v>
      </c>
      <c r="B52" s="6" t="s">
        <v>201</v>
      </c>
      <c r="C52" s="7" t="s">
        <v>1217</v>
      </c>
      <c r="D52" s="7">
        <f>0*1440+13*60+13</f>
        <v>793</v>
      </c>
      <c r="E52" s="7" t="s">
        <v>1218</v>
      </c>
      <c r="F52" s="7">
        <f>2*1440+14*60+36</f>
        <v>3756</v>
      </c>
      <c r="G52" s="7" t="s">
        <v>1219</v>
      </c>
      <c r="H52" s="7">
        <f>3*1440+15*60+26</f>
        <v>5246</v>
      </c>
      <c r="I52" s="7" t="s">
        <v>1220</v>
      </c>
      <c r="J52" s="7">
        <f>6*1440+23*60+4</f>
        <v>10024</v>
      </c>
      <c r="K52" s="7" t="s">
        <v>1221</v>
      </c>
      <c r="L52" s="7">
        <f>8*1440+9*60+54</f>
        <v>12114</v>
      </c>
      <c r="M52" s="7" t="s">
        <v>1222</v>
      </c>
      <c r="N52" s="7">
        <f>10*1440+12*60+4</f>
        <v>15124</v>
      </c>
      <c r="O52" s="7" t="s">
        <v>1223</v>
      </c>
      <c r="P52" s="7">
        <f>11*1440+7*60+24</f>
        <v>16284</v>
      </c>
      <c r="Q52" s="7" t="s">
        <v>1224</v>
      </c>
      <c r="R52" s="7">
        <f>12*1440+3*60+50</f>
        <v>17510</v>
      </c>
      <c r="S52" s="7" t="s">
        <v>1225</v>
      </c>
      <c r="T52" s="7">
        <f>13*1440+12*60+20</f>
        <v>19460</v>
      </c>
      <c r="U52" s="7" t="s">
        <v>1226</v>
      </c>
      <c r="V52" s="7">
        <f>14*1440+6*60+50</f>
        <v>20570</v>
      </c>
      <c r="W52" s="7" t="s">
        <v>1227</v>
      </c>
      <c r="X52" s="7">
        <f>15*1440+3*60+10</f>
        <v>21790</v>
      </c>
      <c r="Y52" s="7" t="s">
        <v>1228</v>
      </c>
      <c r="Z52" s="7">
        <f>16*1440+6*60+40</f>
        <v>23440</v>
      </c>
      <c r="AA52" s="7" t="s">
        <v>1229</v>
      </c>
      <c r="AB52" s="7">
        <f>17*1440+13*60+51</f>
        <v>25311</v>
      </c>
      <c r="AC52" s="7" t="s">
        <v>1230</v>
      </c>
      <c r="AD52" s="7">
        <f>18*1440+15*60+36</f>
        <v>26856</v>
      </c>
      <c r="AE52" s="7" t="s">
        <v>1231</v>
      </c>
      <c r="AF52" s="7">
        <f>20*1440+7*60+7</f>
        <v>29227</v>
      </c>
      <c r="AG52" s="7" t="s">
        <v>1232</v>
      </c>
      <c r="AH52" s="7">
        <f>22*1440+8*60+27</f>
        <v>32187</v>
      </c>
      <c r="AI52" s="7" t="s">
        <v>1233</v>
      </c>
      <c r="AJ52" s="7">
        <f>24*1440+5*60+25</f>
        <v>34885</v>
      </c>
      <c r="AK52" s="7" t="s">
        <v>1234</v>
      </c>
      <c r="AL52" s="7">
        <f>26*1440+8*60+25</f>
        <v>37945</v>
      </c>
      <c r="AM52" s="7" t="s">
        <v>1235</v>
      </c>
      <c r="AN52">
        <f>27*1440+1*60+45</f>
        <v>38985</v>
      </c>
    </row>
    <row r="53" spans="1:40" ht="17.25" thickBot="1" x14ac:dyDescent="0.3">
      <c r="A53">
        <v>52</v>
      </c>
      <c r="B53" s="3" t="s">
        <v>219</v>
      </c>
      <c r="C53" s="4" t="s">
        <v>1236</v>
      </c>
      <c r="D53" s="4">
        <f>1*1440+0*60+17</f>
        <v>1457</v>
      </c>
      <c r="E53" s="4" t="s">
        <v>1237</v>
      </c>
      <c r="F53" s="4">
        <f>2*1440+15*60+34</f>
        <v>3814</v>
      </c>
      <c r="G53" s="4" t="s">
        <v>1238</v>
      </c>
      <c r="H53" s="4">
        <f>4*1440+1*60+39</f>
        <v>5859</v>
      </c>
      <c r="I53" s="4" t="s">
        <v>1239</v>
      </c>
      <c r="J53" s="4">
        <f>6*1440+8*60+22</f>
        <v>9142</v>
      </c>
      <c r="K53" s="4" t="s">
        <v>1240</v>
      </c>
      <c r="L53" s="4">
        <f>8*1440+5*60+30</f>
        <v>11850</v>
      </c>
      <c r="M53" s="4" t="s">
        <v>1241</v>
      </c>
      <c r="N53" s="4">
        <f>9*1440+13*60+24</f>
        <v>13764</v>
      </c>
      <c r="O53" s="4" t="s">
        <v>150</v>
      </c>
      <c r="P53" s="4">
        <f>10*1440+9*60+40</f>
        <v>14980</v>
      </c>
      <c r="Q53" s="4" t="s">
        <v>1242</v>
      </c>
      <c r="R53" s="4">
        <f>11*1440+5*60+56</f>
        <v>16196</v>
      </c>
      <c r="S53" s="4" t="s">
        <v>669</v>
      </c>
      <c r="T53" s="4">
        <f>13*1440+2*60+36</f>
        <v>18876</v>
      </c>
      <c r="U53" s="4" t="s">
        <v>1243</v>
      </c>
      <c r="V53" s="4">
        <f>13*1440+10*60+56</f>
        <v>19376</v>
      </c>
      <c r="W53" s="4" t="s">
        <v>1244</v>
      </c>
      <c r="X53" s="4">
        <f>14*1440+9*60+47</f>
        <v>20747</v>
      </c>
      <c r="Y53" s="4" t="s">
        <v>1245</v>
      </c>
      <c r="Z53" s="4">
        <f>15*1440+15*60+53</f>
        <v>22553</v>
      </c>
      <c r="AA53" s="4" t="s">
        <v>1246</v>
      </c>
      <c r="AB53" s="4">
        <f>17*1440+5*60+28</f>
        <v>24808</v>
      </c>
      <c r="AC53" s="4" t="s">
        <v>1247</v>
      </c>
      <c r="AD53" s="4">
        <f>18*1440+11*60+29</f>
        <v>26609</v>
      </c>
      <c r="AE53" s="4" t="s">
        <v>1248</v>
      </c>
      <c r="AF53" s="4">
        <f>20*1440+5*60+45</f>
        <v>29145</v>
      </c>
      <c r="AG53" s="4" t="s">
        <v>1249</v>
      </c>
      <c r="AH53" s="4">
        <f>22*1440+21*60+58</f>
        <v>32998</v>
      </c>
      <c r="AI53" s="4" t="s">
        <v>1250</v>
      </c>
      <c r="AJ53" s="4">
        <f>24*1440+6*60+28</f>
        <v>34948</v>
      </c>
      <c r="AK53" s="4" t="s">
        <v>1251</v>
      </c>
      <c r="AL53" s="4">
        <f>26*1440+9*60+36</f>
        <v>38016</v>
      </c>
      <c r="AM53" s="4" t="s">
        <v>1252</v>
      </c>
      <c r="AN53">
        <f>27*1440+6*60+58</f>
        <v>39298</v>
      </c>
    </row>
    <row r="54" spans="1:40" ht="17.25" thickBot="1" x14ac:dyDescent="0.3">
      <c r="A54">
        <v>53</v>
      </c>
      <c r="B54" s="6" t="s">
        <v>224</v>
      </c>
      <c r="C54" s="7" t="s">
        <v>1253</v>
      </c>
      <c r="D54" s="7">
        <f>1*1440+0*60+21</f>
        <v>1461</v>
      </c>
      <c r="E54" s="7" t="s">
        <v>1254</v>
      </c>
      <c r="F54" s="7">
        <f>2*1440+15*60+35</f>
        <v>3815</v>
      </c>
      <c r="G54" s="7" t="s">
        <v>1255</v>
      </c>
      <c r="H54" s="7">
        <f>4*1440+1*60+45</f>
        <v>5865</v>
      </c>
      <c r="I54" s="7" t="s">
        <v>1256</v>
      </c>
      <c r="J54" s="7">
        <f>6*1440+8*60+19</f>
        <v>9139</v>
      </c>
      <c r="K54" s="7" t="s">
        <v>1257</v>
      </c>
      <c r="L54" s="7">
        <f>8*1440+5*60+36</f>
        <v>11856</v>
      </c>
      <c r="M54" s="7" t="s">
        <v>1258</v>
      </c>
      <c r="N54" s="7">
        <f>9*1440+13*60+25</f>
        <v>13765</v>
      </c>
      <c r="O54" s="7" t="s">
        <v>1259</v>
      </c>
      <c r="P54" s="7">
        <f>10*1440+9*60+41</f>
        <v>14981</v>
      </c>
      <c r="Q54" s="7" t="s">
        <v>1242</v>
      </c>
      <c r="R54" s="7">
        <f>11*1440+5*60+56</f>
        <v>16196</v>
      </c>
      <c r="S54" s="7" t="s">
        <v>1260</v>
      </c>
      <c r="T54" s="7">
        <f>13*1440+2*60+38</f>
        <v>18878</v>
      </c>
      <c r="U54" s="7" t="s">
        <v>1261</v>
      </c>
      <c r="V54" s="7">
        <f>13*1440+22*60+31</f>
        <v>20071</v>
      </c>
      <c r="W54" s="7" t="s">
        <v>1262</v>
      </c>
      <c r="X54" s="7">
        <f>14*1440+9*60+40</f>
        <v>20740</v>
      </c>
      <c r="Y54" s="7" t="s">
        <v>1263</v>
      </c>
      <c r="Z54" s="7">
        <f>15*1440+15*60+52</f>
        <v>22552</v>
      </c>
      <c r="AA54" s="7" t="s">
        <v>1264</v>
      </c>
      <c r="AB54" s="7">
        <f>17*1440+5*60+27</f>
        <v>24807</v>
      </c>
      <c r="AC54" s="7" t="s">
        <v>1247</v>
      </c>
      <c r="AD54" s="7">
        <f>18*1440+11*60+29</f>
        <v>26609</v>
      </c>
      <c r="AE54" s="7" t="s">
        <v>1248</v>
      </c>
      <c r="AF54" s="7">
        <f>20*1440+5*60+45</f>
        <v>29145</v>
      </c>
      <c r="AG54" s="7" t="s">
        <v>1265</v>
      </c>
      <c r="AH54" s="7">
        <f>22*1440+21*60+57</f>
        <v>32997</v>
      </c>
      <c r="AI54" s="7" t="s">
        <v>1266</v>
      </c>
      <c r="AJ54" s="7">
        <f>24*1440+6*60+33</f>
        <v>34953</v>
      </c>
      <c r="AK54" s="7" t="s">
        <v>1267</v>
      </c>
      <c r="AL54" s="7">
        <f>26*1440+9*60+35</f>
        <v>38015</v>
      </c>
      <c r="AM54" s="7" t="s">
        <v>1268</v>
      </c>
      <c r="AN54">
        <f>27*1440+7*60+0</f>
        <v>39300</v>
      </c>
    </row>
    <row r="55" spans="1:40" ht="17.25" thickBot="1" x14ac:dyDescent="0.3">
      <c r="A55">
        <v>54</v>
      </c>
      <c r="B55" s="3" t="s">
        <v>253</v>
      </c>
      <c r="C55" s="4" t="s">
        <v>1269</v>
      </c>
      <c r="D55" s="4">
        <f>1*1440+3*60+37</f>
        <v>1657</v>
      </c>
      <c r="E55" s="4" t="s">
        <v>1270</v>
      </c>
      <c r="F55" s="4">
        <f>3*1440+4*60+56</f>
        <v>4616</v>
      </c>
      <c r="G55" s="4" t="s">
        <v>1271</v>
      </c>
      <c r="H55" s="4">
        <f>5*1440+3*60+54</f>
        <v>7434</v>
      </c>
      <c r="I55" s="4" t="s">
        <v>1272</v>
      </c>
      <c r="J55" s="4">
        <f>7*1440+7*60+27</f>
        <v>10527</v>
      </c>
      <c r="K55" s="4" t="s">
        <v>1273</v>
      </c>
      <c r="L55" s="4">
        <f>9*1440+7*60+4</f>
        <v>13384</v>
      </c>
      <c r="M55" s="4" t="s">
        <v>1274</v>
      </c>
      <c r="N55" s="4">
        <f>11*1440+5*60+50</f>
        <v>16190</v>
      </c>
      <c r="O55" s="4" t="s">
        <v>1275</v>
      </c>
      <c r="P55" s="4">
        <f>12*1440+3*60+3</f>
        <v>17463</v>
      </c>
      <c r="Q55" s="4" t="s">
        <v>1276</v>
      </c>
      <c r="R55" s="4">
        <f>12*1440+14*60+41</f>
        <v>18161</v>
      </c>
      <c r="S55" s="4" t="s">
        <v>1277</v>
      </c>
      <c r="T55" s="4">
        <f>14*1440+9*60+15</f>
        <v>20715</v>
      </c>
      <c r="U55" s="4" t="s">
        <v>1278</v>
      </c>
      <c r="V55" s="4">
        <f>15*1440+3*60+53</f>
        <v>21833</v>
      </c>
      <c r="W55" s="4" t="s">
        <v>1279</v>
      </c>
      <c r="X55" s="4">
        <f>16*1440+1*60+46</f>
        <v>23146</v>
      </c>
      <c r="Y55" s="4" t="s">
        <v>1280</v>
      </c>
      <c r="Z55" s="4">
        <f>17*1440+8*60+40</f>
        <v>25000</v>
      </c>
      <c r="AA55" s="4" t="s">
        <v>1281</v>
      </c>
      <c r="AB55" s="4">
        <f>18*1440+23*60+3</f>
        <v>27303</v>
      </c>
      <c r="AC55" s="4" t="s">
        <v>1282</v>
      </c>
      <c r="AD55" s="4">
        <f>19*1440+13*60+59</f>
        <v>28199</v>
      </c>
      <c r="AE55" s="4" t="s">
        <v>1283</v>
      </c>
      <c r="AF55" s="4">
        <f>21*1440+6*60+33</f>
        <v>30633</v>
      </c>
      <c r="AG55" s="4" t="s">
        <v>1284</v>
      </c>
      <c r="AH55" s="4">
        <f>23*1440+7*60+8</f>
        <v>33548</v>
      </c>
      <c r="AI55" s="4" t="s">
        <v>1285</v>
      </c>
      <c r="AJ55" s="4">
        <f>25*1440+3*60+37</f>
        <v>36217</v>
      </c>
      <c r="AK55" s="4" t="s">
        <v>1286</v>
      </c>
      <c r="AL55" s="4">
        <f>26*1440+15*60+31</f>
        <v>38371</v>
      </c>
      <c r="AM55" s="4" t="s">
        <v>1287</v>
      </c>
      <c r="AN55">
        <f>27*1440+8*60+43</f>
        <v>39403</v>
      </c>
    </row>
    <row r="56" spans="1:40" ht="17.25" thickBot="1" x14ac:dyDescent="0.3">
      <c r="A56">
        <v>55</v>
      </c>
      <c r="B56" s="6" t="s">
        <v>291</v>
      </c>
      <c r="C56" s="7" t="s">
        <v>1288</v>
      </c>
      <c r="D56" s="7">
        <f>0*1440+11*60+56</f>
        <v>716</v>
      </c>
      <c r="E56" s="7" t="s">
        <v>1289</v>
      </c>
      <c r="F56" s="7">
        <f>3*1440+5*60+16</f>
        <v>4636</v>
      </c>
      <c r="G56" s="7" t="s">
        <v>1290</v>
      </c>
      <c r="H56" s="7">
        <f>5*1440+9*60+4</f>
        <v>7744</v>
      </c>
      <c r="I56" s="7" t="s">
        <v>1291</v>
      </c>
      <c r="J56" s="7">
        <f>7*1440+11*60+32</f>
        <v>10772</v>
      </c>
      <c r="K56" s="7" t="s">
        <v>1292</v>
      </c>
      <c r="L56" s="7">
        <f>9*1440+9*60+50</f>
        <v>13550</v>
      </c>
      <c r="M56" s="7" t="s">
        <v>1293</v>
      </c>
      <c r="N56" s="7">
        <f>11*1440+10*60+0</f>
        <v>16440</v>
      </c>
      <c r="O56" s="7" t="s">
        <v>1294</v>
      </c>
      <c r="P56" s="7">
        <f>12*1440+7*60+23</f>
        <v>17723</v>
      </c>
      <c r="Q56" s="7" t="s">
        <v>1295</v>
      </c>
      <c r="R56" s="7">
        <f>13*1440+5*60+1</f>
        <v>19021</v>
      </c>
      <c r="S56" s="7" t="s">
        <v>1296</v>
      </c>
      <c r="T56" s="7">
        <f>15*1440+2*60+13</f>
        <v>21733</v>
      </c>
      <c r="U56" s="7" t="s">
        <v>1297</v>
      </c>
      <c r="V56" s="7">
        <f>15*1440+8*60+10</f>
        <v>22090</v>
      </c>
      <c r="W56" s="7" t="s">
        <v>1298</v>
      </c>
      <c r="X56" s="7">
        <f>16*1440+7*60+24</f>
        <v>23484</v>
      </c>
      <c r="Y56" s="7" t="s">
        <v>1299</v>
      </c>
      <c r="Z56" s="7">
        <f>17*1440+10*60+46</f>
        <v>25126</v>
      </c>
      <c r="AA56" s="7" t="s">
        <v>1300</v>
      </c>
      <c r="AB56" s="7">
        <f>18*1440+15*60+21</f>
        <v>26841</v>
      </c>
      <c r="AC56" s="7" t="s">
        <v>1301</v>
      </c>
      <c r="AD56" s="7">
        <f>20*1440+5*60+32</f>
        <v>29132</v>
      </c>
      <c r="AE56" s="7" t="s">
        <v>1302</v>
      </c>
      <c r="AF56" s="7">
        <f>22*1440+2*60+27</f>
        <v>31827</v>
      </c>
      <c r="AG56" s="7" t="s">
        <v>1303</v>
      </c>
      <c r="AH56" s="7">
        <f>24*1440+1*60+21</f>
        <v>34641</v>
      </c>
      <c r="AI56" s="7" t="s">
        <v>1304</v>
      </c>
      <c r="AJ56" s="7">
        <f>25*1440+6*60+59</f>
        <v>36419</v>
      </c>
      <c r="AK56" s="7" t="s">
        <v>1305</v>
      </c>
      <c r="AL56" s="7">
        <f>26*1440+14*60+43</f>
        <v>38323</v>
      </c>
      <c r="AM56" s="7" t="s">
        <v>1306</v>
      </c>
      <c r="AN56">
        <f>27*1440+11*60+47</f>
        <v>39587</v>
      </c>
    </row>
    <row r="57" spans="1:40" ht="17.25" thickBot="1" x14ac:dyDescent="0.3">
      <c r="A57">
        <v>56</v>
      </c>
      <c r="B57" s="3" t="s">
        <v>236</v>
      </c>
      <c r="C57" s="4" t="s">
        <v>1307</v>
      </c>
      <c r="D57" s="4">
        <f>1*1440+0*60+20</f>
        <v>1460</v>
      </c>
      <c r="E57" s="4" t="s">
        <v>1308</v>
      </c>
      <c r="F57" s="4">
        <f>3*1440+6*60+27</f>
        <v>4707</v>
      </c>
      <c r="G57" s="4" t="s">
        <v>1309</v>
      </c>
      <c r="H57" s="4">
        <f>5*1440+23*60+26</f>
        <v>8606</v>
      </c>
      <c r="I57" s="4" t="s">
        <v>1310</v>
      </c>
      <c r="J57" s="4">
        <f>7*1440+23*60+44</f>
        <v>11504</v>
      </c>
      <c r="K57" s="4" t="s">
        <v>1311</v>
      </c>
      <c r="L57" s="4">
        <f>9*1440+9*60+19</f>
        <v>13519</v>
      </c>
      <c r="M57" s="4" t="s">
        <v>1312</v>
      </c>
      <c r="N57" s="4">
        <f>11*1440+10*60+26</f>
        <v>16466</v>
      </c>
      <c r="O57" s="4" t="s">
        <v>1313</v>
      </c>
      <c r="P57" s="4">
        <f>12*1440+6*60+2</f>
        <v>17642</v>
      </c>
      <c r="Q57" s="4" t="s">
        <v>1314</v>
      </c>
      <c r="R57" s="4">
        <f>13*1440+5*60+50</f>
        <v>19070</v>
      </c>
      <c r="S57" s="4" t="s">
        <v>1315</v>
      </c>
      <c r="T57" s="4">
        <f>15*1440+0*60+2</f>
        <v>21602</v>
      </c>
      <c r="U57" s="4" t="s">
        <v>1316</v>
      </c>
      <c r="V57" s="4">
        <f>15*1440+9*60+3</f>
        <v>22143</v>
      </c>
      <c r="W57" s="4" t="s">
        <v>1317</v>
      </c>
      <c r="X57" s="4">
        <f>16*1440+6*60+29</f>
        <v>23429</v>
      </c>
      <c r="Y57" s="4" t="s">
        <v>1318</v>
      </c>
      <c r="Z57" s="4">
        <f>17*1440+12*60+37</f>
        <v>25237</v>
      </c>
      <c r="AA57" s="4" t="s">
        <v>549</v>
      </c>
      <c r="AB57" s="4">
        <f>19*1440+1*60+2</f>
        <v>27422</v>
      </c>
      <c r="AC57" s="4" t="s">
        <v>1319</v>
      </c>
      <c r="AD57" s="4">
        <f>20*1440+1*60+28</f>
        <v>28888</v>
      </c>
      <c r="AE57" s="4" t="s">
        <v>1320</v>
      </c>
      <c r="AF57" s="4">
        <f>21*1440+11*60+54</f>
        <v>30954</v>
      </c>
      <c r="AG57" s="4" t="s">
        <v>1321</v>
      </c>
      <c r="AH57" s="4">
        <f>24*1440+0*60+51</f>
        <v>34611</v>
      </c>
      <c r="AI57" s="4" t="s">
        <v>1322</v>
      </c>
      <c r="AJ57" s="4">
        <f>25*1440+6*60+12</f>
        <v>36372</v>
      </c>
      <c r="AK57" s="4" t="s">
        <v>1323</v>
      </c>
      <c r="AL57" s="4">
        <f>26*1440+23*60+48</f>
        <v>38868</v>
      </c>
      <c r="AM57" s="4" t="s">
        <v>1306</v>
      </c>
      <c r="AN57">
        <f>27*1440+11*60+47</f>
        <v>39587</v>
      </c>
    </row>
    <row r="58" spans="1:40" ht="17.25" thickBot="1" x14ac:dyDescent="0.3">
      <c r="A58">
        <v>57</v>
      </c>
      <c r="B58" s="6" t="s">
        <v>248</v>
      </c>
      <c r="C58" s="7" t="s">
        <v>1324</v>
      </c>
      <c r="D58" s="7">
        <f>0*1440+13*60+2</f>
        <v>782</v>
      </c>
      <c r="E58" s="7" t="s">
        <v>1325</v>
      </c>
      <c r="F58" s="7">
        <f>3*1440+13*60+2</f>
        <v>5102</v>
      </c>
      <c r="G58" s="7" t="s">
        <v>1326</v>
      </c>
      <c r="H58" s="7">
        <f>6*1440+1*60+6</f>
        <v>8706</v>
      </c>
      <c r="I58" s="7" t="s">
        <v>1327</v>
      </c>
      <c r="J58" s="7">
        <f>8*1440+1*60+31</f>
        <v>11611</v>
      </c>
      <c r="K58" s="7" t="s">
        <v>1328</v>
      </c>
      <c r="L58" s="7">
        <f>9*1440+10*60+47</f>
        <v>13607</v>
      </c>
      <c r="M58" s="7" t="s">
        <v>1329</v>
      </c>
      <c r="N58" s="7">
        <f>11*1440+10*60+22</f>
        <v>16462</v>
      </c>
      <c r="O58" s="7" t="s">
        <v>1330</v>
      </c>
      <c r="P58" s="7">
        <f>12*1440+7*60+25</f>
        <v>17725</v>
      </c>
      <c r="Q58" s="7" t="s">
        <v>197</v>
      </c>
      <c r="R58" s="7">
        <f>13*1440+5*60+27</f>
        <v>19047</v>
      </c>
      <c r="S58" s="7" t="s">
        <v>1331</v>
      </c>
      <c r="T58" s="7">
        <f>15*1440+1*60+52</f>
        <v>21712</v>
      </c>
      <c r="U58" s="7" t="s">
        <v>1332</v>
      </c>
      <c r="V58" s="7">
        <f>15*1440+9*60+0</f>
        <v>22140</v>
      </c>
      <c r="W58" s="7" t="s">
        <v>1333</v>
      </c>
      <c r="X58" s="7">
        <f>16*1440+8*60+26</f>
        <v>23546</v>
      </c>
      <c r="Y58" s="7" t="s">
        <v>1334</v>
      </c>
      <c r="Z58" s="7">
        <f>17*1440+11*60+54</f>
        <v>25194</v>
      </c>
      <c r="AA58" s="7" t="s">
        <v>1335</v>
      </c>
      <c r="AB58" s="7">
        <f>18*1440+16*60+33</f>
        <v>26913</v>
      </c>
      <c r="AC58" s="7" t="s">
        <v>1336</v>
      </c>
      <c r="AD58" s="7">
        <f>20*1440+5*60+38</f>
        <v>29138</v>
      </c>
      <c r="AE58" s="7" t="s">
        <v>1337</v>
      </c>
      <c r="AF58" s="7">
        <f>22*1440+2*60+36</f>
        <v>31836</v>
      </c>
      <c r="AG58" s="7" t="s">
        <v>1338</v>
      </c>
      <c r="AH58" s="7">
        <f>23*1440+13*60+15</f>
        <v>33915</v>
      </c>
      <c r="AI58" s="7" t="s">
        <v>1339</v>
      </c>
      <c r="AJ58" s="7">
        <f>25*1440+11*60+7</f>
        <v>36667</v>
      </c>
      <c r="AK58" s="7" t="s">
        <v>1340</v>
      </c>
      <c r="AL58" s="7">
        <f>26*1440+18*60+4</f>
        <v>38524</v>
      </c>
      <c r="AM58" s="7" t="s">
        <v>1341</v>
      </c>
      <c r="AN58">
        <f>27*1440+11*60+50</f>
        <v>39590</v>
      </c>
    </row>
    <row r="59" spans="1:40" ht="17.25" thickBot="1" x14ac:dyDescent="0.3">
      <c r="A59">
        <v>58</v>
      </c>
      <c r="B59" s="3" t="s">
        <v>282</v>
      </c>
      <c r="C59" s="4" t="s">
        <v>1342</v>
      </c>
      <c r="D59" s="4">
        <f>1*1440+0*60+22</f>
        <v>1462</v>
      </c>
      <c r="E59" s="4" t="s">
        <v>1343</v>
      </c>
      <c r="F59" s="4">
        <f>2*1440+13*60+24</f>
        <v>3684</v>
      </c>
      <c r="G59" s="4" t="s">
        <v>1344</v>
      </c>
      <c r="H59" s="4">
        <f>5*1440+13*60+12</f>
        <v>7992</v>
      </c>
      <c r="I59" s="4" t="s">
        <v>1345</v>
      </c>
      <c r="J59" s="4">
        <f>8*1440+0*60+45</f>
        <v>11565</v>
      </c>
      <c r="K59" s="4" t="s">
        <v>1346</v>
      </c>
      <c r="L59" s="4">
        <f>9*1440+10*60+2</f>
        <v>13562</v>
      </c>
      <c r="M59" s="4" t="s">
        <v>1347</v>
      </c>
      <c r="N59" s="4">
        <f>11*1440+10*60+16</f>
        <v>16456</v>
      </c>
      <c r="O59" s="4" t="s">
        <v>1330</v>
      </c>
      <c r="P59" s="4">
        <f>12*1440+7*60+25</f>
        <v>17725</v>
      </c>
      <c r="Q59" s="4" t="s">
        <v>1348</v>
      </c>
      <c r="R59" s="4">
        <f>13*1440+6*60+40</f>
        <v>19120</v>
      </c>
      <c r="S59" s="4" t="s">
        <v>1349</v>
      </c>
      <c r="T59" s="4">
        <f>15*1440+1*60+28</f>
        <v>21688</v>
      </c>
      <c r="U59" s="4" t="s">
        <v>1350</v>
      </c>
      <c r="V59" s="4">
        <f>15*1440+7*60+55</f>
        <v>22075</v>
      </c>
      <c r="W59" s="4" t="s">
        <v>1351</v>
      </c>
      <c r="X59" s="4">
        <f>16*1440+8*60+4</f>
        <v>23524</v>
      </c>
      <c r="Y59" s="4" t="s">
        <v>1352</v>
      </c>
      <c r="Z59" s="4">
        <f>17*1440+11*60+49</f>
        <v>25189</v>
      </c>
      <c r="AA59" s="4" t="s">
        <v>1353</v>
      </c>
      <c r="AB59" s="4">
        <f>18*1440+15*60+27</f>
        <v>26847</v>
      </c>
      <c r="AC59" s="4" t="s">
        <v>1354</v>
      </c>
      <c r="AD59" s="4">
        <f>20*1440+5*60+28</f>
        <v>29128</v>
      </c>
      <c r="AE59" s="4" t="s">
        <v>1302</v>
      </c>
      <c r="AF59" s="4">
        <f>22*1440+2*60+27</f>
        <v>31827</v>
      </c>
      <c r="AG59" s="4" t="s">
        <v>1355</v>
      </c>
      <c r="AH59" s="4">
        <f>24*1440+0*60+9</f>
        <v>34569</v>
      </c>
      <c r="AI59" s="4" t="s">
        <v>1356</v>
      </c>
      <c r="AJ59" s="4">
        <f>25*1440+6*60+58</f>
        <v>36418</v>
      </c>
      <c r="AK59" s="4" t="s">
        <v>1357</v>
      </c>
      <c r="AL59" s="4">
        <f>26*1440+14*60+42</f>
        <v>38322</v>
      </c>
      <c r="AM59" s="4" t="s">
        <v>1358</v>
      </c>
      <c r="AN59">
        <f>27*1440+11*60+52</f>
        <v>39592</v>
      </c>
    </row>
    <row r="60" spans="1:40" ht="17.25" thickBot="1" x14ac:dyDescent="0.3">
      <c r="A60">
        <v>59</v>
      </c>
      <c r="B60" s="6" t="s">
        <v>191</v>
      </c>
      <c r="C60" s="7" t="s">
        <v>1359</v>
      </c>
      <c r="D60" s="7">
        <f>0*1440+14*60+7</f>
        <v>847</v>
      </c>
      <c r="E60" s="7" t="s">
        <v>1360</v>
      </c>
      <c r="F60" s="7">
        <f>3*1440+0*60+8</f>
        <v>4328</v>
      </c>
      <c r="G60" s="7" t="s">
        <v>1361</v>
      </c>
      <c r="H60" s="7">
        <f>5*1440+12*60+42</f>
        <v>7962</v>
      </c>
      <c r="I60" s="7" t="s">
        <v>1362</v>
      </c>
      <c r="J60" s="7">
        <f>7*1440+22*60+44</f>
        <v>11444</v>
      </c>
      <c r="K60" s="7" t="s">
        <v>1363</v>
      </c>
      <c r="L60" s="7">
        <f>9*1440+9*60+38</f>
        <v>13538</v>
      </c>
      <c r="M60" s="7" t="s">
        <v>1364</v>
      </c>
      <c r="N60" s="7">
        <f>11*1440+6*60+24</f>
        <v>16224</v>
      </c>
      <c r="O60" s="7" t="s">
        <v>741</v>
      </c>
      <c r="P60" s="7">
        <f>12*1440+3*60+7</f>
        <v>17467</v>
      </c>
      <c r="Q60" s="7" t="s">
        <v>1365</v>
      </c>
      <c r="R60" s="7">
        <f>12*1440+23*60+37</f>
        <v>18697</v>
      </c>
      <c r="S60" s="7" t="s">
        <v>1366</v>
      </c>
      <c r="T60" s="7">
        <f>14*1440+11*60+38</f>
        <v>20858</v>
      </c>
      <c r="U60" s="7" t="s">
        <v>1367</v>
      </c>
      <c r="V60" s="7">
        <f>15*1440+6*60+58</f>
        <v>22018</v>
      </c>
      <c r="W60" s="7" t="s">
        <v>1368</v>
      </c>
      <c r="X60" s="7">
        <f>16*1440+2*60+47</f>
        <v>23207</v>
      </c>
      <c r="Y60" s="7" t="s">
        <v>1369</v>
      </c>
      <c r="Z60" s="7">
        <f>17*1440+10*60+3</f>
        <v>25083</v>
      </c>
      <c r="AA60" s="7" t="s">
        <v>1370</v>
      </c>
      <c r="AB60" s="7">
        <f>18*1440+14*60+23</f>
        <v>26783</v>
      </c>
      <c r="AC60" s="7" t="s">
        <v>1371</v>
      </c>
      <c r="AD60" s="7">
        <f>20*1440+1*60+43</f>
        <v>28903</v>
      </c>
      <c r="AE60" s="7" t="s">
        <v>1372</v>
      </c>
      <c r="AF60" s="7">
        <f>21*1440+12*60+50</f>
        <v>31010</v>
      </c>
      <c r="AG60" s="7" t="s">
        <v>1373</v>
      </c>
      <c r="AH60" s="7">
        <f>23*1440+12*60+51</f>
        <v>33891</v>
      </c>
      <c r="AI60" s="7" t="s">
        <v>1374</v>
      </c>
      <c r="AJ60" s="7">
        <f>25*1440+6*60+28</f>
        <v>36388</v>
      </c>
      <c r="AK60" s="7" t="s">
        <v>1375</v>
      </c>
      <c r="AL60" s="7">
        <f>27*1440+4*60+31</f>
        <v>39151</v>
      </c>
      <c r="AM60" s="7" t="s">
        <v>1376</v>
      </c>
      <c r="AN60">
        <f>27*1440+18*60+34</f>
        <v>39994</v>
      </c>
    </row>
    <row r="61" spans="1:40" ht="17.25" thickBot="1" x14ac:dyDescent="0.3">
      <c r="A61">
        <v>60</v>
      </c>
      <c r="B61" s="3" t="s">
        <v>269</v>
      </c>
      <c r="C61" s="4" t="s">
        <v>1377</v>
      </c>
      <c r="D61" s="4">
        <f>0*1440+14*60+1</f>
        <v>841</v>
      </c>
      <c r="E61" s="4" t="s">
        <v>1378</v>
      </c>
      <c r="F61" s="4">
        <f>3*1440+5*60+11</f>
        <v>4631</v>
      </c>
      <c r="G61" s="4" t="s">
        <v>1379</v>
      </c>
      <c r="H61" s="4">
        <f>5*1440+2*60+48</f>
        <v>7368</v>
      </c>
      <c r="I61" s="4" t="s">
        <v>1380</v>
      </c>
      <c r="J61" s="4">
        <f>7*1440+6*60+43</f>
        <v>10483</v>
      </c>
      <c r="K61" s="4" t="s">
        <v>1381</v>
      </c>
      <c r="L61" s="4">
        <f>9*1440+6*60+21</f>
        <v>13341</v>
      </c>
      <c r="M61" s="4" t="s">
        <v>1382</v>
      </c>
      <c r="N61" s="4">
        <f>11*1440+6*60+26</f>
        <v>16226</v>
      </c>
      <c r="O61" s="4" t="s">
        <v>1383</v>
      </c>
      <c r="P61" s="4">
        <f>12*1440+3*60+46</f>
        <v>17506</v>
      </c>
      <c r="Q61" s="4" t="s">
        <v>1384</v>
      </c>
      <c r="R61" s="4">
        <f>13*1440+1*60+56</f>
        <v>18836</v>
      </c>
      <c r="S61" s="4" t="s">
        <v>1385</v>
      </c>
      <c r="T61" s="4">
        <f>15*1440+1*60+10</f>
        <v>21670</v>
      </c>
      <c r="U61" s="4" t="s">
        <v>1386</v>
      </c>
      <c r="V61" s="4">
        <f>15*1440+10*60+20</f>
        <v>22220</v>
      </c>
      <c r="W61" s="4" t="s">
        <v>781</v>
      </c>
      <c r="X61" s="4">
        <f>16*1440+8*60+20</f>
        <v>23540</v>
      </c>
      <c r="Y61" s="4" t="s">
        <v>1387</v>
      </c>
      <c r="Z61" s="4">
        <f>17*1440+12*60+45</f>
        <v>25245</v>
      </c>
      <c r="AA61" s="4" t="s">
        <v>1388</v>
      </c>
      <c r="AB61" s="4">
        <f>18*1440+16*60+8</f>
        <v>26888</v>
      </c>
      <c r="AC61" s="4" t="s">
        <v>1389</v>
      </c>
      <c r="AD61" s="4">
        <f>19*1440+16*60+8</f>
        <v>28328</v>
      </c>
      <c r="AE61" s="4" t="s">
        <v>1390</v>
      </c>
      <c r="AF61" s="4">
        <f>21*1440+11*60+18</f>
        <v>30918</v>
      </c>
      <c r="AG61" s="4" t="s">
        <v>1391</v>
      </c>
      <c r="AH61" s="4">
        <f>23*1440+14*60+17</f>
        <v>33977</v>
      </c>
      <c r="AI61" s="4" t="s">
        <v>1392</v>
      </c>
      <c r="AJ61" s="4">
        <f>25*1440+8*60+7</f>
        <v>36487</v>
      </c>
      <c r="AK61" s="4" t="s">
        <v>1393</v>
      </c>
      <c r="AL61" s="4">
        <f>27*1440+5*60+28</f>
        <v>39208</v>
      </c>
      <c r="AM61" s="4" t="s">
        <v>1394</v>
      </c>
      <c r="AN61">
        <f>28*1440+0*60+28</f>
        <v>40348</v>
      </c>
    </row>
    <row r="62" spans="1:40" ht="17.25" thickBot="1" x14ac:dyDescent="0.3">
      <c r="A62">
        <v>61</v>
      </c>
      <c r="B62" s="6" t="s">
        <v>196</v>
      </c>
      <c r="C62" s="7" t="s">
        <v>1395</v>
      </c>
      <c r="D62" s="7">
        <f>0*1440+14*60+6</f>
        <v>846</v>
      </c>
      <c r="E62" s="7" t="s">
        <v>1396</v>
      </c>
      <c r="F62" s="7">
        <f>2*1440+11*60+45</f>
        <v>3585</v>
      </c>
      <c r="G62" s="7" t="s">
        <v>1397</v>
      </c>
      <c r="H62" s="7">
        <f>4*1440+1*60+17</f>
        <v>5837</v>
      </c>
      <c r="I62" s="7" t="s">
        <v>1398</v>
      </c>
      <c r="J62" s="7">
        <f>6*1440+10*60+49</f>
        <v>9289</v>
      </c>
      <c r="K62" s="7" t="s">
        <v>1202</v>
      </c>
      <c r="L62" s="7">
        <f>9*1440+6*60+48</f>
        <v>13368</v>
      </c>
      <c r="M62" s="7" t="s">
        <v>1399</v>
      </c>
      <c r="N62" s="7">
        <f>11*1440+6*60+29</f>
        <v>16229</v>
      </c>
      <c r="O62" s="7" t="s">
        <v>1400</v>
      </c>
      <c r="P62" s="7">
        <f>12*1440+3*60+30</f>
        <v>17490</v>
      </c>
      <c r="Q62" s="7" t="s">
        <v>1401</v>
      </c>
      <c r="R62" s="7">
        <f>13*1440+2*60+14</f>
        <v>18854</v>
      </c>
      <c r="S62" s="7" t="s">
        <v>1402</v>
      </c>
      <c r="T62" s="7">
        <f>15*1440+1*60+34</f>
        <v>21694</v>
      </c>
      <c r="U62" s="7" t="s">
        <v>1403</v>
      </c>
      <c r="V62" s="7">
        <f>15*1440+10*60+41</f>
        <v>22241</v>
      </c>
      <c r="W62" s="7" t="s">
        <v>1049</v>
      </c>
      <c r="X62" s="7">
        <f>16*1440+9*60+2</f>
        <v>23582</v>
      </c>
      <c r="Y62" s="7" t="s">
        <v>1404</v>
      </c>
      <c r="Z62" s="7">
        <f>17*1440+14*60+3</f>
        <v>25323</v>
      </c>
      <c r="AA62" s="7" t="s">
        <v>1405</v>
      </c>
      <c r="AB62" s="7">
        <f>19*1440+4*60+34</f>
        <v>27634</v>
      </c>
      <c r="AC62" s="7" t="s">
        <v>1406</v>
      </c>
      <c r="AD62" s="7">
        <f>20*1440+7*60+10</f>
        <v>29230</v>
      </c>
      <c r="AE62" s="7" t="s">
        <v>1407</v>
      </c>
      <c r="AF62" s="7">
        <f>22*1440+0*60+20</f>
        <v>31700</v>
      </c>
      <c r="AG62" s="7" t="s">
        <v>1408</v>
      </c>
      <c r="AH62" s="7">
        <f>24*1440+1*60+12</f>
        <v>34632</v>
      </c>
      <c r="AI62" s="7" t="s">
        <v>1409</v>
      </c>
      <c r="AJ62" s="7">
        <f>25*1440+8*60+26</f>
        <v>36506</v>
      </c>
      <c r="AK62" s="7" t="s">
        <v>222</v>
      </c>
      <c r="AL62" s="7">
        <f>27*1440+6*60+15</f>
        <v>39255</v>
      </c>
      <c r="AM62" s="7" t="s">
        <v>1410</v>
      </c>
      <c r="AN62">
        <f>28*1440+1*60+59</f>
        <v>40439</v>
      </c>
    </row>
    <row r="63" spans="1:40" ht="17.25" thickBot="1" x14ac:dyDescent="0.3">
      <c r="A63">
        <v>62</v>
      </c>
      <c r="B63" s="3" t="s">
        <v>286</v>
      </c>
      <c r="C63" s="4" t="s">
        <v>1411</v>
      </c>
      <c r="D63" s="4">
        <f>0*1440+13*60+45</f>
        <v>825</v>
      </c>
      <c r="E63" s="4" t="s">
        <v>1412</v>
      </c>
      <c r="F63" s="4">
        <f>3*1440+5*60+12</f>
        <v>4632</v>
      </c>
      <c r="G63" s="4" t="s">
        <v>1413</v>
      </c>
      <c r="H63" s="4">
        <f>5*1440+0*60+37</f>
        <v>7237</v>
      </c>
      <c r="I63" s="4" t="s">
        <v>1414</v>
      </c>
      <c r="J63" s="4">
        <f>7*1440+0*60+41</f>
        <v>10121</v>
      </c>
      <c r="K63" s="4" t="s">
        <v>1415</v>
      </c>
      <c r="L63" s="4">
        <f>8*1440+23*60+9</f>
        <v>12909</v>
      </c>
      <c r="M63" s="4" t="s">
        <v>1416</v>
      </c>
      <c r="N63" s="4">
        <f>11*1440+4*60+56</f>
        <v>16136</v>
      </c>
      <c r="O63" s="4" t="s">
        <v>1417</v>
      </c>
      <c r="P63" s="4">
        <f>12*1440+2*60+4</f>
        <v>17404</v>
      </c>
      <c r="Q63" s="4" t="s">
        <v>1418</v>
      </c>
      <c r="R63" s="4">
        <f>12*1440+12*60+11</f>
        <v>18011</v>
      </c>
      <c r="S63" s="4" t="s">
        <v>1419</v>
      </c>
      <c r="T63" s="4">
        <f>14*1440+9*60+19</f>
        <v>20719</v>
      </c>
      <c r="U63" s="4" t="s">
        <v>1420</v>
      </c>
      <c r="V63" s="4">
        <f>15*1440+3*60+46</f>
        <v>21826</v>
      </c>
      <c r="W63" s="4" t="s">
        <v>1421</v>
      </c>
      <c r="X63" s="4">
        <f>16*1440+1*60+42</f>
        <v>23142</v>
      </c>
      <c r="Y63" s="4" t="s">
        <v>1422</v>
      </c>
      <c r="Z63" s="4">
        <f>17*1440+23*60+47</f>
        <v>25907</v>
      </c>
      <c r="AA63" s="4" t="s">
        <v>1423</v>
      </c>
      <c r="AB63" s="4">
        <f>18*1440+15*60+35</f>
        <v>26855</v>
      </c>
      <c r="AC63" s="4" t="s">
        <v>1424</v>
      </c>
      <c r="AD63" s="4">
        <f>20*1440+2*60+2</f>
        <v>28922</v>
      </c>
      <c r="AE63" s="4" t="s">
        <v>1425</v>
      </c>
      <c r="AF63" s="4">
        <f>22*1440+5*60+44</f>
        <v>32024</v>
      </c>
      <c r="AG63" s="4" t="s">
        <v>1250</v>
      </c>
      <c r="AH63" s="4">
        <f>24*1440+6*60+28</f>
        <v>34948</v>
      </c>
      <c r="AI63" s="4" t="s">
        <v>1426</v>
      </c>
      <c r="AJ63" s="4">
        <f>25*1440+12*60+18</f>
        <v>36738</v>
      </c>
      <c r="AK63" s="4" t="s">
        <v>1427</v>
      </c>
      <c r="AL63" s="4">
        <f>27*1440+11*60+58</f>
        <v>39598</v>
      </c>
      <c r="AM63" s="4" t="s">
        <v>1428</v>
      </c>
      <c r="AN63">
        <f>28*1440+11*60+30</f>
        <v>41010</v>
      </c>
    </row>
    <row r="64" spans="1:40" ht="17.25" thickBot="1" x14ac:dyDescent="0.3">
      <c r="A64">
        <v>63</v>
      </c>
      <c r="B64" s="6" t="s">
        <v>277</v>
      </c>
      <c r="C64" s="7" t="s">
        <v>1429</v>
      </c>
      <c r="D64" s="7">
        <f>0*1440+14*60+8</f>
        <v>848</v>
      </c>
      <c r="E64" s="7" t="s">
        <v>1077</v>
      </c>
      <c r="F64" s="7">
        <f>3*1440+12*60+9</f>
        <v>5049</v>
      </c>
      <c r="G64" s="7" t="s">
        <v>1430</v>
      </c>
      <c r="H64" s="7">
        <f>5*1440+7*60+42</f>
        <v>7662</v>
      </c>
      <c r="I64" s="7" t="s">
        <v>1431</v>
      </c>
      <c r="J64" s="7">
        <f>8*1440+3*60+25</f>
        <v>11725</v>
      </c>
      <c r="K64" s="7" t="s">
        <v>1432</v>
      </c>
      <c r="L64" s="7">
        <f>10*1440+1*60+33</f>
        <v>14493</v>
      </c>
      <c r="M64" s="7" t="s">
        <v>1433</v>
      </c>
      <c r="N64" s="7">
        <f>12*1440+2*60+21</f>
        <v>17421</v>
      </c>
      <c r="O64" s="7" t="s">
        <v>1434</v>
      </c>
      <c r="P64" s="7">
        <f>13*1440+2*60+15</f>
        <v>18855</v>
      </c>
      <c r="Q64" s="7" t="s">
        <v>1435</v>
      </c>
      <c r="R64" s="7">
        <f>13*1440+14*60+12</f>
        <v>19572</v>
      </c>
      <c r="S64" s="7" t="s">
        <v>1436</v>
      </c>
      <c r="T64" s="7">
        <f>15*1440+10*60+54</f>
        <v>22254</v>
      </c>
      <c r="U64" s="7" t="s">
        <v>1437</v>
      </c>
      <c r="V64" s="7">
        <f>17*1440+4*60+3</f>
        <v>24723</v>
      </c>
      <c r="W64" s="7" t="s">
        <v>1437</v>
      </c>
      <c r="X64" s="7">
        <f>17*1440+4*60+3</f>
        <v>24723</v>
      </c>
      <c r="Y64" s="7" t="s">
        <v>1438</v>
      </c>
      <c r="Z64" s="7">
        <f>18*1440+6*60+48</f>
        <v>26328</v>
      </c>
      <c r="AA64" s="7" t="s">
        <v>1439</v>
      </c>
      <c r="AB64" s="7">
        <f>20*1440+2*60+39</f>
        <v>28959</v>
      </c>
      <c r="AC64" s="7" t="s">
        <v>1440</v>
      </c>
      <c r="AD64" s="7">
        <f>21*1440+5*60+14</f>
        <v>30554</v>
      </c>
      <c r="AE64" s="7" t="s">
        <v>1441</v>
      </c>
      <c r="AF64" s="7">
        <f>23*1440+3*60+30</f>
        <v>33330</v>
      </c>
      <c r="AG64" s="7" t="s">
        <v>1442</v>
      </c>
      <c r="AH64" s="7">
        <f>25*1440+8*60+5</f>
        <v>36485</v>
      </c>
      <c r="AI64" s="7" t="s">
        <v>1443</v>
      </c>
      <c r="AJ64" s="7">
        <f>27*1440+1*60+19</f>
        <v>38959</v>
      </c>
      <c r="AK64" s="7" t="s">
        <v>1444</v>
      </c>
      <c r="AL64" s="7">
        <f>28*1440+21*60+51</f>
        <v>41631</v>
      </c>
      <c r="AM64" s="7" t="s">
        <v>281</v>
      </c>
      <c r="AN64">
        <f>29*1440+22*60+24</f>
        <v>43104</v>
      </c>
    </row>
    <row r="65" spans="2:39" ht="17.25" thickBot="1" x14ac:dyDescent="0.3">
      <c r="B65" s="3"/>
      <c r="C65" s="4"/>
      <c r="D65" s="4" t="s">
        <v>1498</v>
      </c>
      <c r="E65" s="4"/>
      <c r="F65" s="4" t="s">
        <v>1498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2:39" ht="17.25" thickBot="1" x14ac:dyDescent="0.3"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2:39" ht="17.25" thickBot="1" x14ac:dyDescent="0.3"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2:39" ht="17.25" thickBot="1" x14ac:dyDescent="0.3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2:39" ht="17.25" thickBot="1" x14ac:dyDescent="0.3"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2:39" ht="17.25" thickBot="1" x14ac:dyDescent="0.3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2:39" ht="17.25" thickBot="1" x14ac:dyDescent="0.3"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2:39" ht="17.25" thickBot="1" x14ac:dyDescent="0.3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2:39" ht="17.25" thickBot="1" x14ac:dyDescent="0.3"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2:39" ht="17.25" thickBot="1" x14ac:dyDescent="0.3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2:39" ht="17.25" thickBot="1" x14ac:dyDescent="0.3"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2:39" ht="17.25" thickBot="1" x14ac:dyDescent="0.3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2:39" ht="17.25" thickBot="1" x14ac:dyDescent="0.3"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2:39" ht="17.25" thickBot="1" x14ac:dyDescent="0.3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2:39" ht="17.25" thickBot="1" x14ac:dyDescent="0.3"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spans="2:39" ht="17.25" thickBot="1" x14ac:dyDescent="0.3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2:39" ht="16.5" x14ac:dyDescent="0.25"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13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</sheetData>
  <autoFilter ref="B1:AN65" xr:uid="{18752C8A-E0E7-4AC2-8320-8662BD66C71B}"/>
  <hyperlinks>
    <hyperlink ref="B3" r:id="rId1" display="https://trackleaders.com/tourdivide22i.php?name=Manu_Cattrysse" xr:uid="{A7E7A661-75EC-445A-8716-CB1CCFD1AC11}"/>
    <hyperlink ref="B4" r:id="rId2" display="https://trackleaders.com/tourdivide22i.php?name=Adrien_Liechti" xr:uid="{036F2BB0-5487-47CE-B92A-D7D37023A907}"/>
    <hyperlink ref="B5" r:id="rId3" display="https://trackleaders.com/tourdivide22i.php?name=Abe_Kaufman" xr:uid="{81E10B8B-DF22-4963-BE55-1253434DEE7C}"/>
    <hyperlink ref="B6" r:id="rId4" display="https://trackleaders.com/tourdivide22i.php?name=Andy_Leveto" xr:uid="{9C5DC802-E485-4707-89B1-C6B9D47E7FC3}"/>
    <hyperlink ref="B7" r:id="rId5" display="https://trackleaders.com/tourdivide22i.php?name=Danny_Green" xr:uid="{EE8C970B-E816-43E1-890F-D53317328734}"/>
    <hyperlink ref="B8" r:id="rId6" display="https://trackleaders.com/tourdivide22i.php?name=Ben_Steurbaut" xr:uid="{5945D3C8-A7CE-48F2-905D-99EDB2E659E2}"/>
    <hyperlink ref="B9" r:id="rId7" display="https://trackleaders.com/tourdivide22i.php?name=Tim_Tait" xr:uid="{2CC3E793-455E-40B8-854C-E013D7D4F94D}"/>
    <hyperlink ref="B10" r:id="rId8" display="https://trackleaders.com/tourdivide22i.php?name=Andrew_Strempke" xr:uid="{9956D8B4-6A48-49D6-BB15-8B3967270714}"/>
    <hyperlink ref="B11" r:id="rId9" display="https://trackleaders.com/tourdivide22i.php?name=Daniel_Connell" xr:uid="{6009E6C6-4F4B-4993-A376-B05054355AEB}"/>
    <hyperlink ref="B12" r:id="rId10" display="https://trackleaders.com/tourdivide22i.php?name=Brian_Toone" xr:uid="{CC7E5C73-002E-475F-BE3A-6DC2D62A107C}"/>
    <hyperlink ref="B13" r:id="rId11" display="https://trackleaders.com/tourdivide22i.php?name=Ana_Jager" xr:uid="{96289539-B7D1-4AE5-9AC9-A0E68F2DF01B}"/>
    <hyperlink ref="B14" r:id="rId12" display="https://trackleaders.com/tourdivide22i.php?name=Colin_Schindler" xr:uid="{501E5F56-714E-49DA-B6D2-E401A2054CEC}"/>
    <hyperlink ref="B15" r:id="rId13" display="https://trackleaders.com/tourdivide22i.php?name=Steve_Large" xr:uid="{C48D36CB-852D-4FE7-8837-4FAF55447726}"/>
    <hyperlink ref="B16" r:id="rId14" display="https://trackleaders.com/tourdivide22i.php?name=Gehrig_Haberstock" xr:uid="{9AA81BC5-306B-48C5-BBB4-DE85001FB774}"/>
    <hyperlink ref="B17" r:id="rId15" display="https://trackleaders.com/tourdivide22i.php?name=Zack_Friendly" xr:uid="{BFA15073-23F1-49B8-A7FF-9CECE2B054BC}"/>
    <hyperlink ref="B18" r:id="rId16" display="https://trackleaders.com/tourdivide22i.php?name=Katie_Strempke" xr:uid="{5ECECD90-0E66-48ED-9E3A-F2BA05483765}"/>
    <hyperlink ref="B19" r:id="rId17" display="https://trackleaders.com/tourdivide22i.php?name=Dave_Meissner" xr:uid="{B87A8651-C648-4D17-A858-75E4C75E5A18}"/>
    <hyperlink ref="B20" r:id="rId18" display="https://trackleaders.com/tourdivide22i.php?name=Bruno_Martin" xr:uid="{78D7CD93-C724-41A6-8819-C891EB0F154C}"/>
    <hyperlink ref="B21" r:id="rId19" display="https://trackleaders.com/tourdivide22i.php?name=David_Landis" xr:uid="{78AB9BC0-A045-4891-BFAD-4CA537CE0731}"/>
    <hyperlink ref="B22" r:id="rId20" display="https://trackleaders.com/tourdivide22i.php?name=Brent_Olson" xr:uid="{45FFF190-0533-49CE-8F12-6A971EFC69D9}"/>
    <hyperlink ref="B23" r:id="rId21" display="https://trackleaders.com/tourdivide22i.php?name=Nick_Marzano" xr:uid="{D52CF3D1-EE8E-451E-8BEA-FE1430AD66CE}"/>
    <hyperlink ref="B24" r:id="rId22" display="https://trackleaders.com/tourdivide22i.php?name=Markus_Weinberg" xr:uid="{C8D06434-1123-4BCA-AA13-129108E9B814}"/>
    <hyperlink ref="B25" r:id="rId23" display="https://trackleaders.com/tourdivide22i.php?name=Karol_Kristov" xr:uid="{7B6096D3-C4FF-42D1-9486-33834B57AD4C}"/>
    <hyperlink ref="B26" r:id="rId24" display="https://trackleaders.com/tourdivide22i.php?name=Allan_Shaw" xr:uid="{1F889075-4E33-44BC-96F6-825E9C2A96FB}"/>
    <hyperlink ref="B27" r:id="rId25" display="https://trackleaders.com/tourdivide22i.php?name=Rj_Sauer" xr:uid="{F46385DD-E2D2-4DF1-8DA2-01C478F62EE1}"/>
    <hyperlink ref="B28" r:id="rId26" display="https://trackleaders.com/tourdivide22i.php?name=Katie_Dolan" xr:uid="{668CCA81-0F9F-4E0D-8BC3-0A17670B9D1B}"/>
    <hyperlink ref="B29" r:id="rId27" display="https://trackleaders.com/tourdivide22i.php?name=Bart_Muylle" xr:uid="{894C5053-2E07-45ED-BBEB-1317E4BA01C6}"/>
    <hyperlink ref="B30" r:id="rId28" display="https://trackleaders.com/tourdivide22i.php?name=Artec_Durham" xr:uid="{D2E8125E-E80D-4FC2-8027-71EA4B81B0C8}"/>
    <hyperlink ref="B31" r:id="rId29" display="https://trackleaders.com/tourdivide22i.php?name=Tom_Baker" xr:uid="{8D26A70E-D64C-41E4-97E1-3DF8C4DAD520}"/>
    <hyperlink ref="B32" r:id="rId30" display="https://trackleaders.com/tourdivide22i.php?name=Nick_Runtsch" xr:uid="{6CB9490B-34FE-4DBB-A9A6-2A7B6E79A301}"/>
    <hyperlink ref="B33" r:id="rId31" display="https://trackleaders.com/tourdivide22i.php?name=Sandro_Poppe" xr:uid="{F4BCD249-1C3D-497A-8732-BA0CD4EA077D}"/>
    <hyperlink ref="B34" r:id="rId32" display="https://trackleaders.com/tourdivide22i.php?name=Patrick_Carlson" xr:uid="{DED14141-A2F1-4559-81A2-D1C78E786180}"/>
    <hyperlink ref="B35" r:id="rId33" display="https://trackleaders.com/tourdivide22i.php?name=Wendy_Stevenson" xr:uid="{F46A27F9-69E9-411D-829D-7D88A9020947}"/>
    <hyperlink ref="B36" r:id="rId34" display="https://trackleaders.com/tourdivide22i.php?name=Jacob_Ashton" xr:uid="{9A4435C7-B6EF-4B53-80C3-4A423E381FBE}"/>
    <hyperlink ref="B37" r:id="rId35" display="https://trackleaders.com/tourdivide22i.php?name=Aaron_Ehlers" xr:uid="{BC0B4FAB-AA27-410B-A3A8-F16372DD733F}"/>
    <hyperlink ref="B38" r:id="rId36" display="https://trackleaders.com/tourdivide22i.php?name=Paul_Kuzdas" xr:uid="{A2DDDD71-FE34-47D5-ADF1-820AD482BBE8}"/>
    <hyperlink ref="B39" r:id="rId37" display="https://trackleaders.com/tourdivide22i.php?name=Daniel_Moss" xr:uid="{3246242A-12E9-4EE1-BC65-D7ABF9CC95EC}"/>
    <hyperlink ref="B40" r:id="rId38" display="https://trackleaders.com/tourdivide22i.php?name=Phil_Jones" xr:uid="{50EFFCD2-1D7B-458E-A05C-93CE9A61ABF6}"/>
    <hyperlink ref="B41" r:id="rId39" display="https://trackleaders.com/tourdivide22i.php?name=Anthony_Ball" xr:uid="{254F03C7-F87D-4575-A36D-6A97ECE8A94F}"/>
    <hyperlink ref="B42" r:id="rId40" display="https://trackleaders.com/tourdivide22i.php?name=Martin_Grethe" xr:uid="{70DBEDAD-9C2B-4CF1-BB00-E48234737F61}"/>
    <hyperlink ref="B43" r:id="rId41" display="https://trackleaders.com/tourdivide22i.php?name=Carl_Gable" xr:uid="{E4240D7C-EC11-4E1A-A07C-1B94DF6B0788}"/>
    <hyperlink ref="B44" r:id="rId42" display="https://trackleaders.com/tourdivide22i.php?name=Tyler_Gatlin" xr:uid="{B8D04D05-77C2-4761-84F4-CC8494BE373A}"/>
    <hyperlink ref="B45" r:id="rId43" display="https://trackleaders.com/tourdivide22i.php?name=Keith_Jordan" xr:uid="{97687E72-0AF1-4A40-A8A4-24A3ECC8D15E}"/>
    <hyperlink ref="B46" r:id="rId44" display="https://trackleaders.com/tourdivide22i.php?name=Patrick_Mckellips" xr:uid="{A2E4FCB4-FC9A-4857-910B-96EE6A399A46}"/>
    <hyperlink ref="B47" r:id="rId45" display="https://trackleaders.com/tourdivide22i.php?name=Brett_Humphrey" xr:uid="{108A3BF1-9A72-47E1-9A47-27DF53FBE7E7}"/>
    <hyperlink ref="B48" r:id="rId46" display="https://trackleaders.com/tourdivide22i.php?name=Ken_Waring" xr:uid="{6E34A097-03B6-4F2A-857E-9B2B9412B0F9}"/>
    <hyperlink ref="B49" r:id="rId47" display="https://trackleaders.com/tourdivide22i.php?name=Chris_Ellison" xr:uid="{EB3A8A8F-F9CF-4091-A874-2EEF813DED28}"/>
    <hyperlink ref="B50" r:id="rId48" display="https://trackleaders.com/tourdivide22i.php?name=Mathias_Mueller" xr:uid="{AE28725D-3EAF-466F-91F4-D6D3C9F10B00}"/>
    <hyperlink ref="B51" r:id="rId49" display="https://trackleaders.com/tourdivide22i.php?name=Chris_Miksovsky" xr:uid="{C6D4E1DD-FF04-43DD-97E6-87ED086F5B50}"/>
    <hyperlink ref="B52" r:id="rId50" display="https://trackleaders.com/tourdivide22i.php?name=Chris_Kuzdas" xr:uid="{4B41993B-0585-477A-84AC-068C14A6DB77}"/>
    <hyperlink ref="B53" r:id="rId51" display="https://trackleaders.com/tourdivide22i.php?name=Mat_King" xr:uid="{FAD86DAC-8D63-43D0-8732-3349EC8F59D3}"/>
    <hyperlink ref="B54" r:id="rId52" display="https://trackleaders.com/tourdivide22i.php?name=Robert_Joseph" xr:uid="{AB2ECB00-11A3-4BA1-A3BD-9A5FAB1761ED}"/>
    <hyperlink ref="B55" r:id="rId53" display="https://trackleaders.com/tourdivide22i.php?name=Jakub_Cychowski" xr:uid="{0089A367-1194-42BA-AF55-C8E1215F433E}"/>
    <hyperlink ref="B56" r:id="rId54" display="https://trackleaders.com/tourdivide22i.php?name=Sam_Bailey" xr:uid="{9ABD2ABB-A581-4A84-8C9D-8A5631E69572}"/>
    <hyperlink ref="B57" r:id="rId55" display="https://trackleaders.com/tourdivide22i.php?name=Kevin_Meier" xr:uid="{8B3906AF-4993-4378-8C1B-95C2B41B5BBE}"/>
    <hyperlink ref="B58" r:id="rId56" display="https://trackleaders.com/tourdivide22i.php?name=Bennie_Black" xr:uid="{559D009A-4BFC-454B-A9E8-3C3BC43499ED}"/>
    <hyperlink ref="B59" r:id="rId57" display="https://trackleaders.com/tourdivide22i.php?name=Sean_Di_Lizio" xr:uid="{5BA3A994-4BC7-4E46-9BDA-A5FDB1E624CA}"/>
    <hyperlink ref="B60" r:id="rId58" display="https://trackleaders.com/tourdivide22i.php?name=Gary_Johnson" xr:uid="{56FADAC6-0620-432F-9F35-5EB59AC367F3}"/>
    <hyperlink ref="B61" r:id="rId59" display="https://trackleaders.com/tourdivide22i.php?name=Duncan_Scholtz" xr:uid="{27ECF181-894C-47FC-8347-E8FF05DF6D20}"/>
    <hyperlink ref="B62" r:id="rId60" display="https://trackleaders.com/tourdivide22i.php?name=Brie_Hevener" xr:uid="{F74EC66A-8E83-4A03-9325-FEE2F323FAAB}"/>
    <hyperlink ref="B63" r:id="rId61" display="https://trackleaders.com/tourdivide22i.php?name=Jim_Sevaly" xr:uid="{43F3F748-D36C-4BD5-85C5-F1D677B430E8}"/>
    <hyperlink ref="B64" r:id="rId62" display="https://trackleaders.com/tourdivide22i.php?name=David_Moss" xr:uid="{AA6BFBFC-7F71-497E-ACCF-D256DB0B72E9}"/>
    <hyperlink ref="B2" r:id="rId63" display="https://trackleaders.com/tourdivide22i.php?name=Sofiane_Sehili" xr:uid="{D18FF433-3C43-45C5-AD33-9A5E1DDEFE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15C56-C857-4DBA-98C6-BE7C691E4105}">
  <dimension ref="A1:C20"/>
  <sheetViews>
    <sheetView workbookViewId="0">
      <selection activeCell="B20" sqref="B20"/>
    </sheetView>
  </sheetViews>
  <sheetFormatPr defaultRowHeight="15" x14ac:dyDescent="0.25"/>
  <cols>
    <col min="1" max="1" width="17.7109375" bestFit="1" customWidth="1"/>
  </cols>
  <sheetData>
    <row r="1" spans="1:3" x14ac:dyDescent="0.25">
      <c r="A1" t="s">
        <v>1464</v>
      </c>
      <c r="B1" t="s">
        <v>1465</v>
      </c>
      <c r="C1" t="s">
        <v>1500</v>
      </c>
    </row>
    <row r="2" spans="1:3" x14ac:dyDescent="0.25">
      <c r="A2" s="1" t="s">
        <v>1445</v>
      </c>
      <c r="B2">
        <v>101.4</v>
      </c>
      <c r="C2" t="s">
        <v>1479</v>
      </c>
    </row>
    <row r="3" spans="1:3" x14ac:dyDescent="0.25">
      <c r="A3" s="1" t="s">
        <v>1446</v>
      </c>
      <c r="B3">
        <v>270.3</v>
      </c>
      <c r="C3" t="s">
        <v>1480</v>
      </c>
    </row>
    <row r="4" spans="1:3" x14ac:dyDescent="0.25">
      <c r="A4" s="1" t="s">
        <v>1447</v>
      </c>
      <c r="B4">
        <v>374.9</v>
      </c>
      <c r="C4" t="s">
        <v>1481</v>
      </c>
    </row>
    <row r="5" spans="1:3" x14ac:dyDescent="0.25">
      <c r="A5" s="1" t="s">
        <v>1448</v>
      </c>
      <c r="B5">
        <v>586.4</v>
      </c>
      <c r="C5" t="s">
        <v>1482</v>
      </c>
    </row>
    <row r="6" spans="1:3" x14ac:dyDescent="0.25">
      <c r="A6" s="1" t="s">
        <v>1449</v>
      </c>
      <c r="B6">
        <v>729</v>
      </c>
      <c r="C6" t="s">
        <v>1483</v>
      </c>
    </row>
    <row r="7" spans="1:3" x14ac:dyDescent="0.25">
      <c r="A7" s="1" t="s">
        <v>1450</v>
      </c>
      <c r="B7">
        <v>918.5</v>
      </c>
      <c r="C7" t="s">
        <v>1484</v>
      </c>
    </row>
    <row r="8" spans="1:3" x14ac:dyDescent="0.25">
      <c r="A8" s="1" t="s">
        <v>1451</v>
      </c>
      <c r="B8">
        <v>1005.2</v>
      </c>
      <c r="C8" t="s">
        <v>1485</v>
      </c>
    </row>
    <row r="9" spans="1:3" x14ac:dyDescent="0.25">
      <c r="A9" s="1" t="s">
        <v>1452</v>
      </c>
      <c r="B9">
        <v>1093.3</v>
      </c>
      <c r="C9" t="s">
        <v>1486</v>
      </c>
    </row>
    <row r="10" spans="1:3" x14ac:dyDescent="0.25">
      <c r="A10" s="1" t="s">
        <v>1453</v>
      </c>
      <c r="B10">
        <v>1262.2</v>
      </c>
      <c r="C10" t="s">
        <v>1487</v>
      </c>
    </row>
    <row r="11" spans="1:3" x14ac:dyDescent="0.25">
      <c r="A11" s="1" t="s">
        <v>1454</v>
      </c>
      <c r="B11">
        <v>1339.1</v>
      </c>
      <c r="C11" t="s">
        <v>1488</v>
      </c>
    </row>
    <row r="12" spans="1:3" x14ac:dyDescent="0.25">
      <c r="A12" s="1" t="s">
        <v>1455</v>
      </c>
      <c r="B12">
        <v>1437.4</v>
      </c>
      <c r="C12" t="s">
        <v>1489</v>
      </c>
    </row>
    <row r="13" spans="1:3" x14ac:dyDescent="0.25">
      <c r="A13" s="1" t="s">
        <v>1456</v>
      </c>
      <c r="B13">
        <v>1571.7</v>
      </c>
      <c r="C13" t="s">
        <v>1490</v>
      </c>
    </row>
    <row r="14" spans="1:3" x14ac:dyDescent="0.25">
      <c r="A14" s="1" t="s">
        <v>1463</v>
      </c>
      <c r="B14">
        <v>1700.2</v>
      </c>
      <c r="C14" t="s">
        <v>1491</v>
      </c>
    </row>
    <row r="15" spans="1:3" x14ac:dyDescent="0.25">
      <c r="A15" s="1" t="s">
        <v>1457</v>
      </c>
      <c r="B15">
        <v>1818.8</v>
      </c>
      <c r="C15" t="s">
        <v>1492</v>
      </c>
    </row>
    <row r="16" spans="1:3" x14ac:dyDescent="0.25">
      <c r="A16" s="1" t="s">
        <v>1458</v>
      </c>
      <c r="B16">
        <v>1975.8</v>
      </c>
      <c r="C16" t="s">
        <v>1493</v>
      </c>
    </row>
    <row r="17" spans="1:3" x14ac:dyDescent="0.25">
      <c r="A17" s="1" t="s">
        <v>1459</v>
      </c>
      <c r="B17">
        <v>2156.3000000000002</v>
      </c>
      <c r="C17" t="s">
        <v>1494</v>
      </c>
    </row>
    <row r="18" spans="1:3" x14ac:dyDescent="0.25">
      <c r="A18" s="1" t="s">
        <v>1460</v>
      </c>
      <c r="B18">
        <v>2346</v>
      </c>
      <c r="C18" t="s">
        <v>1495</v>
      </c>
    </row>
    <row r="19" spans="1:3" x14ac:dyDescent="0.25">
      <c r="A19" s="1" t="s">
        <v>1461</v>
      </c>
      <c r="B19">
        <v>2539.3000000000002</v>
      </c>
      <c r="C19" t="s">
        <v>1496</v>
      </c>
    </row>
    <row r="20" spans="1:3" x14ac:dyDescent="0.25">
      <c r="A20" s="1" t="s">
        <v>1462</v>
      </c>
      <c r="B20">
        <v>2661</v>
      </c>
      <c r="C20" t="s">
        <v>1497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and Rest</vt:lpstr>
      <vt:lpstr>Riders by time</vt:lpstr>
      <vt:lpstr>Distances and Waypoints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Rhodes</dc:creator>
  <cp:lastModifiedBy>Kris Rhodes</cp:lastModifiedBy>
  <dcterms:created xsi:type="dcterms:W3CDTF">2023-02-15T10:43:25Z</dcterms:created>
  <dcterms:modified xsi:type="dcterms:W3CDTF">2023-02-15T13:31:28Z</dcterms:modified>
</cp:coreProperties>
</file>