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/>
  </bookViews>
  <sheets>
    <sheet name="Int Confiança" sheetId="2" r:id="rId1"/>
    <sheet name="Int Confiança (Resolvido)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1" l="1"/>
  <c r="Z15" i="1"/>
  <c r="AA15" i="1"/>
  <c r="AB15" i="1"/>
  <c r="AC15" i="1"/>
  <c r="AD15" i="1"/>
  <c r="Q15" i="1"/>
  <c r="R15" i="1" s="1"/>
  <c r="S15" i="1"/>
  <c r="V15" i="1" s="1"/>
  <c r="T15" i="1"/>
  <c r="U15" i="1"/>
  <c r="P15" i="1"/>
  <c r="O15" i="1"/>
  <c r="X15" i="1"/>
  <c r="AD7" i="1"/>
  <c r="AD8" i="1"/>
  <c r="AD9" i="1"/>
  <c r="AD10" i="1"/>
  <c r="AD11" i="1"/>
  <c r="AD12" i="1"/>
  <c r="AD13" i="1"/>
  <c r="AD14" i="1"/>
  <c r="AC7" i="1"/>
  <c r="AC8" i="1"/>
  <c r="AC9" i="1"/>
  <c r="AC10" i="1"/>
  <c r="AC11" i="1"/>
  <c r="AC12" i="1"/>
  <c r="AC13" i="1"/>
  <c r="AC14" i="1"/>
  <c r="AB7" i="1"/>
  <c r="AB8" i="1"/>
  <c r="AB9" i="1"/>
  <c r="AB10" i="1"/>
  <c r="AB11" i="1"/>
  <c r="AB12" i="1"/>
  <c r="AB13" i="1"/>
  <c r="AB14" i="1"/>
  <c r="AA7" i="1"/>
  <c r="AA8" i="1"/>
  <c r="AA9" i="1"/>
  <c r="AA10" i="1"/>
  <c r="AA11" i="1"/>
  <c r="AA12" i="1"/>
  <c r="AA13" i="1"/>
  <c r="AA14" i="1"/>
  <c r="Z7" i="1"/>
  <c r="Z8" i="1"/>
  <c r="Z9" i="1"/>
  <c r="Z10" i="1"/>
  <c r="Z11" i="1"/>
  <c r="Z12" i="1"/>
  <c r="Z13" i="1"/>
  <c r="Z14" i="1"/>
  <c r="Z6" i="1"/>
  <c r="Y7" i="1"/>
  <c r="Y8" i="1"/>
  <c r="Y9" i="1"/>
  <c r="Y10" i="1"/>
  <c r="Y11" i="1"/>
  <c r="Y12" i="1"/>
  <c r="Y13" i="1"/>
  <c r="Y14" i="1"/>
  <c r="Y6" i="1"/>
  <c r="X7" i="1"/>
  <c r="X8" i="1"/>
  <c r="X9" i="1"/>
  <c r="X10" i="1"/>
  <c r="X11" i="1"/>
  <c r="X12" i="1"/>
  <c r="X13" i="1"/>
  <c r="X14" i="1"/>
  <c r="X6" i="1"/>
  <c r="V7" i="1"/>
  <c r="T7" i="1"/>
  <c r="V6" i="1"/>
  <c r="H12" i="1"/>
  <c r="V8" i="1"/>
  <c r="V9" i="1"/>
  <c r="V10" i="1"/>
  <c r="V11" i="1"/>
  <c r="V12" i="1"/>
  <c r="V13" i="1"/>
  <c r="V14" i="1"/>
  <c r="U7" i="1"/>
  <c r="U8" i="1"/>
  <c r="U9" i="1"/>
  <c r="U10" i="1"/>
  <c r="U11" i="1"/>
  <c r="U12" i="1"/>
  <c r="U13" i="1"/>
  <c r="U14" i="1"/>
  <c r="U6" i="1"/>
  <c r="T8" i="1"/>
  <c r="T9" i="1"/>
  <c r="T10" i="1"/>
  <c r="T11" i="1"/>
  <c r="T12" i="1"/>
  <c r="T13" i="1"/>
  <c r="T14" i="1"/>
  <c r="T6" i="1"/>
  <c r="S7" i="1"/>
  <c r="S8" i="1"/>
  <c r="S9" i="1"/>
  <c r="S10" i="1"/>
  <c r="S11" i="1"/>
  <c r="S12" i="1"/>
  <c r="S13" i="1"/>
  <c r="S14" i="1"/>
  <c r="S6" i="1"/>
  <c r="R7" i="1"/>
  <c r="R8" i="1"/>
  <c r="R9" i="1"/>
  <c r="R10" i="1"/>
  <c r="R11" i="1"/>
  <c r="R12" i="1"/>
  <c r="R13" i="1"/>
  <c r="R14" i="1"/>
  <c r="R6" i="1"/>
  <c r="P7" i="1"/>
  <c r="P8" i="1"/>
  <c r="P9" i="1"/>
  <c r="P10" i="1"/>
  <c r="Q10" i="1" s="1"/>
  <c r="P11" i="1"/>
  <c r="P12" i="1"/>
  <c r="P13" i="1"/>
  <c r="P14" i="1"/>
  <c r="P6" i="1"/>
  <c r="Q6" i="1" s="1"/>
  <c r="Q7" i="1"/>
  <c r="Q8" i="1"/>
  <c r="Q9" i="1"/>
  <c r="Q11" i="1"/>
  <c r="Q12" i="1"/>
  <c r="Q13" i="1"/>
  <c r="Q14" i="1"/>
  <c r="O8" i="1"/>
  <c r="O9" i="1" s="1"/>
  <c r="O10" i="1" s="1"/>
  <c r="O11" i="1" s="1"/>
  <c r="O12" i="1" s="1"/>
  <c r="O13" i="1" s="1"/>
  <c r="O14" i="1" s="1"/>
  <c r="O7" i="1"/>
  <c r="H20" i="1"/>
  <c r="H19" i="1"/>
  <c r="H18" i="1"/>
  <c r="H17" i="1"/>
  <c r="H16" i="1"/>
  <c r="H8" i="1"/>
  <c r="H15" i="1" s="1"/>
  <c r="H14" i="1"/>
  <c r="H1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  <c r="H10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H9" i="1"/>
  <c r="H6" i="1"/>
  <c r="H7" i="1" s="1"/>
  <c r="AB6" i="1" l="1"/>
  <c r="AD6" i="1" s="1"/>
  <c r="AA6" i="1"/>
  <c r="AC6" i="1" l="1"/>
</calcChain>
</file>

<file path=xl/sharedStrings.xml><?xml version="1.0" encoding="utf-8"?>
<sst xmlns="http://schemas.openxmlformats.org/spreadsheetml/2006/main" count="74" uniqueCount="21">
  <si>
    <r>
      <rPr>
        <b/>
        <i/>
        <sz val="11"/>
        <color theme="1"/>
        <rFont val="Calibri"/>
        <family val="2"/>
        <scheme val="minor"/>
      </rPr>
      <t>Tabela 1.</t>
    </r>
    <r>
      <rPr>
        <sz val="11"/>
        <color theme="1"/>
        <rFont val="Calibri"/>
        <family val="2"/>
        <scheme val="minor"/>
      </rPr>
      <t xml:space="preserve"> Número de clientes e vendas semanais, para uma amostra de 20 empresas de prestação de serviços.</t>
    </r>
  </si>
  <si>
    <t>Loja</t>
  </si>
  <si>
    <t>Clientes (X)</t>
  </si>
  <si>
    <t>Vendas (Y)</t>
  </si>
  <si>
    <t>Numero de clientes</t>
  </si>
  <si>
    <t>Numero de observações (n)</t>
  </si>
  <si>
    <t>Graus de Liberdade</t>
  </si>
  <si>
    <t>Valor de t</t>
  </si>
  <si>
    <t>Nro Médio de clientes</t>
  </si>
  <si>
    <t>Soma das diferenças ao quadrado</t>
  </si>
  <si>
    <t>Erro padrão da estimativa</t>
  </si>
  <si>
    <t>Estatística hi</t>
  </si>
  <si>
    <t>Vendas previstas</t>
  </si>
  <si>
    <t>Metade da amplitude</t>
  </si>
  <si>
    <t>Limite de confiança inferior</t>
  </si>
  <si>
    <t>Limite de confiança superior</t>
  </si>
  <si>
    <t>Limite de Previsão Inferior</t>
  </si>
  <si>
    <t>Limite de Previsão Superior</t>
  </si>
  <si>
    <t>(X-Média)^2</t>
  </si>
  <si>
    <t>Y projetado</t>
  </si>
  <si>
    <t>erro = (Y-Yestimado)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</si>
</sst>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4" fillId="0" borderId="1" xfId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0" fontId="3" fillId="0" borderId="0" xfId="1" applyAlignment="1">
      <alignment horizontal="center"/>
    </xf>
    <xf numFmtId="2" fontId="3" fillId="0" borderId="0" xfId="1" applyNumberFormat="1" applyAlignment="1">
      <alignment horizontal="center"/>
    </xf>
    <xf numFmtId="0" fontId="3" fillId="0" borderId="2" xfId="1" applyBorder="1" applyAlignment="1">
      <alignment horizontal="center"/>
    </xf>
    <xf numFmtId="2" fontId="3" fillId="0" borderId="2" xfId="1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164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02537182852143"/>
          <c:y val="0.12037037037037036"/>
          <c:w val="0.83308573928258978"/>
          <c:h val="0.72130431612715074"/>
        </c:manualLayout>
      </c:layou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76828944"/>
        <c:axId val="576828160"/>
      </c:scatterChart>
      <c:valAx>
        <c:axId val="576828944"/>
        <c:scaling>
          <c:orientation val="minMax"/>
          <c:min val="5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828160"/>
        <c:crosses val="autoZero"/>
        <c:crossBetween val="midCat"/>
      </c:valAx>
      <c:valAx>
        <c:axId val="57682816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8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02537182852143"/>
          <c:y val="0.12037037037037036"/>
          <c:w val="0.83308573928258978"/>
          <c:h val="0.72130431612715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'Int Confiança (Resolvido)'!$X$5</c:f>
              <c:strCache>
                <c:ptCount val="1"/>
                <c:pt idx="0">
                  <c:v>Vendas previstas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 Confiança (Resolvido)'!$O$6:$O$15</c:f>
              <c:numCache>
                <c:formatCode>General</c:formatCode>
                <c:ptCount val="10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  <c:pt idx="9">
                  <c:v>1010</c:v>
                </c:pt>
              </c:numCache>
            </c:numRef>
          </c:xVal>
          <c:yVal>
            <c:numRef>
              <c:f>'Int Confiança (Resolvido)'!$X$6:$X$15</c:f>
              <c:numCache>
                <c:formatCode>General</c:formatCode>
                <c:ptCount val="10"/>
                <c:pt idx="0">
                  <c:v>7.6606472988112415</c:v>
                </c:pt>
                <c:pt idx="1">
                  <c:v>8.0971142073849194</c:v>
                </c:pt>
                <c:pt idx="2">
                  <c:v>8.533581115958599</c:v>
                </c:pt>
                <c:pt idx="3">
                  <c:v>8.9700480245322787</c:v>
                </c:pt>
                <c:pt idx="4">
                  <c:v>9.4065149331059565</c:v>
                </c:pt>
                <c:pt idx="5">
                  <c:v>9.8429818416796344</c:v>
                </c:pt>
                <c:pt idx="6">
                  <c:v>10.279448750253314</c:v>
                </c:pt>
                <c:pt idx="7">
                  <c:v>10.715915658826994</c:v>
                </c:pt>
                <c:pt idx="8">
                  <c:v>11.152382567400672</c:v>
                </c:pt>
                <c:pt idx="9">
                  <c:v>11.239675949115409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50336"/>
        <c:axId val="438251120"/>
      </c:scatterChart>
      <c:scatterChart>
        <c:scatterStyle val="smoothMarker"/>
        <c:varyColors val="0"/>
        <c:ser>
          <c:idx val="1"/>
          <c:order val="1"/>
          <c:tx>
            <c:strRef>
              <c:f>'Int Confiança (Resolvido)'!$AC$5</c:f>
              <c:strCache>
                <c:ptCount val="1"/>
                <c:pt idx="0">
                  <c:v>Limite de Previsão Inferior</c:v>
                </c:pt>
              </c:strCache>
            </c:strRef>
          </c:tx>
          <c:spPr>
            <a:ln w="19050" cap="rnd">
              <a:solidFill>
                <a:schemeClr val="l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'Int Confiança (Resolvido)'!$O$6:$O$15</c:f>
              <c:numCache>
                <c:formatCode>General</c:formatCode>
                <c:ptCount val="10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  <c:pt idx="9">
                  <c:v>1010</c:v>
                </c:pt>
              </c:numCache>
            </c:numRef>
          </c:xVal>
          <c:yVal>
            <c:numRef>
              <c:f>'Int Confiança (Resolvido)'!$AC$6:$AC$15</c:f>
              <c:numCache>
                <c:formatCode>General</c:formatCode>
                <c:ptCount val="10"/>
                <c:pt idx="0">
                  <c:v>6.5667329755299502</c:v>
                </c:pt>
                <c:pt idx="1">
                  <c:v>7.0119985310572499</c:v>
                </c:pt>
                <c:pt idx="2">
                  <c:v>7.4531486214031339</c:v>
                </c:pt>
                <c:pt idx="3">
                  <c:v>7.890129703770083</c:v>
                </c:pt>
                <c:pt idx="4">
                  <c:v>8.3229358433799057</c:v>
                </c:pt>
                <c:pt idx="5">
                  <c:v>8.7516090511939844</c:v>
                </c:pt>
                <c:pt idx="6">
                  <c:v>9.1762369157081363</c:v>
                </c:pt>
                <c:pt idx="7">
                  <c:v>9.5969478327051512</c:v>
                </c:pt>
                <c:pt idx="8">
                  <c:v>10.013904416596562</c:v>
                </c:pt>
                <c:pt idx="9">
                  <c:v>10.096861483051686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 Confiança (Resolvido)'!$AD$5</c:f>
              <c:strCache>
                <c:ptCount val="1"/>
                <c:pt idx="0">
                  <c:v>Limite de Previsão Superior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'Int Confiança (Resolvido)'!$O$6:$O$15</c:f>
              <c:numCache>
                <c:formatCode>General</c:formatCode>
                <c:ptCount val="10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  <c:pt idx="9">
                  <c:v>1010</c:v>
                </c:pt>
              </c:numCache>
            </c:numRef>
          </c:xVal>
          <c:yVal>
            <c:numRef>
              <c:f>'Int Confiança (Resolvido)'!$AD$6:$AD$15</c:f>
              <c:numCache>
                <c:formatCode>General</c:formatCode>
                <c:ptCount val="10"/>
                <c:pt idx="0">
                  <c:v>8.7545616220925329</c:v>
                </c:pt>
                <c:pt idx="1">
                  <c:v>9.1822298837125889</c:v>
                </c:pt>
                <c:pt idx="2">
                  <c:v>9.6140136105140641</c:v>
                </c:pt>
                <c:pt idx="3">
                  <c:v>10.049966345294475</c:v>
                </c:pt>
                <c:pt idx="4">
                  <c:v>10.490094022832007</c:v>
                </c:pt>
                <c:pt idx="5">
                  <c:v>10.934354632165284</c:v>
                </c:pt>
                <c:pt idx="6">
                  <c:v>11.382660584798492</c:v>
                </c:pt>
                <c:pt idx="7">
                  <c:v>11.834883484948836</c:v>
                </c:pt>
                <c:pt idx="8">
                  <c:v>12.290860718204781</c:v>
                </c:pt>
                <c:pt idx="9">
                  <c:v>12.382490415179131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50336"/>
        <c:axId val="438251120"/>
      </c:scatterChart>
      <c:valAx>
        <c:axId val="438250336"/>
        <c:scaling>
          <c:orientation val="minMax"/>
          <c:min val="5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251120"/>
        <c:crosses val="autoZero"/>
        <c:crossBetween val="midCat"/>
      </c:valAx>
      <c:valAx>
        <c:axId val="43825112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25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67235</xdr:colOff>
      <xdr:row>15</xdr:row>
      <xdr:rowOff>47810</xdr:rowOff>
    </xdr:from>
    <xdr:to>
      <xdr:col>26</xdr:col>
      <xdr:colOff>1172882</xdr:colOff>
      <xdr:row>29</xdr:row>
      <xdr:rowOff>176305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847167</xdr:colOff>
      <xdr:row>28</xdr:row>
      <xdr:rowOff>119529</xdr:rowOff>
    </xdr:from>
    <xdr:to>
      <xdr:col>26</xdr:col>
      <xdr:colOff>1030942</xdr:colOff>
      <xdr:row>29</xdr:row>
      <xdr:rowOff>144931</xdr:rowOff>
    </xdr:to>
    <xdr:sp macro="" textlink="">
      <xdr:nvSpPr>
        <xdr:cNvPr id="3" name="CaixaDeTexto 2"/>
        <xdr:cNvSpPr txBox="1"/>
      </xdr:nvSpPr>
      <xdr:spPr>
        <a:xfrm>
          <a:off x="25332767" y="5275729"/>
          <a:ext cx="1942725" cy="209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Número de clientes esperados</a:t>
          </a:r>
        </a:p>
        <a:p>
          <a:endParaRPr lang="pt-BR" sz="1100"/>
        </a:p>
      </xdr:txBody>
    </xdr:sp>
    <xdr:clientData/>
  </xdr:twoCellAnchor>
  <xdr:twoCellAnchor>
    <xdr:from>
      <xdr:col>24</xdr:col>
      <xdr:colOff>41094</xdr:colOff>
      <xdr:row>17</xdr:row>
      <xdr:rowOff>179292</xdr:rowOff>
    </xdr:from>
    <xdr:to>
      <xdr:col>24</xdr:col>
      <xdr:colOff>261478</xdr:colOff>
      <xdr:row>25</xdr:row>
      <xdr:rowOff>93381</xdr:rowOff>
    </xdr:to>
    <xdr:sp macro="" textlink="">
      <xdr:nvSpPr>
        <xdr:cNvPr id="4" name="CaixaDeTexto 3"/>
        <xdr:cNvSpPr txBox="1"/>
      </xdr:nvSpPr>
      <xdr:spPr>
        <a:xfrm rot="16200000">
          <a:off x="22235091" y="3893295"/>
          <a:ext cx="1387289" cy="220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Volume de Vendas</a:t>
          </a:r>
        </a:p>
      </xdr:txBody>
    </xdr:sp>
    <xdr:clientData/>
  </xdr:twoCellAnchor>
  <xdr:twoCellAnchor>
    <xdr:from>
      <xdr:col>24</xdr:col>
      <xdr:colOff>1081744</xdr:colOff>
      <xdr:row>15</xdr:row>
      <xdr:rowOff>92635</xdr:rowOff>
    </xdr:from>
    <xdr:to>
      <xdr:col>26</xdr:col>
      <xdr:colOff>403412</xdr:colOff>
      <xdr:row>16</xdr:row>
      <xdr:rowOff>156883</xdr:rowOff>
    </xdr:to>
    <xdr:sp macro="" textlink="">
      <xdr:nvSpPr>
        <xdr:cNvPr id="5" name="CaixaDeTexto 4"/>
        <xdr:cNvSpPr txBox="1"/>
      </xdr:nvSpPr>
      <xdr:spPr>
        <a:xfrm>
          <a:off x="23859194" y="2854885"/>
          <a:ext cx="2788768" cy="248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Projeção</a:t>
          </a:r>
          <a:r>
            <a:rPr lang="pt-BR" sz="1100" b="1" baseline="0"/>
            <a:t> de vendas com banda de confiança</a:t>
          </a:r>
          <a:endParaRPr lang="pt-BR" sz="1100" b="1"/>
        </a:p>
        <a:p>
          <a:endParaRPr lang="pt-B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67235</xdr:colOff>
      <xdr:row>15</xdr:row>
      <xdr:rowOff>47810</xdr:rowOff>
    </xdr:from>
    <xdr:to>
      <xdr:col>27</xdr:col>
      <xdr:colOff>1172882</xdr:colOff>
      <xdr:row>29</xdr:row>
      <xdr:rowOff>176305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847167</xdr:colOff>
      <xdr:row>28</xdr:row>
      <xdr:rowOff>119529</xdr:rowOff>
    </xdr:from>
    <xdr:to>
      <xdr:col>27</xdr:col>
      <xdr:colOff>1030942</xdr:colOff>
      <xdr:row>29</xdr:row>
      <xdr:rowOff>144931</xdr:rowOff>
    </xdr:to>
    <xdr:sp macro="" textlink="">
      <xdr:nvSpPr>
        <xdr:cNvPr id="4" name="CaixaDeTexto 3"/>
        <xdr:cNvSpPr txBox="1"/>
      </xdr:nvSpPr>
      <xdr:spPr>
        <a:xfrm>
          <a:off x="25373108" y="5348941"/>
          <a:ext cx="1939363" cy="212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Número de clientes esperados</a:t>
          </a:r>
        </a:p>
        <a:p>
          <a:endParaRPr lang="pt-BR" sz="1100"/>
        </a:p>
      </xdr:txBody>
    </xdr:sp>
    <xdr:clientData/>
  </xdr:twoCellAnchor>
  <xdr:twoCellAnchor>
    <xdr:from>
      <xdr:col>25</xdr:col>
      <xdr:colOff>41094</xdr:colOff>
      <xdr:row>17</xdr:row>
      <xdr:rowOff>179292</xdr:rowOff>
    </xdr:from>
    <xdr:to>
      <xdr:col>25</xdr:col>
      <xdr:colOff>261478</xdr:colOff>
      <xdr:row>25</xdr:row>
      <xdr:rowOff>93381</xdr:rowOff>
    </xdr:to>
    <xdr:sp macro="" textlink="">
      <xdr:nvSpPr>
        <xdr:cNvPr id="3" name="CaixaDeTexto 2"/>
        <xdr:cNvSpPr txBox="1"/>
      </xdr:nvSpPr>
      <xdr:spPr>
        <a:xfrm rot="16200000">
          <a:off x="22262358" y="3948204"/>
          <a:ext cx="1408207" cy="220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Volume de Vendas</a:t>
          </a:r>
        </a:p>
      </xdr:txBody>
    </xdr:sp>
    <xdr:clientData/>
  </xdr:twoCellAnchor>
  <xdr:twoCellAnchor>
    <xdr:from>
      <xdr:col>25</xdr:col>
      <xdr:colOff>1081744</xdr:colOff>
      <xdr:row>15</xdr:row>
      <xdr:rowOff>92635</xdr:rowOff>
    </xdr:from>
    <xdr:to>
      <xdr:col>27</xdr:col>
      <xdr:colOff>403412</xdr:colOff>
      <xdr:row>16</xdr:row>
      <xdr:rowOff>156883</xdr:rowOff>
    </xdr:to>
    <xdr:sp macro="" textlink="">
      <xdr:nvSpPr>
        <xdr:cNvPr id="7" name="CaixaDeTexto 6"/>
        <xdr:cNvSpPr txBox="1"/>
      </xdr:nvSpPr>
      <xdr:spPr>
        <a:xfrm>
          <a:off x="23896920" y="2894106"/>
          <a:ext cx="2788021" cy="2510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Projeção</a:t>
          </a:r>
          <a:r>
            <a:rPr lang="pt-BR" sz="1100" b="1" baseline="0"/>
            <a:t> de vendas com banda de confiança</a:t>
          </a:r>
          <a:endParaRPr lang="pt-BR" sz="1100" b="1"/>
        </a:p>
        <a:p>
          <a:endParaRPr lang="pt-B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26"/>
  <sheetViews>
    <sheetView tabSelected="1" zoomScale="85" zoomScaleNormal="85" workbookViewId="0">
      <selection activeCell="W7" sqref="W7"/>
    </sheetView>
  </sheetViews>
  <sheetFormatPr defaultRowHeight="14.5" x14ac:dyDescent="0.35"/>
  <cols>
    <col min="3" max="3" width="10.7265625" bestFit="1" customWidth="1"/>
    <col min="4" max="4" width="10.1796875" bestFit="1" customWidth="1"/>
    <col min="5" max="5" width="11.08984375" bestFit="1" customWidth="1"/>
    <col min="6" max="6" width="11.08984375" customWidth="1"/>
    <col min="7" max="7" width="29.54296875" bestFit="1" customWidth="1"/>
    <col min="8" max="8" width="10" customWidth="1"/>
    <col min="9" max="9" width="4.453125" customWidth="1"/>
    <col min="10" max="10" width="10.81640625" bestFit="1" customWidth="1"/>
    <col min="13" max="13" width="3.6328125" customWidth="1"/>
    <col min="16" max="16" width="17.453125" bestFit="1" customWidth="1"/>
    <col min="17" max="17" width="11.6328125" bestFit="1" customWidth="1"/>
    <col min="18" max="18" width="20.08984375" bestFit="1" customWidth="1"/>
    <col min="19" max="19" width="29.54296875" bestFit="1" customWidth="1"/>
    <col min="20" max="20" width="23" bestFit="1" customWidth="1"/>
    <col min="23" max="23" width="15.453125" bestFit="1" customWidth="1"/>
    <col min="24" max="24" width="19.453125" bestFit="1" customWidth="1"/>
    <col min="25" max="25" width="24.453125" bestFit="1" customWidth="1"/>
    <col min="26" max="26" width="25.1796875" bestFit="1" customWidth="1"/>
    <col min="27" max="27" width="19.453125" bestFit="1" customWidth="1"/>
    <col min="28" max="28" width="23.7265625" bestFit="1" customWidth="1"/>
    <col min="29" max="29" width="24.54296875" bestFit="1" customWidth="1"/>
  </cols>
  <sheetData>
    <row r="3" spans="2:29" x14ac:dyDescent="0.35">
      <c r="B3" t="s">
        <v>0</v>
      </c>
    </row>
    <row r="5" spans="2:29" x14ac:dyDescent="0.35">
      <c r="B5" s="1" t="s">
        <v>1</v>
      </c>
      <c r="C5" s="1" t="s">
        <v>2</v>
      </c>
      <c r="D5" s="2" t="s">
        <v>3</v>
      </c>
      <c r="E5" s="7" t="s">
        <v>18</v>
      </c>
      <c r="F5" s="7"/>
      <c r="G5" s="8" t="s">
        <v>4</v>
      </c>
      <c r="J5" s="10" t="s">
        <v>19</v>
      </c>
      <c r="K5" s="10" t="s">
        <v>20</v>
      </c>
      <c r="N5" s="10" t="s">
        <v>4</v>
      </c>
      <c r="O5" s="10" t="s">
        <v>5</v>
      </c>
      <c r="P5" s="10" t="s">
        <v>6</v>
      </c>
      <c r="Q5" s="10" t="s">
        <v>7</v>
      </c>
      <c r="R5" s="10" t="s">
        <v>8</v>
      </c>
      <c r="S5" s="10" t="s">
        <v>9</v>
      </c>
      <c r="T5" s="10" t="s">
        <v>10</v>
      </c>
      <c r="U5" s="10" t="s">
        <v>11</v>
      </c>
      <c r="V5" s="8"/>
      <c r="W5" s="10" t="s">
        <v>12</v>
      </c>
      <c r="X5" s="10" t="s">
        <v>13</v>
      </c>
      <c r="Y5" s="10" t="s">
        <v>14</v>
      </c>
      <c r="Z5" s="10" t="s">
        <v>15</v>
      </c>
      <c r="AA5" s="10" t="s">
        <v>13</v>
      </c>
      <c r="AB5" s="10" t="s">
        <v>16</v>
      </c>
      <c r="AC5" s="10" t="s">
        <v>17</v>
      </c>
    </row>
    <row r="6" spans="2:29" x14ac:dyDescent="0.35">
      <c r="B6" s="3">
        <v>1</v>
      </c>
      <c r="C6" s="3">
        <v>907</v>
      </c>
      <c r="D6" s="4">
        <v>11.2</v>
      </c>
      <c r="E6" s="9"/>
      <c r="G6" s="8" t="s">
        <v>5</v>
      </c>
      <c r="K6" s="9"/>
      <c r="R6" s="13"/>
      <c r="S6" s="9"/>
      <c r="U6" s="14"/>
    </row>
    <row r="7" spans="2:29" x14ac:dyDescent="0.35">
      <c r="B7" s="3">
        <v>2</v>
      </c>
      <c r="C7" s="3">
        <v>926</v>
      </c>
      <c r="D7" s="4">
        <v>11.05</v>
      </c>
      <c r="E7" s="9"/>
      <c r="G7" s="8" t="s">
        <v>6</v>
      </c>
      <c r="K7" s="9"/>
      <c r="R7" s="13"/>
      <c r="S7" s="9"/>
      <c r="U7" s="14"/>
    </row>
    <row r="8" spans="2:29" x14ac:dyDescent="0.35">
      <c r="B8" s="3">
        <v>3</v>
      </c>
      <c r="C8" s="3">
        <v>506</v>
      </c>
      <c r="D8" s="4">
        <v>6.84</v>
      </c>
      <c r="E8" s="9"/>
      <c r="G8" s="8" t="s">
        <v>7</v>
      </c>
      <c r="K8" s="9"/>
      <c r="R8" s="13"/>
      <c r="S8" s="9"/>
      <c r="U8" s="14"/>
    </row>
    <row r="9" spans="2:29" x14ac:dyDescent="0.35">
      <c r="B9" s="3">
        <v>4</v>
      </c>
      <c r="C9" s="3">
        <v>741</v>
      </c>
      <c r="D9" s="4">
        <v>9.2100000000000009</v>
      </c>
      <c r="E9" s="9"/>
      <c r="G9" s="8" t="s">
        <v>8</v>
      </c>
      <c r="H9" s="12"/>
      <c r="I9" s="12"/>
      <c r="K9" s="9"/>
      <c r="R9" s="13"/>
      <c r="S9" s="9"/>
      <c r="U9" s="14"/>
    </row>
    <row r="10" spans="2:29" x14ac:dyDescent="0.35">
      <c r="B10" s="3">
        <v>5</v>
      </c>
      <c r="C10" s="3">
        <v>789</v>
      </c>
      <c r="D10" s="4">
        <v>9.42</v>
      </c>
      <c r="E10" s="9"/>
      <c r="G10" s="8" t="s">
        <v>9</v>
      </c>
      <c r="H10" s="9"/>
      <c r="I10" s="9"/>
      <c r="K10" s="9"/>
      <c r="R10" s="13"/>
      <c r="S10" s="9"/>
      <c r="U10" s="14"/>
    </row>
    <row r="11" spans="2:29" x14ac:dyDescent="0.35">
      <c r="B11" s="3">
        <v>6</v>
      </c>
      <c r="C11" s="3">
        <v>889</v>
      </c>
      <c r="D11" s="4">
        <v>10.08</v>
      </c>
      <c r="E11" s="9"/>
      <c r="G11" s="8" t="s">
        <v>10</v>
      </c>
      <c r="K11" s="9"/>
      <c r="R11" s="13"/>
      <c r="S11" s="9"/>
      <c r="U11" s="14"/>
    </row>
    <row r="12" spans="2:29" x14ac:dyDescent="0.35">
      <c r="B12" s="3">
        <v>7</v>
      </c>
      <c r="C12" s="3">
        <v>874</v>
      </c>
      <c r="D12" s="4">
        <v>9.4499999999999993</v>
      </c>
      <c r="E12" s="9"/>
      <c r="G12" s="8" t="s">
        <v>11</v>
      </c>
      <c r="K12" s="9"/>
      <c r="R12" s="13"/>
      <c r="S12" s="9"/>
      <c r="U12" s="14"/>
    </row>
    <row r="13" spans="2:29" x14ac:dyDescent="0.35">
      <c r="B13" s="3">
        <v>8</v>
      </c>
      <c r="C13" s="3">
        <v>510</v>
      </c>
      <c r="D13" s="4">
        <v>6.73</v>
      </c>
      <c r="E13" s="9"/>
      <c r="G13" s="8"/>
      <c r="K13" s="9"/>
      <c r="R13" s="13"/>
      <c r="S13" s="9"/>
      <c r="U13" s="14"/>
    </row>
    <row r="14" spans="2:29" x14ac:dyDescent="0.35">
      <c r="B14" s="3">
        <v>9</v>
      </c>
      <c r="C14" s="3">
        <v>529</v>
      </c>
      <c r="D14" s="4">
        <v>7.24</v>
      </c>
      <c r="E14" s="9"/>
      <c r="G14" s="8" t="s">
        <v>12</v>
      </c>
      <c r="K14" s="9"/>
      <c r="R14" s="13"/>
      <c r="S14" s="9"/>
      <c r="U14" s="14"/>
    </row>
    <row r="15" spans="2:29" x14ac:dyDescent="0.35">
      <c r="B15" s="3">
        <v>10</v>
      </c>
      <c r="C15" s="3">
        <v>420</v>
      </c>
      <c r="D15" s="4">
        <v>6.12</v>
      </c>
      <c r="E15" s="9"/>
      <c r="G15" s="8" t="s">
        <v>13</v>
      </c>
      <c r="K15" s="9"/>
      <c r="R15" s="13"/>
      <c r="S15" s="9"/>
      <c r="U15" s="14"/>
    </row>
    <row r="16" spans="2:29" x14ac:dyDescent="0.35">
      <c r="B16" s="3">
        <v>11</v>
      </c>
      <c r="C16" s="3">
        <v>679</v>
      </c>
      <c r="D16" s="4">
        <v>7.63</v>
      </c>
      <c r="E16" s="9"/>
      <c r="G16" s="8" t="s">
        <v>14</v>
      </c>
      <c r="K16" s="9"/>
    </row>
    <row r="17" spans="2:11" x14ac:dyDescent="0.35">
      <c r="B17" s="3">
        <v>12</v>
      </c>
      <c r="C17" s="3">
        <v>872</v>
      </c>
      <c r="D17" s="4">
        <v>9.43</v>
      </c>
      <c r="E17" s="9"/>
      <c r="G17" s="8" t="s">
        <v>15</v>
      </c>
      <c r="K17" s="9"/>
    </row>
    <row r="18" spans="2:11" x14ac:dyDescent="0.35">
      <c r="B18" s="3">
        <v>13</v>
      </c>
      <c r="C18" s="3">
        <v>924</v>
      </c>
      <c r="D18" s="4">
        <v>9.4600000000000009</v>
      </c>
      <c r="E18" s="9"/>
      <c r="G18" s="8" t="s">
        <v>13</v>
      </c>
      <c r="K18" s="9"/>
    </row>
    <row r="19" spans="2:11" x14ac:dyDescent="0.35">
      <c r="B19" s="3">
        <v>14</v>
      </c>
      <c r="C19" s="3">
        <v>607</v>
      </c>
      <c r="D19" s="4">
        <v>7.64</v>
      </c>
      <c r="E19" s="9"/>
      <c r="G19" s="8" t="s">
        <v>16</v>
      </c>
      <c r="K19" s="9"/>
    </row>
    <row r="20" spans="2:11" x14ac:dyDescent="0.35">
      <c r="B20" s="3">
        <v>15</v>
      </c>
      <c r="C20" s="3">
        <v>452</v>
      </c>
      <c r="D20" s="4">
        <v>6.92</v>
      </c>
      <c r="E20" s="9"/>
      <c r="G20" s="8" t="s">
        <v>17</v>
      </c>
      <c r="K20" s="9"/>
    </row>
    <row r="21" spans="2:11" x14ac:dyDescent="0.35">
      <c r="B21" s="3">
        <v>16</v>
      </c>
      <c r="C21" s="3">
        <v>729</v>
      </c>
      <c r="D21" s="4">
        <v>8.9499999999999993</v>
      </c>
      <c r="E21" s="9"/>
      <c r="K21" s="9"/>
    </row>
    <row r="22" spans="2:11" x14ac:dyDescent="0.35">
      <c r="B22" s="3">
        <v>17</v>
      </c>
      <c r="C22" s="3">
        <v>794</v>
      </c>
      <c r="D22" s="4">
        <v>9.33</v>
      </c>
      <c r="E22" s="9"/>
      <c r="K22" s="9"/>
    </row>
    <row r="23" spans="2:11" x14ac:dyDescent="0.35">
      <c r="B23" s="3">
        <v>18</v>
      </c>
      <c r="C23" s="3">
        <v>844</v>
      </c>
      <c r="D23" s="4">
        <v>10.23</v>
      </c>
      <c r="E23" s="9"/>
      <c r="K23" s="9"/>
    </row>
    <row r="24" spans="2:11" x14ac:dyDescent="0.35">
      <c r="B24" s="3">
        <v>19</v>
      </c>
      <c r="C24" s="3">
        <v>1010</v>
      </c>
      <c r="D24" s="4">
        <v>11.77</v>
      </c>
      <c r="E24" s="9"/>
      <c r="K24" s="9"/>
    </row>
    <row r="25" spans="2:11" x14ac:dyDescent="0.35">
      <c r="B25" s="5">
        <v>20</v>
      </c>
      <c r="C25" s="5">
        <v>621</v>
      </c>
      <c r="D25" s="6">
        <v>7.41</v>
      </c>
      <c r="E25" s="9"/>
      <c r="K25" s="9"/>
    </row>
    <row r="26" spans="2:11" x14ac:dyDescent="0.35">
      <c r="K26" s="1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26"/>
  <sheetViews>
    <sheetView topLeftCell="W4" zoomScale="85" zoomScaleNormal="85" workbookViewId="0">
      <selection activeCell="AD25" sqref="AD25"/>
    </sheetView>
  </sheetViews>
  <sheetFormatPr defaultRowHeight="14.5" x14ac:dyDescent="0.35"/>
  <cols>
    <col min="3" max="3" width="10.7265625" bestFit="1" customWidth="1"/>
    <col min="4" max="4" width="10.1796875" bestFit="1" customWidth="1"/>
    <col min="5" max="5" width="11.08984375" bestFit="1" customWidth="1"/>
    <col min="6" max="6" width="11.08984375" customWidth="1"/>
    <col min="7" max="7" width="29.54296875" bestFit="1" customWidth="1"/>
    <col min="8" max="8" width="10" bestFit="1" customWidth="1"/>
    <col min="11" max="11" width="10.81640625" bestFit="1" customWidth="1"/>
    <col min="17" max="17" width="17.453125" bestFit="1" customWidth="1"/>
    <col min="18" max="18" width="11.6328125" bestFit="1" customWidth="1"/>
    <col min="19" max="19" width="20.08984375" bestFit="1" customWidth="1"/>
    <col min="20" max="20" width="29.54296875" bestFit="1" customWidth="1"/>
    <col min="21" max="21" width="23" bestFit="1" customWidth="1"/>
    <col min="24" max="24" width="15.453125" bestFit="1" customWidth="1"/>
    <col min="25" max="25" width="19.453125" bestFit="1" customWidth="1"/>
    <col min="26" max="26" width="24.453125" bestFit="1" customWidth="1"/>
    <col min="27" max="27" width="25.1796875" bestFit="1" customWidth="1"/>
    <col min="28" max="28" width="19.453125" bestFit="1" customWidth="1"/>
    <col min="29" max="29" width="23.7265625" bestFit="1" customWidth="1"/>
    <col min="30" max="30" width="24.54296875" bestFit="1" customWidth="1"/>
  </cols>
  <sheetData>
    <row r="3" spans="2:30" x14ac:dyDescent="0.35">
      <c r="B3" t="s">
        <v>0</v>
      </c>
    </row>
    <row r="5" spans="2:30" x14ac:dyDescent="0.35">
      <c r="B5" s="1" t="s">
        <v>1</v>
      </c>
      <c r="C5" s="1" t="s">
        <v>2</v>
      </c>
      <c r="D5" s="2" t="s">
        <v>3</v>
      </c>
      <c r="E5" s="7" t="s">
        <v>18</v>
      </c>
      <c r="F5" s="7"/>
      <c r="G5" s="8" t="s">
        <v>4</v>
      </c>
      <c r="H5">
        <v>600</v>
      </c>
      <c r="K5" s="10" t="s">
        <v>19</v>
      </c>
      <c r="L5" s="10" t="s">
        <v>20</v>
      </c>
      <c r="O5" s="10" t="s">
        <v>4</v>
      </c>
      <c r="P5" s="10" t="s">
        <v>5</v>
      </c>
      <c r="Q5" s="10" t="s">
        <v>6</v>
      </c>
      <c r="R5" s="10" t="s">
        <v>7</v>
      </c>
      <c r="S5" s="10" t="s">
        <v>8</v>
      </c>
      <c r="T5" s="10" t="s">
        <v>9</v>
      </c>
      <c r="U5" s="10" t="s">
        <v>10</v>
      </c>
      <c r="V5" s="10" t="s">
        <v>11</v>
      </c>
      <c r="W5" s="8"/>
      <c r="X5" s="10" t="s">
        <v>12</v>
      </c>
      <c r="Y5" s="10" t="s">
        <v>13</v>
      </c>
      <c r="Z5" s="10" t="s">
        <v>14</v>
      </c>
      <c r="AA5" s="10" t="s">
        <v>15</v>
      </c>
      <c r="AB5" s="10" t="s">
        <v>13</v>
      </c>
      <c r="AC5" s="10" t="s">
        <v>16</v>
      </c>
      <c r="AD5" s="10" t="s">
        <v>17</v>
      </c>
    </row>
    <row r="6" spans="2:30" x14ac:dyDescent="0.35">
      <c r="B6" s="3">
        <v>1</v>
      </c>
      <c r="C6" s="3">
        <v>907</v>
      </c>
      <c r="D6" s="4">
        <v>11.2</v>
      </c>
      <c r="E6" s="9">
        <f>(C6-AVERAGE($C$6:$C$25))^2</f>
        <v>30923.222500000007</v>
      </c>
      <c r="G6" s="8" t="s">
        <v>5</v>
      </c>
      <c r="H6">
        <f>COUNT(B6:B25)</f>
        <v>20</v>
      </c>
      <c r="K6">
        <f>INTERCEPT($D$6:$D$25,$C$6:$C$25)+SLOPE($D$6:$D$25,$C$6:$C$25)*C6</f>
        <v>10.34055411745363</v>
      </c>
      <c r="L6" s="9">
        <f>D6-K6</f>
        <v>0.85944588254636933</v>
      </c>
      <c r="O6">
        <v>600</v>
      </c>
      <c r="P6">
        <f>COUNT($B$6:$B$25)</f>
        <v>20</v>
      </c>
      <c r="Q6">
        <f>P6-2</f>
        <v>18</v>
      </c>
      <c r="R6">
        <f>TINV(5%,Q6)</f>
        <v>2.1009220402410378</v>
      </c>
      <c r="S6" s="13">
        <f>AVERAGE($C$6:$C$25)</f>
        <v>731.15</v>
      </c>
      <c r="T6" s="9">
        <f>SUM($E$6:$E$25)</f>
        <v>614602.54999999993</v>
      </c>
      <c r="U6">
        <f>SQRT(SUMSQ($L$6:$L$25)/(P6-2))</f>
        <v>0.5014952145384084</v>
      </c>
      <c r="V6" s="14">
        <f>(1/20)+((O6-S6)^2)/T6</f>
        <v>7.798609036034751E-2</v>
      </c>
      <c r="X6">
        <f>TREND($D$6:$D$25,$C$6:$C$25,O6)</f>
        <v>7.6606472988112415</v>
      </c>
      <c r="Y6">
        <f>R6*U6*SQRT(V6)</f>
        <v>0.29422888408733283</v>
      </c>
      <c r="Z6">
        <f>X6-Y6</f>
        <v>7.3664184147239089</v>
      </c>
      <c r="AA6">
        <f>X6+Y6</f>
        <v>7.9548761828985741</v>
      </c>
      <c r="AB6">
        <f>R6*U6*SQRT(1+V6)</f>
        <v>1.0939143232812911</v>
      </c>
      <c r="AC6">
        <f>X6-AB6</f>
        <v>6.5667329755299502</v>
      </c>
      <c r="AD6">
        <f>X6+AB6</f>
        <v>8.7545616220925329</v>
      </c>
    </row>
    <row r="7" spans="2:30" x14ac:dyDescent="0.35">
      <c r="B7" s="3">
        <v>2</v>
      </c>
      <c r="C7" s="3">
        <v>926</v>
      </c>
      <c r="D7" s="4">
        <v>11.05</v>
      </c>
      <c r="E7" s="9">
        <f t="shared" ref="E7:E25" si="0">(C7-AVERAGE($C$6:$C$25))^2</f>
        <v>37966.522500000006</v>
      </c>
      <c r="G7" s="8" t="s">
        <v>6</v>
      </c>
      <c r="H7">
        <f>H6-2</f>
        <v>18</v>
      </c>
      <c r="K7">
        <f t="shared" ref="K7:K25" si="1">INTERCEPT($D$6:$D$25,$C$6:$C$25)+SLOPE($D$6:$D$25,$C$6:$C$25)*C7</f>
        <v>10.506411542711628</v>
      </c>
      <c r="L7" s="9">
        <f t="shared" ref="L7:L25" si="2">D7-K7</f>
        <v>0.54358845728837224</v>
      </c>
      <c r="O7">
        <f>O6+50</f>
        <v>650</v>
      </c>
      <c r="P7">
        <f t="shared" ref="P7:P15" si="3">COUNT($B$6:$B$25)</f>
        <v>20</v>
      </c>
      <c r="Q7">
        <f t="shared" ref="Q7:Q15" si="4">P7-2</f>
        <v>18</v>
      </c>
      <c r="R7">
        <f t="shared" ref="R7:R15" si="5">TINV(5%,Q7)</f>
        <v>2.1009220402410378</v>
      </c>
      <c r="S7" s="13">
        <f t="shared" ref="S7:S15" si="6">AVERAGE($C$6:$C$25)</f>
        <v>731.15</v>
      </c>
      <c r="T7" s="9">
        <f>SUM($E$6:$E$25)</f>
        <v>614602.54999999993</v>
      </c>
      <c r="U7">
        <f t="shared" ref="U7:U14" si="7">SQRT(SUMSQ($L$6:$L$25)/(P7-2))</f>
        <v>0.5014952145384084</v>
      </c>
      <c r="V7" s="14">
        <f>(1/20)+((O7-S7)^2)/T7</f>
        <v>6.0714765989825455E-2</v>
      </c>
      <c r="X7">
        <f t="shared" ref="X7:X15" si="8">TREND($D$6:$D$25,$C$6:$C$25,O7)</f>
        <v>8.0971142073849194</v>
      </c>
      <c r="Y7">
        <f t="shared" ref="Y7:Y14" si="9">R7*U7*SQRT(V7)</f>
        <v>0.2596114800299989</v>
      </c>
      <c r="Z7">
        <f t="shared" ref="Z7:Z14" si="10">X7-Y7</f>
        <v>7.83750272735492</v>
      </c>
      <c r="AA7">
        <f t="shared" ref="AA7:AA14" si="11">X7+Y7</f>
        <v>8.3567256874149187</v>
      </c>
      <c r="AB7">
        <f t="shared" ref="AB7:AB14" si="12">R7*U7*SQRT(1+V7)</f>
        <v>1.085115676327669</v>
      </c>
      <c r="AC7">
        <f t="shared" ref="AC7:AC14" si="13">X7-AB7</f>
        <v>7.0119985310572499</v>
      </c>
      <c r="AD7">
        <f t="shared" ref="AD7:AD14" si="14">X7+AB7</f>
        <v>9.1822298837125889</v>
      </c>
    </row>
    <row r="8" spans="2:30" x14ac:dyDescent="0.35">
      <c r="B8" s="3">
        <v>3</v>
      </c>
      <c r="C8" s="3">
        <v>506</v>
      </c>
      <c r="D8" s="4">
        <v>6.84</v>
      </c>
      <c r="E8" s="9">
        <f t="shared" si="0"/>
        <v>50692.522499999992</v>
      </c>
      <c r="G8" s="8" t="s">
        <v>7</v>
      </c>
      <c r="H8">
        <f>TINV(5%,H7)</f>
        <v>2.1009220402410378</v>
      </c>
      <c r="K8">
        <f t="shared" si="1"/>
        <v>6.8400895106927235</v>
      </c>
      <c r="L8" s="9">
        <f t="shared" si="2"/>
        <v>-8.951069272367107E-5</v>
      </c>
      <c r="O8">
        <f t="shared" ref="O8:O35" si="15">O7+50</f>
        <v>700</v>
      </c>
      <c r="P8">
        <f t="shared" si="3"/>
        <v>20</v>
      </c>
      <c r="Q8">
        <f t="shared" si="4"/>
        <v>18</v>
      </c>
      <c r="R8">
        <f t="shared" si="5"/>
        <v>2.1009220402410378</v>
      </c>
      <c r="S8" s="13">
        <f t="shared" si="6"/>
        <v>731.15</v>
      </c>
      <c r="T8" s="9">
        <f t="shared" ref="T7:T15" si="16">SUM($E$6:$E$25)</f>
        <v>614602.54999999993</v>
      </c>
      <c r="U8">
        <f t="shared" si="7"/>
        <v>0.5014952145384084</v>
      </c>
      <c r="V8" s="14">
        <f t="shared" ref="V7:V14" si="17">(1/20)+((O8-S8)^2)/T8</f>
        <v>5.1578780465521987E-2</v>
      </c>
      <c r="X8">
        <f t="shared" si="8"/>
        <v>8.533581115958599</v>
      </c>
      <c r="Y8">
        <f t="shared" si="9"/>
        <v>0.23928323142806779</v>
      </c>
      <c r="Z8">
        <f t="shared" si="10"/>
        <v>8.2942978845305309</v>
      </c>
      <c r="AA8">
        <f t="shared" si="11"/>
        <v>8.7728643473866672</v>
      </c>
      <c r="AB8">
        <f t="shared" si="12"/>
        <v>1.0804324945554655</v>
      </c>
      <c r="AC8">
        <f t="shared" si="13"/>
        <v>7.4531486214031339</v>
      </c>
      <c r="AD8">
        <f t="shared" si="14"/>
        <v>9.6140136105140641</v>
      </c>
    </row>
    <row r="9" spans="2:30" x14ac:dyDescent="0.35">
      <c r="B9" s="3">
        <v>4</v>
      </c>
      <c r="C9" s="3">
        <v>741</v>
      </c>
      <c r="D9" s="4">
        <v>9.2100000000000009</v>
      </c>
      <c r="E9" s="9">
        <f t="shared" si="0"/>
        <v>97.022500000000448</v>
      </c>
      <c r="G9" s="8" t="s">
        <v>8</v>
      </c>
      <c r="H9" s="12">
        <f>AVERAGE(C6:C25)</f>
        <v>731.15</v>
      </c>
      <c r="K9">
        <f t="shared" si="1"/>
        <v>8.8914839809890154</v>
      </c>
      <c r="L9" s="9">
        <f t="shared" si="2"/>
        <v>0.31851601901098547</v>
      </c>
      <c r="O9">
        <f t="shared" si="15"/>
        <v>750</v>
      </c>
      <c r="P9">
        <f t="shared" si="3"/>
        <v>20</v>
      </c>
      <c r="Q9">
        <f t="shared" si="4"/>
        <v>18</v>
      </c>
      <c r="R9">
        <f t="shared" si="5"/>
        <v>2.1009220402410378</v>
      </c>
      <c r="S9" s="13">
        <f t="shared" si="6"/>
        <v>731.15</v>
      </c>
      <c r="T9" s="9">
        <f t="shared" si="16"/>
        <v>614602.54999999993</v>
      </c>
      <c r="U9">
        <f t="shared" si="7"/>
        <v>0.5014952145384084</v>
      </c>
      <c r="V9" s="14">
        <f t="shared" si="17"/>
        <v>5.0578133787437106E-2</v>
      </c>
      <c r="X9">
        <f t="shared" si="8"/>
        <v>8.9700480245322787</v>
      </c>
      <c r="Y9">
        <f t="shared" si="9"/>
        <v>0.23695077351456856</v>
      </c>
      <c r="Z9">
        <f t="shared" si="10"/>
        <v>8.7330972510177105</v>
      </c>
      <c r="AA9">
        <f t="shared" si="11"/>
        <v>9.2069987980468468</v>
      </c>
      <c r="AB9">
        <f t="shared" si="12"/>
        <v>1.0799183207621956</v>
      </c>
      <c r="AC9">
        <f t="shared" si="13"/>
        <v>7.890129703770083</v>
      </c>
      <c r="AD9">
        <f t="shared" si="14"/>
        <v>10.049966345294475</v>
      </c>
    </row>
    <row r="10" spans="2:30" x14ac:dyDescent="0.35">
      <c r="B10" s="3">
        <v>5</v>
      </c>
      <c r="C10" s="3">
        <v>789</v>
      </c>
      <c r="D10" s="4">
        <v>9.42</v>
      </c>
      <c r="E10" s="9">
        <f t="shared" si="0"/>
        <v>3346.6225000000027</v>
      </c>
      <c r="G10" s="8" t="s">
        <v>9</v>
      </c>
      <c r="H10" s="9">
        <f>SUM(E6:E25)</f>
        <v>614602.54999999993</v>
      </c>
      <c r="K10">
        <f t="shared" si="1"/>
        <v>9.3104922132197476</v>
      </c>
      <c r="L10" s="9">
        <f t="shared" si="2"/>
        <v>0.1095077867802523</v>
      </c>
      <c r="O10">
        <f t="shared" si="15"/>
        <v>800</v>
      </c>
      <c r="P10">
        <f t="shared" si="3"/>
        <v>20</v>
      </c>
      <c r="Q10">
        <f t="shared" si="4"/>
        <v>18</v>
      </c>
      <c r="R10">
        <f t="shared" si="5"/>
        <v>2.1009220402410378</v>
      </c>
      <c r="S10" s="13">
        <f t="shared" si="6"/>
        <v>731.15</v>
      </c>
      <c r="T10" s="9">
        <f t="shared" si="16"/>
        <v>614602.54999999993</v>
      </c>
      <c r="U10">
        <f t="shared" si="7"/>
        <v>0.5014952145384084</v>
      </c>
      <c r="V10" s="14">
        <f t="shared" si="17"/>
        <v>5.7712825955570805E-2</v>
      </c>
      <c r="X10">
        <f t="shared" si="8"/>
        <v>9.4065149331059565</v>
      </c>
      <c r="Y10">
        <f t="shared" si="9"/>
        <v>0.25311209620017938</v>
      </c>
      <c r="Z10">
        <f t="shared" si="10"/>
        <v>9.1534028369057765</v>
      </c>
      <c r="AA10">
        <f t="shared" si="11"/>
        <v>9.6596270293061366</v>
      </c>
      <c r="AB10">
        <f t="shared" si="12"/>
        <v>1.0835790897260509</v>
      </c>
      <c r="AC10">
        <f t="shared" si="13"/>
        <v>8.3229358433799057</v>
      </c>
      <c r="AD10">
        <f t="shared" si="14"/>
        <v>10.490094022832007</v>
      </c>
    </row>
    <row r="11" spans="2:30" x14ac:dyDescent="0.35">
      <c r="B11" s="3">
        <v>6</v>
      </c>
      <c r="C11" s="3">
        <v>889</v>
      </c>
      <c r="D11" s="4">
        <v>10.08</v>
      </c>
      <c r="E11" s="9">
        <f t="shared" si="0"/>
        <v>24916.622500000009</v>
      </c>
      <c r="G11" s="8" t="s">
        <v>10</v>
      </c>
      <c r="H11">
        <f>SQRT(SUMSQ(L6:L25)/(H6-2))</f>
        <v>0.5014952145384084</v>
      </c>
      <c r="K11">
        <f t="shared" si="1"/>
        <v>10.183426030367105</v>
      </c>
      <c r="L11" s="9">
        <f t="shared" si="2"/>
        <v>-0.10342603036710507</v>
      </c>
      <c r="O11">
        <f t="shared" si="15"/>
        <v>850</v>
      </c>
      <c r="P11">
        <f t="shared" si="3"/>
        <v>20</v>
      </c>
      <c r="Q11">
        <f t="shared" si="4"/>
        <v>18</v>
      </c>
      <c r="R11">
        <f t="shared" si="5"/>
        <v>2.1009220402410378</v>
      </c>
      <c r="S11" s="13">
        <f t="shared" si="6"/>
        <v>731.15</v>
      </c>
      <c r="T11" s="9">
        <f t="shared" si="16"/>
        <v>614602.54999999993</v>
      </c>
      <c r="U11">
        <f t="shared" si="7"/>
        <v>0.5014952145384084</v>
      </c>
      <c r="V11" s="14">
        <f t="shared" si="17"/>
        <v>7.2982856969923099E-2</v>
      </c>
      <c r="X11">
        <f t="shared" si="8"/>
        <v>9.8429818416796344</v>
      </c>
      <c r="Y11">
        <f t="shared" si="9"/>
        <v>0.28463425191594161</v>
      </c>
      <c r="Z11">
        <f t="shared" si="10"/>
        <v>9.5583475897636934</v>
      </c>
      <c r="AA11">
        <f t="shared" si="11"/>
        <v>10.127616093595575</v>
      </c>
      <c r="AB11">
        <f t="shared" si="12"/>
        <v>1.0913727904856505</v>
      </c>
      <c r="AC11">
        <f t="shared" si="13"/>
        <v>8.7516090511939844</v>
      </c>
      <c r="AD11">
        <f t="shared" si="14"/>
        <v>10.934354632165284</v>
      </c>
    </row>
    <row r="12" spans="2:30" x14ac:dyDescent="0.35">
      <c r="B12" s="3">
        <v>7</v>
      </c>
      <c r="C12" s="3">
        <v>874</v>
      </c>
      <c r="D12" s="4">
        <v>9.4499999999999993</v>
      </c>
      <c r="E12" s="9">
        <f t="shared" si="0"/>
        <v>20406.122500000005</v>
      </c>
      <c r="G12" s="8" t="s">
        <v>11</v>
      </c>
      <c r="H12">
        <f>(1/20)+((H5-H9)^2)/H10</f>
        <v>7.798609036034751E-2</v>
      </c>
      <c r="K12">
        <f t="shared" si="1"/>
        <v>10.052485957795003</v>
      </c>
      <c r="L12" s="9">
        <f t="shared" si="2"/>
        <v>-0.60248595779500391</v>
      </c>
      <c r="O12">
        <f t="shared" si="15"/>
        <v>900</v>
      </c>
      <c r="P12">
        <f t="shared" si="3"/>
        <v>20</v>
      </c>
      <c r="Q12">
        <f t="shared" si="4"/>
        <v>18</v>
      </c>
      <c r="R12">
        <f t="shared" si="5"/>
        <v>2.1009220402410378</v>
      </c>
      <c r="S12" s="13">
        <f t="shared" si="6"/>
        <v>731.15</v>
      </c>
      <c r="T12" s="9">
        <f t="shared" si="16"/>
        <v>614602.54999999993</v>
      </c>
      <c r="U12">
        <f t="shared" si="7"/>
        <v>0.5014952145384084</v>
      </c>
      <c r="V12" s="14">
        <f t="shared" si="17"/>
        <v>9.6388226830493973E-2</v>
      </c>
      <c r="X12">
        <f t="shared" si="8"/>
        <v>10.279448750253314</v>
      </c>
      <c r="Y12">
        <f t="shared" si="9"/>
        <v>0.32710616232631406</v>
      </c>
      <c r="Z12">
        <f t="shared" si="10"/>
        <v>9.9523425879269993</v>
      </c>
      <c r="AA12">
        <f t="shared" si="11"/>
        <v>10.606554912579629</v>
      </c>
      <c r="AB12">
        <f t="shared" si="12"/>
        <v>1.103211834545178</v>
      </c>
      <c r="AC12">
        <f t="shared" si="13"/>
        <v>9.1762369157081363</v>
      </c>
      <c r="AD12">
        <f t="shared" si="14"/>
        <v>11.382660584798492</v>
      </c>
    </row>
    <row r="13" spans="2:30" x14ac:dyDescent="0.35">
      <c r="B13" s="3">
        <v>8</v>
      </c>
      <c r="C13" s="3">
        <v>510</v>
      </c>
      <c r="D13" s="4">
        <v>6.73</v>
      </c>
      <c r="E13" s="9">
        <f t="shared" si="0"/>
        <v>48907.322499999987</v>
      </c>
      <c r="G13" s="8"/>
      <c r="K13">
        <f t="shared" si="1"/>
        <v>6.8750068633786174</v>
      </c>
      <c r="L13" s="9">
        <f t="shared" si="2"/>
        <v>-0.14500686337861701</v>
      </c>
      <c r="O13">
        <f t="shared" si="15"/>
        <v>950</v>
      </c>
      <c r="P13">
        <f t="shared" si="3"/>
        <v>20</v>
      </c>
      <c r="Q13">
        <f t="shared" si="4"/>
        <v>18</v>
      </c>
      <c r="R13">
        <f t="shared" si="5"/>
        <v>2.1009220402410378</v>
      </c>
      <c r="S13" s="13">
        <f t="shared" si="6"/>
        <v>731.15</v>
      </c>
      <c r="T13" s="9">
        <f t="shared" si="16"/>
        <v>614602.54999999993</v>
      </c>
      <c r="U13">
        <f t="shared" si="7"/>
        <v>0.5014952145384084</v>
      </c>
      <c r="V13" s="14">
        <f t="shared" si="17"/>
        <v>0.12792893553728343</v>
      </c>
      <c r="X13">
        <f t="shared" si="8"/>
        <v>10.715915658826994</v>
      </c>
      <c r="Y13">
        <f t="shared" si="9"/>
        <v>0.37684358220242054</v>
      </c>
      <c r="Z13">
        <f t="shared" si="10"/>
        <v>10.339072076624573</v>
      </c>
      <c r="AA13">
        <f t="shared" si="11"/>
        <v>11.092759241029414</v>
      </c>
      <c r="AB13">
        <f t="shared" si="12"/>
        <v>1.1189678261218419</v>
      </c>
      <c r="AC13">
        <f t="shared" si="13"/>
        <v>9.5969478327051512</v>
      </c>
      <c r="AD13">
        <f t="shared" si="14"/>
        <v>11.834883484948836</v>
      </c>
    </row>
    <row r="14" spans="2:30" x14ac:dyDescent="0.35">
      <c r="B14" s="3">
        <v>9</v>
      </c>
      <c r="C14" s="3">
        <v>529</v>
      </c>
      <c r="D14" s="4">
        <v>7.24</v>
      </c>
      <c r="E14" s="9">
        <f t="shared" si="0"/>
        <v>40864.62249999999</v>
      </c>
      <c r="G14" s="8" t="s">
        <v>12</v>
      </c>
      <c r="H14">
        <f>TREND(D6:D25,C6:C25,H5)</f>
        <v>7.6606472988112415</v>
      </c>
      <c r="K14">
        <f t="shared" si="1"/>
        <v>7.040864288636616</v>
      </c>
      <c r="L14" s="9">
        <f t="shared" si="2"/>
        <v>0.19913571136338426</v>
      </c>
      <c r="O14">
        <f t="shared" si="15"/>
        <v>1000</v>
      </c>
      <c r="P14">
        <f t="shared" si="3"/>
        <v>20</v>
      </c>
      <c r="Q14">
        <f t="shared" si="4"/>
        <v>18</v>
      </c>
      <c r="R14">
        <f t="shared" si="5"/>
        <v>2.1009220402410378</v>
      </c>
      <c r="S14" s="13">
        <f t="shared" si="6"/>
        <v>731.15</v>
      </c>
      <c r="T14" s="9">
        <f t="shared" si="16"/>
        <v>614602.54999999993</v>
      </c>
      <c r="U14">
        <f t="shared" si="7"/>
        <v>0.5014952145384084</v>
      </c>
      <c r="V14" s="14">
        <f t="shared" si="17"/>
        <v>0.16760498309029148</v>
      </c>
      <c r="X14">
        <f t="shared" si="8"/>
        <v>11.152382567400672</v>
      </c>
      <c r="Y14">
        <f t="shared" si="9"/>
        <v>0.43134045649539809</v>
      </c>
      <c r="Z14">
        <f t="shared" si="10"/>
        <v>10.721042110905273</v>
      </c>
      <c r="AA14">
        <f t="shared" si="11"/>
        <v>11.58372302389607</v>
      </c>
      <c r="AB14">
        <f t="shared" si="12"/>
        <v>1.1384781508041102</v>
      </c>
      <c r="AC14">
        <f t="shared" si="13"/>
        <v>10.013904416596562</v>
      </c>
      <c r="AD14">
        <f t="shared" si="14"/>
        <v>12.290860718204781</v>
      </c>
    </row>
    <row r="15" spans="2:30" x14ac:dyDescent="0.35">
      <c r="B15" s="3">
        <v>10</v>
      </c>
      <c r="C15" s="3">
        <v>420</v>
      </c>
      <c r="D15" s="4">
        <v>6.12</v>
      </c>
      <c r="E15" s="9">
        <f t="shared" si="0"/>
        <v>96814.32249999998</v>
      </c>
      <c r="G15" s="8" t="s">
        <v>13</v>
      </c>
      <c r="H15">
        <f>H8*H11*SQRT(H12)</f>
        <v>0.29422888408733283</v>
      </c>
      <c r="K15">
        <f t="shared" si="1"/>
        <v>6.0893664279459951</v>
      </c>
      <c r="L15" s="9">
        <f t="shared" si="2"/>
        <v>3.0633572054004965E-2</v>
      </c>
      <c r="O15">
        <f>MAX(C6:C25)</f>
        <v>1010</v>
      </c>
      <c r="P15">
        <f t="shared" si="3"/>
        <v>20</v>
      </c>
      <c r="Q15">
        <f t="shared" si="4"/>
        <v>18</v>
      </c>
      <c r="R15">
        <f t="shared" si="5"/>
        <v>2.1009220402410378</v>
      </c>
      <c r="S15" s="13">
        <f t="shared" si="6"/>
        <v>731.15</v>
      </c>
      <c r="T15" s="9">
        <f t="shared" si="16"/>
        <v>614602.54999999993</v>
      </c>
      <c r="U15">
        <f t="shared" ref="U15" si="18">SQRT(SUMSQ($L$6:$L$25)/(P15-2))</f>
        <v>0.5014952145384084</v>
      </c>
      <c r="V15" s="14">
        <f t="shared" ref="V15" si="19">(1/20)+((O15-S15)^2)/T15</f>
        <v>0.17651643326243932</v>
      </c>
      <c r="X15">
        <f t="shared" si="8"/>
        <v>11.239675949115409</v>
      </c>
      <c r="Y15">
        <f t="shared" ref="Y15" si="20">R15*U15*SQRT(V15)</f>
        <v>0.44265900351831083</v>
      </c>
      <c r="Z15">
        <f t="shared" ref="Z15" si="21">X15-Y15</f>
        <v>10.797016945597099</v>
      </c>
      <c r="AA15">
        <f t="shared" ref="AA15" si="22">X15+Y15</f>
        <v>11.682334952633719</v>
      </c>
      <c r="AB15">
        <f t="shared" ref="AB15" si="23">R15*U15*SQRT(1+V15)</f>
        <v>1.1428144660637229</v>
      </c>
      <c r="AC15">
        <f t="shared" ref="AC15" si="24">X15-AB15</f>
        <v>10.096861483051686</v>
      </c>
      <c r="AD15">
        <f t="shared" ref="AD15" si="25">X15+AB15</f>
        <v>12.382490415179131</v>
      </c>
    </row>
    <row r="16" spans="2:30" x14ac:dyDescent="0.35">
      <c r="B16" s="3">
        <v>11</v>
      </c>
      <c r="C16" s="3">
        <v>679</v>
      </c>
      <c r="D16" s="4">
        <v>7.63</v>
      </c>
      <c r="E16" s="9">
        <f t="shared" si="0"/>
        <v>2719.6224999999977</v>
      </c>
      <c r="G16" s="8" t="s">
        <v>14</v>
      </c>
      <c r="H16">
        <f>H14-H15</f>
        <v>7.3664184147239089</v>
      </c>
      <c r="K16">
        <f t="shared" si="1"/>
        <v>8.3502650143576531</v>
      </c>
      <c r="L16" s="9">
        <f t="shared" si="2"/>
        <v>-0.72026501435765322</v>
      </c>
    </row>
    <row r="17" spans="2:12" x14ac:dyDescent="0.35">
      <c r="B17" s="3">
        <v>12</v>
      </c>
      <c r="C17" s="3">
        <v>872</v>
      </c>
      <c r="D17" s="4">
        <v>9.43</v>
      </c>
      <c r="E17" s="9">
        <f t="shared" si="0"/>
        <v>19838.722500000007</v>
      </c>
      <c r="G17" s="8" t="s">
        <v>15</v>
      </c>
      <c r="H17">
        <f>H14+H15</f>
        <v>7.9548761828985741</v>
      </c>
      <c r="K17">
        <f t="shared" si="1"/>
        <v>10.035027281452056</v>
      </c>
      <c r="L17" s="9">
        <f t="shared" si="2"/>
        <v>-0.60502728145205609</v>
      </c>
    </row>
    <row r="18" spans="2:12" x14ac:dyDescent="0.35">
      <c r="B18" s="3">
        <v>13</v>
      </c>
      <c r="C18" s="3">
        <v>924</v>
      </c>
      <c r="D18" s="4">
        <v>9.4600000000000009</v>
      </c>
      <c r="E18" s="9">
        <f t="shared" si="0"/>
        <v>37191.122500000012</v>
      </c>
      <c r="G18" s="8" t="s">
        <v>13</v>
      </c>
      <c r="H18">
        <f>H8*H11*SQRT(1+H12)</f>
        <v>1.0939143232812911</v>
      </c>
      <c r="K18">
        <f t="shared" si="1"/>
        <v>10.488952866368681</v>
      </c>
      <c r="L18" s="9">
        <f t="shared" si="2"/>
        <v>-1.0289528663686802</v>
      </c>
    </row>
    <row r="19" spans="2:12" x14ac:dyDescent="0.35">
      <c r="B19" s="3">
        <v>14</v>
      </c>
      <c r="C19" s="3">
        <v>607</v>
      </c>
      <c r="D19" s="4">
        <v>7.64</v>
      </c>
      <c r="E19" s="9">
        <f t="shared" si="0"/>
        <v>15413.222499999994</v>
      </c>
      <c r="G19" s="8" t="s">
        <v>16</v>
      </c>
      <c r="H19">
        <f>H14-H18</f>
        <v>6.5667329755299502</v>
      </c>
      <c r="K19">
        <f t="shared" si="1"/>
        <v>7.7217526660115556</v>
      </c>
      <c r="L19" s="9">
        <f t="shared" si="2"/>
        <v>-8.1752666011555952E-2</v>
      </c>
    </row>
    <row r="20" spans="2:12" x14ac:dyDescent="0.35">
      <c r="B20" s="3">
        <v>15</v>
      </c>
      <c r="C20" s="3">
        <v>452</v>
      </c>
      <c r="D20" s="4">
        <v>6.92</v>
      </c>
      <c r="E20" s="9">
        <f t="shared" si="0"/>
        <v>77924.722499999989</v>
      </c>
      <c r="G20" s="8" t="s">
        <v>17</v>
      </c>
      <c r="H20">
        <f>H14+H18</f>
        <v>8.7545616220925329</v>
      </c>
      <c r="K20">
        <f t="shared" si="1"/>
        <v>6.36870524943315</v>
      </c>
      <c r="L20" s="9">
        <f t="shared" si="2"/>
        <v>0.55129475056684996</v>
      </c>
    </row>
    <row r="21" spans="2:12" x14ac:dyDescent="0.35">
      <c r="B21" s="3">
        <v>16</v>
      </c>
      <c r="C21" s="3">
        <v>729</v>
      </c>
      <c r="D21" s="4">
        <v>8.9499999999999993</v>
      </c>
      <c r="E21" s="9">
        <f t="shared" si="0"/>
        <v>4.6224999999999019</v>
      </c>
      <c r="K21">
        <f t="shared" si="1"/>
        <v>8.7867319229313328</v>
      </c>
      <c r="L21" s="9">
        <f t="shared" si="2"/>
        <v>0.16326807706866653</v>
      </c>
    </row>
    <row r="22" spans="2:12" x14ac:dyDescent="0.35">
      <c r="B22" s="3">
        <v>17</v>
      </c>
      <c r="C22" s="3">
        <v>794</v>
      </c>
      <c r="D22" s="4">
        <v>9.33</v>
      </c>
      <c r="E22" s="9">
        <f t="shared" si="0"/>
        <v>3950.1225000000027</v>
      </c>
      <c r="K22">
        <f t="shared" si="1"/>
        <v>9.3541389040771143</v>
      </c>
      <c r="L22" s="9">
        <f t="shared" si="2"/>
        <v>-2.4138904077114276E-2</v>
      </c>
    </row>
    <row r="23" spans="2:12" x14ac:dyDescent="0.35">
      <c r="B23" s="3">
        <v>18</v>
      </c>
      <c r="C23" s="3">
        <v>844</v>
      </c>
      <c r="D23" s="4">
        <v>10.23</v>
      </c>
      <c r="E23" s="9">
        <f t="shared" si="0"/>
        <v>12735.122500000005</v>
      </c>
      <c r="K23">
        <f t="shared" si="1"/>
        <v>9.7906058126507958</v>
      </c>
      <c r="L23" s="9">
        <f t="shared" si="2"/>
        <v>0.43939418734920466</v>
      </c>
    </row>
    <row r="24" spans="2:12" x14ac:dyDescent="0.35">
      <c r="B24" s="3">
        <v>19</v>
      </c>
      <c r="C24" s="3">
        <v>1010</v>
      </c>
      <c r="D24" s="4">
        <v>11.77</v>
      </c>
      <c r="E24" s="9">
        <f t="shared" si="0"/>
        <v>77757.322500000009</v>
      </c>
      <c r="K24">
        <f t="shared" si="1"/>
        <v>11.239675949115409</v>
      </c>
      <c r="L24" s="9">
        <f t="shared" si="2"/>
        <v>0.530324050884591</v>
      </c>
    </row>
    <row r="25" spans="2:12" x14ac:dyDescent="0.35">
      <c r="B25" s="5">
        <v>20</v>
      </c>
      <c r="C25" s="5">
        <v>621</v>
      </c>
      <c r="D25" s="6">
        <v>7.41</v>
      </c>
      <c r="E25" s="9">
        <f t="shared" si="0"/>
        <v>12133.022499999995</v>
      </c>
      <c r="K25">
        <f t="shared" si="1"/>
        <v>7.8439634004121856</v>
      </c>
      <c r="L25" s="9">
        <f t="shared" si="2"/>
        <v>-0.43396340041218551</v>
      </c>
    </row>
    <row r="26" spans="2:12" x14ac:dyDescent="0.35">
      <c r="L26" s="1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 Confiança</vt:lpstr>
      <vt:lpstr>Int Confiança (Resolvido)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2020-08-13T23:37:04Z</dcterms:created>
  <dcterms:modified xsi:type="dcterms:W3CDTF">2020-08-14T00:47:05Z</dcterms:modified>
</cp:coreProperties>
</file>