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Clientes x Vendas" sheetId="2" r:id="rId1"/>
    <sheet name="Alfa e Beta formula (resolvido)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L17" i="1" l="1"/>
  <c r="H56" i="1" l="1"/>
  <c r="G54" i="1"/>
  <c r="G52" i="1"/>
  <c r="G50" i="1"/>
  <c r="G44" i="1"/>
  <c r="D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4" i="1"/>
  <c r="D56" i="1"/>
  <c r="D57" i="1"/>
  <c r="D58" i="1"/>
  <c r="D59" i="1"/>
  <c r="D60" i="1"/>
  <c r="D61" i="1"/>
  <c r="D62" i="1"/>
  <c r="D63" i="1"/>
  <c r="D64" i="1"/>
  <c r="D46" i="1"/>
  <c r="D47" i="1"/>
  <c r="D48" i="1"/>
  <c r="D49" i="1"/>
  <c r="D50" i="1"/>
  <c r="D51" i="1"/>
  <c r="D52" i="1"/>
  <c r="D53" i="1"/>
  <c r="D54" i="1"/>
  <c r="D55" i="1"/>
  <c r="D45" i="1"/>
  <c r="H5" i="1"/>
  <c r="I5" i="1" s="1"/>
  <c r="H6" i="1"/>
  <c r="I6" i="1" s="1"/>
  <c r="H7" i="1"/>
  <c r="H8" i="1"/>
  <c r="H9" i="1"/>
  <c r="H10" i="1"/>
  <c r="H11" i="1"/>
  <c r="I11" i="1" s="1"/>
  <c r="H12" i="1"/>
  <c r="I12" i="1" s="1"/>
  <c r="H13" i="1"/>
  <c r="I13" i="1" s="1"/>
  <c r="H14" i="1"/>
  <c r="I14" i="1" s="1"/>
  <c r="H15" i="1"/>
  <c r="H16" i="1"/>
  <c r="H17" i="1"/>
  <c r="H18" i="1"/>
  <c r="H19" i="1"/>
  <c r="H20" i="1"/>
  <c r="I20" i="1" s="1"/>
  <c r="H21" i="1"/>
  <c r="I21" i="1" s="1"/>
  <c r="H22" i="1"/>
  <c r="I22" i="1" s="1"/>
  <c r="H23" i="1"/>
  <c r="H24" i="1"/>
  <c r="I7" i="1"/>
  <c r="I8" i="1"/>
  <c r="I9" i="1"/>
  <c r="I10" i="1"/>
  <c r="I15" i="1"/>
  <c r="I16" i="1"/>
  <c r="I17" i="1"/>
  <c r="I18" i="1"/>
  <c r="I19" i="1"/>
  <c r="I23" i="1"/>
  <c r="I24" i="1"/>
  <c r="K21" i="1"/>
  <c r="K19" i="1"/>
  <c r="D25" i="2"/>
  <c r="C25" i="2"/>
  <c r="F25" i="2"/>
  <c r="E25" i="2"/>
  <c r="K17" i="1"/>
  <c r="P13" i="1"/>
  <c r="P11" i="1"/>
  <c r="O13" i="1"/>
  <c r="O11" i="1"/>
  <c r="O6" i="1"/>
  <c r="O8" i="1"/>
  <c r="O7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  <c r="E30" i="1"/>
  <c r="O4" i="1"/>
  <c r="E6" i="1"/>
  <c r="E7" i="1"/>
  <c r="E8" i="1"/>
  <c r="E9" i="1"/>
  <c r="E10" i="1"/>
  <c r="E11" i="1"/>
  <c r="E12" i="1"/>
  <c r="E13" i="1"/>
  <c r="E14" i="1"/>
  <c r="E25" i="1" s="1"/>
  <c r="E15" i="1"/>
  <c r="E16" i="1"/>
  <c r="E17" i="1"/>
  <c r="E18" i="1"/>
  <c r="E19" i="1"/>
  <c r="E20" i="1"/>
  <c r="E21" i="1"/>
  <c r="E22" i="1"/>
  <c r="E23" i="1"/>
  <c r="E24" i="1"/>
  <c r="E5" i="1"/>
  <c r="C25" i="1"/>
  <c r="D25" i="1"/>
  <c r="F25" i="1" l="1"/>
  <c r="O3" i="1" s="1"/>
  <c r="O2" i="1" s="1"/>
</calcChain>
</file>

<file path=xl/comments1.xml><?xml version="1.0" encoding="utf-8"?>
<comments xmlns="http://schemas.openxmlformats.org/spreadsheetml/2006/main">
  <authors>
    <author>rodri</author>
  </authors>
  <commentList>
    <comment ref="Q1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Uma vez que é improvável que o número de clientes seja 0, essa intersecção de Y pode ser entendida como uma maneira de expressar o montante de vendas semanais que varia de acordo com outros fatores além do número de clientes.</t>
        </r>
      </text>
    </comment>
  </commentList>
</comments>
</file>

<file path=xl/sharedStrings.xml><?xml version="1.0" encoding="utf-8"?>
<sst xmlns="http://schemas.openxmlformats.org/spreadsheetml/2006/main" count="43" uniqueCount="26">
  <si>
    <r>
      <rPr>
        <b/>
        <i/>
        <sz val="11"/>
        <color theme="1"/>
        <rFont val="Calibri"/>
        <family val="2"/>
        <scheme val="minor"/>
      </rPr>
      <t>Tabela 1.</t>
    </r>
    <r>
      <rPr>
        <sz val="11"/>
        <color theme="1"/>
        <rFont val="Calibri"/>
        <family val="2"/>
        <scheme val="minor"/>
      </rPr>
      <t xml:space="preserve"> Número de clientes e vendas semanais, para uma amostra de 20 empresas de prestação de serviços.</t>
    </r>
  </si>
  <si>
    <t>Loja</t>
  </si>
  <si>
    <t>Clientes (X)</t>
  </si>
  <si>
    <t>Vendas (Y)</t>
  </si>
  <si>
    <t>X^2</t>
  </si>
  <si>
    <t>XY</t>
  </si>
  <si>
    <t>Numerador</t>
  </si>
  <si>
    <t>Denominador</t>
  </si>
  <si>
    <t>SomaX^2</t>
  </si>
  <si>
    <t>beta</t>
  </si>
  <si>
    <t>alfa</t>
  </si>
  <si>
    <t>soma(média(X)média(Y))</t>
  </si>
  <si>
    <t>nmédia(X)média(Y)</t>
  </si>
  <si>
    <t>nmedia(X)^2</t>
  </si>
  <si>
    <t>Qual o valor previsto das vendas se caso eu tiver que atender  730 clientes ?</t>
  </si>
  <si>
    <t>*para cada aumento de 1 unidade em X, esperamos uma mudança para beta unidades em Y</t>
  </si>
  <si>
    <t>*representa o valor médio de Y quando X=0</t>
  </si>
  <si>
    <t>Qual o valor previsto das vendas quando atendermos o menor número de clientes ?</t>
  </si>
  <si>
    <t>Quanto vendo quando atendemos ao número máximo de nossos clientes ?</t>
  </si>
  <si>
    <t>beta =</t>
  </si>
  <si>
    <t xml:space="preserve">alfa = </t>
  </si>
  <si>
    <t>Y projetado</t>
  </si>
  <si>
    <t>erro (Y-Yestimado)</t>
  </si>
  <si>
    <t>R^2=SQReg/STQ</t>
  </si>
  <si>
    <t>R^2 ajustado =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</si>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</sst>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4" fillId="0" borderId="1" xfId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3" fillId="0" borderId="0" xfId="1" applyAlignment="1">
      <alignment horizontal="center"/>
    </xf>
    <xf numFmtId="2" fontId="3" fillId="0" borderId="0" xfId="1" applyNumberFormat="1" applyAlignment="1">
      <alignment horizontal="center"/>
    </xf>
    <xf numFmtId="0" fontId="3" fillId="0" borderId="2" xfId="1" applyBorder="1" applyAlignment="1">
      <alignment horizontal="center"/>
    </xf>
    <xf numFmtId="2" fontId="3" fillId="0" borderId="2" xfId="1" applyNumberForma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/>
    <xf numFmtId="0" fontId="7" fillId="0" borderId="0" xfId="0" applyFont="1"/>
    <xf numFmtId="2" fontId="1" fillId="0" borderId="0" xfId="0" applyNumberFormat="1" applyFont="1"/>
    <xf numFmtId="0" fontId="0" fillId="0" borderId="2" xfId="0" applyBorder="1"/>
    <xf numFmtId="2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6" xfId="0" applyFont="1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03937007874017"/>
          <c:y val="0.10185185185185185"/>
          <c:w val="0.78207174103237098"/>
          <c:h val="0.72593394575678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'Alfa e Beta formula (resolvido)'!$D$4</c:f>
              <c:strCache>
                <c:ptCount val="1"/>
                <c:pt idx="0">
                  <c:v>Vendas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184601924759405E-2"/>
                  <c:y val="0.29976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'Alfa e Beta formula (resolvido)'!$C$5:$C$24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'Alfa e Beta formula (resolvido)'!$D$5:$D$24</c:f>
              <c:numCache>
                <c:formatCode>0.00</c:formatCode>
                <c:ptCount val="20"/>
                <c:pt idx="0">
                  <c:v>11.2</c:v>
                </c:pt>
                <c:pt idx="1">
                  <c:v>11.05</c:v>
                </c:pt>
                <c:pt idx="2">
                  <c:v>6.84</c:v>
                </c:pt>
                <c:pt idx="3">
                  <c:v>9.2100000000000009</c:v>
                </c:pt>
                <c:pt idx="4">
                  <c:v>9.42</c:v>
                </c:pt>
                <c:pt idx="5">
                  <c:v>10.08</c:v>
                </c:pt>
                <c:pt idx="6">
                  <c:v>9.4499999999999993</c:v>
                </c:pt>
                <c:pt idx="7">
                  <c:v>6.73</c:v>
                </c:pt>
                <c:pt idx="8">
                  <c:v>7.24</c:v>
                </c:pt>
                <c:pt idx="9">
                  <c:v>6.12</c:v>
                </c:pt>
                <c:pt idx="10">
                  <c:v>7.63</c:v>
                </c:pt>
                <c:pt idx="11">
                  <c:v>9.43</c:v>
                </c:pt>
                <c:pt idx="12">
                  <c:v>9.4600000000000009</c:v>
                </c:pt>
                <c:pt idx="13">
                  <c:v>7.64</c:v>
                </c:pt>
                <c:pt idx="14">
                  <c:v>6.92</c:v>
                </c:pt>
                <c:pt idx="15">
                  <c:v>8.9499999999999993</c:v>
                </c:pt>
                <c:pt idx="16">
                  <c:v>9.33</c:v>
                </c:pt>
                <c:pt idx="17">
                  <c:v>10.23</c:v>
                </c:pt>
                <c:pt idx="18">
                  <c:v>11.77</c:v>
                </c:pt>
                <c:pt idx="19">
                  <c:v>7.41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67928"/>
        <c:axId val="427173808"/>
      </c:scatterChart>
      <c:valAx>
        <c:axId val="427167928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173808"/>
        <c:crosses val="autoZero"/>
        <c:crossBetween val="midCat"/>
      </c:valAx>
      <c:valAx>
        <c:axId val="42717380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16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25</xdr:row>
      <xdr:rowOff>22413</xdr:rowOff>
    </xdr:from>
    <xdr:to>
      <xdr:col>5</xdr:col>
      <xdr:colOff>694765</xdr:colOff>
      <xdr:row>27</xdr:row>
      <xdr:rowOff>130363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5294" y="4691531"/>
          <a:ext cx="672353" cy="481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37353</xdr:colOff>
      <xdr:row>25</xdr:row>
      <xdr:rowOff>104588</xdr:rowOff>
    </xdr:from>
    <xdr:to>
      <xdr:col>4</xdr:col>
      <xdr:colOff>545353</xdr:colOff>
      <xdr:row>27</xdr:row>
      <xdr:rowOff>129988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153" y="4708338"/>
          <a:ext cx="5080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164355</xdr:colOff>
      <xdr:row>5</xdr:row>
      <xdr:rowOff>52295</xdr:rowOff>
    </xdr:from>
    <xdr:to>
      <xdr:col>12</xdr:col>
      <xdr:colOff>596154</xdr:colOff>
      <xdr:row>11</xdr:row>
      <xdr:rowOff>58645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3955" y="973045"/>
          <a:ext cx="1650999" cy="111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567765</xdr:colOff>
      <xdr:row>11</xdr:row>
      <xdr:rowOff>112059</xdr:rowOff>
    </xdr:from>
    <xdr:to>
      <xdr:col>12</xdr:col>
      <xdr:colOff>456826</xdr:colOff>
      <xdr:row>13</xdr:row>
      <xdr:rowOff>124759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7365" y="2137709"/>
          <a:ext cx="1108261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179295</xdr:colOff>
      <xdr:row>21</xdr:row>
      <xdr:rowOff>59764</xdr:rowOff>
    </xdr:from>
    <xdr:to>
      <xdr:col>13</xdr:col>
      <xdr:colOff>22412</xdr:colOff>
      <xdr:row>25</xdr:row>
      <xdr:rowOff>155014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1471" y="3981823"/>
          <a:ext cx="1680882" cy="842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1038412</xdr:colOff>
      <xdr:row>24</xdr:row>
      <xdr:rowOff>59765</xdr:rowOff>
    </xdr:from>
    <xdr:to>
      <xdr:col>10</xdr:col>
      <xdr:colOff>224118</xdr:colOff>
      <xdr:row>24</xdr:row>
      <xdr:rowOff>59765</xdr:rowOff>
    </xdr:to>
    <xdr:cxnSp macro="">
      <xdr:nvCxnSpPr>
        <xdr:cNvPr id="8" name="Conector de seta reta 7"/>
        <xdr:cNvCxnSpPr/>
      </xdr:nvCxnSpPr>
      <xdr:spPr>
        <a:xfrm>
          <a:off x="6932706" y="4542118"/>
          <a:ext cx="99358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575235</xdr:colOff>
      <xdr:row>30</xdr:row>
      <xdr:rowOff>74706</xdr:rowOff>
    </xdr:from>
    <xdr:to>
      <xdr:col>3</xdr:col>
      <xdr:colOff>691402</xdr:colOff>
      <xdr:row>32</xdr:row>
      <xdr:rowOff>112805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823" y="5677647"/>
          <a:ext cx="1595344" cy="411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186765</xdr:colOff>
      <xdr:row>30</xdr:row>
      <xdr:rowOff>127000</xdr:rowOff>
    </xdr:from>
    <xdr:to>
      <xdr:col>9</xdr:col>
      <xdr:colOff>156509</xdr:colOff>
      <xdr:row>32</xdr:row>
      <xdr:rowOff>118035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9647" y="5729941"/>
          <a:ext cx="3346450" cy="364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201706</xdr:colOff>
      <xdr:row>36</xdr:row>
      <xdr:rowOff>14941</xdr:rowOff>
    </xdr:from>
    <xdr:to>
      <xdr:col>10</xdr:col>
      <xdr:colOff>430306</xdr:colOff>
      <xdr:row>39</xdr:row>
      <xdr:rowOff>148290</xdr:rowOff>
    </xdr:to>
    <xdr:pic>
      <xdr:nvPicPr>
        <xdr:cNvPr id="12" name="Imagem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588" y="6738470"/>
          <a:ext cx="4217894" cy="693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22412</xdr:colOff>
      <xdr:row>25</xdr:row>
      <xdr:rowOff>22413</xdr:rowOff>
    </xdr:from>
    <xdr:to>
      <xdr:col>5</xdr:col>
      <xdr:colOff>647700</xdr:colOff>
      <xdr:row>27</xdr:row>
      <xdr:rowOff>130363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0883" y="4691531"/>
          <a:ext cx="625288" cy="481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37353</xdr:colOff>
      <xdr:row>25</xdr:row>
      <xdr:rowOff>104588</xdr:rowOff>
    </xdr:from>
    <xdr:to>
      <xdr:col>4</xdr:col>
      <xdr:colOff>545353</xdr:colOff>
      <xdr:row>27</xdr:row>
      <xdr:rowOff>129988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0647" y="4773706"/>
          <a:ext cx="508000" cy="398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164355</xdr:colOff>
      <xdr:row>5</xdr:row>
      <xdr:rowOff>52295</xdr:rowOff>
    </xdr:from>
    <xdr:to>
      <xdr:col>12</xdr:col>
      <xdr:colOff>596155</xdr:colOff>
      <xdr:row>11</xdr:row>
      <xdr:rowOff>58645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1884" y="986119"/>
          <a:ext cx="1656976" cy="1126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567765</xdr:colOff>
      <xdr:row>11</xdr:row>
      <xdr:rowOff>112059</xdr:rowOff>
    </xdr:from>
    <xdr:to>
      <xdr:col>12</xdr:col>
      <xdr:colOff>456827</xdr:colOff>
      <xdr:row>13</xdr:row>
      <xdr:rowOff>124759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5294" y="2166471"/>
          <a:ext cx="1114238" cy="386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593912</xdr:colOff>
      <xdr:row>25</xdr:row>
      <xdr:rowOff>174811</xdr:rowOff>
    </xdr:from>
    <xdr:to>
      <xdr:col>13</xdr:col>
      <xdr:colOff>601382</xdr:colOff>
      <xdr:row>40</xdr:row>
      <xdr:rowOff>116541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448234</xdr:colOff>
      <xdr:row>30</xdr:row>
      <xdr:rowOff>44827</xdr:rowOff>
    </xdr:from>
    <xdr:to>
      <xdr:col>12</xdr:col>
      <xdr:colOff>448236</xdr:colOff>
      <xdr:row>33</xdr:row>
      <xdr:rowOff>141943</xdr:rowOff>
    </xdr:to>
    <xdr:cxnSp macro="">
      <xdr:nvCxnSpPr>
        <xdr:cNvPr id="9" name="Conector de seta reta 8"/>
        <xdr:cNvCxnSpPr/>
      </xdr:nvCxnSpPr>
      <xdr:spPr>
        <a:xfrm flipV="1">
          <a:off x="8516469" y="5647768"/>
          <a:ext cx="2" cy="6574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478117</xdr:colOff>
      <xdr:row>38</xdr:row>
      <xdr:rowOff>179294</xdr:rowOff>
    </xdr:from>
    <xdr:to>
      <xdr:col>11</xdr:col>
      <xdr:colOff>567764</xdr:colOff>
      <xdr:row>40</xdr:row>
      <xdr:rowOff>82177</xdr:rowOff>
    </xdr:to>
    <xdr:sp macro="" textlink="">
      <xdr:nvSpPr>
        <xdr:cNvPr id="15" name="CaixaDeTexto 14"/>
        <xdr:cNvSpPr txBox="1"/>
      </xdr:nvSpPr>
      <xdr:spPr>
        <a:xfrm>
          <a:off x="6708588" y="7276353"/>
          <a:ext cx="1314823" cy="276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Número de Clientes</a:t>
          </a:r>
        </a:p>
      </xdr:txBody>
    </xdr:sp>
    <xdr:clientData/>
  </xdr:twoCellAnchor>
  <xdr:twoCellAnchor>
    <xdr:from>
      <xdr:col>7</xdr:col>
      <xdr:colOff>44078</xdr:colOff>
      <xdr:row>28</xdr:row>
      <xdr:rowOff>96370</xdr:rowOff>
    </xdr:from>
    <xdr:to>
      <xdr:col>7</xdr:col>
      <xdr:colOff>320490</xdr:colOff>
      <xdr:row>35</xdr:row>
      <xdr:rowOff>103840</xdr:rowOff>
    </xdr:to>
    <xdr:sp macro="" textlink="">
      <xdr:nvSpPr>
        <xdr:cNvPr id="16" name="CaixaDeTexto 15"/>
        <xdr:cNvSpPr txBox="1"/>
      </xdr:nvSpPr>
      <xdr:spPr>
        <a:xfrm rot="16200000">
          <a:off x="4253754" y="5844988"/>
          <a:ext cx="1314823" cy="276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Vendas Semanais</a:t>
          </a:r>
        </a:p>
      </xdr:txBody>
    </xdr:sp>
    <xdr:clientData/>
  </xdr:twoCellAnchor>
  <xdr:twoCellAnchor editAs="oneCell">
    <xdr:from>
      <xdr:col>10</xdr:col>
      <xdr:colOff>59765</xdr:colOff>
      <xdr:row>21</xdr:row>
      <xdr:rowOff>67235</xdr:rowOff>
    </xdr:from>
    <xdr:to>
      <xdr:col>12</xdr:col>
      <xdr:colOff>515471</xdr:colOff>
      <xdr:row>25</xdr:row>
      <xdr:rowOff>162485</xdr:rowOff>
    </xdr:to>
    <xdr:pic>
      <xdr:nvPicPr>
        <xdr:cNvPr id="21" name="Imagem 2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2824" y="3989294"/>
          <a:ext cx="1680882" cy="842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14941</xdr:colOff>
      <xdr:row>24</xdr:row>
      <xdr:rowOff>112059</xdr:rowOff>
    </xdr:from>
    <xdr:to>
      <xdr:col>10</xdr:col>
      <xdr:colOff>52294</xdr:colOff>
      <xdr:row>24</xdr:row>
      <xdr:rowOff>112059</xdr:rowOff>
    </xdr:to>
    <xdr:cxnSp macro="">
      <xdr:nvCxnSpPr>
        <xdr:cNvPr id="23" name="Conector de seta reta 22"/>
        <xdr:cNvCxnSpPr/>
      </xdr:nvCxnSpPr>
      <xdr:spPr>
        <a:xfrm>
          <a:off x="6245412" y="4594412"/>
          <a:ext cx="649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493059</xdr:colOff>
      <xdr:row>40</xdr:row>
      <xdr:rowOff>141942</xdr:rowOff>
    </xdr:from>
    <xdr:to>
      <xdr:col>4</xdr:col>
      <xdr:colOff>340285</xdr:colOff>
      <xdr:row>42</xdr:row>
      <xdr:rowOff>180041</xdr:rowOff>
    </xdr:to>
    <xdr:pic>
      <xdr:nvPicPr>
        <xdr:cNvPr id="24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353" y="7612530"/>
          <a:ext cx="1595344" cy="411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747058</xdr:colOff>
      <xdr:row>41</xdr:row>
      <xdr:rowOff>7471</xdr:rowOff>
    </xdr:from>
    <xdr:to>
      <xdr:col>9</xdr:col>
      <xdr:colOff>597273</xdr:colOff>
      <xdr:row>42</xdr:row>
      <xdr:rowOff>185271</xdr:rowOff>
    </xdr:to>
    <xdr:pic>
      <xdr:nvPicPr>
        <xdr:cNvPr id="25" name="Imagem 2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9058" y="7664824"/>
          <a:ext cx="3346450" cy="364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776942</xdr:colOff>
      <xdr:row>44</xdr:row>
      <xdr:rowOff>149412</xdr:rowOff>
    </xdr:from>
    <xdr:to>
      <xdr:col>11</xdr:col>
      <xdr:colOff>273424</xdr:colOff>
      <xdr:row>48</xdr:row>
      <xdr:rowOff>95997</xdr:rowOff>
    </xdr:to>
    <xdr:pic>
      <xdr:nvPicPr>
        <xdr:cNvPr id="26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8942" y="8367059"/>
          <a:ext cx="4217894" cy="693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53"/>
  <sheetViews>
    <sheetView tabSelected="1" zoomScale="85" zoomScaleNormal="85" workbookViewId="0">
      <selection activeCell="F6" sqref="F6"/>
    </sheetView>
  </sheetViews>
  <sheetFormatPr defaultRowHeight="14.5" x14ac:dyDescent="0.35"/>
  <cols>
    <col min="3" max="3" width="12.453125" customWidth="1"/>
    <col min="4" max="4" width="12.6328125" customWidth="1"/>
    <col min="5" max="5" width="10.54296875" bestFit="1" customWidth="1"/>
    <col min="6" max="6" width="11.6328125" bestFit="1" customWidth="1"/>
    <col min="8" max="8" width="10.81640625" bestFit="1" customWidth="1"/>
    <col min="9" max="9" width="17.08984375" bestFit="1" customWidth="1"/>
    <col min="14" max="14" width="21.81640625" bestFit="1" customWidth="1"/>
    <col min="15" max="15" width="13.1796875" bestFit="1" customWidth="1"/>
  </cols>
  <sheetData>
    <row r="2" spans="2:17" x14ac:dyDescent="0.35">
      <c r="B2" t="s">
        <v>0</v>
      </c>
      <c r="N2" t="s">
        <v>6</v>
      </c>
    </row>
    <row r="3" spans="2:17" x14ac:dyDescent="0.35">
      <c r="N3" t="s">
        <v>11</v>
      </c>
    </row>
    <row r="4" spans="2:17" x14ac:dyDescent="0.35">
      <c r="B4" s="1" t="s">
        <v>1</v>
      </c>
      <c r="C4" s="1" t="s">
        <v>2</v>
      </c>
      <c r="D4" s="2" t="s">
        <v>3</v>
      </c>
      <c r="E4" s="9" t="s">
        <v>4</v>
      </c>
      <c r="F4" s="9" t="s">
        <v>5</v>
      </c>
      <c r="H4" s="8" t="s">
        <v>21</v>
      </c>
      <c r="I4" s="8" t="s">
        <v>22</v>
      </c>
      <c r="N4" t="s">
        <v>12</v>
      </c>
    </row>
    <row r="5" spans="2:17" x14ac:dyDescent="0.35">
      <c r="B5" s="3">
        <v>1</v>
      </c>
      <c r="C5" s="3">
        <v>907</v>
      </c>
      <c r="D5" s="4">
        <v>11.2</v>
      </c>
    </row>
    <row r="6" spans="2:17" x14ac:dyDescent="0.35">
      <c r="B6" s="3">
        <v>2</v>
      </c>
      <c r="C6" s="3">
        <v>926</v>
      </c>
      <c r="D6" s="4">
        <v>11.05</v>
      </c>
      <c r="N6" t="s">
        <v>7</v>
      </c>
    </row>
    <row r="7" spans="2:17" x14ac:dyDescent="0.35">
      <c r="B7" s="3">
        <v>3</v>
      </c>
      <c r="C7" s="3">
        <v>506</v>
      </c>
      <c r="D7" s="4">
        <v>6.84</v>
      </c>
      <c r="N7" t="s">
        <v>8</v>
      </c>
    </row>
    <row r="8" spans="2:17" x14ac:dyDescent="0.35">
      <c r="B8" s="3">
        <v>4</v>
      </c>
      <c r="C8" s="3">
        <v>741</v>
      </c>
      <c r="D8" s="4">
        <v>9.2100000000000009</v>
      </c>
      <c r="N8" t="s">
        <v>13</v>
      </c>
    </row>
    <row r="9" spans="2:17" x14ac:dyDescent="0.35">
      <c r="B9" s="3">
        <v>5</v>
      </c>
      <c r="C9" s="3">
        <v>789</v>
      </c>
      <c r="D9" s="4">
        <v>9.42</v>
      </c>
    </row>
    <row r="10" spans="2:17" x14ac:dyDescent="0.35">
      <c r="B10" s="3">
        <v>6</v>
      </c>
      <c r="C10" s="3">
        <v>889</v>
      </c>
      <c r="D10" s="4">
        <v>10.08</v>
      </c>
    </row>
    <row r="11" spans="2:17" x14ac:dyDescent="0.35">
      <c r="B11" s="3">
        <v>7</v>
      </c>
      <c r="C11" s="3">
        <v>874</v>
      </c>
      <c r="D11" s="4">
        <v>9.4499999999999993</v>
      </c>
      <c r="N11" s="7" t="s">
        <v>19</v>
      </c>
      <c r="Q11" s="12" t="s">
        <v>15</v>
      </c>
    </row>
    <row r="12" spans="2:17" x14ac:dyDescent="0.35">
      <c r="B12" s="3">
        <v>8</v>
      </c>
      <c r="C12" s="3">
        <v>510</v>
      </c>
      <c r="D12" s="4">
        <v>6.73</v>
      </c>
      <c r="Q12" s="12"/>
    </row>
    <row r="13" spans="2:17" x14ac:dyDescent="0.35">
      <c r="B13" s="3">
        <v>9</v>
      </c>
      <c r="C13" s="3">
        <v>529</v>
      </c>
      <c r="D13" s="4">
        <v>7.24</v>
      </c>
      <c r="N13" s="7" t="s">
        <v>20</v>
      </c>
      <c r="Q13" s="12" t="s">
        <v>16</v>
      </c>
    </row>
    <row r="14" spans="2:17" x14ac:dyDescent="0.35">
      <c r="B14" s="3">
        <v>10</v>
      </c>
      <c r="C14" s="3">
        <v>420</v>
      </c>
      <c r="D14" s="4">
        <v>6.12</v>
      </c>
    </row>
    <row r="15" spans="2:17" x14ac:dyDescent="0.35">
      <c r="B15" s="3">
        <v>11</v>
      </c>
      <c r="C15" s="3">
        <v>679</v>
      </c>
      <c r="D15" s="4">
        <v>7.63</v>
      </c>
    </row>
    <row r="16" spans="2:17" x14ac:dyDescent="0.35">
      <c r="B16" s="3">
        <v>12</v>
      </c>
      <c r="C16" s="3">
        <v>872</v>
      </c>
      <c r="D16" s="4">
        <v>9.43</v>
      </c>
      <c r="K16" s="7" t="s">
        <v>14</v>
      </c>
    </row>
    <row r="17" spans="2:11" x14ac:dyDescent="0.35">
      <c r="B17" s="3">
        <v>13</v>
      </c>
      <c r="C17" s="3">
        <v>924</v>
      </c>
      <c r="D17" s="4">
        <v>9.4600000000000009</v>
      </c>
    </row>
    <row r="18" spans="2:11" x14ac:dyDescent="0.35">
      <c r="B18" s="3">
        <v>14</v>
      </c>
      <c r="C18" s="3">
        <v>607</v>
      </c>
      <c r="D18" s="4">
        <v>7.64</v>
      </c>
      <c r="K18" s="7" t="s">
        <v>17</v>
      </c>
    </row>
    <row r="19" spans="2:11" x14ac:dyDescent="0.35">
      <c r="B19" s="3">
        <v>15</v>
      </c>
      <c r="C19" s="3">
        <v>452</v>
      </c>
      <c r="D19" s="4">
        <v>6.92</v>
      </c>
      <c r="K19" s="7"/>
    </row>
    <row r="20" spans="2:11" x14ac:dyDescent="0.35">
      <c r="B20" s="3">
        <v>16</v>
      </c>
      <c r="C20" s="3">
        <v>729</v>
      </c>
      <c r="D20" s="4">
        <v>8.9499999999999993</v>
      </c>
      <c r="K20" s="7" t="s">
        <v>18</v>
      </c>
    </row>
    <row r="21" spans="2:11" x14ac:dyDescent="0.35">
      <c r="B21" s="3">
        <v>17</v>
      </c>
      <c r="C21" s="3">
        <v>794</v>
      </c>
      <c r="D21" s="4">
        <v>9.33</v>
      </c>
    </row>
    <row r="22" spans="2:11" x14ac:dyDescent="0.35">
      <c r="B22" s="3">
        <v>18</v>
      </c>
      <c r="C22" s="3">
        <v>844</v>
      </c>
      <c r="D22" s="4">
        <v>10.23</v>
      </c>
    </row>
    <row r="23" spans="2:11" x14ac:dyDescent="0.35">
      <c r="B23" s="3">
        <v>19</v>
      </c>
      <c r="C23" s="3">
        <v>1010</v>
      </c>
      <c r="D23" s="4">
        <v>11.77</v>
      </c>
    </row>
    <row r="24" spans="2:11" x14ac:dyDescent="0.35">
      <c r="B24" s="5">
        <v>20</v>
      </c>
      <c r="C24" s="5">
        <v>621</v>
      </c>
      <c r="D24" s="6">
        <v>7.41</v>
      </c>
      <c r="H24" s="14"/>
      <c r="I24" s="14"/>
    </row>
    <row r="25" spans="2:11" x14ac:dyDescent="0.35">
      <c r="C25" s="10">
        <f>SUM(C5:C24)</f>
        <v>14623</v>
      </c>
      <c r="D25" s="10">
        <f>SUM(D5:D24)</f>
        <v>176.11</v>
      </c>
      <c r="E25" s="10">
        <f>SUM(E5:E24)</f>
        <v>0</v>
      </c>
      <c r="F25" s="10">
        <f>SUM(F5:F24)</f>
        <v>0</v>
      </c>
    </row>
    <row r="31" spans="2:11" x14ac:dyDescent="0.35">
      <c r="B31" s="16"/>
      <c r="C31" s="17"/>
      <c r="D31" s="17"/>
      <c r="E31" s="18"/>
    </row>
    <row r="32" spans="2:11" x14ac:dyDescent="0.35">
      <c r="B32" s="19"/>
      <c r="C32" s="20"/>
      <c r="D32" s="20"/>
      <c r="E32" s="21"/>
    </row>
    <row r="33" spans="2:7" x14ac:dyDescent="0.35">
      <c r="B33" s="19"/>
      <c r="C33" s="20"/>
      <c r="D33" s="20"/>
      <c r="E33" s="21"/>
    </row>
    <row r="34" spans="2:7" x14ac:dyDescent="0.35">
      <c r="B34" s="19"/>
      <c r="C34" s="20"/>
      <c r="D34" s="20"/>
      <c r="E34" s="21"/>
    </row>
    <row r="35" spans="2:7" x14ac:dyDescent="0.35">
      <c r="B35" s="19"/>
      <c r="C35" s="20"/>
      <c r="D35" s="20"/>
      <c r="E35" s="21"/>
    </row>
    <row r="36" spans="2:7" x14ac:dyDescent="0.35">
      <c r="B36" s="19"/>
      <c r="C36" s="20"/>
      <c r="D36" s="20"/>
      <c r="E36" s="21"/>
    </row>
    <row r="37" spans="2:7" x14ac:dyDescent="0.35">
      <c r="B37" s="19"/>
      <c r="C37" s="20"/>
      <c r="D37" s="20"/>
      <c r="E37" s="21"/>
    </row>
    <row r="38" spans="2:7" x14ac:dyDescent="0.35">
      <c r="B38" s="19"/>
      <c r="C38" s="20"/>
      <c r="D38" s="20"/>
      <c r="E38" s="21"/>
    </row>
    <row r="39" spans="2:7" x14ac:dyDescent="0.35">
      <c r="B39" s="19"/>
      <c r="C39" s="20"/>
      <c r="D39" s="20"/>
      <c r="E39" s="21"/>
    </row>
    <row r="40" spans="2:7" x14ac:dyDescent="0.35">
      <c r="B40" s="19"/>
      <c r="C40" s="20"/>
      <c r="D40" s="20"/>
      <c r="E40" s="21"/>
    </row>
    <row r="41" spans="2:7" x14ac:dyDescent="0.35">
      <c r="B41" s="19"/>
      <c r="C41" s="20"/>
      <c r="D41" s="20"/>
      <c r="E41" s="21"/>
    </row>
    <row r="42" spans="2:7" x14ac:dyDescent="0.35">
      <c r="B42" s="19"/>
      <c r="C42" s="20"/>
      <c r="D42" s="20"/>
      <c r="E42" s="21"/>
      <c r="G42" s="7" t="s">
        <v>23</v>
      </c>
    </row>
    <row r="43" spans="2:7" x14ac:dyDescent="0.35">
      <c r="B43" s="19"/>
      <c r="C43" s="20"/>
      <c r="D43" s="20"/>
      <c r="E43" s="21"/>
    </row>
    <row r="44" spans="2:7" x14ac:dyDescent="0.35">
      <c r="B44" s="19"/>
      <c r="C44" s="20"/>
      <c r="D44" s="20"/>
      <c r="E44" s="21"/>
    </row>
    <row r="45" spans="2:7" x14ac:dyDescent="0.35">
      <c r="B45" s="19"/>
      <c r="C45" s="20"/>
      <c r="D45" s="20"/>
      <c r="E45" s="21"/>
    </row>
    <row r="46" spans="2:7" x14ac:dyDescent="0.35">
      <c r="B46" s="19"/>
      <c r="C46" s="20"/>
      <c r="D46" s="20"/>
      <c r="E46" s="21"/>
    </row>
    <row r="47" spans="2:7" x14ac:dyDescent="0.35">
      <c r="B47" s="19"/>
      <c r="C47" s="20"/>
      <c r="D47" s="20"/>
      <c r="E47" s="21"/>
    </row>
    <row r="48" spans="2:7" x14ac:dyDescent="0.35">
      <c r="B48" s="19"/>
      <c r="C48" s="20"/>
      <c r="D48" s="20"/>
      <c r="E48" s="21"/>
    </row>
    <row r="49" spans="2:5" x14ac:dyDescent="0.35">
      <c r="B49" s="19"/>
      <c r="C49" s="20"/>
      <c r="D49" s="20"/>
      <c r="E49" s="21"/>
    </row>
    <row r="50" spans="2:5" x14ac:dyDescent="0.35">
      <c r="B50" s="19"/>
      <c r="C50" s="20"/>
      <c r="D50" s="20"/>
      <c r="E50" s="21"/>
    </row>
    <row r="51" spans="2:5" x14ac:dyDescent="0.35">
      <c r="B51" s="19"/>
      <c r="C51" s="20"/>
      <c r="D51" s="20"/>
      <c r="E51" s="21"/>
    </row>
    <row r="52" spans="2:5" x14ac:dyDescent="0.35">
      <c r="B52" s="19"/>
      <c r="C52" s="20"/>
      <c r="D52" s="20"/>
      <c r="E52" s="21"/>
    </row>
    <row r="53" spans="2:5" x14ac:dyDescent="0.35">
      <c r="B53" s="23"/>
      <c r="C53" s="14"/>
      <c r="D53" s="14"/>
      <c r="E53" s="24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5"/>
  <sheetViews>
    <sheetView topLeftCell="A4" zoomScale="85" zoomScaleNormal="85" workbookViewId="0">
      <selection activeCell="K17" sqref="K17"/>
    </sheetView>
  </sheetViews>
  <sheetFormatPr defaultRowHeight="14.5" x14ac:dyDescent="0.35"/>
  <cols>
    <col min="1" max="1" width="2.90625" customWidth="1"/>
    <col min="3" max="3" width="12.453125" customWidth="1"/>
    <col min="4" max="4" width="12.6328125" customWidth="1"/>
    <col min="5" max="5" width="10.54296875" bestFit="1" customWidth="1"/>
    <col min="6" max="6" width="11.6328125" bestFit="1" customWidth="1"/>
    <col min="7" max="7" width="16.90625" customWidth="1"/>
    <col min="8" max="8" width="12.7265625" bestFit="1" customWidth="1"/>
    <col min="14" max="14" width="21.81640625" bestFit="1" customWidth="1"/>
    <col min="15" max="15" width="13.1796875" bestFit="1" customWidth="1"/>
  </cols>
  <sheetData>
    <row r="2" spans="2:16" x14ac:dyDescent="0.35">
      <c r="B2" t="s">
        <v>0</v>
      </c>
      <c r="N2" t="s">
        <v>6</v>
      </c>
      <c r="O2">
        <f>O3-O4</f>
        <v>5365.0734999999841</v>
      </c>
    </row>
    <row r="3" spans="2:16" x14ac:dyDescent="0.35">
      <c r="N3" t="s">
        <v>11</v>
      </c>
      <c r="O3">
        <f>F25</f>
        <v>134127.9</v>
      </c>
    </row>
    <row r="4" spans="2:16" x14ac:dyDescent="0.35">
      <c r="B4" s="1" t="s">
        <v>1</v>
      </c>
      <c r="C4" s="1" t="s">
        <v>2</v>
      </c>
      <c r="D4" s="2" t="s">
        <v>3</v>
      </c>
      <c r="E4" s="9" t="s">
        <v>4</v>
      </c>
      <c r="F4" s="9" t="s">
        <v>5</v>
      </c>
      <c r="H4" s="8" t="s">
        <v>21</v>
      </c>
      <c r="I4" s="8" t="s">
        <v>22</v>
      </c>
      <c r="N4" t="s">
        <v>12</v>
      </c>
      <c r="O4">
        <f>20*AVERAGE(C5:C24)*AVERAGE(D5:D24)</f>
        <v>128762.82650000001</v>
      </c>
    </row>
    <row r="5" spans="2:16" x14ac:dyDescent="0.35">
      <c r="B5" s="3">
        <v>1</v>
      </c>
      <c r="C5" s="3">
        <v>907</v>
      </c>
      <c r="D5" s="4">
        <v>11.2</v>
      </c>
      <c r="E5">
        <f>C5^2</f>
        <v>822649</v>
      </c>
      <c r="F5">
        <f>C5*D5</f>
        <v>10158.4</v>
      </c>
      <c r="H5">
        <f>$O$13+$O$11*C5</f>
        <v>10.340554117453625</v>
      </c>
      <c r="I5" s="11">
        <f>D5-H5</f>
        <v>0.85944588254637466</v>
      </c>
      <c r="J5" s="11"/>
    </row>
    <row r="6" spans="2:16" x14ac:dyDescent="0.35">
      <c r="B6" s="3">
        <v>2</v>
      </c>
      <c r="C6" s="3">
        <v>926</v>
      </c>
      <c r="D6" s="4">
        <v>11.05</v>
      </c>
      <c r="E6">
        <f t="shared" ref="E6:E24" si="0">C6^2</f>
        <v>857476</v>
      </c>
      <c r="F6">
        <f t="shared" ref="F6:F24" si="1">C6*D6</f>
        <v>10232.300000000001</v>
      </c>
      <c r="H6">
        <f t="shared" ref="H6:H24" si="2">$O$13+$O$11*C6</f>
        <v>10.506411542711621</v>
      </c>
      <c r="I6" s="11">
        <f t="shared" ref="I6:I23" si="3">D6-H6</f>
        <v>0.54358845728837935</v>
      </c>
      <c r="J6" s="11"/>
      <c r="N6" t="s">
        <v>7</v>
      </c>
      <c r="O6">
        <f>O7-O8</f>
        <v>614602.55000000075</v>
      </c>
    </row>
    <row r="7" spans="2:16" x14ac:dyDescent="0.35">
      <c r="B7" s="3">
        <v>3</v>
      </c>
      <c r="C7" s="3">
        <v>506</v>
      </c>
      <c r="D7" s="4">
        <v>6.84</v>
      </c>
      <c r="E7">
        <f t="shared" si="0"/>
        <v>256036</v>
      </c>
      <c r="F7">
        <f t="shared" si="1"/>
        <v>3461.04</v>
      </c>
      <c r="H7">
        <f t="shared" si="2"/>
        <v>6.8400895106927324</v>
      </c>
      <c r="I7" s="11">
        <f t="shared" si="3"/>
        <v>-8.9510692732552855E-5</v>
      </c>
      <c r="J7" s="11"/>
      <c r="N7" t="s">
        <v>8</v>
      </c>
      <c r="O7">
        <f>E25</f>
        <v>11306209</v>
      </c>
    </row>
    <row r="8" spans="2:16" x14ac:dyDescent="0.35">
      <c r="B8" s="3">
        <v>4</v>
      </c>
      <c r="C8" s="3">
        <v>741</v>
      </c>
      <c r="D8" s="4">
        <v>9.2100000000000009</v>
      </c>
      <c r="E8">
        <f t="shared" si="0"/>
        <v>549081</v>
      </c>
      <c r="F8">
        <f t="shared" si="1"/>
        <v>6824.6100000000006</v>
      </c>
      <c r="H8">
        <f t="shared" si="2"/>
        <v>8.8914839809890154</v>
      </c>
      <c r="I8" s="11">
        <f t="shared" si="3"/>
        <v>0.31851601901098547</v>
      </c>
      <c r="J8" s="11"/>
      <c r="N8" t="s">
        <v>13</v>
      </c>
      <c r="O8">
        <f>20*AVERAGE(C5:C24)^2</f>
        <v>10691606.449999999</v>
      </c>
    </row>
    <row r="9" spans="2:16" x14ac:dyDescent="0.35">
      <c r="B9" s="3">
        <v>5</v>
      </c>
      <c r="C9" s="3">
        <v>789</v>
      </c>
      <c r="D9" s="4">
        <v>9.42</v>
      </c>
      <c r="E9">
        <f t="shared" si="0"/>
        <v>622521</v>
      </c>
      <c r="F9">
        <f t="shared" si="1"/>
        <v>7432.38</v>
      </c>
      <c r="H9">
        <f t="shared" si="2"/>
        <v>9.3104922132197458</v>
      </c>
      <c r="I9" s="11">
        <f t="shared" si="3"/>
        <v>0.10950778678025408</v>
      </c>
      <c r="J9" s="11"/>
    </row>
    <row r="10" spans="2:16" x14ac:dyDescent="0.35">
      <c r="B10" s="3">
        <v>6</v>
      </c>
      <c r="C10" s="3">
        <v>889</v>
      </c>
      <c r="D10" s="4">
        <v>10.08</v>
      </c>
      <c r="E10">
        <f t="shared" si="0"/>
        <v>790321</v>
      </c>
      <c r="F10">
        <f t="shared" si="1"/>
        <v>8961.1200000000008</v>
      </c>
      <c r="H10">
        <f t="shared" si="2"/>
        <v>10.1834260303671</v>
      </c>
      <c r="I10" s="11">
        <f t="shared" si="3"/>
        <v>-0.10342603036709974</v>
      </c>
      <c r="J10" s="11"/>
    </row>
    <row r="11" spans="2:16" x14ac:dyDescent="0.35">
      <c r="B11" s="3">
        <v>7</v>
      </c>
      <c r="C11" s="3">
        <v>874</v>
      </c>
      <c r="D11" s="4">
        <v>9.4499999999999993</v>
      </c>
      <c r="E11">
        <f t="shared" si="0"/>
        <v>763876</v>
      </c>
      <c r="F11">
        <f t="shared" si="1"/>
        <v>8259.2999999999993</v>
      </c>
      <c r="H11">
        <f t="shared" si="2"/>
        <v>10.052485957794996</v>
      </c>
      <c r="I11" s="11">
        <f t="shared" si="3"/>
        <v>-0.60248595779499681</v>
      </c>
      <c r="J11" s="11"/>
      <c r="N11" s="7" t="s">
        <v>9</v>
      </c>
      <c r="O11">
        <f>O2/O6</f>
        <v>8.7293381714735434E-3</v>
      </c>
      <c r="P11">
        <f>SLOPE(D5:D24,C5:C24)</f>
        <v>8.7293381714735833E-3</v>
      </c>
    </row>
    <row r="12" spans="2:16" x14ac:dyDescent="0.35">
      <c r="B12" s="3">
        <v>8</v>
      </c>
      <c r="C12" s="3">
        <v>510</v>
      </c>
      <c r="D12" s="4">
        <v>6.73</v>
      </c>
      <c r="E12">
        <f t="shared" si="0"/>
        <v>260100</v>
      </c>
      <c r="F12">
        <f t="shared" si="1"/>
        <v>3432.3</v>
      </c>
      <c r="H12">
        <f t="shared" si="2"/>
        <v>6.8750068633786263</v>
      </c>
      <c r="I12" s="11">
        <f t="shared" si="3"/>
        <v>-0.14500686337862589</v>
      </c>
      <c r="J12" s="11"/>
    </row>
    <row r="13" spans="2:16" x14ac:dyDescent="0.35">
      <c r="B13" s="3">
        <v>9</v>
      </c>
      <c r="C13" s="3">
        <v>529</v>
      </c>
      <c r="D13" s="4">
        <v>7.24</v>
      </c>
      <c r="E13">
        <f t="shared" si="0"/>
        <v>279841</v>
      </c>
      <c r="F13">
        <f t="shared" si="1"/>
        <v>3829.96</v>
      </c>
      <c r="H13">
        <f t="shared" si="2"/>
        <v>7.0408642886366239</v>
      </c>
      <c r="I13" s="11">
        <f t="shared" si="3"/>
        <v>0.19913571136337627</v>
      </c>
      <c r="J13" s="11"/>
      <c r="N13" s="7" t="s">
        <v>10</v>
      </c>
      <c r="O13">
        <f>AVERAGE(D5:D24)-O11*AVERAGE(C5:C24)</f>
        <v>2.4230443959271195</v>
      </c>
      <c r="P13">
        <f>INTERCEPT(D5:D24,C5:C24)</f>
        <v>2.4230443959270902</v>
      </c>
    </row>
    <row r="14" spans="2:16" x14ac:dyDescent="0.35">
      <c r="B14" s="3">
        <v>10</v>
      </c>
      <c r="C14" s="3">
        <v>420</v>
      </c>
      <c r="D14" s="4">
        <v>6.12</v>
      </c>
      <c r="E14">
        <f t="shared" si="0"/>
        <v>176400</v>
      </c>
      <c r="F14">
        <f t="shared" si="1"/>
        <v>2570.4</v>
      </c>
      <c r="H14">
        <f t="shared" si="2"/>
        <v>6.0893664279460076</v>
      </c>
      <c r="I14" s="11">
        <f t="shared" si="3"/>
        <v>3.063357205399253E-2</v>
      </c>
      <c r="J14" s="11"/>
    </row>
    <row r="15" spans="2:16" x14ac:dyDescent="0.35">
      <c r="B15" s="3">
        <v>11</v>
      </c>
      <c r="C15" s="3">
        <v>679</v>
      </c>
      <c r="D15" s="4">
        <v>7.63</v>
      </c>
      <c r="E15">
        <f t="shared" si="0"/>
        <v>461041</v>
      </c>
      <c r="F15">
        <f t="shared" si="1"/>
        <v>5180.7699999999995</v>
      </c>
      <c r="H15">
        <f t="shared" si="2"/>
        <v>8.3502650143576567</v>
      </c>
      <c r="I15" s="11">
        <f t="shared" si="3"/>
        <v>-0.72026501435765677</v>
      </c>
      <c r="J15" s="11"/>
    </row>
    <row r="16" spans="2:16" x14ac:dyDescent="0.35">
      <c r="B16" s="3">
        <v>12</v>
      </c>
      <c r="C16" s="3">
        <v>872</v>
      </c>
      <c r="D16" s="4">
        <v>9.43</v>
      </c>
      <c r="E16">
        <f t="shared" si="0"/>
        <v>760384</v>
      </c>
      <c r="F16">
        <f t="shared" si="1"/>
        <v>8222.9599999999991</v>
      </c>
      <c r="H16">
        <f t="shared" si="2"/>
        <v>10.035027281452049</v>
      </c>
      <c r="I16" s="11">
        <f t="shared" si="3"/>
        <v>-0.60502728145204898</v>
      </c>
      <c r="J16" s="11"/>
      <c r="K16" s="7" t="s">
        <v>14</v>
      </c>
    </row>
    <row r="17" spans="2:12" x14ac:dyDescent="0.35">
      <c r="B17" s="3">
        <v>13</v>
      </c>
      <c r="C17" s="3">
        <v>924</v>
      </c>
      <c r="D17" s="4">
        <v>9.4600000000000009</v>
      </c>
      <c r="E17">
        <f t="shared" si="0"/>
        <v>853776</v>
      </c>
      <c r="F17">
        <f t="shared" si="1"/>
        <v>8741.0400000000009</v>
      </c>
      <c r="H17">
        <f t="shared" si="2"/>
        <v>10.488952866368674</v>
      </c>
      <c r="I17" s="11">
        <f t="shared" si="3"/>
        <v>-1.0289528663686731</v>
      </c>
      <c r="J17" s="11"/>
      <c r="K17">
        <f>O13+O11*730</f>
        <v>8.7954612611028065</v>
      </c>
      <c r="L17">
        <f>TREND(D5:D24,C5:C24,730)</f>
        <v>8.7954612611028065</v>
      </c>
    </row>
    <row r="18" spans="2:12" x14ac:dyDescent="0.35">
      <c r="B18" s="3">
        <v>14</v>
      </c>
      <c r="C18" s="3">
        <v>607</v>
      </c>
      <c r="D18" s="4">
        <v>7.64</v>
      </c>
      <c r="E18">
        <f t="shared" si="0"/>
        <v>368449</v>
      </c>
      <c r="F18">
        <f t="shared" si="1"/>
        <v>4637.4799999999996</v>
      </c>
      <c r="H18">
        <f t="shared" si="2"/>
        <v>7.7217526660115601</v>
      </c>
      <c r="I18" s="11">
        <f t="shared" si="3"/>
        <v>-8.1752666011560393E-2</v>
      </c>
      <c r="J18" s="11"/>
      <c r="K18" s="7" t="s">
        <v>17</v>
      </c>
    </row>
    <row r="19" spans="2:12" x14ac:dyDescent="0.35">
      <c r="B19" s="3">
        <v>15</v>
      </c>
      <c r="C19" s="3">
        <v>452</v>
      </c>
      <c r="D19" s="4">
        <v>6.92</v>
      </c>
      <c r="E19">
        <f t="shared" si="0"/>
        <v>204304</v>
      </c>
      <c r="F19">
        <f t="shared" si="1"/>
        <v>3127.84</v>
      </c>
      <c r="H19">
        <f t="shared" si="2"/>
        <v>6.3687052494331606</v>
      </c>
      <c r="I19" s="11">
        <f t="shared" si="3"/>
        <v>0.5512947505668393</v>
      </c>
      <c r="J19" s="11"/>
      <c r="K19" s="12" t="str">
        <f>"Como o mínimo de clientes é de: "&amp;MIN(C5:C24)&amp;", logo prevemos vender "&amp;TEXT(O13+O11*420,"0,00")&amp;" unidades"</f>
        <v>Como o mínimo de clientes é de: 420, logo prevemos vender 6,09 unidades</v>
      </c>
    </row>
    <row r="20" spans="2:12" x14ac:dyDescent="0.35">
      <c r="B20" s="3">
        <v>16</v>
      </c>
      <c r="C20" s="3">
        <v>729</v>
      </c>
      <c r="D20" s="4">
        <v>8.9499999999999993</v>
      </c>
      <c r="E20">
        <f t="shared" si="0"/>
        <v>531441</v>
      </c>
      <c r="F20">
        <f t="shared" si="1"/>
        <v>6524.5499999999993</v>
      </c>
      <c r="H20">
        <f t="shared" si="2"/>
        <v>8.7867319229313328</v>
      </c>
      <c r="I20" s="11">
        <f t="shared" si="3"/>
        <v>0.16326807706866653</v>
      </c>
      <c r="J20" s="11"/>
      <c r="K20" s="7" t="s">
        <v>18</v>
      </c>
    </row>
    <row r="21" spans="2:12" x14ac:dyDescent="0.35">
      <c r="B21" s="3">
        <v>17</v>
      </c>
      <c r="C21" s="3">
        <v>794</v>
      </c>
      <c r="D21" s="4">
        <v>9.33</v>
      </c>
      <c r="E21">
        <f t="shared" si="0"/>
        <v>630436</v>
      </c>
      <c r="F21">
        <f t="shared" si="1"/>
        <v>7408.02</v>
      </c>
      <c r="H21">
        <f t="shared" si="2"/>
        <v>9.3541389040771126</v>
      </c>
      <c r="I21" s="11">
        <f t="shared" si="3"/>
        <v>-2.41389040771125E-2</v>
      </c>
      <c r="J21" s="11"/>
      <c r="K21" s="12" t="str">
        <f>"Como o máximo de clientes é de: "&amp;MAX(C5:C24)&amp;", logo prevemos vender "&amp;TEXT(O13+O11*1010,"0,00")&amp;" unidades"</f>
        <v>Como o máximo de clientes é de: 1010, logo prevemos vender 11,24 unidades</v>
      </c>
    </row>
    <row r="22" spans="2:12" x14ac:dyDescent="0.35">
      <c r="B22" s="3">
        <v>18</v>
      </c>
      <c r="C22" s="3">
        <v>844</v>
      </c>
      <c r="D22" s="4">
        <v>10.23</v>
      </c>
      <c r="E22">
        <f t="shared" si="0"/>
        <v>712336</v>
      </c>
      <c r="F22">
        <f t="shared" si="1"/>
        <v>8634.1200000000008</v>
      </c>
      <c r="H22">
        <f t="shared" si="2"/>
        <v>9.7906058126507904</v>
      </c>
      <c r="I22" s="11">
        <f t="shared" si="3"/>
        <v>0.43939418734920999</v>
      </c>
      <c r="J22" s="11"/>
    </row>
    <row r="23" spans="2:12" x14ac:dyDescent="0.35">
      <c r="B23" s="3">
        <v>19</v>
      </c>
      <c r="C23" s="3">
        <v>1010</v>
      </c>
      <c r="D23" s="4">
        <v>11.77</v>
      </c>
      <c r="E23">
        <f t="shared" si="0"/>
        <v>1020100</v>
      </c>
      <c r="F23">
        <f t="shared" si="1"/>
        <v>11887.699999999999</v>
      </c>
      <c r="H23">
        <f t="shared" si="2"/>
        <v>11.239675949115398</v>
      </c>
      <c r="I23" s="11">
        <f t="shared" si="3"/>
        <v>0.53032405088460166</v>
      </c>
      <c r="J23" s="11"/>
    </row>
    <row r="24" spans="2:12" x14ac:dyDescent="0.35">
      <c r="B24" s="5">
        <v>20</v>
      </c>
      <c r="C24" s="5">
        <v>621</v>
      </c>
      <c r="D24" s="6">
        <v>7.41</v>
      </c>
      <c r="E24">
        <f t="shared" si="0"/>
        <v>385641</v>
      </c>
      <c r="F24">
        <f t="shared" si="1"/>
        <v>4601.6099999999997</v>
      </c>
      <c r="H24" s="14">
        <f t="shared" si="2"/>
        <v>7.8439634004121901</v>
      </c>
      <c r="I24" s="15">
        <f>D24-H24</f>
        <v>-0.43396340041218995</v>
      </c>
      <c r="J24" s="11"/>
    </row>
    <row r="25" spans="2:12" x14ac:dyDescent="0.35">
      <c r="C25" s="10">
        <f>SUM(C5:C24)</f>
        <v>14623</v>
      </c>
      <c r="D25" s="10">
        <f>SUM(D5:D24)</f>
        <v>176.11</v>
      </c>
      <c r="E25" s="10">
        <f>SUM(E5:E24)</f>
        <v>11306209</v>
      </c>
      <c r="F25" s="10">
        <f>SUM(F5:F24)</f>
        <v>134127.9</v>
      </c>
      <c r="I25" s="27">
        <f>SQRT((SUMSQ(I5:I24))/(20-2))</f>
        <v>0.50149521453840828</v>
      </c>
      <c r="J25" s="11"/>
    </row>
    <row r="26" spans="2:12" x14ac:dyDescent="0.35">
      <c r="I26" s="11" t="s">
        <v>25</v>
      </c>
    </row>
    <row r="30" spans="2:12" x14ac:dyDescent="0.35">
      <c r="E30">
        <f>AVERAGE(E5:E24)</f>
        <v>565310.44999999995</v>
      </c>
    </row>
    <row r="41" spans="3:7" x14ac:dyDescent="0.35">
      <c r="C41" s="16"/>
      <c r="D41" s="17"/>
      <c r="E41" s="18"/>
    </row>
    <row r="42" spans="3:7" x14ac:dyDescent="0.35">
      <c r="C42" s="19"/>
      <c r="D42" s="20"/>
      <c r="E42" s="21"/>
    </row>
    <row r="43" spans="3:7" x14ac:dyDescent="0.35">
      <c r="C43" s="19"/>
      <c r="D43" s="20"/>
      <c r="E43" s="21"/>
    </row>
    <row r="44" spans="3:7" x14ac:dyDescent="0.35">
      <c r="C44" s="22" t="str">
        <f>B4</f>
        <v>Loja</v>
      </c>
      <c r="D44" s="25" t="str">
        <f>"STQ = "&amp;SUM(D45:D64)</f>
        <v>STQ = 51,360495</v>
      </c>
      <c r="E44" s="21"/>
      <c r="G44" s="7" t="str">
        <f>"SQRes = "&amp;SUMSQ(I5:I24)</f>
        <v>SQRes = 4,52695410368864</v>
      </c>
    </row>
    <row r="45" spans="3:7" x14ac:dyDescent="0.35">
      <c r="C45" s="19">
        <f t="shared" ref="C45:C64" si="4">B5</f>
        <v>1</v>
      </c>
      <c r="D45" s="20">
        <f>(D5-AVERAGE($D$5:$D$24))^2</f>
        <v>5.7336302499999947</v>
      </c>
      <c r="E45" s="21"/>
      <c r="G45" s="19"/>
    </row>
    <row r="46" spans="3:7" x14ac:dyDescent="0.35">
      <c r="C46" s="19">
        <f t="shared" si="4"/>
        <v>2</v>
      </c>
      <c r="D46" s="20">
        <f t="shared" ref="D46:D64" si="5">(D6-AVERAGE($D$5:$D$24))^2</f>
        <v>5.0377802500000017</v>
      </c>
      <c r="E46" s="21"/>
      <c r="G46" s="19"/>
    </row>
    <row r="47" spans="3:7" x14ac:dyDescent="0.35">
      <c r="C47" s="19">
        <f t="shared" si="4"/>
        <v>3</v>
      </c>
      <c r="D47" s="20">
        <f t="shared" si="5"/>
        <v>3.8631902500000019</v>
      </c>
      <c r="E47" s="21"/>
      <c r="G47" s="19"/>
    </row>
    <row r="48" spans="3:7" x14ac:dyDescent="0.35">
      <c r="C48" s="19">
        <f t="shared" si="4"/>
        <v>4</v>
      </c>
      <c r="D48" s="20">
        <f t="shared" si="5"/>
        <v>0.16362025000000044</v>
      </c>
      <c r="E48" s="21"/>
      <c r="G48" s="19"/>
    </row>
    <row r="49" spans="3:9" x14ac:dyDescent="0.35">
      <c r="C49" s="19">
        <f t="shared" si="4"/>
        <v>5</v>
      </c>
      <c r="D49" s="20">
        <f t="shared" si="5"/>
        <v>0.37761024999999954</v>
      </c>
      <c r="E49" s="21"/>
      <c r="G49" s="19"/>
    </row>
    <row r="50" spans="3:9" x14ac:dyDescent="0.35">
      <c r="C50" s="19">
        <f t="shared" si="4"/>
        <v>6</v>
      </c>
      <c r="D50" s="20">
        <f t="shared" si="5"/>
        <v>1.6243502499999993</v>
      </c>
      <c r="E50" s="21"/>
      <c r="G50" s="22" t="str">
        <f>"SQReg = "&amp;SUM(D45:D64)-SUMSQ(I5:I24)</f>
        <v>SQReg = 46,8335408963114</v>
      </c>
      <c r="I50" s="11"/>
    </row>
    <row r="51" spans="3:9" x14ac:dyDescent="0.35">
      <c r="C51" s="19">
        <f t="shared" si="4"/>
        <v>7</v>
      </c>
      <c r="D51" s="20">
        <f t="shared" si="5"/>
        <v>0.41538024999999867</v>
      </c>
      <c r="E51" s="21"/>
      <c r="G51" s="19"/>
    </row>
    <row r="52" spans="3:9" x14ac:dyDescent="0.35">
      <c r="C52" s="19">
        <f t="shared" si="4"/>
        <v>8</v>
      </c>
      <c r="D52" s="20">
        <f t="shared" si="5"/>
        <v>4.3077002499999999</v>
      </c>
      <c r="E52" s="21"/>
      <c r="G52" s="13" t="str">
        <f>"STQ = SQRes+SQReg = "&amp;SUM(D45:D64)-SUMSQ(I5:I24)+SUMSQ(I5:I24)</f>
        <v>STQ = SQRes+SQReg = 51,360495</v>
      </c>
      <c r="I52" s="11"/>
    </row>
    <row r="53" spans="3:9" x14ac:dyDescent="0.35">
      <c r="C53" s="19">
        <f t="shared" si="4"/>
        <v>9</v>
      </c>
      <c r="D53" s="20">
        <f t="shared" si="5"/>
        <v>2.4507902500000003</v>
      </c>
      <c r="E53" s="21"/>
      <c r="G53" s="20"/>
    </row>
    <row r="54" spans="3:9" x14ac:dyDescent="0.35">
      <c r="C54" s="19">
        <f t="shared" si="4"/>
        <v>10</v>
      </c>
      <c r="D54" s="20">
        <f t="shared" si="5"/>
        <v>7.2119102500000007</v>
      </c>
      <c r="E54" s="21"/>
      <c r="G54" s="13" t="str">
        <f>"R^2 = SQReg/STQ = "&amp;(SUM(D45:D64)-SUMSQ(I5:I24))/SUM(D45:D64)</f>
        <v>R^2 = SQReg/STQ = 0,911859219742944</v>
      </c>
    </row>
    <row r="55" spans="3:9" x14ac:dyDescent="0.35">
      <c r="C55" s="19">
        <f t="shared" si="4"/>
        <v>11</v>
      </c>
      <c r="D55" s="20">
        <f t="shared" si="5"/>
        <v>1.3818002500000011</v>
      </c>
      <c r="E55" s="21"/>
    </row>
    <row r="56" spans="3:9" x14ac:dyDescent="0.35">
      <c r="C56" s="19">
        <f t="shared" si="4"/>
        <v>12</v>
      </c>
      <c r="D56" s="20">
        <f t="shared" si="5"/>
        <v>0.39000024999999922</v>
      </c>
      <c r="E56" s="21"/>
      <c r="G56" s="25" t="s">
        <v>24</v>
      </c>
      <c r="H56" s="26">
        <f>1-(1-(SUM(D45:D64)-SUMSQ(I5:I24))/SUM(D45:D64))*((20-1)/(20-2))</f>
        <v>0.90696250972866277</v>
      </c>
    </row>
    <row r="57" spans="3:9" x14ac:dyDescent="0.35">
      <c r="C57" s="19">
        <f t="shared" si="4"/>
        <v>13</v>
      </c>
      <c r="D57" s="20">
        <f t="shared" si="5"/>
        <v>0.42837025000000067</v>
      </c>
      <c r="E57" s="21"/>
      <c r="G57" s="20"/>
    </row>
    <row r="58" spans="3:9" x14ac:dyDescent="0.35">
      <c r="C58" s="19">
        <f t="shared" si="4"/>
        <v>14</v>
      </c>
      <c r="D58" s="20">
        <f t="shared" si="5"/>
        <v>1.3583902500000016</v>
      </c>
      <c r="E58" s="21"/>
      <c r="G58" s="20"/>
    </row>
    <row r="59" spans="3:9" x14ac:dyDescent="0.35">
      <c r="C59" s="19">
        <f t="shared" si="4"/>
        <v>15</v>
      </c>
      <c r="D59" s="20">
        <f t="shared" si="5"/>
        <v>3.5551102500000016</v>
      </c>
      <c r="E59" s="21"/>
      <c r="G59" s="20"/>
    </row>
    <row r="60" spans="3:9" x14ac:dyDescent="0.35">
      <c r="C60" s="19">
        <f t="shared" si="4"/>
        <v>16</v>
      </c>
      <c r="D60" s="20">
        <f t="shared" si="5"/>
        <v>2.0880249999999701E-2</v>
      </c>
      <c r="E60" s="21"/>
      <c r="G60" s="20"/>
    </row>
    <row r="61" spans="3:9" x14ac:dyDescent="0.35">
      <c r="C61" s="19">
        <f t="shared" si="4"/>
        <v>17</v>
      </c>
      <c r="D61" s="20">
        <f t="shared" si="5"/>
        <v>0.27510024999999971</v>
      </c>
      <c r="E61" s="21"/>
      <c r="G61" s="20"/>
    </row>
    <row r="62" spans="3:9" x14ac:dyDescent="0.35">
      <c r="C62" s="19">
        <f t="shared" si="4"/>
        <v>18</v>
      </c>
      <c r="D62" s="20">
        <f t="shared" si="5"/>
        <v>2.0292002500000001</v>
      </c>
      <c r="E62" s="21"/>
      <c r="G62" s="20"/>
    </row>
    <row r="63" spans="3:9" x14ac:dyDescent="0.35">
      <c r="C63" s="19">
        <f t="shared" si="4"/>
        <v>19</v>
      </c>
      <c r="D63" s="20">
        <f t="shared" si="5"/>
        <v>8.7882602499999951</v>
      </c>
      <c r="E63" s="21"/>
      <c r="G63" s="20"/>
    </row>
    <row r="64" spans="3:9" x14ac:dyDescent="0.35">
      <c r="C64" s="19">
        <f t="shared" si="4"/>
        <v>20</v>
      </c>
      <c r="D64" s="20">
        <f t="shared" si="5"/>
        <v>1.9474202500000004</v>
      </c>
      <c r="E64" s="21"/>
      <c r="G64" s="20"/>
    </row>
    <row r="65" spans="3:5" x14ac:dyDescent="0.35">
      <c r="C65" s="23"/>
      <c r="D65" s="14"/>
      <c r="E65" s="2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Clientes x Vendas</vt:lpstr>
      <vt:lpstr>Alfa e Beta formula (resolvido)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2020-08-03T18:28:23Z</dcterms:created>
  <dcterms:modified xsi:type="dcterms:W3CDTF">2020-08-13T18:05:59Z</dcterms:modified>
</cp:coreProperties>
</file>