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 firstSheet="2" activeTab="4"/>
  </bookViews>
  <sheets>
    <sheet name="Int. Conf. Y (exercício)" sheetId="2" r:id="rId1"/>
    <sheet name="Intervalo de conf Y (resolvido)" sheetId="1" r:id="rId2"/>
    <sheet name="Inf.par.Beta" sheetId="4" r:id="rId3"/>
    <sheet name="Inf par. beta (resolvido)" sheetId="3" r:id="rId4"/>
    <sheet name="Inf feranadados (resolvido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5" l="1"/>
  <c r="I22" i="5"/>
  <c r="G23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B2" i="4"/>
  <c r="G15" i="3"/>
  <c r="D24" i="5" l="1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B2" i="5"/>
  <c r="G17" i="3"/>
  <c r="G31" i="3"/>
  <c r="G29" i="3"/>
  <c r="G28" i="3"/>
  <c r="G27" i="3"/>
  <c r="G23" i="3"/>
  <c r="I21" i="3"/>
  <c r="G21" i="3"/>
  <c r="G13" i="3" l="1"/>
  <c r="G10" i="3"/>
  <c r="G8" i="3"/>
  <c r="G7" i="3"/>
  <c r="G6" i="3"/>
  <c r="G5" i="3"/>
  <c r="G4" i="3"/>
  <c r="B2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6" i="1"/>
  <c r="H24" i="1"/>
  <c r="H23" i="1"/>
  <c r="K25" i="2"/>
  <c r="L25" i="2" s="1"/>
  <c r="E25" i="2"/>
  <c r="K24" i="2"/>
  <c r="L24" i="2" s="1"/>
  <c r="E24" i="2"/>
  <c r="K23" i="2"/>
  <c r="L23" i="2" s="1"/>
  <c r="E23" i="2"/>
  <c r="K22" i="2"/>
  <c r="L22" i="2" s="1"/>
  <c r="E22" i="2"/>
  <c r="K21" i="2"/>
  <c r="L21" i="2" s="1"/>
  <c r="E21" i="2"/>
  <c r="K20" i="2"/>
  <c r="L20" i="2" s="1"/>
  <c r="E20" i="2"/>
  <c r="K19" i="2"/>
  <c r="L19" i="2" s="1"/>
  <c r="E19" i="2"/>
  <c r="K18" i="2"/>
  <c r="L18" i="2" s="1"/>
  <c r="E18" i="2"/>
  <c r="K17" i="2"/>
  <c r="L17" i="2" s="1"/>
  <c r="E17" i="2"/>
  <c r="K16" i="2"/>
  <c r="L16" i="2" s="1"/>
  <c r="E16" i="2"/>
  <c r="K15" i="2"/>
  <c r="L15" i="2" s="1"/>
  <c r="E15" i="2"/>
  <c r="K14" i="2"/>
  <c r="L14" i="2" s="1"/>
  <c r="H14" i="2"/>
  <c r="E14" i="2"/>
  <c r="K13" i="2"/>
  <c r="L13" i="2" s="1"/>
  <c r="E13" i="2"/>
  <c r="K12" i="2"/>
  <c r="L12" i="2" s="1"/>
  <c r="E12" i="2"/>
  <c r="L11" i="2"/>
  <c r="K11" i="2"/>
  <c r="E11" i="2"/>
  <c r="K10" i="2"/>
  <c r="L10" i="2" s="1"/>
  <c r="H10" i="2"/>
  <c r="H12" i="2" s="1"/>
  <c r="E10" i="2"/>
  <c r="K9" i="2"/>
  <c r="L9" i="2" s="1"/>
  <c r="H9" i="2"/>
  <c r="E9" i="2"/>
  <c r="K8" i="2"/>
  <c r="L8" i="2" s="1"/>
  <c r="E8" i="2"/>
  <c r="K7" i="2"/>
  <c r="L7" i="2" s="1"/>
  <c r="E7" i="2"/>
  <c r="K6" i="2"/>
  <c r="L6" i="2" s="1"/>
  <c r="H6" i="2"/>
  <c r="H11" i="2" s="1"/>
  <c r="E6" i="2"/>
  <c r="H26" i="1"/>
  <c r="K7" i="1"/>
  <c r="L7" i="1" s="1"/>
  <c r="K8" i="1"/>
  <c r="L8" i="1" s="1"/>
  <c r="K9" i="1"/>
  <c r="K10" i="1"/>
  <c r="L10" i="1" s="1"/>
  <c r="K11" i="1"/>
  <c r="K12" i="1"/>
  <c r="K13" i="1"/>
  <c r="K14" i="1"/>
  <c r="K15" i="1"/>
  <c r="L15" i="1" s="1"/>
  <c r="K16" i="1"/>
  <c r="L16" i="1" s="1"/>
  <c r="K17" i="1"/>
  <c r="L17" i="1" s="1"/>
  <c r="K18" i="1"/>
  <c r="L18" i="1" s="1"/>
  <c r="K19" i="1"/>
  <c r="K20" i="1"/>
  <c r="K21" i="1"/>
  <c r="K22" i="1"/>
  <c r="K23" i="1"/>
  <c r="L23" i="1" s="1"/>
  <c r="K24" i="1"/>
  <c r="L24" i="1" s="1"/>
  <c r="K25" i="1"/>
  <c r="L25" i="1" s="1"/>
  <c r="K6" i="1"/>
  <c r="L6" i="1" s="1"/>
  <c r="L22" i="1"/>
  <c r="L21" i="1"/>
  <c r="L20" i="1"/>
  <c r="L19" i="1"/>
  <c r="L14" i="1"/>
  <c r="H14" i="1"/>
  <c r="L13" i="1"/>
  <c r="L12" i="1"/>
  <c r="L11" i="1"/>
  <c r="H10" i="1"/>
  <c r="H12" i="1" s="1"/>
  <c r="L9" i="1"/>
  <c r="H9" i="1"/>
  <c r="H6" i="1"/>
  <c r="H7" i="1" s="1"/>
  <c r="H8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H7" i="2" l="1"/>
  <c r="H8" i="2" s="1"/>
  <c r="H11" i="1"/>
  <c r="H18" i="1" s="1"/>
  <c r="H15" i="2" l="1"/>
  <c r="H18" i="2"/>
  <c r="H19" i="1"/>
  <c r="H20" i="1"/>
  <c r="H15" i="1"/>
  <c r="H16" i="2" l="1"/>
  <c r="H17" i="2"/>
  <c r="H19" i="2"/>
  <c r="H20" i="2"/>
  <c r="H16" i="1"/>
  <c r="H17" i="1"/>
</calcChain>
</file>

<file path=xl/comments1.xml><?xml version="1.0" encoding="utf-8"?>
<comments xmlns="http://schemas.openxmlformats.org/spreadsheetml/2006/main">
  <authors>
    <author>rodri</author>
  </authors>
  <commentList>
    <comment ref="G3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Note que este valor para t é o mesmo encontrado na célula g13.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G3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Note que este valor para t é o mesmo encontrado na célula g13.</t>
        </r>
      </text>
    </comment>
  </commentList>
</comments>
</file>

<file path=xl/comments3.xml><?xml version="1.0" encoding="utf-8"?>
<comments xmlns="http://schemas.openxmlformats.org/spreadsheetml/2006/main">
  <authors>
    <author>rodri</author>
  </authors>
  <commentList>
    <comment ref="G2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inclinação beta1</t>
        </r>
      </text>
    </comment>
    <comment ref="H2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= Sb1</t>
        </r>
      </text>
    </comment>
    <comment ref="I2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t=b1/Sb1 </t>
        </r>
      </text>
    </comment>
    <comment ref="J21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se p&lt;nivel de signf. (1 ou 5% para t) ou muito proximo de zero concluimos que existe relação linear signficativamente estatistica medida pelo parâmetro</t>
        </r>
      </text>
    </comment>
  </commentList>
</comments>
</file>

<file path=xl/sharedStrings.xml><?xml version="1.0" encoding="utf-8"?>
<sst xmlns="http://schemas.openxmlformats.org/spreadsheetml/2006/main" count="162" uniqueCount="76">
  <si>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</si>
  <si>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Loja</t>
  </si>
  <si>
    <t>Clientes (X)</t>
  </si>
  <si>
    <t>Vendas (Y)</t>
  </si>
  <si>
    <t>(X-Média)^2</t>
  </si>
  <si>
    <t>Numero de clientes</t>
  </si>
  <si>
    <t>Y projetado</t>
  </si>
  <si>
    <t>erro = (Y-Yestimado)</t>
  </si>
  <si>
    <t>Numero de observações (n)</t>
  </si>
  <si>
    <t>Graus de Liberdade</t>
  </si>
  <si>
    <t>Valor de t</t>
  </si>
  <si>
    <t>Nro Médio de clientes</t>
  </si>
  <si>
    <t>Soma das diferenças ao quadrado</t>
  </si>
  <si>
    <t>Erro padrão da estimativa</t>
  </si>
  <si>
    <t>Estatística hi</t>
  </si>
  <si>
    <t>Vendas previstas</t>
  </si>
  <si>
    <t>Metade da amplitude</t>
  </si>
  <si>
    <t>Limite de confiança inferior</t>
  </si>
  <si>
    <t>Limite de confiança superior</t>
  </si>
  <si>
    <t>Limite de Previsão Inferior</t>
  </si>
  <si>
    <t>Limite de Previsão Superior</t>
  </si>
  <si>
    <t>Construção do intervalo com 95% de confiança</t>
  </si>
  <si>
    <t>&lt;= Yi &lt;=</t>
  </si>
  <si>
    <t xml:space="preserve">      |</t>
  </si>
  <si>
    <t>Banda Inf</t>
  </si>
  <si>
    <t>Banda Sup</t>
  </si>
  <si>
    <r>
      <t xml:space="preserve">Valor de </t>
    </r>
    <r>
      <rPr>
        <b/>
        <i/>
        <sz val="11"/>
        <color theme="1"/>
        <rFont val="Calibri"/>
        <family val="2"/>
        <scheme val="minor"/>
      </rPr>
      <t>t</t>
    </r>
  </si>
  <si>
    <t>b1 =</t>
  </si>
  <si>
    <t>n =</t>
  </si>
  <si>
    <t>SYX =</t>
  </si>
  <si>
    <t>Xbarra=</t>
  </si>
  <si>
    <t>SomaQuadX =</t>
  </si>
  <si>
    <t>Sb1 =</t>
  </si>
  <si>
    <t>sob H0, beta1=0 de modo que</t>
  </si>
  <si>
    <t xml:space="preserve">t=b1/Sb1 </t>
  </si>
  <si>
    <t>tn-2 = t18 =</t>
  </si>
  <si>
    <t xml:space="preserve">Decisão </t>
  </si>
  <si>
    <t>Primeiro Método</t>
  </si>
  <si>
    <t>Segundo Método</t>
  </si>
  <si>
    <t>+ou-</t>
  </si>
  <si>
    <t>Decisão</t>
  </si>
  <si>
    <t>Terceiro Método</t>
  </si>
  <si>
    <t>r^2 =</t>
  </si>
  <si>
    <t>r =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</si>
  <si>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</si>
  <si>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</si>
  <si>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</si>
  <si>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</si>
  <si>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</si>
  <si>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</si>
  <si>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</si>
  <si>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</si>
  <si>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</si>
  <si>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</si>
  <si>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</si>
  <si>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</si>
  <si>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</si>
  <si>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</si>
  <si>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</si>
  <si>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</si>
  <si>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</si>
  <si>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</si>
  <si>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</si>
  <si>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</si>
  <si>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</si>
  <si>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</si>
  <si>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</si>
  <si>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</si>
  <si>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</si>
  <si>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</si>
  <si>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Resíduos</t>
  </si>
  <si>
    <t>Resíduos padrão</t>
  </si>
  <si>
    <t>RESULTADOS DE PROBABILIDADE</t>
  </si>
  <si>
    <t>Percentil</t>
  </si>
  <si>
    <t>Previsto(a) Vendas (Y)</t>
  </si>
  <si>
    <t>Terceiro Método (correlação)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</si>
</sst>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2" fontId="0" fillId="0" borderId="0" xfId="0" applyNumberFormat="1"/>
    <xf numFmtId="0" fontId="3" fillId="0" borderId="2" xfId="1" applyBorder="1" applyAlignment="1">
      <alignment horizontal="center"/>
    </xf>
    <xf numFmtId="2" fontId="3" fillId="0" borderId="2" xfId="1" applyNumberForma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1" fillId="0" borderId="2" xfId="0" applyFont="1" applyBorder="1"/>
    <xf numFmtId="0" fontId="5" fillId="0" borderId="0" xfId="0" applyFont="1"/>
    <xf numFmtId="0" fontId="2" fillId="0" borderId="0" xfId="0" applyFont="1"/>
    <xf numFmtId="0" fontId="1" fillId="0" borderId="0" xfId="0" quotePrefix="1" applyFont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Continuous"/>
    </xf>
    <xf numFmtId="0" fontId="5" fillId="2" borderId="11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2" borderId="10" xfId="0" applyFont="1" applyFill="1" applyBorder="1" applyAlignment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Intervalo de 95% de conf. para valores previstos</a:t>
            </a:r>
            <a:r>
              <a:rPr lang="pt-BR" sz="1100" b="1" baseline="0"/>
              <a:t> de Y</a:t>
            </a:r>
            <a:endParaRPr lang="pt-BR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'Intervalo de conf Y (resolvido)'!$K$5</c:f>
              <c:strCache>
                <c:ptCount val="1"/>
                <c:pt idx="0">
                  <c:v>Y projetado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(resolvido)'!$K$6:$K$25</c:f>
              <c:numCache>
                <c:formatCode>General</c:formatCode>
                <c:ptCount val="20"/>
                <c:pt idx="0">
                  <c:v>10.340554117453628</c:v>
                </c:pt>
                <c:pt idx="1">
                  <c:v>10.506411542711628</c:v>
                </c:pt>
                <c:pt idx="2">
                  <c:v>6.8400895106927253</c:v>
                </c:pt>
                <c:pt idx="3">
                  <c:v>8.8914839809890154</c:v>
                </c:pt>
                <c:pt idx="4">
                  <c:v>9.3104922132197476</c:v>
                </c:pt>
                <c:pt idx="5">
                  <c:v>10.183426030367105</c:v>
                </c:pt>
                <c:pt idx="6">
                  <c:v>10.052485957795001</c:v>
                </c:pt>
                <c:pt idx="7">
                  <c:v>6.8750068633786192</c:v>
                </c:pt>
                <c:pt idx="8">
                  <c:v>7.0408642886366177</c:v>
                </c:pt>
                <c:pt idx="9">
                  <c:v>6.0893664279459978</c:v>
                </c:pt>
                <c:pt idx="10">
                  <c:v>8.3502650143576531</c:v>
                </c:pt>
                <c:pt idx="11">
                  <c:v>10.035027281452054</c:v>
                </c:pt>
                <c:pt idx="12">
                  <c:v>10.488952866368681</c:v>
                </c:pt>
                <c:pt idx="13">
                  <c:v>7.7217526660115565</c:v>
                </c:pt>
                <c:pt idx="14">
                  <c:v>6.3687052494331517</c:v>
                </c:pt>
                <c:pt idx="15">
                  <c:v>8.7867319229313328</c:v>
                </c:pt>
                <c:pt idx="16">
                  <c:v>9.3541389040771143</c:v>
                </c:pt>
                <c:pt idx="17">
                  <c:v>9.790605812650794</c:v>
                </c:pt>
                <c:pt idx="18">
                  <c:v>11.239675949115409</c:v>
                </c:pt>
                <c:pt idx="19">
                  <c:v>7.8439634004121865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scatterChart>
        <c:scatterStyle val="smoothMarker"/>
        <c:varyColors val="0"/>
        <c:ser>
          <c:idx val="1"/>
          <c:order val="1"/>
          <c:tx>
            <c:strRef>
              <c:f>'Intervalo de conf Y (resolvido)'!$N$5</c:f>
              <c:strCache>
                <c:ptCount val="1"/>
                <c:pt idx="0">
                  <c:v>Banda Inf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(resolvido)'!$N$6:$N$25</c:f>
              <c:numCache>
                <c:formatCode>General</c:formatCode>
                <c:ptCount val="20"/>
                <c:pt idx="0">
                  <c:v>9.2466397941723368</c:v>
                </c:pt>
                <c:pt idx="1">
                  <c:v>9.4124972194303371</c:v>
                </c:pt>
                <c:pt idx="2">
                  <c:v>5.7461751874114348</c:v>
                </c:pt>
                <c:pt idx="3">
                  <c:v>7.797569657707724</c:v>
                </c:pt>
                <c:pt idx="4">
                  <c:v>8.2165778899384563</c:v>
                </c:pt>
                <c:pt idx="5">
                  <c:v>9.0895117070858138</c:v>
                </c:pt>
                <c:pt idx="6">
                  <c:v>8.9585716345137101</c:v>
                </c:pt>
                <c:pt idx="7">
                  <c:v>5.7810925400973279</c:v>
                </c:pt>
                <c:pt idx="8">
                  <c:v>5.9469499653553264</c:v>
                </c:pt>
                <c:pt idx="9">
                  <c:v>4.9954521046647073</c:v>
                </c:pt>
                <c:pt idx="10">
                  <c:v>7.2563506910763618</c:v>
                </c:pt>
                <c:pt idx="11">
                  <c:v>8.9411129581707627</c:v>
                </c:pt>
                <c:pt idx="12">
                  <c:v>9.3950385430873897</c:v>
                </c:pt>
                <c:pt idx="13">
                  <c:v>6.6278383427302661</c:v>
                </c:pt>
                <c:pt idx="14">
                  <c:v>5.2747909261518604</c:v>
                </c:pt>
                <c:pt idx="15">
                  <c:v>7.6928175996500414</c:v>
                </c:pt>
                <c:pt idx="16">
                  <c:v>8.260224580795823</c:v>
                </c:pt>
                <c:pt idx="17">
                  <c:v>8.6966914893695026</c:v>
                </c:pt>
                <c:pt idx="18">
                  <c:v>10.145761625834117</c:v>
                </c:pt>
                <c:pt idx="19">
                  <c:v>6.7500490771308961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'Intervalo de conf Y (resolvido)'!$P$5</c:f>
              <c:strCache>
                <c:ptCount val="1"/>
                <c:pt idx="0">
                  <c:v>Banda Sup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'Intervalo de conf Y (resolvido)'!$C$6:$C$25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'Intervalo de conf Y (resolvido)'!$P$6:$P$25</c:f>
              <c:numCache>
                <c:formatCode>General</c:formatCode>
                <c:ptCount val="20"/>
                <c:pt idx="0">
                  <c:v>11.43446844073492</c:v>
                </c:pt>
                <c:pt idx="1">
                  <c:v>11.60032586599292</c:v>
                </c:pt>
                <c:pt idx="2">
                  <c:v>7.9340038339740158</c:v>
                </c:pt>
                <c:pt idx="3">
                  <c:v>9.9853983042703067</c:v>
                </c:pt>
                <c:pt idx="4">
                  <c:v>10.404406536501039</c:v>
                </c:pt>
                <c:pt idx="5">
                  <c:v>11.277340353648396</c:v>
                </c:pt>
                <c:pt idx="6">
                  <c:v>11.146400281076293</c:v>
                </c:pt>
                <c:pt idx="7">
                  <c:v>7.9689211866599106</c:v>
                </c:pt>
                <c:pt idx="8">
                  <c:v>8.1347786119179091</c:v>
                </c:pt>
                <c:pt idx="9">
                  <c:v>7.1832807512272883</c:v>
                </c:pt>
                <c:pt idx="10">
                  <c:v>9.4441793376389445</c:v>
                </c:pt>
                <c:pt idx="11">
                  <c:v>11.128941604733345</c:v>
                </c:pt>
                <c:pt idx="12">
                  <c:v>11.582867189649972</c:v>
                </c:pt>
                <c:pt idx="13">
                  <c:v>8.815666989292847</c:v>
                </c:pt>
                <c:pt idx="14">
                  <c:v>7.4626195727144431</c:v>
                </c:pt>
                <c:pt idx="15">
                  <c:v>9.8806462462126241</c:v>
                </c:pt>
                <c:pt idx="16">
                  <c:v>10.448053227358406</c:v>
                </c:pt>
                <c:pt idx="17">
                  <c:v>10.884520135932085</c:v>
                </c:pt>
                <c:pt idx="18">
                  <c:v>12.3335902723967</c:v>
                </c:pt>
                <c:pt idx="19">
                  <c:v>8.937877723693477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67776"/>
        <c:axId val="331066600"/>
      </c:scatterChart>
      <c:valAx>
        <c:axId val="331067776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6600"/>
        <c:crosses val="autoZero"/>
        <c:crossBetween val="midCat"/>
      </c:valAx>
      <c:valAx>
        <c:axId val="33106660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10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Clientes (X)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 feranadados (resolvido)'!$C$5:$C$24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'Inf feranadados (resolvido)'!$H$28:$H$47</c:f>
              <c:numCache>
                <c:formatCode>General</c:formatCode>
                <c:ptCount val="20"/>
                <c:pt idx="0">
                  <c:v>0.85944588254637111</c:v>
                </c:pt>
                <c:pt idx="1">
                  <c:v>0.54358845728837224</c:v>
                </c:pt>
                <c:pt idx="2">
                  <c:v>-8.9510692725447427E-5</c:v>
                </c:pt>
                <c:pt idx="3">
                  <c:v>0.31851601901098547</c:v>
                </c:pt>
                <c:pt idx="4">
                  <c:v>0.1095077867802523</c:v>
                </c:pt>
                <c:pt idx="5">
                  <c:v>-0.10342603036710507</c:v>
                </c:pt>
                <c:pt idx="6">
                  <c:v>-0.60248595779500214</c:v>
                </c:pt>
                <c:pt idx="7">
                  <c:v>-0.14500686337861879</c:v>
                </c:pt>
                <c:pt idx="8">
                  <c:v>0.19913571136338248</c:v>
                </c:pt>
                <c:pt idx="9">
                  <c:v>3.06335720540023E-2</c:v>
                </c:pt>
                <c:pt idx="10">
                  <c:v>-0.72026501435765322</c:v>
                </c:pt>
                <c:pt idx="11">
                  <c:v>-0.60502728145205431</c:v>
                </c:pt>
                <c:pt idx="12">
                  <c:v>-1.0289528663686802</c:v>
                </c:pt>
                <c:pt idx="13">
                  <c:v>-8.175266601155684E-2</c:v>
                </c:pt>
                <c:pt idx="14">
                  <c:v>0.55129475056684818</c:v>
                </c:pt>
                <c:pt idx="15">
                  <c:v>0.16326807706866653</c:v>
                </c:pt>
                <c:pt idx="16">
                  <c:v>-2.4138904077114276E-2</c:v>
                </c:pt>
                <c:pt idx="17">
                  <c:v>0.43939418734920643</c:v>
                </c:pt>
                <c:pt idx="18">
                  <c:v>0.530324050884591</c:v>
                </c:pt>
                <c:pt idx="19">
                  <c:v>-0.4339634004121864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86104"/>
        <c:axId val="464623776"/>
      </c:scatterChart>
      <c:valAx>
        <c:axId val="52748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Clientes 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623776"/>
        <c:crosses val="autoZero"/>
        <c:crossBetween val="midCat"/>
      </c:valAx>
      <c:valAx>
        <c:axId val="4646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48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 feranadados (resolvido)'!$K$28:$K$47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'Inf feranadados (resolvido)'!$L$28:$L$47</c:f>
              <c:numCache>
                <c:formatCode>General</c:formatCode>
                <c:ptCount val="20"/>
                <c:pt idx="0">
                  <c:v>6.12</c:v>
                </c:pt>
                <c:pt idx="1">
                  <c:v>6.73</c:v>
                </c:pt>
                <c:pt idx="2">
                  <c:v>6.84</c:v>
                </c:pt>
                <c:pt idx="3">
                  <c:v>6.92</c:v>
                </c:pt>
                <c:pt idx="4">
                  <c:v>7.24</c:v>
                </c:pt>
                <c:pt idx="5">
                  <c:v>7.41</c:v>
                </c:pt>
                <c:pt idx="6">
                  <c:v>7.63</c:v>
                </c:pt>
                <c:pt idx="7">
                  <c:v>7.64</c:v>
                </c:pt>
                <c:pt idx="8">
                  <c:v>8.9499999999999993</c:v>
                </c:pt>
                <c:pt idx="9">
                  <c:v>9.2100000000000009</c:v>
                </c:pt>
                <c:pt idx="10">
                  <c:v>9.33</c:v>
                </c:pt>
                <c:pt idx="11">
                  <c:v>9.42</c:v>
                </c:pt>
                <c:pt idx="12">
                  <c:v>9.43</c:v>
                </c:pt>
                <c:pt idx="13">
                  <c:v>9.4499999999999993</c:v>
                </c:pt>
                <c:pt idx="14">
                  <c:v>9.4600000000000009</c:v>
                </c:pt>
                <c:pt idx="15">
                  <c:v>10.08</c:v>
                </c:pt>
                <c:pt idx="16">
                  <c:v>10.23</c:v>
                </c:pt>
                <c:pt idx="17">
                  <c:v>11.05</c:v>
                </c:pt>
                <c:pt idx="18">
                  <c:v>11.2</c:v>
                </c:pt>
                <c:pt idx="19">
                  <c:v>11.77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33704"/>
        <c:axId val="527484536"/>
      </c:scatterChart>
      <c:valAx>
        <c:axId val="5308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484536"/>
        <c:crosses val="autoZero"/>
        <c:crossBetween val="midCat"/>
      </c:valAx>
      <c:valAx>
        <c:axId val="52748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Vendas (Y)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0833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1949450</xdr:colOff>
      <xdr:row>22</xdr:row>
      <xdr:rowOff>6350</xdr:rowOff>
    </xdr:from>
    <xdr:to>
      <xdr:col>7</xdr:col>
      <xdr:colOff>6350</xdr:colOff>
      <xdr:row>22</xdr:row>
      <xdr:rowOff>177800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3450" y="4057650"/>
          <a:ext cx="120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1212850</xdr:colOff>
      <xdr:row>23</xdr:row>
      <xdr:rowOff>0</xdr:rowOff>
    </xdr:from>
    <xdr:to>
      <xdr:col>7</xdr:col>
      <xdr:colOff>31750</xdr:colOff>
      <xdr:row>23</xdr:row>
      <xdr:rowOff>177800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6850" y="4235450"/>
          <a:ext cx="8826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231775</xdr:colOff>
      <xdr:row>25</xdr:row>
      <xdr:rowOff>107950</xdr:rowOff>
    </xdr:from>
    <xdr:to>
      <xdr:col>16</xdr:col>
      <xdr:colOff>390525</xdr:colOff>
      <xdr:row>40</xdr:row>
      <xdr:rowOff>88900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20</xdr:row>
      <xdr:rowOff>6350</xdr:rowOff>
    </xdr:from>
    <xdr:to>
      <xdr:col>5</xdr:col>
      <xdr:colOff>679450</xdr:colOff>
      <xdr:row>21</xdr:row>
      <xdr:rowOff>19050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689350"/>
          <a:ext cx="6286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107950</xdr:rowOff>
    </xdr:from>
    <xdr:to>
      <xdr:col>5</xdr:col>
      <xdr:colOff>787400</xdr:colOff>
      <xdr:row>32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0" y="5448300"/>
          <a:ext cx="7874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20</xdr:row>
      <xdr:rowOff>6350</xdr:rowOff>
    </xdr:from>
    <xdr:to>
      <xdr:col>5</xdr:col>
      <xdr:colOff>679450</xdr:colOff>
      <xdr:row>21</xdr:row>
      <xdr:rowOff>19050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0" y="3689350"/>
          <a:ext cx="6286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29</xdr:row>
      <xdr:rowOff>107950</xdr:rowOff>
    </xdr:from>
    <xdr:to>
      <xdr:col>5</xdr:col>
      <xdr:colOff>787400</xdr:colOff>
      <xdr:row>32</xdr:row>
      <xdr:rowOff>38100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5800" y="5448300"/>
          <a:ext cx="7874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0</xdr:row>
      <xdr:rowOff>177800</xdr:rowOff>
    </xdr:from>
    <xdr:to>
      <xdr:col>20</xdr:col>
      <xdr:colOff>247650</xdr:colOff>
      <xdr:row>11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11</xdr:row>
      <xdr:rowOff>139700</xdr:rowOff>
    </xdr:from>
    <xdr:to>
      <xdr:col>20</xdr:col>
      <xdr:colOff>292100</xdr:colOff>
      <xdr:row>21</xdr:row>
      <xdr:rowOff>127000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workbookViewId="0">
      <selection activeCell="E10" sqref="E10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O6" t="s">
        <v>23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O7" t="s">
        <v>23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26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O8" t="s">
        <v>23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O9" t="s">
        <v>23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O10" t="s">
        <v>23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O11" t="s">
        <v>23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O12" t="s">
        <v>23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O13" t="s">
        <v>23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O14" t="s">
        <v>23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O15" t="s">
        <v>23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O16" t="s">
        <v>23</v>
      </c>
    </row>
    <row r="17" spans="2:15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O17" t="s">
        <v>23</v>
      </c>
    </row>
    <row r="18" spans="2:15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O18" t="s">
        <v>23</v>
      </c>
    </row>
    <row r="19" spans="2:15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O19" t="s">
        <v>23</v>
      </c>
    </row>
    <row r="20" spans="2:15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O20" t="s">
        <v>23</v>
      </c>
    </row>
    <row r="21" spans="2:15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O21" t="s">
        <v>23</v>
      </c>
    </row>
    <row r="22" spans="2:15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4" t="s">
        <v>21</v>
      </c>
      <c r="H22" s="15"/>
      <c r="I22" s="16"/>
      <c r="K22">
        <f t="shared" si="1"/>
        <v>9.3541389040771143</v>
      </c>
      <c r="L22" s="6">
        <f t="shared" si="2"/>
        <v>-2.4138904077114276E-2</v>
      </c>
      <c r="O22" t="s">
        <v>23</v>
      </c>
    </row>
    <row r="23" spans="2:15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7"/>
      <c r="H23" s="18"/>
      <c r="I23" s="19"/>
      <c r="K23">
        <f t="shared" si="1"/>
        <v>9.790605812650794</v>
      </c>
      <c r="L23" s="6">
        <f t="shared" si="2"/>
        <v>0.43939418734920643</v>
      </c>
      <c r="O23" t="s">
        <v>23</v>
      </c>
    </row>
    <row r="24" spans="2:15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7"/>
      <c r="H24" s="18"/>
      <c r="I24" s="19"/>
      <c r="K24">
        <f t="shared" si="1"/>
        <v>11.239675949115409</v>
      </c>
      <c r="L24" s="6">
        <f t="shared" si="2"/>
        <v>0.530324050884591</v>
      </c>
      <c r="O24" t="s">
        <v>23</v>
      </c>
    </row>
    <row r="25" spans="2:15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7"/>
      <c r="H25" s="18"/>
      <c r="I25" s="19"/>
      <c r="K25">
        <f t="shared" si="1"/>
        <v>7.8439634004121865</v>
      </c>
      <c r="L25" s="6">
        <f t="shared" si="2"/>
        <v>-0.4339634004121864</v>
      </c>
      <c r="O25" t="s">
        <v>23</v>
      </c>
    </row>
    <row r="26" spans="2:15" x14ac:dyDescent="0.35">
      <c r="G26" s="17"/>
      <c r="H26" s="20"/>
      <c r="I26" s="19"/>
      <c r="L26" s="12"/>
    </row>
    <row r="27" spans="2:15" x14ac:dyDescent="0.35">
      <c r="G27" s="21"/>
      <c r="H27" s="22"/>
      <c r="I27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opLeftCell="B1" workbookViewId="0">
      <selection activeCell="O6" sqref="O6:O25"/>
    </sheetView>
  </sheetViews>
  <sheetFormatPr defaultRowHeight="14.5" x14ac:dyDescent="0.35"/>
  <cols>
    <col min="3" max="3" width="10.7265625" bestFit="1" customWidth="1"/>
    <col min="4" max="4" width="10.1796875" bestFit="1" customWidth="1"/>
    <col min="5" max="5" width="11.08984375" bestFit="1" customWidth="1"/>
    <col min="7" max="7" width="29.54296875" bestFit="1" customWidth="1"/>
    <col min="8" max="8" width="10" bestFit="1" customWidth="1"/>
    <col min="11" max="11" width="10.81640625" bestFit="1" customWidth="1"/>
  </cols>
  <sheetData>
    <row r="3" spans="2:16" x14ac:dyDescent="0.35">
      <c r="B3" t="s">
        <v>0</v>
      </c>
    </row>
    <row r="5" spans="2:16" x14ac:dyDescent="0.35">
      <c r="B5" s="1" t="s">
        <v>1</v>
      </c>
      <c r="C5" s="1" t="s">
        <v>2</v>
      </c>
      <c r="D5" s="2" t="s">
        <v>3</v>
      </c>
      <c r="E5" s="3" t="s">
        <v>4</v>
      </c>
      <c r="G5" s="9" t="s">
        <v>5</v>
      </c>
      <c r="H5">
        <v>600</v>
      </c>
      <c r="K5" s="10" t="s">
        <v>6</v>
      </c>
      <c r="L5" s="10" t="s">
        <v>7</v>
      </c>
      <c r="N5" s="10" t="s">
        <v>24</v>
      </c>
      <c r="O5" s="10" t="s">
        <v>22</v>
      </c>
      <c r="P5" s="10" t="s">
        <v>25</v>
      </c>
    </row>
    <row r="6" spans="2:16" x14ac:dyDescent="0.35">
      <c r="B6" s="4">
        <v>1</v>
      </c>
      <c r="C6" s="4">
        <v>907</v>
      </c>
      <c r="D6" s="5">
        <v>11.2</v>
      </c>
      <c r="E6" s="6">
        <f>(C6-AVERAGE($C$6:$C$25))^2</f>
        <v>30923.222500000007</v>
      </c>
      <c r="G6" s="9" t="s">
        <v>8</v>
      </c>
      <c r="H6">
        <f>COUNT(B6:B25)</f>
        <v>20</v>
      </c>
      <c r="K6">
        <f>TREND($D$6:$D$25,$C$6:$C$25,C6)</f>
        <v>10.340554117453628</v>
      </c>
      <c r="L6" s="6">
        <f>D6-K6</f>
        <v>0.85944588254637111</v>
      </c>
      <c r="N6">
        <f>K6-$H$24</f>
        <v>9.2466397941723368</v>
      </c>
      <c r="O6" t="s">
        <v>23</v>
      </c>
      <c r="P6">
        <f>K6+$H$24</f>
        <v>11.43446844073492</v>
      </c>
    </row>
    <row r="7" spans="2:16" x14ac:dyDescent="0.35">
      <c r="B7" s="4">
        <v>2</v>
      </c>
      <c r="C7" s="4">
        <v>926</v>
      </c>
      <c r="D7" s="5">
        <v>11.05</v>
      </c>
      <c r="E7" s="6">
        <f t="shared" ref="E7:E25" si="0">(C7-AVERAGE($C$6:$C$25))^2</f>
        <v>37966.522500000006</v>
      </c>
      <c r="G7" s="9" t="s">
        <v>9</v>
      </c>
      <c r="H7">
        <f>H6-2</f>
        <v>18</v>
      </c>
      <c r="K7">
        <f t="shared" ref="K7:K25" si="1">TREND($D$6:$D$25,$C$6:$C$25,C7)</f>
        <v>10.506411542711628</v>
      </c>
      <c r="L7" s="6">
        <f t="shared" ref="L7:L25" si="2">D7-K7</f>
        <v>0.54358845728837224</v>
      </c>
      <c r="N7">
        <f t="shared" ref="N7:N25" si="3">K7-$H$24</f>
        <v>9.4124972194303371</v>
      </c>
      <c r="O7" t="s">
        <v>23</v>
      </c>
      <c r="P7">
        <f t="shared" ref="P7:P25" si="4">K7+$H$24</f>
        <v>11.60032586599292</v>
      </c>
    </row>
    <row r="8" spans="2:16" x14ac:dyDescent="0.35">
      <c r="B8" s="4">
        <v>3</v>
      </c>
      <c r="C8" s="4">
        <v>506</v>
      </c>
      <c r="D8" s="5">
        <v>6.84</v>
      </c>
      <c r="E8" s="6">
        <f t="shared" si="0"/>
        <v>50692.522499999992</v>
      </c>
      <c r="G8" s="9" t="s">
        <v>10</v>
      </c>
      <c r="H8">
        <f>TINV(5%,H7)</f>
        <v>2.1009220402410378</v>
      </c>
      <c r="K8">
        <f t="shared" si="1"/>
        <v>6.8400895106927253</v>
      </c>
      <c r="L8" s="6">
        <f t="shared" si="2"/>
        <v>-8.9510692725447427E-5</v>
      </c>
      <c r="N8">
        <f t="shared" si="3"/>
        <v>5.7461751874114348</v>
      </c>
      <c r="O8" t="s">
        <v>23</v>
      </c>
      <c r="P8">
        <f t="shared" si="4"/>
        <v>7.9340038339740158</v>
      </c>
    </row>
    <row r="9" spans="2:16" x14ac:dyDescent="0.35">
      <c r="B9" s="4">
        <v>4</v>
      </c>
      <c r="C9" s="4">
        <v>741</v>
      </c>
      <c r="D9" s="5">
        <v>9.2100000000000009</v>
      </c>
      <c r="E9" s="6">
        <f t="shared" si="0"/>
        <v>97.022500000000448</v>
      </c>
      <c r="G9" s="9" t="s">
        <v>11</v>
      </c>
      <c r="H9" s="11">
        <f>AVERAGE(C6:C25)</f>
        <v>731.15</v>
      </c>
      <c r="K9">
        <f t="shared" si="1"/>
        <v>8.8914839809890154</v>
      </c>
      <c r="L9" s="6">
        <f t="shared" si="2"/>
        <v>0.31851601901098547</v>
      </c>
      <c r="N9">
        <f t="shared" si="3"/>
        <v>7.797569657707724</v>
      </c>
      <c r="O9" t="s">
        <v>23</v>
      </c>
      <c r="P9">
        <f t="shared" si="4"/>
        <v>9.9853983042703067</v>
      </c>
    </row>
    <row r="10" spans="2:16" x14ac:dyDescent="0.35">
      <c r="B10" s="4">
        <v>5</v>
      </c>
      <c r="C10" s="4">
        <v>789</v>
      </c>
      <c r="D10" s="5">
        <v>9.42</v>
      </c>
      <c r="E10" s="6">
        <f t="shared" si="0"/>
        <v>3346.6225000000027</v>
      </c>
      <c r="G10" s="9" t="s">
        <v>12</v>
      </c>
      <c r="H10" s="6">
        <f>SUM(E6:E25)</f>
        <v>614602.54999999993</v>
      </c>
      <c r="K10">
        <f t="shared" si="1"/>
        <v>9.3104922132197476</v>
      </c>
      <c r="L10" s="6">
        <f t="shared" si="2"/>
        <v>0.1095077867802523</v>
      </c>
      <c r="N10">
        <f t="shared" si="3"/>
        <v>8.2165778899384563</v>
      </c>
      <c r="O10" t="s">
        <v>23</v>
      </c>
      <c r="P10">
        <f t="shared" si="4"/>
        <v>10.404406536501039</v>
      </c>
    </row>
    <row r="11" spans="2:16" x14ac:dyDescent="0.35">
      <c r="B11" s="4">
        <v>6</v>
      </c>
      <c r="C11" s="4">
        <v>889</v>
      </c>
      <c r="D11" s="5">
        <v>10.08</v>
      </c>
      <c r="E11" s="6">
        <f t="shared" si="0"/>
        <v>24916.622500000009</v>
      </c>
      <c r="G11" s="9" t="s">
        <v>13</v>
      </c>
      <c r="H11">
        <f>SQRT(SUMSQ(L6:L25)/(H6-2))</f>
        <v>0.50149521453840828</v>
      </c>
      <c r="K11">
        <f t="shared" si="1"/>
        <v>10.183426030367105</v>
      </c>
      <c r="L11" s="6">
        <f t="shared" si="2"/>
        <v>-0.10342603036710507</v>
      </c>
      <c r="N11">
        <f t="shared" si="3"/>
        <v>9.0895117070858138</v>
      </c>
      <c r="O11" t="s">
        <v>23</v>
      </c>
      <c r="P11">
        <f t="shared" si="4"/>
        <v>11.277340353648396</v>
      </c>
    </row>
    <row r="12" spans="2:16" x14ac:dyDescent="0.35">
      <c r="B12" s="4">
        <v>7</v>
      </c>
      <c r="C12" s="4">
        <v>874</v>
      </c>
      <c r="D12" s="5">
        <v>9.4499999999999993</v>
      </c>
      <c r="E12" s="6">
        <f t="shared" si="0"/>
        <v>20406.122500000005</v>
      </c>
      <c r="G12" s="9" t="s">
        <v>14</v>
      </c>
      <c r="H12">
        <f>(1/20)+((H5-H9)^2)/H10</f>
        <v>7.798609036034751E-2</v>
      </c>
      <c r="K12">
        <f t="shared" si="1"/>
        <v>10.052485957795001</v>
      </c>
      <c r="L12" s="6">
        <f t="shared" si="2"/>
        <v>-0.60248595779500214</v>
      </c>
      <c r="N12">
        <f t="shared" si="3"/>
        <v>8.9585716345137101</v>
      </c>
      <c r="O12" t="s">
        <v>23</v>
      </c>
      <c r="P12">
        <f t="shared" si="4"/>
        <v>11.146400281076293</v>
      </c>
    </row>
    <row r="13" spans="2:16" x14ac:dyDescent="0.35">
      <c r="B13" s="4">
        <v>8</v>
      </c>
      <c r="C13" s="4">
        <v>510</v>
      </c>
      <c r="D13" s="5">
        <v>6.73</v>
      </c>
      <c r="E13" s="6">
        <f t="shared" si="0"/>
        <v>48907.322499999987</v>
      </c>
      <c r="G13" s="9"/>
      <c r="K13">
        <f t="shared" si="1"/>
        <v>6.8750068633786192</v>
      </c>
      <c r="L13" s="6">
        <f t="shared" si="2"/>
        <v>-0.14500686337861879</v>
      </c>
      <c r="N13">
        <f t="shared" si="3"/>
        <v>5.7810925400973279</v>
      </c>
      <c r="O13" t="s">
        <v>23</v>
      </c>
      <c r="P13">
        <f t="shared" si="4"/>
        <v>7.9689211866599106</v>
      </c>
    </row>
    <row r="14" spans="2:16" x14ac:dyDescent="0.35">
      <c r="B14" s="4">
        <v>9</v>
      </c>
      <c r="C14" s="4">
        <v>529</v>
      </c>
      <c r="D14" s="5">
        <v>7.24</v>
      </c>
      <c r="E14" s="6">
        <f t="shared" si="0"/>
        <v>40864.62249999999</v>
      </c>
      <c r="G14" s="9" t="s">
        <v>15</v>
      </c>
      <c r="H14">
        <f>TREND(D6:D25,C6:C25,H5)</f>
        <v>7.6606472988112415</v>
      </c>
      <c r="K14">
        <f t="shared" si="1"/>
        <v>7.0408642886366177</v>
      </c>
      <c r="L14" s="6">
        <f t="shared" si="2"/>
        <v>0.19913571136338248</v>
      </c>
      <c r="N14">
        <f t="shared" si="3"/>
        <v>5.9469499653553264</v>
      </c>
      <c r="O14" t="s">
        <v>23</v>
      </c>
      <c r="P14">
        <f t="shared" si="4"/>
        <v>8.1347786119179091</v>
      </c>
    </row>
    <row r="15" spans="2:16" x14ac:dyDescent="0.35">
      <c r="B15" s="4">
        <v>10</v>
      </c>
      <c r="C15" s="4">
        <v>420</v>
      </c>
      <c r="D15" s="5">
        <v>6.12</v>
      </c>
      <c r="E15" s="6">
        <f t="shared" si="0"/>
        <v>96814.32249999998</v>
      </c>
      <c r="G15" s="9" t="s">
        <v>16</v>
      </c>
      <c r="H15">
        <f>H8*H11*SQRT(H12)</f>
        <v>0.29422888408733278</v>
      </c>
      <c r="K15">
        <f t="shared" si="1"/>
        <v>6.0893664279459978</v>
      </c>
      <c r="L15" s="6">
        <f t="shared" si="2"/>
        <v>3.06335720540023E-2</v>
      </c>
      <c r="N15">
        <f t="shared" si="3"/>
        <v>4.9954521046647073</v>
      </c>
      <c r="O15" t="s">
        <v>23</v>
      </c>
      <c r="P15">
        <f t="shared" si="4"/>
        <v>7.1832807512272883</v>
      </c>
    </row>
    <row r="16" spans="2:16" x14ac:dyDescent="0.35">
      <c r="B16" s="4">
        <v>11</v>
      </c>
      <c r="C16" s="4">
        <v>679</v>
      </c>
      <c r="D16" s="5">
        <v>7.63</v>
      </c>
      <c r="E16" s="6">
        <f t="shared" si="0"/>
        <v>2719.6224999999977</v>
      </c>
      <c r="G16" s="9" t="s">
        <v>17</v>
      </c>
      <c r="H16">
        <f>H14-H15</f>
        <v>7.3664184147239089</v>
      </c>
      <c r="K16">
        <f t="shared" si="1"/>
        <v>8.3502650143576531</v>
      </c>
      <c r="L16" s="6">
        <f t="shared" si="2"/>
        <v>-0.72026501435765322</v>
      </c>
      <c r="N16">
        <f t="shared" si="3"/>
        <v>7.2563506910763618</v>
      </c>
      <c r="O16" t="s">
        <v>23</v>
      </c>
      <c r="P16">
        <f t="shared" si="4"/>
        <v>9.4441793376389445</v>
      </c>
    </row>
    <row r="17" spans="2:16" x14ac:dyDescent="0.35">
      <c r="B17" s="4">
        <v>12</v>
      </c>
      <c r="C17" s="4">
        <v>872</v>
      </c>
      <c r="D17" s="5">
        <v>9.43</v>
      </c>
      <c r="E17" s="6">
        <f t="shared" si="0"/>
        <v>19838.722500000007</v>
      </c>
      <c r="G17" s="9" t="s">
        <v>18</v>
      </c>
      <c r="H17">
        <f>H14+H15</f>
        <v>7.9548761828985741</v>
      </c>
      <c r="K17">
        <f t="shared" si="1"/>
        <v>10.035027281452054</v>
      </c>
      <c r="L17" s="6">
        <f t="shared" si="2"/>
        <v>-0.60502728145205431</v>
      </c>
      <c r="N17">
        <f t="shared" si="3"/>
        <v>8.9411129581707627</v>
      </c>
      <c r="O17" t="s">
        <v>23</v>
      </c>
      <c r="P17">
        <f t="shared" si="4"/>
        <v>11.128941604733345</v>
      </c>
    </row>
    <row r="18" spans="2:16" x14ac:dyDescent="0.35">
      <c r="B18" s="4">
        <v>13</v>
      </c>
      <c r="C18" s="4">
        <v>924</v>
      </c>
      <c r="D18" s="5">
        <v>9.4600000000000009</v>
      </c>
      <c r="E18" s="6">
        <f t="shared" si="0"/>
        <v>37191.122500000012</v>
      </c>
      <c r="G18" s="9" t="s">
        <v>16</v>
      </c>
      <c r="H18">
        <f>H8*H11*SQRT(1+H12)</f>
        <v>1.0939143232812909</v>
      </c>
      <c r="K18">
        <f t="shared" si="1"/>
        <v>10.488952866368681</v>
      </c>
      <c r="L18" s="6">
        <f t="shared" si="2"/>
        <v>-1.0289528663686802</v>
      </c>
      <c r="N18">
        <f t="shared" si="3"/>
        <v>9.3950385430873897</v>
      </c>
      <c r="O18" t="s">
        <v>23</v>
      </c>
      <c r="P18">
        <f t="shared" si="4"/>
        <v>11.582867189649972</v>
      </c>
    </row>
    <row r="19" spans="2:16" x14ac:dyDescent="0.35">
      <c r="B19" s="4">
        <v>14</v>
      </c>
      <c r="C19" s="4">
        <v>607</v>
      </c>
      <c r="D19" s="5">
        <v>7.64</v>
      </c>
      <c r="E19" s="6">
        <f t="shared" si="0"/>
        <v>15413.222499999994</v>
      </c>
      <c r="G19" s="9" t="s">
        <v>19</v>
      </c>
      <c r="H19">
        <f>H14-H18</f>
        <v>6.5667329755299502</v>
      </c>
      <c r="K19">
        <f t="shared" si="1"/>
        <v>7.7217526660115565</v>
      </c>
      <c r="L19" s="6">
        <f t="shared" si="2"/>
        <v>-8.175266601155684E-2</v>
      </c>
      <c r="N19">
        <f t="shared" si="3"/>
        <v>6.6278383427302661</v>
      </c>
      <c r="O19" t="s">
        <v>23</v>
      </c>
      <c r="P19">
        <f t="shared" si="4"/>
        <v>8.815666989292847</v>
      </c>
    </row>
    <row r="20" spans="2:16" x14ac:dyDescent="0.35">
      <c r="B20" s="4">
        <v>15</v>
      </c>
      <c r="C20" s="4">
        <v>452</v>
      </c>
      <c r="D20" s="5">
        <v>6.92</v>
      </c>
      <c r="E20" s="6">
        <f t="shared" si="0"/>
        <v>77924.722499999989</v>
      </c>
      <c r="G20" s="9" t="s">
        <v>20</v>
      </c>
      <c r="H20">
        <f>H14+H18</f>
        <v>8.7545616220925329</v>
      </c>
      <c r="K20">
        <f t="shared" si="1"/>
        <v>6.3687052494331517</v>
      </c>
      <c r="L20" s="6">
        <f t="shared" si="2"/>
        <v>0.55129475056684818</v>
      </c>
      <c r="N20">
        <f t="shared" si="3"/>
        <v>5.2747909261518604</v>
      </c>
      <c r="O20" t="s">
        <v>23</v>
      </c>
      <c r="P20">
        <f t="shared" si="4"/>
        <v>7.4626195727144431</v>
      </c>
    </row>
    <row r="21" spans="2:16" x14ac:dyDescent="0.35">
      <c r="B21" s="4">
        <v>16</v>
      </c>
      <c r="C21" s="4">
        <v>729</v>
      </c>
      <c r="D21" s="5">
        <v>8.9499999999999993</v>
      </c>
      <c r="E21" s="6">
        <f t="shared" si="0"/>
        <v>4.6224999999999019</v>
      </c>
      <c r="K21">
        <f t="shared" si="1"/>
        <v>8.7867319229313328</v>
      </c>
      <c r="L21" s="6">
        <f t="shared" si="2"/>
        <v>0.16326807706866653</v>
      </c>
      <c r="N21">
        <f t="shared" si="3"/>
        <v>7.6928175996500414</v>
      </c>
      <c r="O21" t="s">
        <v>23</v>
      </c>
      <c r="P21">
        <f t="shared" si="4"/>
        <v>9.8806462462126241</v>
      </c>
    </row>
    <row r="22" spans="2:16" x14ac:dyDescent="0.35">
      <c r="B22" s="4">
        <v>17</v>
      </c>
      <c r="C22" s="4">
        <v>794</v>
      </c>
      <c r="D22" s="5">
        <v>9.33</v>
      </c>
      <c r="E22" s="6">
        <f t="shared" si="0"/>
        <v>3950.1225000000027</v>
      </c>
      <c r="G22" s="14" t="s">
        <v>21</v>
      </c>
      <c r="H22" s="15"/>
      <c r="I22" s="16"/>
      <c r="K22">
        <f t="shared" si="1"/>
        <v>9.3541389040771143</v>
      </c>
      <c r="L22" s="6">
        <f t="shared" si="2"/>
        <v>-2.4138904077114276E-2</v>
      </c>
      <c r="N22">
        <f t="shared" si="3"/>
        <v>8.260224580795823</v>
      </c>
      <c r="O22" t="s">
        <v>23</v>
      </c>
      <c r="P22">
        <f t="shared" si="4"/>
        <v>10.448053227358406</v>
      </c>
    </row>
    <row r="23" spans="2:16" x14ac:dyDescent="0.35">
      <c r="B23" s="4">
        <v>18</v>
      </c>
      <c r="C23" s="4">
        <v>844</v>
      </c>
      <c r="D23" s="5">
        <v>10.23</v>
      </c>
      <c r="E23" s="6">
        <f t="shared" si="0"/>
        <v>12735.122500000005</v>
      </c>
      <c r="G23" s="17"/>
      <c r="H23" s="18">
        <f>TREND($D$6:$D$25,$C$6:$C$25,H5)</f>
        <v>7.6606472988112415</v>
      </c>
      <c r="I23" s="19"/>
      <c r="K23">
        <f t="shared" si="1"/>
        <v>9.790605812650794</v>
      </c>
      <c r="L23" s="6">
        <f t="shared" si="2"/>
        <v>0.43939418734920643</v>
      </c>
      <c r="N23">
        <f t="shared" si="3"/>
        <v>8.6966914893695026</v>
      </c>
      <c r="O23" t="s">
        <v>23</v>
      </c>
      <c r="P23">
        <f t="shared" si="4"/>
        <v>10.884520135932085</v>
      </c>
    </row>
    <row r="24" spans="2:16" x14ac:dyDescent="0.35">
      <c r="B24" s="4">
        <v>19</v>
      </c>
      <c r="C24" s="4">
        <v>1010</v>
      </c>
      <c r="D24" s="5">
        <v>11.77</v>
      </c>
      <c r="E24" s="6">
        <f t="shared" si="0"/>
        <v>77757.322500000009</v>
      </c>
      <c r="G24" s="17"/>
      <c r="H24" s="18">
        <f>H8*H11*SQRT(1+H12)</f>
        <v>1.0939143232812909</v>
      </c>
      <c r="I24" s="19"/>
      <c r="K24">
        <f t="shared" si="1"/>
        <v>11.239675949115409</v>
      </c>
      <c r="L24" s="6">
        <f t="shared" si="2"/>
        <v>0.530324050884591</v>
      </c>
      <c r="N24">
        <f t="shared" si="3"/>
        <v>10.145761625834117</v>
      </c>
      <c r="O24" t="s">
        <v>23</v>
      </c>
      <c r="P24">
        <f t="shared" si="4"/>
        <v>12.3335902723967</v>
      </c>
    </row>
    <row r="25" spans="2:16" x14ac:dyDescent="0.35">
      <c r="B25" s="7">
        <v>20</v>
      </c>
      <c r="C25" s="7">
        <v>621</v>
      </c>
      <c r="D25" s="8">
        <v>7.41</v>
      </c>
      <c r="E25" s="6">
        <f t="shared" si="0"/>
        <v>12133.022499999995</v>
      </c>
      <c r="G25" s="17"/>
      <c r="H25" s="18"/>
      <c r="I25" s="19"/>
      <c r="K25">
        <f t="shared" si="1"/>
        <v>7.8439634004121865</v>
      </c>
      <c r="L25" s="6">
        <f t="shared" si="2"/>
        <v>-0.4339634004121864</v>
      </c>
      <c r="N25">
        <f t="shared" si="3"/>
        <v>6.7500490771308961</v>
      </c>
      <c r="O25" t="s">
        <v>23</v>
      </c>
      <c r="P25">
        <f t="shared" si="4"/>
        <v>8.937877723693477</v>
      </c>
    </row>
    <row r="26" spans="2:16" x14ac:dyDescent="0.35">
      <c r="G26" s="17"/>
      <c r="H26" s="20" t="str">
        <f>TEXT(H23-H24,"0,000")&amp;" &lt;= Yi &lt;= "&amp;TEXT(H23+H24,"0,000")</f>
        <v>6,567 &lt;= Yi &lt;= 8,755</v>
      </c>
      <c r="I26" s="19"/>
      <c r="L26" s="12"/>
    </row>
    <row r="27" spans="2:16" x14ac:dyDescent="0.35">
      <c r="G27" s="21"/>
      <c r="H27" s="22"/>
      <c r="I27" s="2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31"/>
  <sheetViews>
    <sheetView workbookViewId="0">
      <selection activeCell="C1" sqref="C1:D1048576"/>
    </sheetView>
  </sheetViews>
  <sheetFormatPr defaultRowHeight="14.5" x14ac:dyDescent="0.35"/>
  <cols>
    <col min="3" max="3" width="10.26953125" style="13" bestFit="1" customWidth="1"/>
    <col min="4" max="4" width="9.7265625" style="13" bestFit="1" customWidth="1"/>
    <col min="6" max="6" width="12.81640625" bestFit="1" customWidth="1"/>
  </cols>
  <sheetData>
    <row r="2" spans="2:6" x14ac:dyDescent="0.35">
      <c r="B2" t="str">
        <f>'Int. Conf. Y (exercício)'!B3</f>
        <v>Tabela 1. Número de clientes e vendas semanais, para uma amostra de 20 empresas de prestação de serviços.</v>
      </c>
    </row>
    <row r="3" spans="2:6" x14ac:dyDescent="0.35">
      <c r="F3" s="9" t="s">
        <v>37</v>
      </c>
    </row>
    <row r="4" spans="2:6" x14ac:dyDescent="0.35">
      <c r="B4" s="24" t="str">
        <f>'Int. Conf. Y (exercício)'!B5</f>
        <v>Loja</v>
      </c>
      <c r="C4" s="35" t="str">
        <f>'Int. Conf. Y (exercício)'!C5</f>
        <v>Clientes (X)</v>
      </c>
      <c r="D4" s="35" t="str">
        <f>'Int. Conf. Y (exercício)'!D5</f>
        <v>Vendas (Y)</v>
      </c>
      <c r="F4" s="26" t="s">
        <v>27</v>
      </c>
    </row>
    <row r="5" spans="2:6" x14ac:dyDescent="0.35">
      <c r="B5">
        <f>'Int. Conf. Y (exercício)'!B6</f>
        <v>1</v>
      </c>
      <c r="C5" s="13">
        <f>'Int. Conf. Y (exercício)'!C6</f>
        <v>907</v>
      </c>
      <c r="D5" s="13">
        <f>'Int. Conf. Y (exercício)'!D6</f>
        <v>11.2</v>
      </c>
      <c r="F5" s="26" t="s">
        <v>28</v>
      </c>
    </row>
    <row r="6" spans="2:6" x14ac:dyDescent="0.35">
      <c r="B6">
        <f>'Int. Conf. Y (exercício)'!B7</f>
        <v>2</v>
      </c>
      <c r="C6" s="13">
        <f>'Int. Conf. Y (exercício)'!C7</f>
        <v>926</v>
      </c>
      <c r="D6" s="13">
        <f>'Int. Conf. Y (exercício)'!D7</f>
        <v>11.05</v>
      </c>
      <c r="F6" s="26" t="s">
        <v>29</v>
      </c>
    </row>
    <row r="7" spans="2:6" x14ac:dyDescent="0.35">
      <c r="B7">
        <f>'Int. Conf. Y (exercício)'!B8</f>
        <v>3</v>
      </c>
      <c r="C7" s="13">
        <f>'Int. Conf. Y (exercício)'!C8</f>
        <v>506</v>
      </c>
      <c r="D7" s="13">
        <f>'Int. Conf. Y (exercício)'!D8</f>
        <v>6.84</v>
      </c>
      <c r="F7" s="26" t="s">
        <v>30</v>
      </c>
    </row>
    <row r="8" spans="2:6" x14ac:dyDescent="0.35">
      <c r="B8">
        <f>'Int. Conf. Y (exercício)'!B9</f>
        <v>4</v>
      </c>
      <c r="C8" s="13">
        <f>'Int. Conf. Y (exercício)'!C9</f>
        <v>741</v>
      </c>
      <c r="D8" s="13">
        <f>'Int. Conf. Y (exercício)'!D9</f>
        <v>9.2100000000000009</v>
      </c>
      <c r="F8" s="26" t="s">
        <v>31</v>
      </c>
    </row>
    <row r="9" spans="2:6" x14ac:dyDescent="0.35">
      <c r="B9">
        <f>'Int. Conf. Y (exercício)'!B10</f>
        <v>5</v>
      </c>
      <c r="C9" s="13">
        <f>'Int. Conf. Y (exercício)'!C10</f>
        <v>789</v>
      </c>
      <c r="D9" s="13">
        <f>'Int. Conf. Y (exercício)'!D10</f>
        <v>9.42</v>
      </c>
      <c r="F9" s="9"/>
    </row>
    <row r="10" spans="2:6" x14ac:dyDescent="0.35">
      <c r="B10">
        <f>'Int. Conf. Y (exercício)'!B11</f>
        <v>6</v>
      </c>
      <c r="C10" s="13">
        <f>'Int. Conf. Y (exercício)'!C11</f>
        <v>889</v>
      </c>
      <c r="D10" s="13">
        <f>'Int. Conf. Y (exercício)'!D11</f>
        <v>10.08</v>
      </c>
      <c r="F10" s="26" t="s">
        <v>32</v>
      </c>
    </row>
    <row r="11" spans="2:6" x14ac:dyDescent="0.35">
      <c r="B11">
        <f>'Int. Conf. Y (exercício)'!B12</f>
        <v>7</v>
      </c>
      <c r="C11" s="13">
        <f>'Int. Conf. Y (exercício)'!C12</f>
        <v>874</v>
      </c>
      <c r="D11" s="13">
        <f>'Int. Conf. Y (exercício)'!D12</f>
        <v>9.4499999999999993</v>
      </c>
      <c r="F11" s="9"/>
    </row>
    <row r="12" spans="2:6" x14ac:dyDescent="0.35">
      <c r="B12">
        <f>'Int. Conf. Y (exercício)'!B13</f>
        <v>8</v>
      </c>
      <c r="C12" s="13">
        <f>'Int. Conf. Y (exercício)'!C13</f>
        <v>510</v>
      </c>
      <c r="D12" s="13">
        <f>'Int. Conf. Y (exercício)'!D13</f>
        <v>6.73</v>
      </c>
      <c r="F12" s="26" t="s">
        <v>33</v>
      </c>
    </row>
    <row r="13" spans="2:6" x14ac:dyDescent="0.35">
      <c r="B13">
        <f>'Int. Conf. Y (exercício)'!B14</f>
        <v>9</v>
      </c>
      <c r="C13" s="13">
        <f>'Int. Conf. Y (exercício)'!C14</f>
        <v>529</v>
      </c>
      <c r="D13" s="13">
        <f>'Int. Conf. Y (exercício)'!D14</f>
        <v>7.24</v>
      </c>
      <c r="F13" s="9" t="s">
        <v>34</v>
      </c>
    </row>
    <row r="14" spans="2:6" x14ac:dyDescent="0.35">
      <c r="B14">
        <f>'Int. Conf. Y (exercício)'!B15</f>
        <v>10</v>
      </c>
      <c r="C14" s="13">
        <f>'Int. Conf. Y (exercício)'!C15</f>
        <v>420</v>
      </c>
      <c r="D14" s="13">
        <f>'Int. Conf. Y (exercício)'!D15</f>
        <v>6.12</v>
      </c>
      <c r="F14" s="9"/>
    </row>
    <row r="15" spans="2:6" x14ac:dyDescent="0.35">
      <c r="B15">
        <f>'Int. Conf. Y (exercício)'!B16</f>
        <v>11</v>
      </c>
      <c r="C15" s="13">
        <f>'Int. Conf. Y (exercício)'!C16</f>
        <v>679</v>
      </c>
      <c r="D15" s="13">
        <f>'Int. Conf. Y (exercício)'!D16</f>
        <v>7.63</v>
      </c>
      <c r="F15" s="9" t="s">
        <v>35</v>
      </c>
    </row>
    <row r="16" spans="2:6" x14ac:dyDescent="0.35">
      <c r="B16">
        <f>'Int. Conf. Y (exercício)'!B17</f>
        <v>12</v>
      </c>
      <c r="C16" s="13">
        <f>'Int. Conf. Y (exercício)'!C17</f>
        <v>872</v>
      </c>
      <c r="D16" s="13">
        <f>'Int. Conf. Y (exercício)'!D17</f>
        <v>9.43</v>
      </c>
      <c r="F16" s="9"/>
    </row>
    <row r="17" spans="2:8" x14ac:dyDescent="0.35">
      <c r="B17">
        <f>'Int. Conf. Y (exercício)'!B18</f>
        <v>13</v>
      </c>
      <c r="C17" s="13">
        <f>'Int. Conf. Y (exercício)'!C18</f>
        <v>924</v>
      </c>
      <c r="D17" s="13">
        <f>'Int. Conf. Y (exercício)'!D18</f>
        <v>9.4600000000000009</v>
      </c>
      <c r="F17" s="9" t="s">
        <v>36</v>
      </c>
    </row>
    <row r="18" spans="2:8" x14ac:dyDescent="0.35">
      <c r="B18">
        <f>'Int. Conf. Y (exercício)'!B19</f>
        <v>14</v>
      </c>
      <c r="C18" s="13">
        <f>'Int. Conf. Y (exercício)'!C19</f>
        <v>607</v>
      </c>
      <c r="D18" s="13">
        <f>'Int. Conf. Y (exercício)'!D19</f>
        <v>7.64</v>
      </c>
    </row>
    <row r="19" spans="2:8" x14ac:dyDescent="0.35">
      <c r="B19">
        <f>'Int. Conf. Y (exercício)'!B20</f>
        <v>15</v>
      </c>
      <c r="C19" s="13">
        <f>'Int. Conf. Y (exercício)'!C20</f>
        <v>452</v>
      </c>
      <c r="D19" s="13">
        <f>'Int. Conf. Y (exercício)'!D20</f>
        <v>6.92</v>
      </c>
      <c r="F19" s="9" t="s">
        <v>38</v>
      </c>
    </row>
    <row r="20" spans="2:8" x14ac:dyDescent="0.35">
      <c r="B20">
        <f>'Int. Conf. Y (exercício)'!B21</f>
        <v>16</v>
      </c>
      <c r="C20" s="13">
        <f>'Int. Conf. Y (exercício)'!C21</f>
        <v>729</v>
      </c>
      <c r="D20" s="13">
        <f>'Int. Conf. Y (exercício)'!D21</f>
        <v>8.9499999999999993</v>
      </c>
    </row>
    <row r="21" spans="2:8" x14ac:dyDescent="0.35">
      <c r="B21">
        <f>'Int. Conf. Y (exercício)'!B22</f>
        <v>17</v>
      </c>
      <c r="C21" s="13">
        <f>'Int. Conf. Y (exercício)'!C22</f>
        <v>794</v>
      </c>
      <c r="D21" s="13">
        <f>'Int. Conf. Y (exercício)'!D22</f>
        <v>9.33</v>
      </c>
      <c r="H21" s="27" t="s">
        <v>39</v>
      </c>
    </row>
    <row r="22" spans="2:8" x14ac:dyDescent="0.35">
      <c r="B22">
        <f>'Int. Conf. Y (exercício)'!B23</f>
        <v>18</v>
      </c>
      <c r="C22" s="13">
        <f>'Int. Conf. Y (exercício)'!C23</f>
        <v>844</v>
      </c>
      <c r="D22" s="13">
        <f>'Int. Conf. Y (exercício)'!D23</f>
        <v>10.23</v>
      </c>
    </row>
    <row r="23" spans="2:8" x14ac:dyDescent="0.35">
      <c r="B23">
        <f>'Int. Conf. Y (exercício)'!B24</f>
        <v>19</v>
      </c>
      <c r="C23" s="13">
        <f>'Int. Conf. Y (exercício)'!C24</f>
        <v>1010</v>
      </c>
      <c r="D23" s="13">
        <f>'Int. Conf. Y (exercício)'!D24</f>
        <v>11.77</v>
      </c>
      <c r="F23" s="9" t="s">
        <v>40</v>
      </c>
      <c r="G23" t="e">
        <f>IF(AND(G21,I21)&gt;0,"Existe relação linear significativa entre X e Y",IF(OR(G21,I21)&lt;0,"Nenhuma relação está determinada"))</f>
        <v>#VALUE!</v>
      </c>
    </row>
    <row r="24" spans="2:8" x14ac:dyDescent="0.35">
      <c r="B24">
        <f>'Int. Conf. Y (exercício)'!B25</f>
        <v>20</v>
      </c>
      <c r="C24" s="13">
        <f>'Int. Conf. Y (exercício)'!C25</f>
        <v>621</v>
      </c>
      <c r="D24" s="13">
        <f>'Int. Conf. Y (exercício)'!D25</f>
        <v>7.41</v>
      </c>
    </row>
    <row r="26" spans="2:8" x14ac:dyDescent="0.35">
      <c r="F26" s="9" t="s">
        <v>75</v>
      </c>
    </row>
    <row r="27" spans="2:8" x14ac:dyDescent="0.35">
      <c r="F27" s="26" t="s">
        <v>43</v>
      </c>
    </row>
    <row r="28" spans="2:8" x14ac:dyDescent="0.35">
      <c r="F28" s="26" t="s">
        <v>42</v>
      </c>
    </row>
    <row r="29" spans="2:8" x14ac:dyDescent="0.35">
      <c r="F29" s="26" t="s">
        <v>28</v>
      </c>
      <c r="G29" s="13"/>
    </row>
    <row r="30" spans="2:8" x14ac:dyDescent="0.35">
      <c r="F30" s="25"/>
    </row>
    <row r="31" spans="2:8" x14ac:dyDescent="0.35"/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1"/>
  <sheetViews>
    <sheetView topLeftCell="A7" workbookViewId="0">
      <selection activeCell="G17" sqref="G17"/>
    </sheetView>
  </sheetViews>
  <sheetFormatPr defaultRowHeight="14.5" x14ac:dyDescent="0.35"/>
  <cols>
    <col min="3" max="3" width="10.26953125" bestFit="1" customWidth="1"/>
    <col min="4" max="4" width="9.7265625" bestFit="1" customWidth="1"/>
    <col min="6" max="6" width="12.81640625" bestFit="1" customWidth="1"/>
  </cols>
  <sheetData>
    <row r="2" spans="2:7" x14ac:dyDescent="0.35">
      <c r="B2" t="str">
        <f>'Int. Conf. Y (exercício)'!B3</f>
        <v>Tabela 1. Número de clientes e vendas semanais, para uma amostra de 20 empresas de prestação de serviços.</v>
      </c>
    </row>
    <row r="3" spans="2:7" x14ac:dyDescent="0.35">
      <c r="F3" s="9" t="s">
        <v>37</v>
      </c>
    </row>
    <row r="4" spans="2:7" x14ac:dyDescent="0.35">
      <c r="B4" s="24" t="str">
        <f>'Int. Conf. Y (exercício)'!B5</f>
        <v>Loja</v>
      </c>
      <c r="C4" s="24" t="str">
        <f>'Int. Conf. Y (exercício)'!C5</f>
        <v>Clientes (X)</v>
      </c>
      <c r="D4" s="24" t="str">
        <f>'Int. Conf. Y (exercício)'!D5</f>
        <v>Vendas (Y)</v>
      </c>
      <c r="F4" s="26" t="s">
        <v>27</v>
      </c>
      <c r="G4">
        <f>SLOPE(D5:D24,C5:C24)</f>
        <v>8.7293381714735833E-3</v>
      </c>
    </row>
    <row r="5" spans="2:7" x14ac:dyDescent="0.35">
      <c r="B5">
        <f>'Int. Conf. Y (exercício)'!B6</f>
        <v>1</v>
      </c>
      <c r="C5">
        <f>'Int. Conf. Y (exercício)'!C6</f>
        <v>907</v>
      </c>
      <c r="D5">
        <f>'Int. Conf. Y (exercício)'!D6</f>
        <v>11.2</v>
      </c>
      <c r="F5" s="26" t="s">
        <v>28</v>
      </c>
      <c r="G5">
        <f>COUNT(B:B)</f>
        <v>20</v>
      </c>
    </row>
    <row r="6" spans="2:7" x14ac:dyDescent="0.35">
      <c r="B6">
        <f>'Int. Conf. Y (exercício)'!B7</f>
        <v>2</v>
      </c>
      <c r="C6">
        <f>'Int. Conf. Y (exercício)'!C7</f>
        <v>926</v>
      </c>
      <c r="D6">
        <f>'Int. Conf. Y (exercício)'!D7</f>
        <v>11.05</v>
      </c>
      <c r="F6" s="26" t="s">
        <v>29</v>
      </c>
      <c r="G6">
        <f>'Intervalo de conf Y (resolvido)'!H11</f>
        <v>0.50149521453840828</v>
      </c>
    </row>
    <row r="7" spans="2:7" x14ac:dyDescent="0.35">
      <c r="B7">
        <f>'Int. Conf. Y (exercício)'!B8</f>
        <v>3</v>
      </c>
      <c r="C7">
        <f>'Int. Conf. Y (exercício)'!C8</f>
        <v>506</v>
      </c>
      <c r="D7">
        <f>'Int. Conf. Y (exercício)'!D8</f>
        <v>6.84</v>
      </c>
      <c r="F7" s="26" t="s">
        <v>30</v>
      </c>
      <c r="G7">
        <f>AVERAGE(C5:C24)</f>
        <v>731.15</v>
      </c>
    </row>
    <row r="8" spans="2:7" x14ac:dyDescent="0.35">
      <c r="B8">
        <f>'Int. Conf. Y (exercício)'!B9</f>
        <v>4</v>
      </c>
      <c r="C8">
        <f>'Int. Conf. Y (exercício)'!C9</f>
        <v>741</v>
      </c>
      <c r="D8">
        <f>'Int. Conf. Y (exercício)'!D9</f>
        <v>9.2100000000000009</v>
      </c>
      <c r="F8" s="26" t="s">
        <v>31</v>
      </c>
      <c r="G8">
        <f>SUMSQ(C5:C24)</f>
        <v>11306209</v>
      </c>
    </row>
    <row r="9" spans="2:7" x14ac:dyDescent="0.35">
      <c r="B9">
        <f>'Int. Conf. Y (exercício)'!B10</f>
        <v>5</v>
      </c>
      <c r="C9">
        <f>'Int. Conf. Y (exercício)'!C10</f>
        <v>789</v>
      </c>
      <c r="D9">
        <f>'Int. Conf. Y (exercício)'!D10</f>
        <v>9.42</v>
      </c>
      <c r="F9" s="9"/>
    </row>
    <row r="10" spans="2:7" x14ac:dyDescent="0.35">
      <c r="B10">
        <f>'Int. Conf. Y (exercício)'!B11</f>
        <v>6</v>
      </c>
      <c r="C10">
        <f>'Int. Conf. Y (exercício)'!C11</f>
        <v>889</v>
      </c>
      <c r="D10">
        <f>'Int. Conf. Y (exercício)'!D11</f>
        <v>10.08</v>
      </c>
      <c r="F10" s="26" t="s">
        <v>32</v>
      </c>
      <c r="G10">
        <f>G6/SQRT(G8-G5*G7^2)</f>
        <v>6.3969007751833089E-4</v>
      </c>
    </row>
    <row r="11" spans="2:7" x14ac:dyDescent="0.35">
      <c r="B11">
        <f>'Int. Conf. Y (exercício)'!B12</f>
        <v>7</v>
      </c>
      <c r="C11">
        <f>'Int. Conf. Y (exercício)'!C12</f>
        <v>874</v>
      </c>
      <c r="D11">
        <f>'Int. Conf. Y (exercício)'!D12</f>
        <v>9.4499999999999993</v>
      </c>
      <c r="F11" s="9"/>
    </row>
    <row r="12" spans="2:7" x14ac:dyDescent="0.35">
      <c r="B12">
        <f>'Int. Conf. Y (exercício)'!B13</f>
        <v>8</v>
      </c>
      <c r="C12">
        <f>'Int. Conf. Y (exercício)'!C13</f>
        <v>510</v>
      </c>
      <c r="D12">
        <f>'Int. Conf. Y (exercício)'!D13</f>
        <v>6.73</v>
      </c>
      <c r="F12" s="26" t="s">
        <v>33</v>
      </c>
    </row>
    <row r="13" spans="2:7" x14ac:dyDescent="0.35">
      <c r="B13">
        <f>'Int. Conf. Y (exercício)'!B14</f>
        <v>9</v>
      </c>
      <c r="C13">
        <f>'Int. Conf. Y (exercício)'!C14</f>
        <v>529</v>
      </c>
      <c r="D13">
        <f>'Int. Conf. Y (exercício)'!D14</f>
        <v>7.24</v>
      </c>
      <c r="F13" s="9" t="s">
        <v>34</v>
      </c>
      <c r="G13">
        <f>G4/G10</f>
        <v>13.646199117764862</v>
      </c>
    </row>
    <row r="14" spans="2:7" x14ac:dyDescent="0.35">
      <c r="B14">
        <f>'Int. Conf. Y (exercício)'!B15</f>
        <v>10</v>
      </c>
      <c r="C14">
        <f>'Int. Conf. Y (exercício)'!C15</f>
        <v>420</v>
      </c>
      <c r="D14">
        <f>'Int. Conf. Y (exercício)'!D15</f>
        <v>6.12</v>
      </c>
      <c r="F14" s="9"/>
    </row>
    <row r="15" spans="2:7" x14ac:dyDescent="0.35">
      <c r="B15">
        <f>'Int. Conf. Y (exercício)'!B16</f>
        <v>11</v>
      </c>
      <c r="C15">
        <f>'Int. Conf. Y (exercício)'!C16</f>
        <v>679</v>
      </c>
      <c r="D15">
        <f>'Int. Conf. Y (exercício)'!D16</f>
        <v>7.63</v>
      </c>
      <c r="F15" s="9" t="s">
        <v>35</v>
      </c>
      <c r="G15">
        <f>TINV(5%,G5-2)</f>
        <v>2.1009220402410378</v>
      </c>
    </row>
    <row r="16" spans="2:7" x14ac:dyDescent="0.35">
      <c r="B16">
        <f>'Int. Conf. Y (exercício)'!B17</f>
        <v>12</v>
      </c>
      <c r="C16">
        <f>'Int. Conf. Y (exercício)'!C17</f>
        <v>872</v>
      </c>
      <c r="D16">
        <f>'Int. Conf. Y (exercício)'!D17</f>
        <v>9.43</v>
      </c>
      <c r="F16" s="9"/>
    </row>
    <row r="17" spans="2:9" x14ac:dyDescent="0.35">
      <c r="B17">
        <f>'Int. Conf. Y (exercício)'!B18</f>
        <v>13</v>
      </c>
      <c r="C17">
        <f>'Int. Conf. Y (exercício)'!C18</f>
        <v>924</v>
      </c>
      <c r="D17">
        <f>'Int. Conf. Y (exercício)'!D18</f>
        <v>9.4600000000000009</v>
      </c>
      <c r="F17" s="9" t="s">
        <v>36</v>
      </c>
      <c r="G17" t="str">
        <f>IF(G13&gt;G15,"Rejeitar H0, ou seja, existe relação linear significativa entre as variáveis","Não rejeitar H0, não existe relação linear significativa entre as variáveis")</f>
        <v>Rejeitar H0, ou seja, existe relação linear significativa entre as variáveis</v>
      </c>
    </row>
    <row r="18" spans="2:9" x14ac:dyDescent="0.35">
      <c r="B18">
        <f>'Int. Conf. Y (exercício)'!B19</f>
        <v>14</v>
      </c>
      <c r="C18">
        <f>'Int. Conf. Y (exercício)'!C19</f>
        <v>607</v>
      </c>
      <c r="D18">
        <f>'Int. Conf. Y (exercício)'!D19</f>
        <v>7.64</v>
      </c>
    </row>
    <row r="19" spans="2:9" x14ac:dyDescent="0.35">
      <c r="B19">
        <f>'Int. Conf. Y (exercício)'!B20</f>
        <v>15</v>
      </c>
      <c r="C19">
        <f>'Int. Conf. Y (exercício)'!C20</f>
        <v>452</v>
      </c>
      <c r="D19">
        <f>'Int. Conf. Y (exercício)'!D20</f>
        <v>6.92</v>
      </c>
      <c r="F19" s="9" t="s">
        <v>38</v>
      </c>
    </row>
    <row r="20" spans="2:9" x14ac:dyDescent="0.35">
      <c r="B20">
        <f>'Int. Conf. Y (exercício)'!B21</f>
        <v>16</v>
      </c>
      <c r="C20">
        <f>'Int. Conf. Y (exercício)'!C21</f>
        <v>729</v>
      </c>
      <c r="D20">
        <f>'Int. Conf. Y (exercício)'!D21</f>
        <v>8.9499999999999993</v>
      </c>
    </row>
    <row r="21" spans="2:9" x14ac:dyDescent="0.35">
      <c r="B21">
        <f>'Int. Conf. Y (exercício)'!B22</f>
        <v>17</v>
      </c>
      <c r="C21">
        <f>'Int. Conf. Y (exercício)'!C22</f>
        <v>794</v>
      </c>
      <c r="D21">
        <f>'Int. Conf. Y (exercício)'!D22</f>
        <v>9.33</v>
      </c>
      <c r="G21">
        <f>SLOPE(D5:D24,C5:C24)</f>
        <v>8.7293381714735833E-3</v>
      </c>
      <c r="H21" s="27" t="s">
        <v>39</v>
      </c>
      <c r="I21">
        <f>TINV(5%,18)*G10</f>
        <v>1.3439389827817594E-3</v>
      </c>
    </row>
    <row r="22" spans="2:9" x14ac:dyDescent="0.35">
      <c r="B22">
        <f>'Int. Conf. Y (exercício)'!B23</f>
        <v>18</v>
      </c>
      <c r="C22">
        <f>'Int. Conf. Y (exercício)'!C23</f>
        <v>844</v>
      </c>
      <c r="D22">
        <f>'Int. Conf. Y (exercício)'!D23</f>
        <v>10.23</v>
      </c>
    </row>
    <row r="23" spans="2:9" x14ac:dyDescent="0.35">
      <c r="B23">
        <f>'Int. Conf. Y (exercício)'!B24</f>
        <v>19</v>
      </c>
      <c r="C23">
        <f>'Int. Conf. Y (exercício)'!C24</f>
        <v>1010</v>
      </c>
      <c r="D23">
        <f>'Int. Conf. Y (exercício)'!D24</f>
        <v>11.77</v>
      </c>
      <c r="F23" s="9" t="s">
        <v>40</v>
      </c>
      <c r="G23" t="str">
        <f>IF(AND(G21,I21)&gt;0,"Existe relação linear significativa entre X e Y",IF(OR(G21,I21)&lt;0,"Nenhuma relação está determinada"))</f>
        <v>Existe relação linear significativa entre X e Y</v>
      </c>
    </row>
    <row r="24" spans="2:9" x14ac:dyDescent="0.35">
      <c r="B24">
        <f>'Int. Conf. Y (exercício)'!B25</f>
        <v>20</v>
      </c>
      <c r="C24">
        <f>'Int. Conf. Y (exercício)'!C25</f>
        <v>621</v>
      </c>
      <c r="D24">
        <f>'Int. Conf. Y (exercício)'!D25</f>
        <v>7.41</v>
      </c>
    </row>
    <row r="26" spans="2:9" x14ac:dyDescent="0.35">
      <c r="F26" s="9" t="s">
        <v>41</v>
      </c>
    </row>
    <row r="27" spans="2:9" x14ac:dyDescent="0.35">
      <c r="F27" s="25" t="s">
        <v>43</v>
      </c>
      <c r="G27">
        <f>CORREL(C5:C24,D5:D24)</f>
        <v>0.95491320010927916</v>
      </c>
    </row>
    <row r="28" spans="2:9" x14ac:dyDescent="0.35">
      <c r="F28" s="25" t="s">
        <v>42</v>
      </c>
      <c r="G28">
        <f>RSQ(D5:D24,C5:C24)</f>
        <v>0.91185921974294448</v>
      </c>
    </row>
    <row r="29" spans="2:9" x14ac:dyDescent="0.35">
      <c r="F29" s="25" t="s">
        <v>28</v>
      </c>
      <c r="G29" s="13">
        <f>COUNT(B:B)</f>
        <v>20</v>
      </c>
    </row>
    <row r="30" spans="2:9" x14ac:dyDescent="0.35">
      <c r="F30" s="25"/>
    </row>
    <row r="31" spans="2:9" x14ac:dyDescent="0.35">
      <c r="G31">
        <f>G27/SQRT((1-G28)/18)</f>
        <v>13.646199117764906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47"/>
  <sheetViews>
    <sheetView tabSelected="1" workbookViewId="0">
      <selection activeCell="I22" sqref="I22"/>
    </sheetView>
  </sheetViews>
  <sheetFormatPr defaultRowHeight="14.5" x14ac:dyDescent="0.35"/>
  <cols>
    <col min="3" max="3" width="10.26953125" bestFit="1" customWidth="1"/>
    <col min="4" max="4" width="9.7265625" bestFit="1" customWidth="1"/>
    <col min="8" max="8" width="12.453125" bestFit="1" customWidth="1"/>
    <col min="11" max="11" width="15.36328125" customWidth="1"/>
    <col min="12" max="12" width="14.08984375" bestFit="1" customWidth="1"/>
    <col min="13" max="13" width="13" bestFit="1" customWidth="1"/>
    <col min="14" max="14" width="13.81640625" bestFit="1" customWidth="1"/>
  </cols>
  <sheetData>
    <row r="2" spans="2:11" x14ac:dyDescent="0.35">
      <c r="B2" t="str">
        <f>'Int. Conf. Y (exercício)'!B3</f>
        <v>Tabela 1. Número de clientes e vendas semanais, para uma amostra de 20 empresas de prestação de serviços.</v>
      </c>
    </row>
    <row r="4" spans="2:11" x14ac:dyDescent="0.35">
      <c r="B4" s="24" t="str">
        <f>'Int. Conf. Y (exercício)'!B5</f>
        <v>Loja</v>
      </c>
      <c r="C4" s="24" t="str">
        <f>'Int. Conf. Y (exercício)'!C5</f>
        <v>Clientes (X)</v>
      </c>
      <c r="D4" s="24" t="str">
        <f>'Int. Conf. Y (exercício)'!D5</f>
        <v>Vendas (Y)</v>
      </c>
      <c r="F4" t="s">
        <v>44</v>
      </c>
    </row>
    <row r="5" spans="2:11" ht="15" thickBot="1" x14ac:dyDescent="0.4">
      <c r="B5">
        <f>'Int. Conf. Y (exercício)'!B6</f>
        <v>1</v>
      </c>
      <c r="C5">
        <f>'Int. Conf. Y (exercício)'!C6</f>
        <v>907</v>
      </c>
      <c r="D5">
        <f>'Int. Conf. Y (exercício)'!D6</f>
        <v>11.2</v>
      </c>
    </row>
    <row r="6" spans="2:11" x14ac:dyDescent="0.35">
      <c r="B6">
        <f>'Int. Conf. Y (exercício)'!B7</f>
        <v>2</v>
      </c>
      <c r="C6">
        <f>'Int. Conf. Y (exercício)'!C7</f>
        <v>926</v>
      </c>
      <c r="D6">
        <f>'Int. Conf. Y (exercício)'!D7</f>
        <v>11.05</v>
      </c>
      <c r="F6" s="31" t="s">
        <v>45</v>
      </c>
      <c r="G6" s="31"/>
    </row>
    <row r="7" spans="2:11" x14ac:dyDescent="0.35">
      <c r="B7">
        <f>'Int. Conf. Y (exercício)'!B8</f>
        <v>3</v>
      </c>
      <c r="C7">
        <f>'Int. Conf. Y (exercício)'!C8</f>
        <v>506</v>
      </c>
      <c r="D7">
        <f>'Int. Conf. Y (exercício)'!D8</f>
        <v>6.84</v>
      </c>
      <c r="F7" s="28" t="s">
        <v>46</v>
      </c>
      <c r="G7" s="28">
        <v>0.95491320010927894</v>
      </c>
    </row>
    <row r="8" spans="2:11" x14ac:dyDescent="0.35">
      <c r="B8">
        <f>'Int. Conf. Y (exercício)'!B9</f>
        <v>4</v>
      </c>
      <c r="C8">
        <f>'Int. Conf. Y (exercício)'!C9</f>
        <v>741</v>
      </c>
      <c r="D8">
        <f>'Int. Conf. Y (exercício)'!D9</f>
        <v>9.2100000000000009</v>
      </c>
      <c r="F8" s="28" t="s">
        <v>47</v>
      </c>
      <c r="G8" s="28">
        <v>0.91185921974294382</v>
      </c>
    </row>
    <row r="9" spans="2:11" x14ac:dyDescent="0.35">
      <c r="B9">
        <f>'Int. Conf. Y (exercício)'!B10</f>
        <v>5</v>
      </c>
      <c r="C9">
        <f>'Int. Conf. Y (exercício)'!C10</f>
        <v>789</v>
      </c>
      <c r="D9">
        <f>'Int. Conf. Y (exercício)'!D10</f>
        <v>9.42</v>
      </c>
      <c r="F9" s="28" t="s">
        <v>48</v>
      </c>
      <c r="G9" s="28">
        <v>0.90696250972866288</v>
      </c>
    </row>
    <row r="10" spans="2:11" x14ac:dyDescent="0.35">
      <c r="B10">
        <f>'Int. Conf. Y (exercício)'!B11</f>
        <v>6</v>
      </c>
      <c r="C10">
        <f>'Int. Conf. Y (exercício)'!C11</f>
        <v>889</v>
      </c>
      <c r="D10">
        <f>'Int. Conf. Y (exercício)'!D11</f>
        <v>10.08</v>
      </c>
      <c r="F10" s="28" t="s">
        <v>49</v>
      </c>
      <c r="G10" s="28">
        <v>0.50149521453840828</v>
      </c>
    </row>
    <row r="11" spans="2:11" ht="15" thickBot="1" x14ac:dyDescent="0.4">
      <c r="B11">
        <f>'Int. Conf. Y (exercício)'!B12</f>
        <v>7</v>
      </c>
      <c r="C11">
        <f>'Int. Conf. Y (exercício)'!C12</f>
        <v>874</v>
      </c>
      <c r="D11">
        <f>'Int. Conf. Y (exercício)'!D12</f>
        <v>9.4499999999999993</v>
      </c>
      <c r="F11" s="29" t="s">
        <v>50</v>
      </c>
      <c r="G11" s="29">
        <v>20</v>
      </c>
    </row>
    <row r="12" spans="2:11" x14ac:dyDescent="0.35">
      <c r="B12">
        <f>'Int. Conf. Y (exercício)'!B13</f>
        <v>8</v>
      </c>
      <c r="C12">
        <f>'Int. Conf. Y (exercício)'!C13</f>
        <v>510</v>
      </c>
      <c r="D12">
        <f>'Int. Conf. Y (exercício)'!D13</f>
        <v>6.73</v>
      </c>
    </row>
    <row r="13" spans="2:11" ht="15" thickBot="1" x14ac:dyDescent="0.4">
      <c r="B13">
        <f>'Int. Conf. Y (exercício)'!B14</f>
        <v>9</v>
      </c>
      <c r="C13">
        <f>'Int. Conf. Y (exercício)'!C14</f>
        <v>529</v>
      </c>
      <c r="D13">
        <f>'Int. Conf. Y (exercício)'!D14</f>
        <v>7.24</v>
      </c>
      <c r="F13" t="s">
        <v>51</v>
      </c>
    </row>
    <row r="14" spans="2:11" x14ac:dyDescent="0.35">
      <c r="B14">
        <f>'Int. Conf. Y (exercício)'!B15</f>
        <v>10</v>
      </c>
      <c r="C14">
        <f>'Int. Conf. Y (exercício)'!C15</f>
        <v>420</v>
      </c>
      <c r="D14">
        <f>'Int. Conf. Y (exercício)'!D15</f>
        <v>6.12</v>
      </c>
      <c r="F14" s="30"/>
      <c r="G14" s="30" t="s">
        <v>56</v>
      </c>
      <c r="H14" s="30" t="s">
        <v>57</v>
      </c>
      <c r="I14" s="30" t="s">
        <v>58</v>
      </c>
      <c r="J14" s="30" t="s">
        <v>59</v>
      </c>
      <c r="K14" s="30" t="s">
        <v>60</v>
      </c>
    </row>
    <row r="15" spans="2:11" x14ac:dyDescent="0.35">
      <c r="B15">
        <f>'Int. Conf. Y (exercício)'!B16</f>
        <v>11</v>
      </c>
      <c r="C15">
        <f>'Int. Conf. Y (exercício)'!C16</f>
        <v>679</v>
      </c>
      <c r="D15">
        <f>'Int. Conf. Y (exercício)'!D16</f>
        <v>7.63</v>
      </c>
      <c r="F15" s="28" t="s">
        <v>52</v>
      </c>
      <c r="G15" s="28">
        <v>1</v>
      </c>
      <c r="H15" s="28">
        <v>46.833540896311362</v>
      </c>
      <c r="I15" s="28">
        <v>46.833540896311362</v>
      </c>
      <c r="J15" s="28">
        <v>186.21875036168615</v>
      </c>
      <c r="K15" s="28">
        <v>6.2062084968614724E-11</v>
      </c>
    </row>
    <row r="16" spans="2:11" x14ac:dyDescent="0.35">
      <c r="B16">
        <f>'Int. Conf. Y (exercício)'!B17</f>
        <v>12</v>
      </c>
      <c r="C16">
        <f>'Int. Conf. Y (exercício)'!C17</f>
        <v>872</v>
      </c>
      <c r="D16">
        <f>'Int. Conf. Y (exercício)'!D17</f>
        <v>9.43</v>
      </c>
      <c r="F16" s="28" t="s">
        <v>53</v>
      </c>
      <c r="G16" s="28">
        <v>18</v>
      </c>
      <c r="H16" s="28">
        <v>4.5269541036886345</v>
      </c>
      <c r="I16" s="28">
        <v>0.25149745020492414</v>
      </c>
      <c r="J16" s="28"/>
      <c r="K16" s="28"/>
    </row>
    <row r="17" spans="2:14" ht="15" thickBot="1" x14ac:dyDescent="0.4">
      <c r="B17">
        <f>'Int. Conf. Y (exercício)'!B18</f>
        <v>13</v>
      </c>
      <c r="C17">
        <f>'Int. Conf. Y (exercício)'!C18</f>
        <v>924</v>
      </c>
      <c r="D17">
        <f>'Int. Conf. Y (exercício)'!D18</f>
        <v>9.4600000000000009</v>
      </c>
      <c r="F17" s="29" t="s">
        <v>54</v>
      </c>
      <c r="G17" s="29">
        <v>19</v>
      </c>
      <c r="H17" s="29">
        <v>51.360495</v>
      </c>
      <c r="I17" s="29"/>
      <c r="J17" s="29"/>
      <c r="K17" s="29"/>
    </row>
    <row r="18" spans="2:14" ht="15" thickBot="1" x14ac:dyDescent="0.4">
      <c r="B18">
        <f>'Int. Conf. Y (exercício)'!B19</f>
        <v>14</v>
      </c>
      <c r="C18">
        <f>'Int. Conf. Y (exercício)'!C19</f>
        <v>607</v>
      </c>
      <c r="D18">
        <f>'Int. Conf. Y (exercício)'!D19</f>
        <v>7.64</v>
      </c>
    </row>
    <row r="19" spans="2:14" x14ac:dyDescent="0.35">
      <c r="B19">
        <f>'Int. Conf. Y (exercício)'!B20</f>
        <v>15</v>
      </c>
      <c r="C19">
        <f>'Int. Conf. Y (exercício)'!C20</f>
        <v>452</v>
      </c>
      <c r="D19">
        <f>'Int. Conf. Y (exercício)'!D20</f>
        <v>6.92</v>
      </c>
      <c r="F19" s="30"/>
      <c r="G19" s="30" t="s">
        <v>61</v>
      </c>
      <c r="H19" s="32" t="s">
        <v>49</v>
      </c>
      <c r="I19" s="30" t="s">
        <v>62</v>
      </c>
      <c r="J19" s="30" t="s">
        <v>63</v>
      </c>
      <c r="K19" s="30" t="s">
        <v>64</v>
      </c>
      <c r="L19" s="30" t="s">
        <v>65</v>
      </c>
      <c r="M19" s="30" t="s">
        <v>66</v>
      </c>
      <c r="N19" s="30" t="s">
        <v>67</v>
      </c>
    </row>
    <row r="20" spans="2:14" x14ac:dyDescent="0.35">
      <c r="B20">
        <f>'Int. Conf. Y (exercício)'!B21</f>
        <v>16</v>
      </c>
      <c r="C20">
        <f>'Int. Conf. Y (exercício)'!C21</f>
        <v>729</v>
      </c>
      <c r="D20">
        <f>'Int. Conf. Y (exercício)'!D21</f>
        <v>8.9499999999999993</v>
      </c>
      <c r="F20" s="28" t="s">
        <v>55</v>
      </c>
      <c r="G20" s="28">
        <v>2.4230443959270955</v>
      </c>
      <c r="H20" s="33">
        <v>0.48096460943053704</v>
      </c>
      <c r="I20" s="28">
        <v>5.0378850094521184</v>
      </c>
      <c r="J20" s="28">
        <v>8.5538847661034592E-5</v>
      </c>
      <c r="K20" s="28">
        <v>1.4125752473985578</v>
      </c>
      <c r="L20" s="28">
        <v>3.4335135444556331</v>
      </c>
      <c r="M20" s="28">
        <v>1.4125752473985578</v>
      </c>
      <c r="N20" s="28">
        <v>3.4335135444556331</v>
      </c>
    </row>
    <row r="21" spans="2:14" ht="15" thickBot="1" x14ac:dyDescent="0.4">
      <c r="B21">
        <f>'Int. Conf. Y (exercício)'!B22</f>
        <v>17</v>
      </c>
      <c r="C21">
        <f>'Int. Conf. Y (exercício)'!C22</f>
        <v>794</v>
      </c>
      <c r="D21">
        <f>'Int. Conf. Y (exercício)'!D22</f>
        <v>9.33</v>
      </c>
      <c r="F21" s="29" t="s">
        <v>2</v>
      </c>
      <c r="G21" s="34">
        <v>8.7293381714735763E-3</v>
      </c>
      <c r="H21" s="34">
        <v>6.3969007751833111E-4</v>
      </c>
      <c r="I21" s="34">
        <v>13.646199117764846</v>
      </c>
      <c r="J21" s="34">
        <v>6.2062084968614957E-11</v>
      </c>
      <c r="K21" s="34">
        <v>7.3853991886918165E-3</v>
      </c>
      <c r="L21" s="34">
        <v>1.0073277154255336E-2</v>
      </c>
      <c r="M21" s="34">
        <v>7.3853991886918165E-3</v>
      </c>
      <c r="N21" s="34">
        <v>1.0073277154255336E-2</v>
      </c>
    </row>
    <row r="22" spans="2:14" x14ac:dyDescent="0.35">
      <c r="B22">
        <f>'Int. Conf. Y (exercício)'!B23</f>
        <v>18</v>
      </c>
      <c r="C22">
        <f>'Int. Conf. Y (exercício)'!C23</f>
        <v>844</v>
      </c>
      <c r="D22">
        <f>'Int. Conf. Y (exercício)'!D23</f>
        <v>10.23</v>
      </c>
      <c r="I22" s="9">
        <f>TINV(5%,G11-2)</f>
        <v>2.1009220402410378</v>
      </c>
    </row>
    <row r="23" spans="2:14" x14ac:dyDescent="0.35">
      <c r="B23">
        <f>'Int. Conf. Y (exercício)'!B24</f>
        <v>19</v>
      </c>
      <c r="C23">
        <f>'Int. Conf. Y (exercício)'!C24</f>
        <v>1010</v>
      </c>
      <c r="D23">
        <f>'Int. Conf. Y (exercício)'!D24</f>
        <v>11.77</v>
      </c>
      <c r="I23" t="str">
        <f>IF(I21&gt;I22,"Rejeitar H0, ou seja, existe relação linear significativa entre as variáveis","Não rejeitar H0, não existe relação linear significativa entre as variáveis")</f>
        <v>Rejeitar H0, ou seja, existe relação linear significativa entre as variáveis</v>
      </c>
    </row>
    <row r="24" spans="2:14" x14ac:dyDescent="0.35">
      <c r="B24">
        <f>'Int. Conf. Y (exercício)'!B25</f>
        <v>20</v>
      </c>
      <c r="C24">
        <f>'Int. Conf. Y (exercício)'!C25</f>
        <v>621</v>
      </c>
      <c r="D24">
        <f>'Int. Conf. Y (exercício)'!D25</f>
        <v>7.41</v>
      </c>
    </row>
    <row r="25" spans="2:14" x14ac:dyDescent="0.35">
      <c r="F25" t="s">
        <v>68</v>
      </c>
      <c r="K25" t="s">
        <v>72</v>
      </c>
    </row>
    <row r="26" spans="2:14" ht="15" thickBot="1" x14ac:dyDescent="0.4"/>
    <row r="27" spans="2:14" x14ac:dyDescent="0.35">
      <c r="F27" s="30" t="s">
        <v>69</v>
      </c>
      <c r="G27" s="30" t="s">
        <v>74</v>
      </c>
      <c r="H27" s="30" t="s">
        <v>70</v>
      </c>
      <c r="I27" s="30" t="s">
        <v>71</v>
      </c>
      <c r="K27" s="30" t="s">
        <v>73</v>
      </c>
      <c r="L27" s="30" t="s">
        <v>3</v>
      </c>
    </row>
    <row r="28" spans="2:14" x14ac:dyDescent="0.35">
      <c r="F28" s="28">
        <v>1</v>
      </c>
      <c r="G28" s="28">
        <v>10.340554117453628</v>
      </c>
      <c r="H28" s="28">
        <v>0.85944588254637111</v>
      </c>
      <c r="I28" s="28">
        <v>1.7607280786116457</v>
      </c>
      <c r="K28" s="28">
        <v>2.5</v>
      </c>
      <c r="L28" s="28">
        <v>6.12</v>
      </c>
    </row>
    <row r="29" spans="2:14" x14ac:dyDescent="0.35">
      <c r="F29" s="28">
        <v>2</v>
      </c>
      <c r="G29" s="28">
        <v>10.506411542711628</v>
      </c>
      <c r="H29" s="28">
        <v>0.54358845728837224</v>
      </c>
      <c r="I29" s="28">
        <v>1.1136378443295221</v>
      </c>
      <c r="K29" s="28">
        <v>7.5</v>
      </c>
      <c r="L29" s="28">
        <v>6.73</v>
      </c>
    </row>
    <row r="30" spans="2:14" x14ac:dyDescent="0.35">
      <c r="F30" s="28">
        <v>3</v>
      </c>
      <c r="G30" s="28">
        <v>6.8400895106927253</v>
      </c>
      <c r="H30" s="28">
        <v>-8.9510692725447427E-5</v>
      </c>
      <c r="I30" s="28">
        <v>-1.8337860849449236E-4</v>
      </c>
      <c r="K30" s="28">
        <v>12.5</v>
      </c>
      <c r="L30" s="28">
        <v>6.84</v>
      </c>
    </row>
    <row r="31" spans="2:14" x14ac:dyDescent="0.35">
      <c r="F31" s="28">
        <v>4</v>
      </c>
      <c r="G31" s="28">
        <v>8.8914839809890154</v>
      </c>
      <c r="H31" s="28">
        <v>0.31851601901098547</v>
      </c>
      <c r="I31" s="28">
        <v>0.65253683745466551</v>
      </c>
      <c r="K31" s="28">
        <v>17.5</v>
      </c>
      <c r="L31" s="28">
        <v>6.92</v>
      </c>
    </row>
    <row r="32" spans="2:14" x14ac:dyDescent="0.35">
      <c r="F32" s="28">
        <v>5</v>
      </c>
      <c r="G32" s="28">
        <v>9.3104922132197476</v>
      </c>
      <c r="H32" s="28">
        <v>0.1095077867802523</v>
      </c>
      <c r="I32" s="28">
        <v>0.22434621996132983</v>
      </c>
      <c r="K32" s="28">
        <v>22.5</v>
      </c>
      <c r="L32" s="28">
        <v>7.24</v>
      </c>
    </row>
    <row r="33" spans="6:12" x14ac:dyDescent="0.35">
      <c r="F33" s="28">
        <v>6</v>
      </c>
      <c r="G33" s="28">
        <v>10.183426030367105</v>
      </c>
      <c r="H33" s="28">
        <v>-0.10342603036710507</v>
      </c>
      <c r="I33" s="28">
        <v>-0.21188665793262115</v>
      </c>
      <c r="K33" s="28">
        <v>27.5</v>
      </c>
      <c r="L33" s="28">
        <v>7.41</v>
      </c>
    </row>
    <row r="34" spans="6:12" x14ac:dyDescent="0.35">
      <c r="F34" s="28">
        <v>7</v>
      </c>
      <c r="G34" s="28">
        <v>10.052485957795001</v>
      </c>
      <c r="H34" s="28">
        <v>-0.60248595779500214</v>
      </c>
      <c r="I34" s="28">
        <v>-1.2342998720476799</v>
      </c>
      <c r="K34" s="28">
        <v>32.5</v>
      </c>
      <c r="L34" s="28">
        <v>7.63</v>
      </c>
    </row>
    <row r="35" spans="6:12" x14ac:dyDescent="0.35">
      <c r="F35" s="28">
        <v>8</v>
      </c>
      <c r="G35" s="28">
        <v>6.8750068633786192</v>
      </c>
      <c r="H35" s="28">
        <v>-0.14500686337861879</v>
      </c>
      <c r="I35" s="28">
        <v>-0.29707240575250682</v>
      </c>
      <c r="K35" s="28">
        <v>37.5</v>
      </c>
      <c r="L35" s="28">
        <v>7.64</v>
      </c>
    </row>
    <row r="36" spans="6:12" x14ac:dyDescent="0.35">
      <c r="F36" s="28">
        <v>9</v>
      </c>
      <c r="G36" s="28">
        <v>7.0408642886366177</v>
      </c>
      <c r="H36" s="28">
        <v>0.19913571136338248</v>
      </c>
      <c r="I36" s="28">
        <v>0.4079649988117709</v>
      </c>
      <c r="K36" s="28">
        <v>42.5</v>
      </c>
      <c r="L36" s="28">
        <v>8.9499999999999993</v>
      </c>
    </row>
    <row r="37" spans="6:12" x14ac:dyDescent="0.35">
      <c r="F37" s="28">
        <v>10</v>
      </c>
      <c r="G37" s="28">
        <v>6.0893664279459978</v>
      </c>
      <c r="H37" s="28">
        <v>3.06335720540023E-2</v>
      </c>
      <c r="I37" s="28">
        <v>6.2758332501226102E-2</v>
      </c>
      <c r="K37" s="28">
        <v>47.5</v>
      </c>
      <c r="L37" s="28">
        <v>9.2100000000000009</v>
      </c>
    </row>
    <row r="38" spans="6:12" x14ac:dyDescent="0.35">
      <c r="F38" s="28">
        <v>11</v>
      </c>
      <c r="G38" s="28">
        <v>8.3502650143576531</v>
      </c>
      <c r="H38" s="28">
        <v>-0.72026501435765322</v>
      </c>
      <c r="I38" s="28">
        <v>-1.4755912624349741</v>
      </c>
      <c r="K38" s="28">
        <v>52.5</v>
      </c>
      <c r="L38" s="28">
        <v>9.33</v>
      </c>
    </row>
    <row r="39" spans="6:12" x14ac:dyDescent="0.35">
      <c r="F39" s="28">
        <v>12</v>
      </c>
      <c r="G39" s="28">
        <v>10.035027281452054</v>
      </c>
      <c r="H39" s="28">
        <v>-0.60502728145205431</v>
      </c>
      <c r="I39" s="28">
        <v>-1.2395062265263987</v>
      </c>
      <c r="K39" s="28">
        <v>57.5</v>
      </c>
      <c r="L39" s="28">
        <v>9.42</v>
      </c>
    </row>
    <row r="40" spans="6:12" x14ac:dyDescent="0.35">
      <c r="F40" s="28">
        <v>13</v>
      </c>
      <c r="G40" s="28">
        <v>10.488952866368681</v>
      </c>
      <c r="H40" s="28">
        <v>-1.0289528663686802</v>
      </c>
      <c r="I40" s="28">
        <v>-2.1079933480110911</v>
      </c>
      <c r="K40" s="28">
        <v>62.5</v>
      </c>
      <c r="L40" s="28">
        <v>9.43</v>
      </c>
    </row>
    <row r="41" spans="6:12" x14ac:dyDescent="0.35">
      <c r="F41" s="28">
        <v>14</v>
      </c>
      <c r="G41" s="28">
        <v>7.7217526660115565</v>
      </c>
      <c r="H41" s="28">
        <v>-8.175266601155684E-2</v>
      </c>
      <c r="I41" s="28">
        <v>-0.16748490797515875</v>
      </c>
      <c r="K41" s="28">
        <v>67.5</v>
      </c>
      <c r="L41" s="28">
        <v>9.4499999999999993</v>
      </c>
    </row>
    <row r="42" spans="6:12" x14ac:dyDescent="0.35">
      <c r="F42" s="28">
        <v>15</v>
      </c>
      <c r="G42" s="28">
        <v>6.3687052494331517</v>
      </c>
      <c r="H42" s="28">
        <v>0.55129475056684818</v>
      </c>
      <c r="I42" s="28">
        <v>1.1294255596854061</v>
      </c>
      <c r="K42" s="28">
        <v>72.5</v>
      </c>
      <c r="L42" s="28">
        <v>9.4600000000000009</v>
      </c>
    </row>
    <row r="43" spans="6:12" x14ac:dyDescent="0.35">
      <c r="F43" s="28">
        <v>16</v>
      </c>
      <c r="G43" s="28">
        <v>8.7867319229313328</v>
      </c>
      <c r="H43" s="28">
        <v>0.16326807706866653</v>
      </c>
      <c r="I43" s="28">
        <v>0.33448375688764898</v>
      </c>
      <c r="K43" s="28">
        <v>77.5</v>
      </c>
      <c r="L43" s="28">
        <v>10.08</v>
      </c>
    </row>
    <row r="44" spans="6:12" x14ac:dyDescent="0.35">
      <c r="F44" s="28">
        <v>17</v>
      </c>
      <c r="G44" s="28">
        <v>9.3541389040771143</v>
      </c>
      <c r="H44" s="28">
        <v>-2.4138904077114276E-2</v>
      </c>
      <c r="I44" s="28">
        <v>-4.9452847536558014E-2</v>
      </c>
      <c r="K44" s="28">
        <v>82.5</v>
      </c>
      <c r="L44" s="28">
        <v>10.23</v>
      </c>
    </row>
    <row r="45" spans="6:12" x14ac:dyDescent="0.35">
      <c r="F45" s="28">
        <v>18</v>
      </c>
      <c r="G45" s="28">
        <v>9.790605812650794</v>
      </c>
      <c r="H45" s="28">
        <v>0.43939418734920643</v>
      </c>
      <c r="I45" s="28">
        <v>0.90017731070199347</v>
      </c>
      <c r="K45" s="28">
        <v>87.5</v>
      </c>
      <c r="L45" s="28">
        <v>11.05</v>
      </c>
    </row>
    <row r="46" spans="6:12" x14ac:dyDescent="0.35">
      <c r="F46" s="28">
        <v>19</v>
      </c>
      <c r="G46" s="28">
        <v>11.239675949115409</v>
      </c>
      <c r="H46" s="28">
        <v>0.530324050884591</v>
      </c>
      <c r="I46" s="28">
        <v>1.0864633435546072</v>
      </c>
      <c r="K46" s="28">
        <v>92.5</v>
      </c>
      <c r="L46" s="28">
        <v>11.2</v>
      </c>
    </row>
    <row r="47" spans="6:12" ht="15" thickBot="1" x14ac:dyDescent="0.4">
      <c r="F47" s="29">
        <v>20</v>
      </c>
      <c r="G47" s="29">
        <v>7.8439634004121865</v>
      </c>
      <c r="H47" s="29">
        <v>-0.4339634004121864</v>
      </c>
      <c r="I47" s="29">
        <v>-0.88905137567437109</v>
      </c>
      <c r="K47" s="29">
        <v>97.5</v>
      </c>
      <c r="L47" s="29">
        <v>11.77</v>
      </c>
    </row>
  </sheetData>
  <sortState ref="L28:L47">
    <sortCondition ref="L28"/>
  </sortState>
  <dataValidations count="1">
    <dataValidation allowBlank="1" showInputMessage="1" showErrorMessage="1" promptTitle="Estimativas do Intervalo de conf" prompt="Intervalos de confiança superior e inferior para a inclinação " sqref="K21:N21"/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Int. Conf. Y (exercício)</vt:lpstr>
      <vt:lpstr>Intervalo de conf Y (resolvido)</vt:lpstr>
      <vt:lpstr>Inf.par.Beta</vt:lpstr>
      <vt:lpstr>Inf par. beta (resolvido)</vt:lpstr>
      <vt:lpstr>Inf feranadados (resolvido)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2020-08-14T18:43:06Z</dcterms:created>
  <dcterms:modified xsi:type="dcterms:W3CDTF">2020-08-15T00:42:43Z</dcterms:modified>
</cp:coreProperties>
</file>