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HMet\Ektrika\"/>
    </mc:Choice>
  </mc:AlternateContent>
  <bookViews>
    <workbookView xWindow="3330" yWindow="1485" windowWidth="13095" windowHeight="11850" activeTab="2"/>
  </bookViews>
  <sheets>
    <sheet name="Sheet1" sheetId="1" r:id="rId1"/>
    <sheet name="Sheet2" sheetId="2" r:id="rId2"/>
    <sheet name="Правильное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3" i="3" l="1"/>
  <c r="R33" i="3"/>
  <c r="R29" i="3"/>
  <c r="R27" i="3"/>
  <c r="S24" i="3"/>
  <c r="S23" i="3"/>
  <c r="D23" i="3"/>
  <c r="N19" i="3"/>
  <c r="N18" i="3"/>
  <c r="V16" i="3"/>
  <c r="T16" i="3"/>
  <c r="N16" i="3"/>
  <c r="N15" i="3"/>
  <c r="V14" i="3"/>
  <c r="T14" i="3"/>
  <c r="N13" i="3"/>
  <c r="N14" i="3"/>
  <c r="A46" i="3" a="1"/>
  <c r="A46" i="3" s="1"/>
  <c r="N12" i="3"/>
  <c r="B48" i="3" l="1"/>
  <c r="B46" i="3"/>
  <c r="B49" i="3"/>
  <c r="B47" i="3"/>
  <c r="B50" i="3"/>
  <c r="A49" i="3"/>
  <c r="A47" i="3"/>
  <c r="A50" i="3"/>
  <c r="A48" i="3"/>
  <c r="F3" i="3" l="1"/>
  <c r="F4" i="3"/>
  <c r="F5" i="3"/>
  <c r="F6" i="3"/>
  <c r="F7" i="3"/>
  <c r="F8" i="3"/>
  <c r="F9" i="3"/>
  <c r="F10" i="3"/>
  <c r="F11" i="3"/>
  <c r="F12" i="3"/>
  <c r="F13" i="3"/>
  <c r="F2" i="3"/>
  <c r="F14" i="3" l="1"/>
  <c r="N6" i="3"/>
  <c r="N7" i="3"/>
  <c r="O2" i="3"/>
  <c r="H16" i="3"/>
  <c r="B10" i="4"/>
  <c r="B1" i="4"/>
  <c r="B3" i="4"/>
  <c r="A1" i="4"/>
  <c r="B4" i="4"/>
  <c r="E3" i="3"/>
  <c r="E4" i="3"/>
  <c r="E5" i="3"/>
  <c r="E6" i="3"/>
  <c r="E7" i="3"/>
  <c r="E8" i="3"/>
  <c r="E9" i="3"/>
  <c r="E10" i="3"/>
  <c r="E11" i="3"/>
  <c r="E12" i="3"/>
  <c r="E13" i="3"/>
  <c r="E2" i="3"/>
  <c r="D3" i="3"/>
  <c r="D4" i="3"/>
  <c r="D5" i="3"/>
  <c r="D6" i="3"/>
  <c r="D7" i="3"/>
  <c r="D8" i="3"/>
  <c r="D9" i="3"/>
  <c r="D10" i="3"/>
  <c r="D11" i="3"/>
  <c r="D12" i="3"/>
  <c r="D13" i="3"/>
  <c r="D2" i="3"/>
  <c r="C14" i="3"/>
  <c r="B17" i="3" s="1"/>
  <c r="H2" i="3" s="1"/>
  <c r="B14" i="3"/>
  <c r="B16" i="3" s="1"/>
  <c r="G5" i="2"/>
  <c r="G6" i="2"/>
  <c r="G7" i="2"/>
  <c r="G8" i="2"/>
  <c r="G9" i="2"/>
  <c r="G10" i="2"/>
  <c r="G11" i="2"/>
  <c r="G12" i="2"/>
  <c r="G13" i="2"/>
  <c r="G14" i="2"/>
  <c r="G15" i="2"/>
  <c r="G4" i="2"/>
  <c r="H4" i="2" s="1"/>
  <c r="E16" i="2"/>
  <c r="D16" i="2"/>
  <c r="F33" i="1"/>
  <c r="F31" i="1"/>
  <c r="D28" i="1"/>
  <c r="B26" i="1"/>
  <c r="B25" i="1"/>
  <c r="B21" i="1"/>
  <c r="B20" i="1"/>
  <c r="G16" i="1"/>
  <c r="B24" i="1"/>
  <c r="B19" i="1"/>
  <c r="B18" i="1"/>
  <c r="G5" i="1"/>
  <c r="G6" i="1"/>
  <c r="G7" i="1"/>
  <c r="G8" i="1"/>
  <c r="G9" i="1"/>
  <c r="G10" i="1"/>
  <c r="G11" i="1"/>
  <c r="G12" i="1"/>
  <c r="G13" i="1"/>
  <c r="G14" i="1"/>
  <c r="G15" i="1"/>
  <c r="G4" i="1"/>
  <c r="C16" i="1"/>
  <c r="F5" i="1"/>
  <c r="F6" i="1"/>
  <c r="F7" i="1"/>
  <c r="F8" i="1"/>
  <c r="F9" i="1"/>
  <c r="F10" i="1"/>
  <c r="F11" i="1"/>
  <c r="F12" i="1"/>
  <c r="F13" i="1"/>
  <c r="F14" i="1"/>
  <c r="F15" i="1"/>
  <c r="F4" i="1"/>
  <c r="B16" i="1"/>
  <c r="J3" i="1"/>
  <c r="N3" i="1"/>
  <c r="L4" i="1"/>
  <c r="B20" i="3" l="1"/>
  <c r="K3" i="3"/>
  <c r="K7" i="3"/>
  <c r="K11" i="3"/>
  <c r="K4" i="3"/>
  <c r="K8" i="3"/>
  <c r="K12" i="3"/>
  <c r="K5" i="3"/>
  <c r="K9" i="3"/>
  <c r="K13" i="3"/>
  <c r="K6" i="3"/>
  <c r="K10" i="3"/>
  <c r="K2" i="3"/>
  <c r="N9" i="3"/>
  <c r="H13" i="3"/>
  <c r="H11" i="3"/>
  <c r="H9" i="3"/>
  <c r="H7" i="3"/>
  <c r="H5" i="3"/>
  <c r="H3" i="3"/>
  <c r="D14" i="3"/>
  <c r="B18" i="3" s="1"/>
  <c r="E14" i="3"/>
  <c r="B19" i="3" s="1"/>
  <c r="B22" i="3" s="1"/>
  <c r="B23" i="3" s="1"/>
  <c r="H12" i="3"/>
  <c r="H10" i="3"/>
  <c r="H8" i="3"/>
  <c r="H6" i="3"/>
  <c r="H4" i="3"/>
  <c r="F16" i="1"/>
  <c r="K14" i="3" l="1"/>
  <c r="H14" i="3"/>
  <c r="G4" i="3"/>
  <c r="G6" i="3"/>
  <c r="G8" i="3"/>
  <c r="G10" i="3"/>
  <c r="G12" i="3"/>
  <c r="G2" i="3"/>
  <c r="G3" i="3"/>
  <c r="G5" i="3"/>
  <c r="G7" i="3"/>
  <c r="G9" i="3"/>
  <c r="G11" i="3"/>
  <c r="G13" i="3"/>
  <c r="J11" i="3" l="1"/>
  <c r="I11" i="3"/>
  <c r="J7" i="3"/>
  <c r="I7" i="3"/>
  <c r="J3" i="3"/>
  <c r="I3" i="3"/>
  <c r="I12" i="3"/>
  <c r="J12" i="3"/>
  <c r="I8" i="3"/>
  <c r="J8" i="3"/>
  <c r="I4" i="3"/>
  <c r="J4" i="3"/>
  <c r="J13" i="3"/>
  <c r="I13" i="3"/>
  <c r="J9" i="3"/>
  <c r="I9" i="3"/>
  <c r="J5" i="3"/>
  <c r="I5" i="3"/>
  <c r="I16" i="3"/>
  <c r="I2" i="3"/>
  <c r="J16" i="3"/>
  <c r="J2" i="3"/>
  <c r="I10" i="3"/>
  <c r="J10" i="3"/>
  <c r="I6" i="3"/>
  <c r="J6" i="3"/>
  <c r="J14" i="3" l="1"/>
  <c r="N3" i="3" s="1"/>
  <c r="I14" i="3"/>
  <c r="N2" i="3" s="1"/>
  <c r="N10" i="3" s="1"/>
</calcChain>
</file>

<file path=xl/sharedStrings.xml><?xml version="1.0" encoding="utf-8"?>
<sst xmlns="http://schemas.openxmlformats.org/spreadsheetml/2006/main" count="112" uniqueCount="88">
  <si>
    <t>Y</t>
  </si>
  <si>
    <t>X</t>
  </si>
  <si>
    <t>прож мин
в день</t>
  </si>
  <si>
    <t>средненев 
зп</t>
  </si>
  <si>
    <t>+</t>
  </si>
  <si>
    <t>=</t>
  </si>
  <si>
    <t>84+85+87+79+10611267+98+78+87+86+116</t>
  </si>
  <si>
    <t>138+148+141+154+163+195+139+163+152+162+151+173+</t>
  </si>
  <si>
    <t>x^2</t>
  </si>
  <si>
    <t>yx</t>
  </si>
  <si>
    <t>Xcp</t>
  </si>
  <si>
    <t>Ycp</t>
  </si>
  <si>
    <t>выб. дисперcия</t>
  </si>
  <si>
    <t>Xcp^2</t>
  </si>
  <si>
    <t>выб. ковариация</t>
  </si>
  <si>
    <t>x^2ср</t>
  </si>
  <si>
    <t>Xcp*Ycp</t>
  </si>
  <si>
    <t>,</t>
  </si>
  <si>
    <t>Xycp</t>
  </si>
  <si>
    <t>X^2cp</t>
  </si>
  <si>
    <t>b1</t>
  </si>
  <si>
    <t>b0</t>
  </si>
  <si>
    <t>Сумм:</t>
  </si>
  <si>
    <t>С использ-ем функции Линейн:</t>
  </si>
  <si>
    <t>Yмодель</t>
  </si>
  <si>
    <t>TSS</t>
  </si>
  <si>
    <t>ESS</t>
  </si>
  <si>
    <t>RSS</t>
  </si>
  <si>
    <t>n</t>
  </si>
  <si>
    <t>R^2</t>
  </si>
  <si>
    <r>
      <t>КВПИРСОН</t>
    </r>
    <r>
      <rPr>
        <sz val="11"/>
        <color theme="1"/>
        <rFont val="Calibri"/>
        <family val="2"/>
        <scheme val="minor"/>
      </rPr>
      <t xml:space="preserve"> </t>
    </r>
  </si>
  <si>
    <t>СУММКВРАЗН</t>
  </si>
  <si>
    <t>КВАДРОТКЛ</t>
  </si>
  <si>
    <t>Fфакт</t>
  </si>
  <si>
    <t>m(факторов)</t>
  </si>
  <si>
    <t>n-m-1</t>
  </si>
  <si>
    <t>a(уров.над)</t>
  </si>
  <si>
    <t>Fтабл</t>
  </si>
  <si>
    <t>Fфакт&gt;Fтабл - модель адекватна</t>
  </si>
  <si>
    <t>A(ср ош)</t>
  </si>
  <si>
    <t>XY</t>
  </si>
  <si>
    <t>X^2</t>
  </si>
  <si>
    <t>Y^2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</si>
  <si>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</si>
  <si>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</si>
  <si>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</si>
  <si>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</si>
  <si>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</si>
  <si>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</si>
  <si>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</si>
  <si>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</si>
  <si>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</si>
  <si>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</si>
  <si>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</si>
  <si>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</si>
  <si>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</si>
  <si>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</si>
  <si>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</si>
  <si>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</si>
  <si>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</si>
  <si>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</si>
  <si>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</si>
  <si>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</si>
  <si>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</si>
  <si>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</si>
  <si>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</si>
  <si>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t-табл</t>
  </si>
  <si>
    <t>(X-Xcp)^2</t>
  </si>
  <si>
    <t>ошиб.b1</t>
  </si>
  <si>
    <t>АНАЛИЗ ДАННЫХ</t>
  </si>
  <si>
    <t>tb1-факт</t>
  </si>
  <si>
    <t>tb0-факт</t>
  </si>
  <si>
    <t>tb1-факт &gt; t-табл - b1 значим</t>
  </si>
  <si>
    <t>ошиб.b0</t>
  </si>
  <si>
    <t>tb0-факт &gt; t-табл - b0 значим</t>
  </si>
  <si>
    <t>ошиб.R^2</t>
  </si>
  <si>
    <t>tr-факт</t>
  </si>
  <si>
    <t>tr-факт &gt; t-табл - r значим</t>
  </si>
  <si>
    <t>X_1,07</t>
  </si>
  <si>
    <t>Y(X_1,07)</t>
  </si>
  <si>
    <t>Прогноз при X = Xcp*1,07</t>
  </si>
  <si>
    <t>Стандартная ошибка Y(X_1,07)</t>
  </si>
  <si>
    <t>Предельная ошибка Y(X_1,07)</t>
  </si>
  <si>
    <t>Доверительные интервалы:</t>
  </si>
  <si>
    <t>верхн. граница b1</t>
  </si>
  <si>
    <t>верхн. граница b0</t>
  </si>
  <si>
    <t>нижн. граница b1</t>
  </si>
  <si>
    <t>нижн. граница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</si>
</sst>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6" fillId="0" borderId="0" xfId="0" applyFont="1"/>
    <xf numFmtId="0" fontId="3" fillId="0" borderId="0" xfId="0" applyFon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Continuous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0" fillId="0" borderId="1" xfId="1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0" borderId="1" xfId="0" applyFont="1" applyFill="1" applyBorder="1"/>
    <xf numFmtId="0" fontId="10" fillId="0" borderId="0" xfId="0" applyFont="1"/>
    <xf numFmtId="0" fontId="10" fillId="0" borderId="0" xfId="0" applyFont="1" applyBorder="1"/>
    <xf numFmtId="0" fontId="11" fillId="0" borderId="0" xfId="0" applyFont="1"/>
    <xf numFmtId="0" fontId="12" fillId="0" borderId="1" xfId="0" applyFont="1" applyFill="1" applyBorder="1"/>
    <xf numFmtId="0" fontId="7" fillId="0" borderId="4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Sheet1!$B$4:$B$15</c:f>
              <c:numCache>
                <c:formatCode>General</c:formatCode>
                <c:ptCount val="12"/>
                <c:pt idx="0">
                  <c:v>84</c:v>
                </c:pt>
                <c:pt idx="1">
                  <c:v>85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112</c:v>
                </c:pt>
                <c:pt idx="6">
                  <c:v>67</c:v>
                </c:pt>
                <c:pt idx="7">
                  <c:v>98</c:v>
                </c:pt>
                <c:pt idx="8">
                  <c:v>78</c:v>
                </c:pt>
                <c:pt idx="9">
                  <c:v>87</c:v>
                </c:pt>
                <c:pt idx="10">
                  <c:v>86</c:v>
                </c:pt>
                <c:pt idx="11">
                  <c:v>116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138</c:v>
                </c:pt>
                <c:pt idx="1">
                  <c:v>148</c:v>
                </c:pt>
                <c:pt idx="2">
                  <c:v>141</c:v>
                </c:pt>
                <c:pt idx="3">
                  <c:v>154</c:v>
                </c:pt>
                <c:pt idx="4">
                  <c:v>163</c:v>
                </c:pt>
                <c:pt idx="5">
                  <c:v>195</c:v>
                </c:pt>
                <c:pt idx="6">
                  <c:v>139</c:v>
                </c:pt>
                <c:pt idx="7">
                  <c:v>163</c:v>
                </c:pt>
                <c:pt idx="8">
                  <c:v>152</c:v>
                </c:pt>
                <c:pt idx="9">
                  <c:v>162</c:v>
                </c:pt>
                <c:pt idx="10">
                  <c:v>151</c:v>
                </c:pt>
                <c:pt idx="1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D-4F94-90D7-91BDFD6D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89824"/>
        <c:axId val="313088840"/>
      </c:scatterChart>
      <c:valAx>
        <c:axId val="3130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88840"/>
        <c:crosses val="autoZero"/>
        <c:crossBetween val="midCat"/>
      </c:valAx>
      <c:valAx>
        <c:axId val="31308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Правильное!$C$1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Правильное!$B$2:$B$13</c:f>
              <c:numCache>
                <c:formatCode>General</c:formatCode>
                <c:ptCount val="12"/>
                <c:pt idx="0">
                  <c:v>84</c:v>
                </c:pt>
                <c:pt idx="1">
                  <c:v>85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112</c:v>
                </c:pt>
                <c:pt idx="6">
                  <c:v>67</c:v>
                </c:pt>
                <c:pt idx="7">
                  <c:v>98</c:v>
                </c:pt>
                <c:pt idx="8">
                  <c:v>78</c:v>
                </c:pt>
                <c:pt idx="9">
                  <c:v>87</c:v>
                </c:pt>
                <c:pt idx="10">
                  <c:v>86</c:v>
                </c:pt>
                <c:pt idx="11">
                  <c:v>116</c:v>
                </c:pt>
              </c:numCache>
            </c:numRef>
          </c:xVal>
          <c:yVal>
            <c:numRef>
              <c:f>Правильное!$C$2:$C$13</c:f>
              <c:numCache>
                <c:formatCode>General</c:formatCode>
                <c:ptCount val="12"/>
                <c:pt idx="0">
                  <c:v>138</c:v>
                </c:pt>
                <c:pt idx="1">
                  <c:v>148</c:v>
                </c:pt>
                <c:pt idx="2">
                  <c:v>141</c:v>
                </c:pt>
                <c:pt idx="3">
                  <c:v>154</c:v>
                </c:pt>
                <c:pt idx="4">
                  <c:v>163</c:v>
                </c:pt>
                <c:pt idx="5">
                  <c:v>195</c:v>
                </c:pt>
                <c:pt idx="6">
                  <c:v>139</c:v>
                </c:pt>
                <c:pt idx="7">
                  <c:v>163</c:v>
                </c:pt>
                <c:pt idx="8">
                  <c:v>152</c:v>
                </c:pt>
                <c:pt idx="9">
                  <c:v>162</c:v>
                </c:pt>
                <c:pt idx="10">
                  <c:v>151</c:v>
                </c:pt>
                <c:pt idx="1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8-4414-9CC5-09603FB1F3B6}"/>
            </c:ext>
          </c:extLst>
        </c:ser>
        <c:ser>
          <c:idx val="1"/>
          <c:order val="1"/>
          <c:tx>
            <c:v>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Правильное!$B$2:$B$13</c:f>
              <c:numCache>
                <c:formatCode>General</c:formatCode>
                <c:ptCount val="12"/>
                <c:pt idx="0">
                  <c:v>84</c:v>
                </c:pt>
                <c:pt idx="1">
                  <c:v>85</c:v>
                </c:pt>
                <c:pt idx="2">
                  <c:v>87</c:v>
                </c:pt>
                <c:pt idx="3">
                  <c:v>79</c:v>
                </c:pt>
                <c:pt idx="4">
                  <c:v>106</c:v>
                </c:pt>
                <c:pt idx="5">
                  <c:v>112</c:v>
                </c:pt>
                <c:pt idx="6">
                  <c:v>67</c:v>
                </c:pt>
                <c:pt idx="7">
                  <c:v>98</c:v>
                </c:pt>
                <c:pt idx="8">
                  <c:v>78</c:v>
                </c:pt>
                <c:pt idx="9">
                  <c:v>87</c:v>
                </c:pt>
                <c:pt idx="10">
                  <c:v>86</c:v>
                </c:pt>
                <c:pt idx="11">
                  <c:v>116</c:v>
                </c:pt>
              </c:numCache>
            </c:numRef>
          </c:xVal>
          <c:yVal>
            <c:numRef>
              <c:f>Правильное!$G$2:$G$13</c:f>
              <c:numCache>
                <c:formatCode>General</c:formatCode>
                <c:ptCount val="12"/>
                <c:pt idx="0">
                  <c:v>150.83311622011757</c:v>
                </c:pt>
                <c:pt idx="1">
                  <c:v>151.72925395204732</c:v>
                </c:pt>
                <c:pt idx="2">
                  <c:v>153.52152941590677</c:v>
                </c:pt>
                <c:pt idx="3">
                  <c:v>146.35242756046893</c:v>
                </c:pt>
                <c:pt idx="4">
                  <c:v>170.5481463225716</c:v>
                </c:pt>
                <c:pt idx="5">
                  <c:v>175.92497271414999</c:v>
                </c:pt>
                <c:pt idx="6">
                  <c:v>135.5987747773122</c:v>
                </c:pt>
                <c:pt idx="7">
                  <c:v>163.37904446713378</c:v>
                </c:pt>
                <c:pt idx="8">
                  <c:v>145.45628982853921</c:v>
                </c:pt>
                <c:pt idx="9">
                  <c:v>153.52152941590677</c:v>
                </c:pt>
                <c:pt idx="10">
                  <c:v>152.62539168397706</c:v>
                </c:pt>
                <c:pt idx="11">
                  <c:v>179.5095236418689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88-4414-9CC5-09603FB1F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28472"/>
        <c:axId val="552329456"/>
      </c:scatterChart>
      <c:valAx>
        <c:axId val="552328472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layout>
            <c:manualLayout>
              <c:xMode val="edge"/>
              <c:yMode val="edge"/>
              <c:x val="0.94904672968248949"/>
              <c:y val="0.92456054297674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9456"/>
        <c:crosses val="autoZero"/>
        <c:crossBetween val="midCat"/>
      </c:valAx>
      <c:valAx>
        <c:axId val="552329456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1.8217640557345045E-2"/>
              <c:y val="5.4802463889463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2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545856</xdr:colOff>
      <xdr:row>7</xdr:row>
      <xdr:rowOff>101110</xdr:rowOff>
    </xdr:from>
    <xdr:to>
      <xdr:col>15</xdr:col>
      <xdr:colOff>14655</xdr:colOff>
      <xdr:row>25</xdr:row>
      <xdr:rowOff>124556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5FA10-0D60-47F6-BDBB-222DA4139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303641</xdr:colOff>
      <xdr:row>19</xdr:row>
      <xdr:rowOff>173935</xdr:rowOff>
    </xdr:from>
    <xdr:to>
      <xdr:col>16</xdr:col>
      <xdr:colOff>74544</xdr:colOff>
      <xdr:row>38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5D1C3-9D4A-4031-BE70-0ABF25E80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130" zoomScaleNormal="130" workbookViewId="0">
      <selection activeCell="I16" sqref="I16"/>
    </sheetView>
  </sheetViews>
  <sheetFormatPr defaultRowHeight="15" x14ac:dyDescent="0.25"/>
  <cols>
    <col min="2" max="2" width="12.7109375" customWidth="1"/>
    <col min="3" max="3" width="9.42578125" customWidth="1"/>
    <col min="4" max="4" width="10.5703125" customWidth="1"/>
  </cols>
  <sheetData>
    <row r="1" spans="1:14" ht="24.75" x14ac:dyDescent="0.25">
      <c r="A1" s="2"/>
      <c r="B1" s="3" t="s">
        <v>2</v>
      </c>
      <c r="C1" s="4" t="s">
        <v>3</v>
      </c>
    </row>
    <row r="2" spans="1:14" x14ac:dyDescent="0.25">
      <c r="F2" t="s">
        <v>8</v>
      </c>
      <c r="G2" t="s">
        <v>9</v>
      </c>
    </row>
    <row r="3" spans="1:14" x14ac:dyDescent="0.25">
      <c r="B3" s="1" t="s">
        <v>1</v>
      </c>
      <c r="C3" s="1" t="s">
        <v>0</v>
      </c>
      <c r="J3" t="str">
        <f>CONCATENATE(C4,I4,C5,I5,C6,I6,C7,I7,C8,I8,C9,I9,C10,I10,C11,I11,C12,I12,C13,I13,C14,I14,C15,I15)</f>
        <v>138+148+141+154+163+195+139+163+152+162+151+173+</v>
      </c>
      <c r="L3" t="s">
        <v>5</v>
      </c>
      <c r="M3" t="s">
        <v>4</v>
      </c>
      <c r="N3" t="str">
        <f>CONCATENATE(B4,M3,B5,M3,B6,M3,B7,M3,B8,,B9,,B10,M3,B11,M3,B12,M3,B13,M3,B14,M3,B15)</f>
        <v>84+85+87+79+10611267+98+78+87+86+116</v>
      </c>
    </row>
    <row r="4" spans="1:14" x14ac:dyDescent="0.25">
      <c r="A4" s="5">
        <v>1</v>
      </c>
      <c r="B4">
        <v>84</v>
      </c>
      <c r="C4">
        <v>138</v>
      </c>
      <c r="F4">
        <f t="shared" ref="F4:F15" si="0">B4^2</f>
        <v>7056</v>
      </c>
      <c r="G4">
        <f>B4*C4</f>
        <v>11592</v>
      </c>
      <c r="I4" t="s">
        <v>4</v>
      </c>
      <c r="L4">
        <f>B4+B5+B6+B7+B8+B9+B10+B11+B12+B13+B14+B15</f>
        <v>1085</v>
      </c>
    </row>
    <row r="5" spans="1:14" x14ac:dyDescent="0.25">
      <c r="A5" s="5">
        <v>2</v>
      </c>
      <c r="B5">
        <v>85</v>
      </c>
      <c r="C5">
        <v>148</v>
      </c>
      <c r="F5">
        <f t="shared" si="0"/>
        <v>7225</v>
      </c>
      <c r="G5">
        <f t="shared" ref="G5:G15" si="1">B5*C5</f>
        <v>12580</v>
      </c>
      <c r="I5" t="s">
        <v>4</v>
      </c>
    </row>
    <row r="6" spans="1:14" x14ac:dyDescent="0.25">
      <c r="A6" s="5">
        <v>3</v>
      </c>
      <c r="B6">
        <v>87</v>
      </c>
      <c r="C6">
        <v>141</v>
      </c>
      <c r="F6">
        <f t="shared" si="0"/>
        <v>7569</v>
      </c>
      <c r="G6">
        <f t="shared" si="1"/>
        <v>12267</v>
      </c>
      <c r="I6" t="s">
        <v>4</v>
      </c>
    </row>
    <row r="7" spans="1:14" x14ac:dyDescent="0.25">
      <c r="A7" s="5">
        <v>4</v>
      </c>
      <c r="B7">
        <v>79</v>
      </c>
      <c r="C7">
        <v>154</v>
      </c>
      <c r="F7">
        <f t="shared" si="0"/>
        <v>6241</v>
      </c>
      <c r="G7">
        <f t="shared" si="1"/>
        <v>12166</v>
      </c>
      <c r="I7" t="s">
        <v>4</v>
      </c>
    </row>
    <row r="8" spans="1:14" x14ac:dyDescent="0.25">
      <c r="A8" s="5">
        <v>5</v>
      </c>
      <c r="B8">
        <v>106</v>
      </c>
      <c r="C8">
        <v>163</v>
      </c>
      <c r="F8">
        <f t="shared" si="0"/>
        <v>11236</v>
      </c>
      <c r="G8">
        <f t="shared" si="1"/>
        <v>17278</v>
      </c>
      <c r="I8" t="s">
        <v>4</v>
      </c>
    </row>
    <row r="9" spans="1:14" x14ac:dyDescent="0.25">
      <c r="A9" s="5">
        <v>6</v>
      </c>
      <c r="B9">
        <v>112</v>
      </c>
      <c r="C9">
        <v>195</v>
      </c>
      <c r="F9">
        <f t="shared" si="0"/>
        <v>12544</v>
      </c>
      <c r="G9">
        <f t="shared" si="1"/>
        <v>21840</v>
      </c>
      <c r="I9" t="s">
        <v>4</v>
      </c>
    </row>
    <row r="10" spans="1:14" x14ac:dyDescent="0.25">
      <c r="A10" s="5">
        <v>7</v>
      </c>
      <c r="B10">
        <v>67</v>
      </c>
      <c r="C10">
        <v>139</v>
      </c>
      <c r="F10">
        <f t="shared" si="0"/>
        <v>4489</v>
      </c>
      <c r="G10">
        <f t="shared" si="1"/>
        <v>9313</v>
      </c>
      <c r="I10" t="s">
        <v>4</v>
      </c>
    </row>
    <row r="11" spans="1:14" x14ac:dyDescent="0.25">
      <c r="A11" s="5">
        <v>8</v>
      </c>
      <c r="B11">
        <v>98</v>
      </c>
      <c r="C11">
        <v>163</v>
      </c>
      <c r="F11">
        <f t="shared" si="0"/>
        <v>9604</v>
      </c>
      <c r="G11">
        <f t="shared" si="1"/>
        <v>15974</v>
      </c>
      <c r="I11" t="s">
        <v>4</v>
      </c>
    </row>
    <row r="12" spans="1:14" x14ac:dyDescent="0.25">
      <c r="A12" s="5">
        <v>9</v>
      </c>
      <c r="B12">
        <v>78</v>
      </c>
      <c r="C12">
        <v>152</v>
      </c>
      <c r="F12">
        <f t="shared" si="0"/>
        <v>6084</v>
      </c>
      <c r="G12">
        <f t="shared" si="1"/>
        <v>11856</v>
      </c>
      <c r="I12" t="s">
        <v>4</v>
      </c>
    </row>
    <row r="13" spans="1:14" x14ac:dyDescent="0.25">
      <c r="A13" s="5">
        <v>10</v>
      </c>
      <c r="B13">
        <v>87</v>
      </c>
      <c r="C13">
        <v>162</v>
      </c>
      <c r="F13">
        <f t="shared" si="0"/>
        <v>7569</v>
      </c>
      <c r="G13">
        <f t="shared" si="1"/>
        <v>14094</v>
      </c>
      <c r="I13" t="s">
        <v>4</v>
      </c>
    </row>
    <row r="14" spans="1:14" x14ac:dyDescent="0.25">
      <c r="A14" s="5">
        <v>11</v>
      </c>
      <c r="B14">
        <v>86</v>
      </c>
      <c r="C14">
        <v>151</v>
      </c>
      <c r="F14">
        <f t="shared" si="0"/>
        <v>7396</v>
      </c>
      <c r="G14">
        <f t="shared" si="1"/>
        <v>12986</v>
      </c>
      <c r="I14" t="s">
        <v>4</v>
      </c>
    </row>
    <row r="15" spans="1:14" x14ac:dyDescent="0.25">
      <c r="A15" s="5">
        <v>12</v>
      </c>
      <c r="B15">
        <v>116</v>
      </c>
      <c r="C15">
        <v>173</v>
      </c>
      <c r="F15">
        <f t="shared" si="0"/>
        <v>13456</v>
      </c>
      <c r="G15">
        <f t="shared" si="1"/>
        <v>20068</v>
      </c>
      <c r="I15" t="s">
        <v>4</v>
      </c>
    </row>
    <row r="16" spans="1:14" x14ac:dyDescent="0.25">
      <c r="B16">
        <f>SUM(B4:B15)</f>
        <v>1085</v>
      </c>
      <c r="C16">
        <f>SUM(C4:C15)</f>
        <v>1879</v>
      </c>
      <c r="F16">
        <f>SUM(F4:F15)</f>
        <v>100469</v>
      </c>
      <c r="G16">
        <f>SUM(G4:G15)</f>
        <v>172014</v>
      </c>
    </row>
    <row r="17" spans="1:13" x14ac:dyDescent="0.25">
      <c r="M17" t="s">
        <v>7</v>
      </c>
    </row>
    <row r="18" spans="1:13" x14ac:dyDescent="0.25">
      <c r="A18" t="s">
        <v>10</v>
      </c>
      <c r="B18">
        <f>AVERAGE(B4:B15)</f>
        <v>90.416666666666671</v>
      </c>
      <c r="M18" t="s">
        <v>6</v>
      </c>
    </row>
    <row r="19" spans="1:13" x14ac:dyDescent="0.25">
      <c r="A19" t="s">
        <v>11</v>
      </c>
      <c r="B19">
        <f>AVERAGE(C4:C15)</f>
        <v>156.58333333333334</v>
      </c>
    </row>
    <row r="20" spans="1:13" x14ac:dyDescent="0.25">
      <c r="A20" t="s">
        <v>15</v>
      </c>
      <c r="B20">
        <f>F16/A15</f>
        <v>8372.4166666666661</v>
      </c>
    </row>
    <row r="21" spans="1:13" x14ac:dyDescent="0.25">
      <c r="A21" t="s">
        <v>16</v>
      </c>
      <c r="B21">
        <f>B18*B19</f>
        <v>14157.743055555557</v>
      </c>
    </row>
    <row r="24" spans="1:13" x14ac:dyDescent="0.25">
      <c r="A24" s="6" t="s">
        <v>13</v>
      </c>
      <c r="B24" s="6">
        <f>B18^2</f>
        <v>8175.1736111111122</v>
      </c>
    </row>
    <row r="25" spans="1:13" x14ac:dyDescent="0.25">
      <c r="A25" t="s">
        <v>12</v>
      </c>
      <c r="B25">
        <f>B20-B18^2</f>
        <v>197.24305555555384</v>
      </c>
    </row>
    <row r="26" spans="1:13" x14ac:dyDescent="0.25">
      <c r="A26" t="s">
        <v>14</v>
      </c>
      <c r="B26">
        <f>(G16/A15)-B18*B19</f>
        <v>176.75694444444343</v>
      </c>
    </row>
    <row r="28" spans="1:13" x14ac:dyDescent="0.25">
      <c r="D28">
        <f>B26*B18+B19</f>
        <v>16138.357060185095</v>
      </c>
    </row>
    <row r="31" spans="1:13" x14ac:dyDescent="0.25">
      <c r="D31">
        <v>176.76</v>
      </c>
      <c r="E31">
        <v>90.42</v>
      </c>
      <c r="F31">
        <f>D31*E31</f>
        <v>15982.6392</v>
      </c>
    </row>
    <row r="32" spans="1:13" x14ac:dyDescent="0.25">
      <c r="F32">
        <v>156.58000000000001</v>
      </c>
    </row>
    <row r="33" spans="6:6" x14ac:dyDescent="0.25">
      <c r="F33">
        <f>F31+F32</f>
        <v>16139.2192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zoomScale="130" zoomScaleNormal="130" workbookViewId="0">
      <selection activeCell="C3" sqref="C3:E15"/>
    </sheetView>
  </sheetViews>
  <sheetFormatPr defaultRowHeight="15" x14ac:dyDescent="0.25"/>
  <sheetData>
    <row r="3" spans="3:8" x14ac:dyDescent="0.25">
      <c r="D3" s="1" t="s">
        <v>1</v>
      </c>
      <c r="E3" s="1" t="s">
        <v>0</v>
      </c>
      <c r="G3" t="s">
        <v>17</v>
      </c>
    </row>
    <row r="4" spans="3:8" x14ac:dyDescent="0.25">
      <c r="C4" s="5">
        <v>1</v>
      </c>
      <c r="D4">
        <v>84</v>
      </c>
      <c r="E4">
        <v>138</v>
      </c>
      <c r="G4" t="str">
        <f>CONCATENATE(E4,$G$3)</f>
        <v>138,</v>
      </c>
      <c r="H4" t="str">
        <f>CONCATENATE(G4,G5,G6,G7,G8,G9,G10,G11,G12,G13,G14,G15)</f>
        <v>138,148,141,154,163,195,139,163,152,162,151,173,</v>
      </c>
    </row>
    <row r="5" spans="3:8" x14ac:dyDescent="0.25">
      <c r="C5" s="5">
        <v>2</v>
      </c>
      <c r="D5">
        <v>85</v>
      </c>
      <c r="E5">
        <v>148</v>
      </c>
      <c r="G5" t="str">
        <f t="shared" ref="G5:G15" si="0">CONCATENATE(E5,$G$3)</f>
        <v>148,</v>
      </c>
    </row>
    <row r="6" spans="3:8" x14ac:dyDescent="0.25">
      <c r="C6" s="5">
        <v>3</v>
      </c>
      <c r="D6">
        <v>87</v>
      </c>
      <c r="E6">
        <v>141</v>
      </c>
      <c r="G6" t="str">
        <f t="shared" si="0"/>
        <v>141,</v>
      </c>
    </row>
    <row r="7" spans="3:8" x14ac:dyDescent="0.25">
      <c r="C7" s="5">
        <v>4</v>
      </c>
      <c r="D7">
        <v>79</v>
      </c>
      <c r="E7">
        <v>154</v>
      </c>
      <c r="G7" t="str">
        <f t="shared" si="0"/>
        <v>154,</v>
      </c>
    </row>
    <row r="8" spans="3:8" x14ac:dyDescent="0.25">
      <c r="C8" s="5">
        <v>5</v>
      </c>
      <c r="D8">
        <v>106</v>
      </c>
      <c r="E8">
        <v>163</v>
      </c>
      <c r="G8" t="str">
        <f t="shared" si="0"/>
        <v>163,</v>
      </c>
    </row>
    <row r="9" spans="3:8" x14ac:dyDescent="0.25">
      <c r="C9" s="5">
        <v>6</v>
      </c>
      <c r="D9">
        <v>112</v>
      </c>
      <c r="E9">
        <v>195</v>
      </c>
      <c r="G9" t="str">
        <f t="shared" si="0"/>
        <v>195,</v>
      </c>
    </row>
    <row r="10" spans="3:8" x14ac:dyDescent="0.25">
      <c r="C10" s="5">
        <v>7</v>
      </c>
      <c r="D10">
        <v>67</v>
      </c>
      <c r="E10">
        <v>139</v>
      </c>
      <c r="G10" t="str">
        <f t="shared" si="0"/>
        <v>139,</v>
      </c>
    </row>
    <row r="11" spans="3:8" x14ac:dyDescent="0.25">
      <c r="C11" s="5">
        <v>8</v>
      </c>
      <c r="D11">
        <v>98</v>
      </c>
      <c r="E11">
        <v>163</v>
      </c>
      <c r="G11" t="str">
        <f t="shared" si="0"/>
        <v>163,</v>
      </c>
    </row>
    <row r="12" spans="3:8" x14ac:dyDescent="0.25">
      <c r="C12" s="5">
        <v>9</v>
      </c>
      <c r="D12">
        <v>78</v>
      </c>
      <c r="E12">
        <v>152</v>
      </c>
      <c r="G12" t="str">
        <f t="shared" si="0"/>
        <v>152,</v>
      </c>
    </row>
    <row r="13" spans="3:8" x14ac:dyDescent="0.25">
      <c r="C13" s="5">
        <v>10</v>
      </c>
      <c r="D13">
        <v>87</v>
      </c>
      <c r="E13">
        <v>162</v>
      </c>
      <c r="G13" t="str">
        <f t="shared" si="0"/>
        <v>162,</v>
      </c>
    </row>
    <row r="14" spans="3:8" x14ac:dyDescent="0.25">
      <c r="C14" s="5">
        <v>11</v>
      </c>
      <c r="D14">
        <v>86</v>
      </c>
      <c r="E14">
        <v>151</v>
      </c>
      <c r="G14" t="str">
        <f t="shared" si="0"/>
        <v>151,</v>
      </c>
    </row>
    <row r="15" spans="3:8" x14ac:dyDescent="0.25">
      <c r="C15" s="5">
        <v>12</v>
      </c>
      <c r="D15">
        <v>116</v>
      </c>
      <c r="E15">
        <v>173</v>
      </c>
      <c r="G15" t="str">
        <f t="shared" si="0"/>
        <v>173,</v>
      </c>
    </row>
    <row r="16" spans="3:8" x14ac:dyDescent="0.25">
      <c r="D16">
        <f>SUM(D4:D15)</f>
        <v>1085</v>
      </c>
      <c r="E16">
        <f>SUM(E4:E15)</f>
        <v>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="115" zoomScaleNormal="115" workbookViewId="0">
      <selection activeCell="I45" sqref="I45"/>
    </sheetView>
  </sheetViews>
  <sheetFormatPr defaultRowHeight="15" x14ac:dyDescent="0.25"/>
  <cols>
    <col min="1" max="1" width="12.7109375" customWidth="1"/>
    <col min="2" max="2" width="10.42578125" customWidth="1"/>
    <col min="3" max="3" width="11.5703125" customWidth="1"/>
    <col min="5" max="5" width="10.7109375" customWidth="1"/>
    <col min="6" max="6" width="10.5703125" customWidth="1"/>
    <col min="11" max="11" width="8.5703125" customWidth="1"/>
    <col min="12" max="12" width="4.28515625" customWidth="1"/>
    <col min="13" max="13" width="9" customWidth="1"/>
    <col min="14" max="14" width="10" customWidth="1"/>
  </cols>
  <sheetData>
    <row r="1" spans="1:23" s="8" customFormat="1" ht="15.75" x14ac:dyDescent="0.25">
      <c r="A1" s="19" t="s">
        <v>28</v>
      </c>
      <c r="B1" s="20" t="s">
        <v>1</v>
      </c>
      <c r="C1" s="20" t="s">
        <v>0</v>
      </c>
      <c r="D1" s="20" t="s">
        <v>40</v>
      </c>
      <c r="E1" s="20" t="s">
        <v>41</v>
      </c>
      <c r="F1" s="20" t="s">
        <v>42</v>
      </c>
      <c r="G1" s="20" t="s">
        <v>24</v>
      </c>
      <c r="H1" s="20" t="s">
        <v>25</v>
      </c>
      <c r="I1" s="20" t="s">
        <v>26</v>
      </c>
      <c r="J1" s="20" t="s">
        <v>27</v>
      </c>
      <c r="K1" s="20" t="s">
        <v>67</v>
      </c>
      <c r="O1" s="11" t="s">
        <v>30</v>
      </c>
    </row>
    <row r="2" spans="1:23" ht="15.75" x14ac:dyDescent="0.25">
      <c r="A2" s="18">
        <v>1</v>
      </c>
      <c r="B2" s="17">
        <v>84</v>
      </c>
      <c r="C2" s="17">
        <v>138</v>
      </c>
      <c r="D2" s="17">
        <f>B2*C2</f>
        <v>11592</v>
      </c>
      <c r="E2" s="17">
        <f>B2^2</f>
        <v>7056</v>
      </c>
      <c r="F2" s="17">
        <f>C2^2</f>
        <v>19044</v>
      </c>
      <c r="G2" s="17">
        <f>$B$23+$B$22*B2</f>
        <v>150.83311622011757</v>
      </c>
      <c r="H2" s="17">
        <f>(C2-$B$17)^2</f>
        <v>345.34027777777811</v>
      </c>
      <c r="I2" s="17">
        <f>(G2-$B$17)^2</f>
        <v>33.064996849119488</v>
      </c>
      <c r="J2" s="17">
        <f>(C2-G2)^2</f>
        <v>164.68887191904477</v>
      </c>
      <c r="K2" s="17">
        <f>(B2-$B$16)^2</f>
        <v>41.173611111111171</v>
      </c>
      <c r="M2" s="22" t="s">
        <v>29</v>
      </c>
      <c r="N2" s="9">
        <f>I14/H14</f>
        <v>0.6584127728778526</v>
      </c>
      <c r="O2">
        <f>RSQ(C2:C13,B2:B13)</f>
        <v>0.65841277287784883</v>
      </c>
    </row>
    <row r="3" spans="1:23" ht="15.75" x14ac:dyDescent="0.25">
      <c r="A3" s="18">
        <v>2</v>
      </c>
      <c r="B3" s="17">
        <v>85</v>
      </c>
      <c r="C3" s="17">
        <v>148</v>
      </c>
      <c r="D3" s="17">
        <f>B3*C3</f>
        <v>12580</v>
      </c>
      <c r="E3" s="17">
        <f>B3^2</f>
        <v>7225</v>
      </c>
      <c r="F3" s="17">
        <f t="shared" ref="F3:F13" si="0">C3^2</f>
        <v>21904</v>
      </c>
      <c r="G3" s="17">
        <f>$B$23+$B$22*B3</f>
        <v>151.72925395204732</v>
      </c>
      <c r="H3" s="17">
        <f>(C3-$B$17)^2</f>
        <v>73.673611111111271</v>
      </c>
      <c r="I3" s="17">
        <f>(G3-$B$17)^2</f>
        <v>23.562086639826141</v>
      </c>
      <c r="J3" s="17">
        <f>(C3-G3)^2</f>
        <v>13.907335038860522</v>
      </c>
      <c r="K3" s="17">
        <f>(B3-$B$16)^2</f>
        <v>29.340277777777828</v>
      </c>
      <c r="M3" s="22" t="s">
        <v>39</v>
      </c>
      <c r="N3" s="21">
        <f>(SQRT(J14/A13))/B17</f>
        <v>5.7893762910560947E-2</v>
      </c>
    </row>
    <row r="4" spans="1:23" ht="15.75" x14ac:dyDescent="0.25">
      <c r="A4" s="18">
        <v>3</v>
      </c>
      <c r="B4" s="17">
        <v>87</v>
      </c>
      <c r="C4" s="17">
        <v>141</v>
      </c>
      <c r="D4" s="17">
        <f>B4*C4</f>
        <v>12267</v>
      </c>
      <c r="E4" s="17">
        <f>B4^2</f>
        <v>7569</v>
      </c>
      <c r="F4" s="17">
        <f t="shared" si="0"/>
        <v>19881</v>
      </c>
      <c r="G4" s="17">
        <f>$B$23+$B$22*B4</f>
        <v>153.52152941590677</v>
      </c>
      <c r="H4" s="17">
        <f>(C4-$B$17)^2</f>
        <v>242.84027777777808</v>
      </c>
      <c r="I4" s="17">
        <f>(G4-$B$17)^2</f>
        <v>9.3746432287687096</v>
      </c>
      <c r="J4" s="17">
        <f>(C4-G4)^2</f>
        <v>156.78869891341853</v>
      </c>
      <c r="K4" s="17">
        <f>(B4-$B$16)^2</f>
        <v>11.673611111111143</v>
      </c>
    </row>
    <row r="5" spans="1:23" ht="15.75" x14ac:dyDescent="0.25">
      <c r="A5" s="18">
        <v>4</v>
      </c>
      <c r="B5" s="17">
        <v>79</v>
      </c>
      <c r="C5" s="17">
        <v>154</v>
      </c>
      <c r="D5" s="17">
        <f>B5*C5</f>
        <v>12166</v>
      </c>
      <c r="E5" s="17">
        <f>B5^2</f>
        <v>6241</v>
      </c>
      <c r="F5" s="17">
        <f t="shared" si="0"/>
        <v>23716</v>
      </c>
      <c r="G5" s="17">
        <f>$B$23+$B$22*B5</f>
        <v>146.35242756046893</v>
      </c>
      <c r="H5" s="17">
        <f>(C5-$B$17)^2</f>
        <v>6.6736111111111605</v>
      </c>
      <c r="I5" s="17">
        <f>(G5-$B$17)^2</f>
        <v>104.67143293323046</v>
      </c>
      <c r="J5" s="17">
        <f>(C5-G5)^2</f>
        <v>58.485364217875279</v>
      </c>
      <c r="K5" s="17">
        <f>(B5-$B$16)^2</f>
        <v>130.34027777777789</v>
      </c>
      <c r="M5" s="22" t="s">
        <v>34</v>
      </c>
      <c r="N5" s="9">
        <v>1</v>
      </c>
    </row>
    <row r="6" spans="1:23" ht="15.75" x14ac:dyDescent="0.25">
      <c r="A6" s="18">
        <v>5</v>
      </c>
      <c r="B6" s="17">
        <v>106</v>
      </c>
      <c r="C6" s="17">
        <v>163</v>
      </c>
      <c r="D6" s="17">
        <f>B6*C6</f>
        <v>17278</v>
      </c>
      <c r="E6" s="17">
        <f>B6^2</f>
        <v>11236</v>
      </c>
      <c r="F6" s="17">
        <f t="shared" si="0"/>
        <v>26569</v>
      </c>
      <c r="G6" s="17">
        <f>$B$23+$B$22*B6</f>
        <v>170.5481463225716</v>
      </c>
      <c r="H6" s="17">
        <f>(C6-$B$17)^2</f>
        <v>41.173611111110986</v>
      </c>
      <c r="I6" s="17">
        <f>(G6-$B$17)^2</f>
        <v>195.01600182439748</v>
      </c>
      <c r="J6" s="17">
        <f>(C6-G6)^2</f>
        <v>56.974512906951126</v>
      </c>
      <c r="K6" s="17">
        <f>(B6-$B$16)^2</f>
        <v>242.84027777777763</v>
      </c>
      <c r="M6" s="22" t="s">
        <v>35</v>
      </c>
      <c r="N6" s="9">
        <f>A13-N5-1</f>
        <v>10</v>
      </c>
    </row>
    <row r="7" spans="1:23" ht="15.75" x14ac:dyDescent="0.25">
      <c r="A7" s="18">
        <v>6</v>
      </c>
      <c r="B7" s="17">
        <v>112</v>
      </c>
      <c r="C7" s="17">
        <v>195</v>
      </c>
      <c r="D7" s="17">
        <f>B7*C7</f>
        <v>21840</v>
      </c>
      <c r="E7" s="17">
        <f>B7^2</f>
        <v>12544</v>
      </c>
      <c r="F7" s="17">
        <f t="shared" si="0"/>
        <v>38025</v>
      </c>
      <c r="G7" s="17">
        <f>$B$23+$B$22*B7</f>
        <v>175.92497271414999</v>
      </c>
      <c r="H7" s="17">
        <f>(C7-$B$17)^2</f>
        <v>1475.8402777777771</v>
      </c>
      <c r="I7" s="17">
        <f>(G7-$B$17)^2</f>
        <v>374.09901393755729</v>
      </c>
      <c r="J7" s="17">
        <f>(C7-G7)^2</f>
        <v>363.85666595592249</v>
      </c>
      <c r="K7" s="17">
        <f>(B7-$B$16)^2</f>
        <v>465.8402777777776</v>
      </c>
      <c r="M7" s="22" t="s">
        <v>36</v>
      </c>
      <c r="N7" s="9">
        <f>1-0.95</f>
        <v>5.0000000000000044E-2</v>
      </c>
    </row>
    <row r="8" spans="1:23" ht="15.75" x14ac:dyDescent="0.25">
      <c r="A8" s="18">
        <v>7</v>
      </c>
      <c r="B8" s="17">
        <v>67</v>
      </c>
      <c r="C8" s="17">
        <v>139</v>
      </c>
      <c r="D8" s="17">
        <f>B8*C8</f>
        <v>9313</v>
      </c>
      <c r="E8" s="17">
        <f>B8^2</f>
        <v>4489</v>
      </c>
      <c r="F8" s="17">
        <f t="shared" si="0"/>
        <v>19321</v>
      </c>
      <c r="G8" s="17">
        <f>$B$23+$B$22*B8</f>
        <v>135.5987747773122</v>
      </c>
      <c r="H8" s="17">
        <f>(C8-$B$17)^2</f>
        <v>309.17361111111143</v>
      </c>
      <c r="I8" s="17">
        <f>(G8-$B$17)^2</f>
        <v>440.35169779108008</v>
      </c>
      <c r="J8" s="17">
        <f>(C8-G8)^2</f>
        <v>11.568333015447669</v>
      </c>
      <c r="K8" s="17">
        <f>(B8-$B$16)^2</f>
        <v>548.34027777777806</v>
      </c>
      <c r="M8" s="7"/>
    </row>
    <row r="9" spans="1:23" ht="15.75" x14ac:dyDescent="0.25">
      <c r="A9" s="18">
        <v>8</v>
      </c>
      <c r="B9" s="17">
        <v>98</v>
      </c>
      <c r="C9" s="17">
        <v>163</v>
      </c>
      <c r="D9" s="17">
        <f>B9*C9</f>
        <v>15974</v>
      </c>
      <c r="E9" s="17">
        <f>B9^2</f>
        <v>9604</v>
      </c>
      <c r="F9" s="17">
        <f t="shared" si="0"/>
        <v>26569</v>
      </c>
      <c r="G9" s="17">
        <f>$B$23+$B$22*B9</f>
        <v>163.37904446713378</v>
      </c>
      <c r="H9" s="17">
        <f>(C9-$B$17)^2</f>
        <v>41.173611111110986</v>
      </c>
      <c r="I9" s="17">
        <f>(G9-$B$17)^2</f>
        <v>46.181689814059233</v>
      </c>
      <c r="J9" s="17">
        <f>(C9-G9)^2</f>
        <v>0.14367470806473193</v>
      </c>
      <c r="K9" s="17">
        <f>(B9-$B$16)^2</f>
        <v>57.506944444444372</v>
      </c>
      <c r="M9" s="22" t="s">
        <v>37</v>
      </c>
      <c r="N9" s="9">
        <f>_xlfn.F.INV.RT(N7,N5,N6)</f>
        <v>4.9646027437307128</v>
      </c>
    </row>
    <row r="10" spans="1:23" ht="15.75" x14ac:dyDescent="0.25">
      <c r="A10" s="18">
        <v>9</v>
      </c>
      <c r="B10" s="17">
        <v>78</v>
      </c>
      <c r="C10" s="17">
        <v>152</v>
      </c>
      <c r="D10" s="17">
        <f>B10*C10</f>
        <v>11856</v>
      </c>
      <c r="E10" s="17">
        <f>B10^2</f>
        <v>6084</v>
      </c>
      <c r="F10" s="17">
        <f t="shared" si="0"/>
        <v>23104</v>
      </c>
      <c r="G10" s="17">
        <f>$B$23+$B$22*B10</f>
        <v>145.45628982853921</v>
      </c>
      <c r="H10" s="17">
        <f>(C10-$B$17)^2</f>
        <v>21.006944444444532</v>
      </c>
      <c r="I10" s="17">
        <f>(G10-$B$17)^2</f>
        <v>123.81109715758124</v>
      </c>
      <c r="J10" s="17">
        <f>(C10-G10)^2</f>
        <v>42.820142808079375</v>
      </c>
      <c r="K10" s="17">
        <f>(B10-$B$16)^2</f>
        <v>154.17361111111123</v>
      </c>
      <c r="M10" s="22" t="s">
        <v>33</v>
      </c>
      <c r="N10" s="9">
        <f>N2/((1-N2)/(A13-2))</f>
        <v>19.275099318699414</v>
      </c>
      <c r="P10" s="27" t="s">
        <v>38</v>
      </c>
      <c r="Q10" s="27"/>
      <c r="R10" s="27"/>
      <c r="S10" s="27"/>
      <c r="T10" s="27"/>
      <c r="U10" s="27"/>
      <c r="V10" s="27"/>
      <c r="W10" s="27"/>
    </row>
    <row r="11" spans="1:23" ht="15.75" x14ac:dyDescent="0.25">
      <c r="A11" s="18">
        <v>10</v>
      </c>
      <c r="B11" s="17">
        <v>87</v>
      </c>
      <c r="C11" s="17">
        <v>162</v>
      </c>
      <c r="D11" s="17">
        <f>B11*C11</f>
        <v>14094</v>
      </c>
      <c r="E11" s="17">
        <f>B11^2</f>
        <v>7569</v>
      </c>
      <c r="F11" s="17">
        <f t="shared" si="0"/>
        <v>26244</v>
      </c>
      <c r="G11" s="17">
        <f>$B$23+$B$22*B11</f>
        <v>153.52152941590677</v>
      </c>
      <c r="H11" s="17">
        <f>(C11-$B$17)^2</f>
        <v>29.340277777777676</v>
      </c>
      <c r="I11" s="17">
        <f>(G11-$B$17)^2</f>
        <v>9.3746432287687096</v>
      </c>
      <c r="J11" s="17">
        <f>(C11-G11)^2</f>
        <v>71.884463445334205</v>
      </c>
      <c r="K11" s="17">
        <f>(B11-$B$16)^2</f>
        <v>11.673611111111143</v>
      </c>
      <c r="M11" s="7"/>
      <c r="P11" s="27"/>
      <c r="Q11" s="27"/>
      <c r="R11" s="27"/>
      <c r="S11" s="27"/>
      <c r="T11" s="27"/>
      <c r="U11" s="27"/>
      <c r="V11" s="27"/>
      <c r="W11" s="27"/>
    </row>
    <row r="12" spans="1:23" ht="15.75" x14ac:dyDescent="0.25">
      <c r="A12" s="18">
        <v>11</v>
      </c>
      <c r="B12" s="17">
        <v>86</v>
      </c>
      <c r="C12" s="17">
        <v>151</v>
      </c>
      <c r="D12" s="17">
        <f>B12*C12</f>
        <v>12986</v>
      </c>
      <c r="E12" s="17">
        <f>B12^2</f>
        <v>7396</v>
      </c>
      <c r="F12" s="17">
        <f t="shared" si="0"/>
        <v>22801</v>
      </c>
      <c r="G12" s="17">
        <f>$B$23+$B$22*B12</f>
        <v>152.62539168397706</v>
      </c>
      <c r="H12" s="17">
        <f>(C12-$B$17)^2</f>
        <v>31.173611111111217</v>
      </c>
      <c r="I12" s="17">
        <f>(G12-$B$17)^2</f>
        <v>15.665302099709157</v>
      </c>
      <c r="J12" s="17">
        <f>(C12-G12)^2</f>
        <v>2.6418981263417725</v>
      </c>
      <c r="K12" s="17">
        <f>(B12-$B$16)^2</f>
        <v>19.506944444444485</v>
      </c>
      <c r="M12" s="30" t="s">
        <v>66</v>
      </c>
      <c r="N12" s="30">
        <f>TINV(0.05,10)</f>
        <v>2.2281388519862744</v>
      </c>
      <c r="P12" s="27"/>
      <c r="Q12" s="27"/>
      <c r="R12" s="27"/>
      <c r="S12" s="27"/>
      <c r="T12" s="29" t="s">
        <v>83</v>
      </c>
      <c r="U12" s="27"/>
      <c r="V12" s="27"/>
      <c r="W12" s="27"/>
    </row>
    <row r="13" spans="1:23" ht="15.75" x14ac:dyDescent="0.25">
      <c r="A13" s="18">
        <v>12</v>
      </c>
      <c r="B13" s="17">
        <v>116</v>
      </c>
      <c r="C13" s="17">
        <v>173</v>
      </c>
      <c r="D13" s="17">
        <f>B13*C13</f>
        <v>20068</v>
      </c>
      <c r="E13" s="17">
        <f>B13^2</f>
        <v>13456</v>
      </c>
      <c r="F13" s="17">
        <f t="shared" si="0"/>
        <v>29929</v>
      </c>
      <c r="G13" s="17">
        <f>$B$23+$B$22*B13</f>
        <v>179.5095236418689</v>
      </c>
      <c r="H13" s="17">
        <f>(C13-$B$17)^2</f>
        <v>269.50694444444412</v>
      </c>
      <c r="I13" s="17">
        <f>(G13-$B$17)^2</f>
        <v>525.61020206318949</v>
      </c>
      <c r="J13" s="17">
        <f>(C13-G13)^2</f>
        <v>42.373898044050087</v>
      </c>
      <c r="K13" s="17">
        <f>(B13-$B$16)^2</f>
        <v>654.50694444444423</v>
      </c>
      <c r="M13" s="22" t="s">
        <v>68</v>
      </c>
      <c r="N13" s="9">
        <f>SQRT((J14/10)/K14)</f>
        <v>0.20411571915015528</v>
      </c>
      <c r="P13" s="27"/>
      <c r="Q13" s="27"/>
      <c r="R13" s="27"/>
      <c r="S13" s="27"/>
      <c r="T13" s="27" t="s">
        <v>86</v>
      </c>
      <c r="U13" s="27"/>
      <c r="V13" s="27" t="s">
        <v>84</v>
      </c>
      <c r="W13" s="27"/>
    </row>
    <row r="14" spans="1:23" x14ac:dyDescent="0.25">
      <c r="A14" s="20" t="s">
        <v>22</v>
      </c>
      <c r="B14" s="23">
        <f>SUM(B2:B13)</f>
        <v>1085</v>
      </c>
      <c r="C14" s="23">
        <f>SUM(C2:C13)</f>
        <v>1879</v>
      </c>
      <c r="D14" s="23">
        <f>SUM(D2:D13)</f>
        <v>172014</v>
      </c>
      <c r="E14" s="23">
        <f>SUM(E2:E13)</f>
        <v>100469</v>
      </c>
      <c r="F14" s="23">
        <f>SUM(F2:F13)</f>
        <v>297107</v>
      </c>
      <c r="G14" s="23"/>
      <c r="H14" s="23">
        <f>SUM(H2:H13)</f>
        <v>2886.916666666667</v>
      </c>
      <c r="I14" s="23">
        <f>SUM(I2:I13)</f>
        <v>1900.7828075672876</v>
      </c>
      <c r="J14" s="23">
        <f>SUM(J2:J13)</f>
        <v>986.13385909939052</v>
      </c>
      <c r="K14" s="23">
        <f>SUM(K2:K13)</f>
        <v>2366.916666666667</v>
      </c>
      <c r="M14" s="22" t="s">
        <v>70</v>
      </c>
      <c r="N14" s="9">
        <f>B22/N13</f>
        <v>4.3903415947622122</v>
      </c>
      <c r="P14" s="28" t="s">
        <v>72</v>
      </c>
      <c r="Q14" s="27"/>
      <c r="R14" s="27"/>
      <c r="S14" s="27"/>
      <c r="T14" s="29">
        <f>B22-$N$12*$N$13</f>
        <v>0.44133956779014866</v>
      </c>
      <c r="U14" s="27"/>
      <c r="V14" s="29">
        <f>B22+$N$12*$N$13</f>
        <v>1.3509358960693083</v>
      </c>
      <c r="W14" s="27"/>
    </row>
    <row r="15" spans="1:23" x14ac:dyDescent="0.25">
      <c r="H15" s="12" t="s">
        <v>32</v>
      </c>
      <c r="J15" s="12" t="s">
        <v>31</v>
      </c>
      <c r="M15" s="22" t="s">
        <v>73</v>
      </c>
      <c r="N15" s="9">
        <f>SQRT((J14/10)*(E14/(12*K14)))</f>
        <v>18.676774199054623</v>
      </c>
      <c r="P15" s="27"/>
      <c r="Q15" s="27"/>
      <c r="R15" s="27"/>
      <c r="S15" s="27"/>
      <c r="T15" s="27" t="s">
        <v>87</v>
      </c>
      <c r="U15" s="27"/>
      <c r="V15" s="27" t="s">
        <v>85</v>
      </c>
      <c r="W15" s="27"/>
    </row>
    <row r="16" spans="1:23" x14ac:dyDescent="0.25">
      <c r="A16" s="22" t="s">
        <v>10</v>
      </c>
      <c r="B16" s="9">
        <f>B14/A13</f>
        <v>90.416666666666671</v>
      </c>
      <c r="H16" s="10">
        <f>DEVSQ(C2:C13)</f>
        <v>2886.916666666667</v>
      </c>
      <c r="I16" s="10">
        <f>DEVSQ(G2:G13)</f>
        <v>1900.7828075672876</v>
      </c>
      <c r="J16" s="10">
        <f>SUMXMY2(G2:G13,C2:C13)</f>
        <v>986.13385909939052</v>
      </c>
      <c r="M16" s="26" t="s">
        <v>71</v>
      </c>
      <c r="N16" s="9">
        <f>B23/N15</f>
        <v>4.0455351621611912</v>
      </c>
      <c r="P16" s="28" t="s">
        <v>74</v>
      </c>
      <c r="Q16" s="27"/>
      <c r="R16" s="27"/>
      <c r="S16" s="27"/>
      <c r="T16" s="29">
        <f>B23-$N$12*N15</f>
        <v>33.943100515331956</v>
      </c>
      <c r="U16" s="27"/>
      <c r="V16" s="29">
        <f>B23+$N$12*N15</f>
        <v>117.17199296070882</v>
      </c>
      <c r="W16" s="27"/>
    </row>
    <row r="17" spans="1:20" x14ac:dyDescent="0.25">
      <c r="A17" s="22" t="s">
        <v>11</v>
      </c>
      <c r="B17" s="9">
        <f>C14/A13</f>
        <v>156.58333333333334</v>
      </c>
    </row>
    <row r="18" spans="1:20" x14ac:dyDescent="0.25">
      <c r="A18" s="22" t="s">
        <v>18</v>
      </c>
      <c r="B18" s="9">
        <f>D14/A13</f>
        <v>14334.5</v>
      </c>
      <c r="M18" s="22" t="s">
        <v>75</v>
      </c>
      <c r="N18" s="9">
        <f>SQRT((1-B29)/10)</f>
        <v>0.18482078539010469</v>
      </c>
    </row>
    <row r="19" spans="1:20" x14ac:dyDescent="0.25">
      <c r="A19" s="22" t="s">
        <v>19</v>
      </c>
      <c r="B19" s="9">
        <f>E14/A13</f>
        <v>8372.4166666666661</v>
      </c>
      <c r="M19" s="26" t="s">
        <v>76</v>
      </c>
      <c r="N19" s="9">
        <f>B28/N18</f>
        <v>4.390341594762198</v>
      </c>
      <c r="P19" s="28" t="s">
        <v>77</v>
      </c>
    </row>
    <row r="20" spans="1:20" x14ac:dyDescent="0.25">
      <c r="A20" s="22" t="s">
        <v>13</v>
      </c>
      <c r="B20" s="9">
        <f>B16^2</f>
        <v>8175.1736111111122</v>
      </c>
    </row>
    <row r="22" spans="1:20" x14ac:dyDescent="0.25">
      <c r="A22" s="24" t="s">
        <v>20</v>
      </c>
      <c r="B22" s="25">
        <f>(B18-B16*B17)/(B19-B20)</f>
        <v>0.89613773192972845</v>
      </c>
      <c r="R22" s="7" t="s">
        <v>80</v>
      </c>
    </row>
    <row r="23" spans="1:20" x14ac:dyDescent="0.25">
      <c r="A23" s="24" t="s">
        <v>21</v>
      </c>
      <c r="B23" s="25">
        <f>B17-B22*B16</f>
        <v>75.557546738020392</v>
      </c>
      <c r="D23">
        <f>120*B22+B23</f>
        <v>183.0940745695878</v>
      </c>
      <c r="R23" s="22" t="s">
        <v>78</v>
      </c>
      <c r="S23" s="9">
        <f>B16*1.07</f>
        <v>96.745833333333337</v>
      </c>
    </row>
    <row r="24" spans="1:20" x14ac:dyDescent="0.25">
      <c r="R24" s="22" t="s">
        <v>79</v>
      </c>
      <c r="S24" s="9">
        <f>B23+S23*B22</f>
        <v>162.25513839500525</v>
      </c>
    </row>
    <row r="26" spans="1:20" ht="15.75" thickBot="1" x14ac:dyDescent="0.3">
      <c r="A26" s="7" t="s">
        <v>69</v>
      </c>
      <c r="R26" t="s">
        <v>81</v>
      </c>
    </row>
    <row r="27" spans="1:20" x14ac:dyDescent="0.25">
      <c r="A27" s="16" t="s">
        <v>43</v>
      </c>
      <c r="B27" s="16"/>
      <c r="R27" s="7">
        <f>SQRT((J14/10)*(1+(1/12)+((S23-B16)^2)/K14))</f>
        <v>10.416339482730239</v>
      </c>
    </row>
    <row r="28" spans="1:20" x14ac:dyDescent="0.25">
      <c r="A28" s="13" t="s">
        <v>44</v>
      </c>
      <c r="B28" s="13">
        <v>0.81142638167479408</v>
      </c>
      <c r="R28" t="s">
        <v>82</v>
      </c>
    </row>
    <row r="29" spans="1:20" x14ac:dyDescent="0.25">
      <c r="A29" s="13" t="s">
        <v>45</v>
      </c>
      <c r="B29" s="13">
        <v>0.65841277287784861</v>
      </c>
      <c r="R29" s="7">
        <f>N12*R27</f>
        <v>23.209050696949856</v>
      </c>
    </row>
    <row r="30" spans="1:20" x14ac:dyDescent="0.25">
      <c r="A30" s="13" t="s">
        <v>46</v>
      </c>
      <c r="B30" s="13">
        <v>0.6242540501656334</v>
      </c>
    </row>
    <row r="31" spans="1:20" x14ac:dyDescent="0.25">
      <c r="A31" s="13" t="s">
        <v>47</v>
      </c>
      <c r="B31" s="13">
        <v>9.9304272773098283</v>
      </c>
      <c r="R31" s="29" t="s">
        <v>83</v>
      </c>
      <c r="S31" s="27"/>
      <c r="T31" s="27"/>
    </row>
    <row r="32" spans="1:20" ht="15.75" thickBot="1" x14ac:dyDescent="0.3">
      <c r="A32" s="14" t="s">
        <v>48</v>
      </c>
      <c r="B32" s="14">
        <v>12</v>
      </c>
      <c r="R32" s="27" t="s">
        <v>86</v>
      </c>
      <c r="S32" s="27"/>
      <c r="T32" s="27" t="s">
        <v>84</v>
      </c>
    </row>
    <row r="33" spans="1:20" x14ac:dyDescent="0.25">
      <c r="R33" s="7">
        <f>S24-R29</f>
        <v>139.0460876980554</v>
      </c>
      <c r="T33" s="7">
        <f>S24+R29</f>
        <v>185.46418909195509</v>
      </c>
    </row>
    <row r="34" spans="1:20" ht="15.75" thickBot="1" x14ac:dyDescent="0.3">
      <c r="A34" t="s">
        <v>49</v>
      </c>
    </row>
    <row r="35" spans="1:20" x14ac:dyDescent="0.25">
      <c r="A35" s="15"/>
      <c r="B35" s="15" t="s">
        <v>54</v>
      </c>
      <c r="C35" s="15" t="s">
        <v>55</v>
      </c>
      <c r="D35" s="15" t="s">
        <v>56</v>
      </c>
      <c r="E35" s="15" t="s">
        <v>57</v>
      </c>
      <c r="F35" s="15" t="s">
        <v>58</v>
      </c>
    </row>
    <row r="36" spans="1:20" x14ac:dyDescent="0.25">
      <c r="A36" s="13" t="s">
        <v>50</v>
      </c>
      <c r="B36" s="13">
        <v>1</v>
      </c>
      <c r="C36" s="13">
        <v>1900.782807567276</v>
      </c>
      <c r="D36" s="13">
        <v>1900.782807567276</v>
      </c>
      <c r="E36" s="13">
        <v>19.275099318699077</v>
      </c>
      <c r="F36" s="13">
        <v>1.3553375137445463E-3</v>
      </c>
    </row>
    <row r="37" spans="1:20" x14ac:dyDescent="0.25">
      <c r="A37" s="13" t="s">
        <v>51</v>
      </c>
      <c r="B37" s="13">
        <v>10</v>
      </c>
      <c r="C37" s="13">
        <v>986.13385909939086</v>
      </c>
      <c r="D37" s="13">
        <v>98.613385909939083</v>
      </c>
      <c r="E37" s="13"/>
      <c r="F37" s="13"/>
    </row>
    <row r="38" spans="1:20" ht="15.75" thickBot="1" x14ac:dyDescent="0.3">
      <c r="A38" s="14" t="s">
        <v>52</v>
      </c>
      <c r="B38" s="14">
        <v>11</v>
      </c>
      <c r="C38" s="14">
        <v>2886.916666666667</v>
      </c>
      <c r="D38" s="14"/>
      <c r="E38" s="14"/>
      <c r="F38" s="14"/>
    </row>
    <row r="39" spans="1:20" ht="15.75" thickBot="1" x14ac:dyDescent="0.3"/>
    <row r="40" spans="1:20" x14ac:dyDescent="0.25">
      <c r="A40" s="15"/>
      <c r="B40" s="31" t="s">
        <v>59</v>
      </c>
      <c r="C40" s="31" t="s">
        <v>47</v>
      </c>
      <c r="D40" s="31" t="s">
        <v>60</v>
      </c>
      <c r="E40" s="31" t="s">
        <v>61</v>
      </c>
      <c r="F40" s="31" t="s">
        <v>62</v>
      </c>
      <c r="G40" s="31" t="s">
        <v>63</v>
      </c>
      <c r="H40" s="31"/>
      <c r="I40" s="31" t="s">
        <v>64</v>
      </c>
      <c r="J40" s="31" t="s">
        <v>65</v>
      </c>
    </row>
    <row r="41" spans="1:20" x14ac:dyDescent="0.25">
      <c r="A41" s="13" t="s">
        <v>53</v>
      </c>
      <c r="B41" s="13">
        <v>75.557546738020633</v>
      </c>
      <c r="C41" s="13">
        <v>18.676774199054627</v>
      </c>
      <c r="D41" s="13">
        <v>4.0455351621612028</v>
      </c>
      <c r="E41" s="13">
        <v>2.3403069110153503E-3</v>
      </c>
      <c r="F41" s="13">
        <v>33.943100515332191</v>
      </c>
      <c r="G41" s="13">
        <v>117.17199296070908</v>
      </c>
      <c r="H41" s="13"/>
      <c r="I41" s="13">
        <v>33.943100515332191</v>
      </c>
      <c r="J41" s="13">
        <v>117.17199296070908</v>
      </c>
    </row>
    <row r="42" spans="1:20" ht="15.75" thickBot="1" x14ac:dyDescent="0.3">
      <c r="A42" s="14" t="s">
        <v>1</v>
      </c>
      <c r="B42" s="14">
        <v>0.89613773192972579</v>
      </c>
      <c r="C42" s="14">
        <v>0.20411571915015533</v>
      </c>
      <c r="D42" s="14">
        <v>4.3903415947621971</v>
      </c>
      <c r="E42" s="14">
        <v>1.3553375137445463E-3</v>
      </c>
      <c r="F42" s="14">
        <v>0.44133956779014588</v>
      </c>
      <c r="G42" s="14">
        <v>1.3509358960693056</v>
      </c>
      <c r="H42" s="14"/>
      <c r="I42" s="14">
        <v>0.44133956779014588</v>
      </c>
      <c r="J42" s="14">
        <v>1.3509358960693056</v>
      </c>
    </row>
    <row r="45" spans="1:20" x14ac:dyDescent="0.25">
      <c r="A45" s="7" t="s">
        <v>23</v>
      </c>
    </row>
    <row r="46" spans="1:20" x14ac:dyDescent="0.25">
      <c r="A46" s="9">
        <f t="array" ref="A46:B50">LINEST(C2:C13,B2:B13,1,1)</f>
        <v>0.89613773192972579</v>
      </c>
      <c r="B46" s="9">
        <v>75.557546738020633</v>
      </c>
    </row>
    <row r="47" spans="1:20" x14ac:dyDescent="0.25">
      <c r="A47" s="9">
        <v>0.20411571915015533</v>
      </c>
      <c r="B47" s="9">
        <v>18.676774199054627</v>
      </c>
    </row>
    <row r="48" spans="1:20" x14ac:dyDescent="0.25">
      <c r="A48" s="9">
        <v>0.65841277287784861</v>
      </c>
      <c r="B48" s="9">
        <v>9.9304272773098283</v>
      </c>
    </row>
    <row r="49" spans="1:2" x14ac:dyDescent="0.25">
      <c r="A49" s="9">
        <v>19.275099318699077</v>
      </c>
      <c r="B49" s="9">
        <v>10</v>
      </c>
    </row>
    <row r="50" spans="1:2" x14ac:dyDescent="0.25">
      <c r="A50" s="9">
        <v>1900.782807567276</v>
      </c>
      <c r="B50" s="9">
        <v>986.13385909939086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f>14334.5 - 90.4167*156.5833</f>
        <v>176.75473888999841</v>
      </c>
      <c r="B1">
        <f>A1/B3</f>
        <v>0.89615378517236521</v>
      </c>
    </row>
    <row r="3" spans="1:2" x14ac:dyDescent="0.25">
      <c r="A3">
        <v>8372.4166999999998</v>
      </c>
      <c r="B3">
        <f>A3-B4</f>
        <v>197.23706110999865</v>
      </c>
    </row>
    <row r="4" spans="1:2" x14ac:dyDescent="0.25">
      <c r="A4">
        <v>90.416700000000006</v>
      </c>
      <c r="B4">
        <f>A4^2</f>
        <v>8175.1796388900011</v>
      </c>
    </row>
    <row r="10" spans="1:2" x14ac:dyDescent="0.25">
      <c r="B10">
        <f>156.5833 - 0.8961*90.4167</f>
        <v>75.560895130000006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Правильное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</cp:lastModifiedBy>
  <dcterms:created xsi:type="dcterms:W3CDTF">2015-06-05T18:17:20Z</dcterms:created>
  <dcterms:modified xsi:type="dcterms:W3CDTF">2020-12-19T19:14:47Z</dcterms:modified>
</cp:coreProperties>
</file>