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Becca/Desktop/Financial Man &amp; Bud/Cascadia Project (3)/"/>
    </mc:Choice>
  </mc:AlternateContent>
  <xr:revisionPtr revIDLastSave="0" documentId="13_ncr:1_{95719A4A-18FB-2448-A159-345C23E8AD46}" xr6:coauthVersionLast="45" xr6:coauthVersionMax="45" xr10:uidLastSave="{00000000-0000-0000-0000-000000000000}"/>
  <bookViews>
    <workbookView xWindow="120" yWindow="480" windowWidth="22940" windowHeight="16740" activeTab="2" xr2:uid="{00000000-000D-0000-FFFF-FFFF00000000}"/>
  </bookViews>
  <sheets>
    <sheet name="Baseline Program Budget" sheetId="8" r:id="rId1"/>
    <sheet name="Parameters" sheetId="9" r:id="rId2"/>
    <sheet name="Budget_AllStrat" sheetId="20" r:id="rId3"/>
    <sheet name="Budget_AllStrat_fee_notuit" sheetId="21" r:id="rId4"/>
    <sheet name="Budget_tuition_allben" sheetId="18" r:id="rId5"/>
    <sheet name="Budget_NoOut_Aud_EI" sheetId="16" r:id="rId6"/>
    <sheet name="Program Budget_exp EI" sheetId="14" r:id="rId7"/>
    <sheet name="Program Budget_No Outreach+Aud" sheetId="13" r:id="rId8"/>
    <sheet name="Program Budget_No Outreach" sheetId="11" r:id="rId9"/>
    <sheet name="BaselineMonthly Cash Flow Sheet" sheetId="7" r:id="rId10"/>
    <sheet name="Operating Budget  " sheetId="5" r:id="rId11"/>
    <sheet name="Staff" sheetId="6" r:id="rId12"/>
    <sheet name="Assumptions and Parameters" sheetId="2" r:id="rId13"/>
  </sheets>
  <definedNames>
    <definedName name="solver_eng" localSheetId="10" hidden="1">1</definedName>
    <definedName name="solver_lin" localSheetId="10" hidden="1">2</definedName>
    <definedName name="solver_neg" localSheetId="10" hidden="1">1</definedName>
    <definedName name="solver_num" localSheetId="10" hidden="1">0</definedName>
    <definedName name="solver_opt" localSheetId="10" hidden="1">'Operating Budget  '!$N$40</definedName>
    <definedName name="solver_typ" localSheetId="10" hidden="1">1</definedName>
    <definedName name="solver_val" localSheetId="10" hidden="1">0</definedName>
    <definedName name="solver_ver" localSheetId="10" hidden="1">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9" i="20" l="1"/>
  <c r="G39" i="20"/>
  <c r="E39" i="21"/>
  <c r="G39" i="21"/>
  <c r="E45" i="21"/>
  <c r="D44" i="21"/>
  <c r="B59" i="21"/>
  <c r="E54" i="21"/>
  <c r="D54" i="21"/>
  <c r="C54" i="21"/>
  <c r="F51" i="21"/>
  <c r="F47" i="21"/>
  <c r="H44" i="21"/>
  <c r="H43" i="21"/>
  <c r="D43" i="21"/>
  <c r="D47" i="21" s="1"/>
  <c r="C42" i="21"/>
  <c r="H42" i="21" s="1"/>
  <c r="H41" i="21"/>
  <c r="C41" i="21"/>
  <c r="G40" i="21"/>
  <c r="G47" i="21" s="1"/>
  <c r="H39" i="21"/>
  <c r="K23" i="21"/>
  <c r="J23" i="21"/>
  <c r="H23" i="21"/>
  <c r="G23" i="21"/>
  <c r="G22" i="21"/>
  <c r="F22" i="21"/>
  <c r="E22" i="21"/>
  <c r="D22" i="21"/>
  <c r="H22" i="21" s="1"/>
  <c r="C22" i="21"/>
  <c r="G21" i="21"/>
  <c r="F21" i="21"/>
  <c r="E21" i="21"/>
  <c r="D21" i="21"/>
  <c r="H21" i="21" s="1"/>
  <c r="E18" i="21"/>
  <c r="D18" i="21"/>
  <c r="C18" i="21"/>
  <c r="H18" i="21" s="1"/>
  <c r="M17" i="21"/>
  <c r="G17" i="21"/>
  <c r="D17" i="21"/>
  <c r="C17" i="21"/>
  <c r="G15" i="21"/>
  <c r="D15" i="21"/>
  <c r="G13" i="21"/>
  <c r="D13" i="21"/>
  <c r="G12" i="21"/>
  <c r="F12" i="21"/>
  <c r="E12" i="21"/>
  <c r="E16" i="21" s="1"/>
  <c r="D12" i="21"/>
  <c r="H8" i="21"/>
  <c r="D8" i="21"/>
  <c r="G7" i="21"/>
  <c r="F7" i="21"/>
  <c r="F17" i="21" s="1"/>
  <c r="E7" i="21"/>
  <c r="D7" i="21"/>
  <c r="C7" i="21"/>
  <c r="H6" i="21"/>
  <c r="E6" i="21"/>
  <c r="G5" i="21"/>
  <c r="F5" i="21"/>
  <c r="E5" i="21"/>
  <c r="D5" i="21"/>
  <c r="C5" i="21"/>
  <c r="E4" i="21"/>
  <c r="D4" i="21"/>
  <c r="C4" i="21"/>
  <c r="H4" i="21" s="1"/>
  <c r="G47" i="20"/>
  <c r="D44" i="20"/>
  <c r="H44" i="20" s="1"/>
  <c r="D43" i="18"/>
  <c r="I43" i="18" s="1"/>
  <c r="D16" i="20"/>
  <c r="D15" i="18"/>
  <c r="B59" i="20"/>
  <c r="E54" i="20"/>
  <c r="D54" i="20"/>
  <c r="C54" i="20"/>
  <c r="F47" i="20"/>
  <c r="F49" i="20" s="1"/>
  <c r="F51" i="20" s="1"/>
  <c r="H43" i="20"/>
  <c r="D43" i="20"/>
  <c r="C41" i="20"/>
  <c r="H41" i="20" s="1"/>
  <c r="G40" i="20"/>
  <c r="H40" i="20" s="1"/>
  <c r="G23" i="20"/>
  <c r="H23" i="20" s="1"/>
  <c r="G22" i="20"/>
  <c r="F22" i="20"/>
  <c r="E22" i="20"/>
  <c r="D22" i="20"/>
  <c r="C22" i="20"/>
  <c r="H22" i="20" s="1"/>
  <c r="G21" i="20"/>
  <c r="F21" i="20"/>
  <c r="E21" i="20"/>
  <c r="D21" i="20"/>
  <c r="H21" i="20" s="1"/>
  <c r="E18" i="20"/>
  <c r="D18" i="20"/>
  <c r="C18" i="20"/>
  <c r="H18" i="20" s="1"/>
  <c r="G12" i="20"/>
  <c r="G13" i="20" s="1"/>
  <c r="F12" i="20"/>
  <c r="E12" i="20"/>
  <c r="E14" i="20" s="1"/>
  <c r="D12" i="20"/>
  <c r="D15" i="20" s="1"/>
  <c r="D8" i="20"/>
  <c r="H8" i="20" s="1"/>
  <c r="G7" i="20"/>
  <c r="G17" i="20" s="1"/>
  <c r="F7" i="20"/>
  <c r="E7" i="20"/>
  <c r="D7" i="20"/>
  <c r="D17" i="20" s="1"/>
  <c r="C7" i="20"/>
  <c r="E6" i="20"/>
  <c r="E45" i="20" s="1"/>
  <c r="H45" i="20" s="1"/>
  <c r="G5" i="20"/>
  <c r="F5" i="20"/>
  <c r="E5" i="20"/>
  <c r="D5" i="20"/>
  <c r="C5" i="20"/>
  <c r="C17" i="20" s="1"/>
  <c r="D4" i="20"/>
  <c r="E4" i="20" s="1"/>
  <c r="C4" i="20"/>
  <c r="C42" i="20" s="1"/>
  <c r="H42" i="20" s="1"/>
  <c r="C12" i="16"/>
  <c r="C11" i="14"/>
  <c r="E6" i="16"/>
  <c r="H6" i="16" s="1"/>
  <c r="E7" i="16"/>
  <c r="E12" i="16"/>
  <c r="E39" i="16"/>
  <c r="D16" i="18"/>
  <c r="B59" i="18"/>
  <c r="F54" i="18"/>
  <c r="E54" i="18"/>
  <c r="D54" i="18"/>
  <c r="C54" i="18"/>
  <c r="G47" i="18"/>
  <c r="F47" i="18"/>
  <c r="I45" i="18"/>
  <c r="E44" i="18"/>
  <c r="E47" i="18" s="1"/>
  <c r="D42" i="18"/>
  <c r="I42" i="18" s="1"/>
  <c r="I41" i="18"/>
  <c r="C41" i="18"/>
  <c r="C40" i="18"/>
  <c r="I40" i="18" s="1"/>
  <c r="H39" i="18"/>
  <c r="I39" i="18" s="1"/>
  <c r="H38" i="18"/>
  <c r="H22" i="18"/>
  <c r="I22" i="18" s="1"/>
  <c r="H21" i="18"/>
  <c r="G21" i="18"/>
  <c r="F21" i="18"/>
  <c r="E21" i="18"/>
  <c r="D21" i="18"/>
  <c r="C21" i="18"/>
  <c r="H20" i="18"/>
  <c r="G20" i="18"/>
  <c r="F20" i="18"/>
  <c r="D20" i="18"/>
  <c r="F17" i="18"/>
  <c r="E17" i="18"/>
  <c r="D17" i="18"/>
  <c r="C17" i="18"/>
  <c r="H11" i="18"/>
  <c r="H12" i="18" s="1"/>
  <c r="G11" i="18"/>
  <c r="G14" i="18" s="1"/>
  <c r="F11" i="18"/>
  <c r="F14" i="18" s="1"/>
  <c r="E11" i="18"/>
  <c r="E12" i="18" s="1"/>
  <c r="D11" i="18"/>
  <c r="D12" i="18" s="1"/>
  <c r="C11" i="18"/>
  <c r="C13" i="18" s="1"/>
  <c r="D7" i="18"/>
  <c r="I7" i="18" s="1"/>
  <c r="H6" i="18"/>
  <c r="G6" i="18"/>
  <c r="F6" i="18"/>
  <c r="E6" i="18"/>
  <c r="D6" i="18"/>
  <c r="C6" i="18"/>
  <c r="H5" i="18"/>
  <c r="G5" i="18"/>
  <c r="F5" i="18"/>
  <c r="E5" i="18"/>
  <c r="E16" i="18" s="1"/>
  <c r="D5" i="18"/>
  <c r="C5" i="18"/>
  <c r="D4" i="18"/>
  <c r="C4" i="18"/>
  <c r="D43" i="16"/>
  <c r="D44" i="16"/>
  <c r="H44" i="16" s="1"/>
  <c r="D43" i="8"/>
  <c r="I43" i="8" s="1"/>
  <c r="D22" i="16"/>
  <c r="E22" i="16"/>
  <c r="F22" i="16"/>
  <c r="G22" i="16"/>
  <c r="C22" i="16"/>
  <c r="G39" i="16"/>
  <c r="C7" i="16"/>
  <c r="C41" i="16"/>
  <c r="C13" i="14"/>
  <c r="C4" i="16"/>
  <c r="C42" i="16" s="1"/>
  <c r="B59" i="16"/>
  <c r="E54" i="16"/>
  <c r="D54" i="16"/>
  <c r="C54" i="16"/>
  <c r="F47" i="16"/>
  <c r="G40" i="16"/>
  <c r="H40" i="16" s="1"/>
  <c r="J23" i="16"/>
  <c r="K23" i="16" s="1"/>
  <c r="G23" i="16"/>
  <c r="H23" i="16" s="1"/>
  <c r="G21" i="16"/>
  <c r="F21" i="16"/>
  <c r="E21" i="16"/>
  <c r="D21" i="16"/>
  <c r="E18" i="16"/>
  <c r="D18" i="16"/>
  <c r="C18" i="16"/>
  <c r="M17" i="16"/>
  <c r="G12" i="16"/>
  <c r="G16" i="16" s="1"/>
  <c r="F12" i="16"/>
  <c r="F13" i="16" s="1"/>
  <c r="E15" i="16"/>
  <c r="D12" i="16"/>
  <c r="H8" i="16"/>
  <c r="D8" i="16"/>
  <c r="G7" i="16"/>
  <c r="F7" i="16"/>
  <c r="D7" i="16"/>
  <c r="E45" i="16"/>
  <c r="H45" i="16" s="1"/>
  <c r="G5" i="16"/>
  <c r="F5" i="16"/>
  <c r="E5" i="16"/>
  <c r="D5" i="16"/>
  <c r="C5" i="16"/>
  <c r="D4" i="16"/>
  <c r="J48" i="14"/>
  <c r="C17" i="14"/>
  <c r="C6" i="14"/>
  <c r="C4" i="14"/>
  <c r="C40" i="14" s="1"/>
  <c r="I40" i="14" s="1"/>
  <c r="B59" i="14"/>
  <c r="F54" i="14"/>
  <c r="E54" i="14"/>
  <c r="D54" i="14"/>
  <c r="C54" i="14"/>
  <c r="G47" i="14"/>
  <c r="F47" i="14"/>
  <c r="I45" i="14"/>
  <c r="E44" i="14"/>
  <c r="E47" i="14" s="1"/>
  <c r="D43" i="14"/>
  <c r="I43" i="14" s="1"/>
  <c r="D42" i="14"/>
  <c r="I42" i="14" s="1"/>
  <c r="H39" i="14"/>
  <c r="I39" i="14" s="1"/>
  <c r="H38" i="14"/>
  <c r="I38" i="14" s="1"/>
  <c r="H22" i="14"/>
  <c r="I22" i="14" s="1"/>
  <c r="H21" i="14"/>
  <c r="G21" i="14"/>
  <c r="F21" i="14"/>
  <c r="E21" i="14"/>
  <c r="D21" i="14"/>
  <c r="C21" i="14"/>
  <c r="H20" i="14"/>
  <c r="G20" i="14"/>
  <c r="F20" i="14"/>
  <c r="D20" i="14"/>
  <c r="F17" i="14"/>
  <c r="E17" i="14"/>
  <c r="D17" i="14"/>
  <c r="H11" i="14"/>
  <c r="H12" i="14" s="1"/>
  <c r="G11" i="14"/>
  <c r="G13" i="14" s="1"/>
  <c r="F11" i="14"/>
  <c r="F14" i="14" s="1"/>
  <c r="E11" i="14"/>
  <c r="E12" i="14" s="1"/>
  <c r="D11" i="14"/>
  <c r="D12" i="14" s="1"/>
  <c r="D7" i="14"/>
  <c r="I7" i="14" s="1"/>
  <c r="H6" i="14"/>
  <c r="G6" i="14"/>
  <c r="F6" i="14"/>
  <c r="E6" i="14"/>
  <c r="D6" i="14"/>
  <c r="H5" i="14"/>
  <c r="G5" i="14"/>
  <c r="F5" i="14"/>
  <c r="E5" i="14"/>
  <c r="E16" i="14" s="1"/>
  <c r="D5" i="14"/>
  <c r="C5" i="14"/>
  <c r="D4" i="14"/>
  <c r="C4" i="13"/>
  <c r="E39" i="13"/>
  <c r="C83" i="9"/>
  <c r="C82" i="9"/>
  <c r="G39" i="13"/>
  <c r="E6" i="13"/>
  <c r="E45" i="13" s="1"/>
  <c r="H45" i="13" s="1"/>
  <c r="E12" i="13"/>
  <c r="E13" i="13" s="1"/>
  <c r="E7" i="13"/>
  <c r="B59" i="13"/>
  <c r="E54" i="13"/>
  <c r="D54" i="13"/>
  <c r="C54" i="13"/>
  <c r="F47" i="13"/>
  <c r="H44" i="13"/>
  <c r="D43" i="13"/>
  <c r="D47" i="13" s="1"/>
  <c r="C42" i="13"/>
  <c r="H42" i="13" s="1"/>
  <c r="C41" i="13"/>
  <c r="G40" i="13"/>
  <c r="H40" i="13" s="1"/>
  <c r="J23" i="13"/>
  <c r="K23" i="13" s="1"/>
  <c r="G23" i="13"/>
  <c r="H23" i="13" s="1"/>
  <c r="G22" i="13"/>
  <c r="F22" i="13"/>
  <c r="E22" i="13"/>
  <c r="D22" i="13"/>
  <c r="C22" i="13"/>
  <c r="G21" i="13"/>
  <c r="F21" i="13"/>
  <c r="E21" i="13"/>
  <c r="D21" i="13"/>
  <c r="E18" i="13"/>
  <c r="D18" i="13"/>
  <c r="C18" i="13"/>
  <c r="M17" i="13"/>
  <c r="G12" i="13"/>
  <c r="F12" i="13"/>
  <c r="F16" i="13" s="1"/>
  <c r="D12" i="13"/>
  <c r="D13" i="13" s="1"/>
  <c r="C12" i="13"/>
  <c r="C14" i="13" s="1"/>
  <c r="D8" i="13"/>
  <c r="H8" i="13" s="1"/>
  <c r="G7" i="13"/>
  <c r="F7" i="13"/>
  <c r="D7" i="13"/>
  <c r="C7" i="13"/>
  <c r="G5" i="13"/>
  <c r="F5" i="13"/>
  <c r="E5" i="13"/>
  <c r="D5" i="13"/>
  <c r="C5" i="13"/>
  <c r="D4" i="13"/>
  <c r="C17" i="11"/>
  <c r="D11" i="11"/>
  <c r="C11" i="11"/>
  <c r="C6" i="11"/>
  <c r="D42" i="8"/>
  <c r="D25" i="21" l="1"/>
  <c r="H17" i="21"/>
  <c r="H45" i="21"/>
  <c r="E47" i="21"/>
  <c r="G25" i="21"/>
  <c r="F16" i="21"/>
  <c r="C47" i="21"/>
  <c r="C12" i="21"/>
  <c r="E13" i="21"/>
  <c r="G14" i="21"/>
  <c r="P17" i="21" s="1"/>
  <c r="E15" i="21"/>
  <c r="G16" i="21"/>
  <c r="E17" i="21"/>
  <c r="H40" i="21"/>
  <c r="F14" i="21"/>
  <c r="H7" i="21"/>
  <c r="D55" i="21" s="1"/>
  <c r="F13" i="21"/>
  <c r="F25" i="21" s="1"/>
  <c r="D14" i="21"/>
  <c r="L17" i="21" s="1"/>
  <c r="F15" i="21"/>
  <c r="D16" i="21"/>
  <c r="E14" i="21"/>
  <c r="E25" i="21" s="1"/>
  <c r="D47" i="20"/>
  <c r="G15" i="20"/>
  <c r="H39" i="20"/>
  <c r="H47" i="20" s="1"/>
  <c r="H49" i="20" s="1"/>
  <c r="F17" i="20"/>
  <c r="D13" i="20"/>
  <c r="H7" i="20"/>
  <c r="E55" i="20" s="1"/>
  <c r="E47" i="20"/>
  <c r="C47" i="20"/>
  <c r="F16" i="20"/>
  <c r="C55" i="20"/>
  <c r="E16" i="20"/>
  <c r="F14" i="20"/>
  <c r="H4" i="20"/>
  <c r="C12" i="20"/>
  <c r="E13" i="20"/>
  <c r="G14" i="20"/>
  <c r="E15" i="20"/>
  <c r="G16" i="20"/>
  <c r="E17" i="20"/>
  <c r="H6" i="20"/>
  <c r="F13" i="20"/>
  <c r="D14" i="20"/>
  <c r="F15" i="20"/>
  <c r="H16" i="18"/>
  <c r="G13" i="18"/>
  <c r="I6" i="18"/>
  <c r="D55" i="18" s="1"/>
  <c r="C14" i="18"/>
  <c r="F12" i="18"/>
  <c r="F16" i="18"/>
  <c r="I21" i="18"/>
  <c r="D47" i="16"/>
  <c r="C55" i="18"/>
  <c r="G16" i="18"/>
  <c r="F13" i="18"/>
  <c r="H47" i="18"/>
  <c r="I17" i="18"/>
  <c r="I20" i="18"/>
  <c r="C47" i="18"/>
  <c r="I11" i="18"/>
  <c r="H14" i="18"/>
  <c r="E15" i="18"/>
  <c r="D47" i="18"/>
  <c r="E55" i="18"/>
  <c r="F4" i="18"/>
  <c r="I4" i="18" s="1"/>
  <c r="C12" i="18"/>
  <c r="G12" i="18"/>
  <c r="D13" i="18"/>
  <c r="H13" i="18"/>
  <c r="E14" i="18"/>
  <c r="F15" i="18"/>
  <c r="C16" i="18"/>
  <c r="I16" i="18" s="1"/>
  <c r="I38" i="18"/>
  <c r="I44" i="18"/>
  <c r="F55" i="18"/>
  <c r="H15" i="18"/>
  <c r="Q16" i="18" s="1"/>
  <c r="D14" i="18"/>
  <c r="I14" i="18" s="1"/>
  <c r="E13" i="18"/>
  <c r="N16" i="18" s="1"/>
  <c r="C15" i="18"/>
  <c r="G15" i="18"/>
  <c r="E4" i="16"/>
  <c r="F16" i="14"/>
  <c r="E13" i="16"/>
  <c r="G14" i="14"/>
  <c r="C47" i="13"/>
  <c r="H16" i="14"/>
  <c r="F15" i="16"/>
  <c r="C47" i="16"/>
  <c r="I17" i="14"/>
  <c r="H4" i="16"/>
  <c r="F17" i="16"/>
  <c r="I21" i="14"/>
  <c r="F13" i="14"/>
  <c r="C41" i="14"/>
  <c r="I41" i="14" s="1"/>
  <c r="G17" i="16"/>
  <c r="G17" i="13"/>
  <c r="G16" i="14"/>
  <c r="H21" i="16"/>
  <c r="G47" i="13"/>
  <c r="D16" i="14"/>
  <c r="F12" i="14"/>
  <c r="C14" i="14"/>
  <c r="I20" i="14"/>
  <c r="H18" i="16"/>
  <c r="H22" i="16"/>
  <c r="G47" i="16"/>
  <c r="I6" i="14"/>
  <c r="D55" i="14" s="1"/>
  <c r="E17" i="16"/>
  <c r="H42" i="16"/>
  <c r="E47" i="16"/>
  <c r="H7" i="16"/>
  <c r="E55" i="16" s="1"/>
  <c r="D14" i="16"/>
  <c r="D16" i="16"/>
  <c r="C13" i="16"/>
  <c r="G13" i="16"/>
  <c r="E14" i="16"/>
  <c r="C15" i="16"/>
  <c r="G15" i="16"/>
  <c r="E16" i="16"/>
  <c r="C17" i="16"/>
  <c r="H39" i="16"/>
  <c r="H41" i="16"/>
  <c r="H43" i="16"/>
  <c r="H12" i="16"/>
  <c r="D13" i="16"/>
  <c r="F14" i="16"/>
  <c r="D15" i="16"/>
  <c r="F16" i="16"/>
  <c r="D17" i="16"/>
  <c r="C14" i="16"/>
  <c r="G14" i="16"/>
  <c r="C16" i="16"/>
  <c r="I11" i="14"/>
  <c r="D14" i="14"/>
  <c r="D47" i="14"/>
  <c r="H47" i="14"/>
  <c r="F4" i="14"/>
  <c r="I4" i="14" s="1"/>
  <c r="C12" i="14"/>
  <c r="G12" i="14"/>
  <c r="D13" i="14"/>
  <c r="H13" i="14"/>
  <c r="E14" i="14"/>
  <c r="F15" i="14"/>
  <c r="C16" i="14"/>
  <c r="I44" i="14"/>
  <c r="D15" i="14"/>
  <c r="H15" i="14"/>
  <c r="H14" i="14"/>
  <c r="E15" i="14"/>
  <c r="E13" i="14"/>
  <c r="C15" i="14"/>
  <c r="G15" i="14"/>
  <c r="E47" i="13"/>
  <c r="H4" i="13"/>
  <c r="C17" i="13"/>
  <c r="H21" i="13"/>
  <c r="H22" i="13"/>
  <c r="E17" i="13"/>
  <c r="D15" i="13"/>
  <c r="D17" i="13"/>
  <c r="H18" i="13"/>
  <c r="F17" i="13"/>
  <c r="E15" i="13"/>
  <c r="G16" i="13"/>
  <c r="E4" i="13"/>
  <c r="H7" i="13"/>
  <c r="E55" i="13" s="1"/>
  <c r="H12" i="13"/>
  <c r="F13" i="13"/>
  <c r="D14" i="13"/>
  <c r="F15" i="13"/>
  <c r="D16" i="13"/>
  <c r="H39" i="13"/>
  <c r="H41" i="13"/>
  <c r="H43" i="13"/>
  <c r="G14" i="13"/>
  <c r="C16" i="13"/>
  <c r="C13" i="13"/>
  <c r="G13" i="13"/>
  <c r="E14" i="13"/>
  <c r="C15" i="13"/>
  <c r="G15" i="13"/>
  <c r="E16" i="13"/>
  <c r="F14" i="13"/>
  <c r="E124" i="9"/>
  <c r="D6" i="7"/>
  <c r="B24" i="7"/>
  <c r="F20" i="7"/>
  <c r="G20" i="7"/>
  <c r="J20" i="7"/>
  <c r="G6" i="7"/>
  <c r="M6" i="7"/>
  <c r="L6" i="7"/>
  <c r="K6" i="7"/>
  <c r="F6" i="7"/>
  <c r="H6" i="7"/>
  <c r="I6" i="7"/>
  <c r="J6" i="7"/>
  <c r="E6" i="7"/>
  <c r="C6" i="7"/>
  <c r="B6" i="7"/>
  <c r="B59" i="11"/>
  <c r="E54" i="11"/>
  <c r="D54" i="11"/>
  <c r="C54" i="11"/>
  <c r="F47" i="11"/>
  <c r="E47" i="11"/>
  <c r="H45" i="11"/>
  <c r="H43" i="11"/>
  <c r="D42" i="11"/>
  <c r="H42" i="11" s="1"/>
  <c r="C41" i="11"/>
  <c r="H41" i="11" s="1"/>
  <c r="C40" i="11"/>
  <c r="G39" i="11"/>
  <c r="H39" i="11" s="1"/>
  <c r="G38" i="11"/>
  <c r="H38" i="11" s="1"/>
  <c r="J22" i="11"/>
  <c r="K22" i="11" s="1"/>
  <c r="G22" i="11"/>
  <c r="H22" i="11" s="1"/>
  <c r="G21" i="11"/>
  <c r="F21" i="11"/>
  <c r="E21" i="11"/>
  <c r="D21" i="11"/>
  <c r="C21" i="11"/>
  <c r="G20" i="11"/>
  <c r="F20" i="11"/>
  <c r="E20" i="11"/>
  <c r="D20" i="11"/>
  <c r="E17" i="11"/>
  <c r="D17" i="11"/>
  <c r="G11" i="11"/>
  <c r="G15" i="11" s="1"/>
  <c r="F11" i="11"/>
  <c r="F13" i="11" s="1"/>
  <c r="E11" i="11"/>
  <c r="E12" i="11" s="1"/>
  <c r="D14" i="11"/>
  <c r="C13" i="11"/>
  <c r="D7" i="11"/>
  <c r="H7" i="11" s="1"/>
  <c r="G6" i="11"/>
  <c r="F6" i="11"/>
  <c r="E6" i="11"/>
  <c r="D6" i="11"/>
  <c r="G5" i="11"/>
  <c r="F5" i="11"/>
  <c r="E5" i="11"/>
  <c r="D5" i="11"/>
  <c r="C5" i="11"/>
  <c r="C16" i="11" s="1"/>
  <c r="D4" i="11"/>
  <c r="C4" i="11"/>
  <c r="C54" i="8"/>
  <c r="D54" i="8"/>
  <c r="E54" i="8"/>
  <c r="F54" i="8"/>
  <c r="D6" i="8"/>
  <c r="D11" i="8"/>
  <c r="E17" i="8"/>
  <c r="D17" i="8"/>
  <c r="C17" i="8"/>
  <c r="E6" i="8"/>
  <c r="D21" i="8"/>
  <c r="E21" i="8"/>
  <c r="F21" i="8"/>
  <c r="G21" i="8"/>
  <c r="H21" i="8"/>
  <c r="C21" i="8"/>
  <c r="G20" i="8"/>
  <c r="E11" i="8"/>
  <c r="E12" i="8" s="1"/>
  <c r="C11" i="8"/>
  <c r="C12" i="8" s="1"/>
  <c r="C41" i="8"/>
  <c r="B59" i="8"/>
  <c r="G11" i="8"/>
  <c r="G14" i="8" s="1"/>
  <c r="H47" i="21" l="1"/>
  <c r="E26" i="21"/>
  <c r="F29" i="21"/>
  <c r="F32" i="21" s="1"/>
  <c r="F26" i="21"/>
  <c r="E29" i="21"/>
  <c r="D29" i="21"/>
  <c r="D26" i="21"/>
  <c r="O17" i="21"/>
  <c r="E55" i="21"/>
  <c r="N17" i="21"/>
  <c r="C55" i="21"/>
  <c r="C29" i="21" s="1"/>
  <c r="G30" i="21"/>
  <c r="G32" i="21" s="1"/>
  <c r="G26" i="21"/>
  <c r="C15" i="21"/>
  <c r="H15" i="21" s="1"/>
  <c r="C13" i="21"/>
  <c r="H13" i="21" s="1"/>
  <c r="H12" i="21"/>
  <c r="C16" i="21"/>
  <c r="H16" i="21" s="1"/>
  <c r="C14" i="21"/>
  <c r="H14" i="21" s="1"/>
  <c r="I52" i="20"/>
  <c r="F25" i="20"/>
  <c r="F29" i="20" s="1"/>
  <c r="F32" i="20" s="1"/>
  <c r="D55" i="20"/>
  <c r="D25" i="20"/>
  <c r="G25" i="20"/>
  <c r="G30" i="20" s="1"/>
  <c r="G32" i="20" s="1"/>
  <c r="H17" i="20"/>
  <c r="D26" i="20"/>
  <c r="G26" i="20"/>
  <c r="D29" i="20"/>
  <c r="F26" i="20"/>
  <c r="C29" i="20"/>
  <c r="H12" i="20"/>
  <c r="C15" i="20"/>
  <c r="H15" i="20" s="1"/>
  <c r="C13" i="20"/>
  <c r="H13" i="20" s="1"/>
  <c r="C16" i="20"/>
  <c r="H16" i="20" s="1"/>
  <c r="C14" i="20"/>
  <c r="H14" i="20" s="1"/>
  <c r="E25" i="20"/>
  <c r="G24" i="18"/>
  <c r="G28" i="18" s="1"/>
  <c r="G31" i="18" s="1"/>
  <c r="O16" i="18"/>
  <c r="H24" i="18"/>
  <c r="I13" i="18"/>
  <c r="F24" i="18"/>
  <c r="F25" i="18" s="1"/>
  <c r="E24" i="18"/>
  <c r="E25" i="18" s="1"/>
  <c r="E28" i="18"/>
  <c r="D28" i="18"/>
  <c r="G25" i="18"/>
  <c r="C28" i="18"/>
  <c r="F28" i="18"/>
  <c r="H29" i="18"/>
  <c r="H31" i="18" s="1"/>
  <c r="H25" i="18"/>
  <c r="I15" i="18"/>
  <c r="I47" i="18"/>
  <c r="L16" i="18"/>
  <c r="I12" i="18"/>
  <c r="D24" i="18"/>
  <c r="M16" i="18"/>
  <c r="P16" i="18"/>
  <c r="C24" i="18"/>
  <c r="I16" i="14"/>
  <c r="C47" i="14"/>
  <c r="O16" i="14"/>
  <c r="N17" i="16"/>
  <c r="H17" i="11"/>
  <c r="N16" i="14"/>
  <c r="Q16" i="14"/>
  <c r="I14" i="14"/>
  <c r="C25" i="13"/>
  <c r="C26" i="13" s="1"/>
  <c r="D25" i="13"/>
  <c r="D26" i="13" s="1"/>
  <c r="I47" i="14"/>
  <c r="H14" i="16"/>
  <c r="F25" i="16"/>
  <c r="E29" i="16" s="1"/>
  <c r="D16" i="11"/>
  <c r="F55" i="14"/>
  <c r="F24" i="14"/>
  <c r="F25" i="14" s="1"/>
  <c r="C55" i="14"/>
  <c r="D25" i="16"/>
  <c r="D26" i="16" s="1"/>
  <c r="H15" i="16"/>
  <c r="L17" i="16"/>
  <c r="E4" i="11"/>
  <c r="H4" i="11"/>
  <c r="G24" i="14"/>
  <c r="D28" i="14" s="1"/>
  <c r="H24" i="14"/>
  <c r="H25" i="14" s="1"/>
  <c r="E25" i="16"/>
  <c r="E26" i="16" s="1"/>
  <c r="I13" i="14"/>
  <c r="C47" i="11"/>
  <c r="D24" i="14"/>
  <c r="D25" i="14" s="1"/>
  <c r="E55" i="14"/>
  <c r="D55" i="16"/>
  <c r="H17" i="16"/>
  <c r="O17" i="16"/>
  <c r="C25" i="16"/>
  <c r="H16" i="16"/>
  <c r="H47" i="16"/>
  <c r="P17" i="16"/>
  <c r="C55" i="16"/>
  <c r="G25" i="16"/>
  <c r="H13" i="16"/>
  <c r="K17" i="16"/>
  <c r="G28" i="14"/>
  <c r="G31" i="14" s="1"/>
  <c r="L16" i="14"/>
  <c r="I12" i="14"/>
  <c r="M16" i="14"/>
  <c r="E24" i="14"/>
  <c r="I15" i="14"/>
  <c r="C24" i="14"/>
  <c r="P16" i="14"/>
  <c r="H17" i="13"/>
  <c r="H47" i="13"/>
  <c r="F25" i="13"/>
  <c r="F26" i="13" s="1"/>
  <c r="L17" i="13"/>
  <c r="N17" i="13"/>
  <c r="P17" i="13"/>
  <c r="D55" i="13"/>
  <c r="D29" i="13" s="1"/>
  <c r="C55" i="13"/>
  <c r="H16" i="13"/>
  <c r="O17" i="13"/>
  <c r="H14" i="13"/>
  <c r="E25" i="13"/>
  <c r="H13" i="13"/>
  <c r="G25" i="13"/>
  <c r="H15" i="13"/>
  <c r="K17" i="13"/>
  <c r="F16" i="11"/>
  <c r="G16" i="11"/>
  <c r="G14" i="11"/>
  <c r="E16" i="11"/>
  <c r="D15" i="11"/>
  <c r="H20" i="11"/>
  <c r="H21" i="11"/>
  <c r="N6" i="7"/>
  <c r="C12" i="11"/>
  <c r="F12" i="11"/>
  <c r="D13" i="11"/>
  <c r="G13" i="11"/>
  <c r="E15" i="11"/>
  <c r="D47" i="11"/>
  <c r="G47" i="11"/>
  <c r="H11" i="11"/>
  <c r="D12" i="11"/>
  <c r="G12" i="11"/>
  <c r="E14" i="11"/>
  <c r="C15" i="11"/>
  <c r="F15" i="11"/>
  <c r="H44" i="11"/>
  <c r="H6" i="11"/>
  <c r="D55" i="11" s="1"/>
  <c r="E13" i="11"/>
  <c r="C14" i="11"/>
  <c r="F14" i="11"/>
  <c r="H40" i="11"/>
  <c r="H47" i="11" s="1"/>
  <c r="I21" i="8"/>
  <c r="G12" i="8"/>
  <c r="G13" i="8"/>
  <c r="E13" i="8"/>
  <c r="E14" i="8"/>
  <c r="C14" i="8"/>
  <c r="C13" i="8"/>
  <c r="G15" i="8"/>
  <c r="F5" i="8"/>
  <c r="H29" i="21" l="1"/>
  <c r="K17" i="21"/>
  <c r="Q17" i="21" s="1"/>
  <c r="C25" i="21"/>
  <c r="H25" i="21"/>
  <c r="H26" i="21" s="1"/>
  <c r="G33" i="21"/>
  <c r="G35" i="21"/>
  <c r="F33" i="21"/>
  <c r="F35" i="21"/>
  <c r="F36" i="21" s="1"/>
  <c r="E29" i="20"/>
  <c r="C25" i="20"/>
  <c r="F33" i="20"/>
  <c r="F35" i="20"/>
  <c r="G35" i="20"/>
  <c r="G33" i="20"/>
  <c r="E56" i="20"/>
  <c r="E30" i="20" s="1"/>
  <c r="E32" i="20" s="1"/>
  <c r="E26" i="20"/>
  <c r="H25" i="20"/>
  <c r="H26" i="20" s="1"/>
  <c r="H29" i="20"/>
  <c r="F29" i="16"/>
  <c r="F32" i="16" s="1"/>
  <c r="F56" i="18"/>
  <c r="F29" i="18" s="1"/>
  <c r="F31" i="18" s="1"/>
  <c r="I24" i="18"/>
  <c r="I25" i="18" s="1"/>
  <c r="C29" i="16"/>
  <c r="F26" i="16"/>
  <c r="G25" i="14"/>
  <c r="D25" i="18"/>
  <c r="D56" i="18"/>
  <c r="D29" i="18" s="1"/>
  <c r="D31" i="18" s="1"/>
  <c r="G34" i="18"/>
  <c r="G32" i="18"/>
  <c r="H32" i="18"/>
  <c r="H34" i="18"/>
  <c r="I28" i="18"/>
  <c r="C56" i="18"/>
  <c r="C29" i="18" s="1"/>
  <c r="C31" i="18" s="1"/>
  <c r="C25" i="18"/>
  <c r="R16" i="18"/>
  <c r="E56" i="18"/>
  <c r="E29" i="18" s="1"/>
  <c r="E31" i="18" s="1"/>
  <c r="H29" i="14"/>
  <c r="H31" i="14" s="1"/>
  <c r="H34" i="14" s="1"/>
  <c r="Q17" i="16"/>
  <c r="D29" i="16"/>
  <c r="F28" i="14"/>
  <c r="H16" i="11"/>
  <c r="E28" i="14"/>
  <c r="C28" i="14"/>
  <c r="C56" i="13"/>
  <c r="C30" i="13" s="1"/>
  <c r="Q17" i="13"/>
  <c r="E29" i="13"/>
  <c r="F29" i="13"/>
  <c r="F32" i="13" s="1"/>
  <c r="F35" i="13" s="1"/>
  <c r="C29" i="13"/>
  <c r="E56" i="16"/>
  <c r="E30" i="16" s="1"/>
  <c r="E32" i="16" s="1"/>
  <c r="H25" i="16"/>
  <c r="H26" i="16" s="1"/>
  <c r="D56" i="16"/>
  <c r="D30" i="16" s="1"/>
  <c r="D32" i="16" s="1"/>
  <c r="G26" i="16"/>
  <c r="G30" i="16"/>
  <c r="G32" i="16" s="1"/>
  <c r="C26" i="16"/>
  <c r="C56" i="16"/>
  <c r="C30" i="16" s="1"/>
  <c r="F35" i="16"/>
  <c r="F33" i="16"/>
  <c r="I24" i="14"/>
  <c r="I25" i="14" s="1"/>
  <c r="C56" i="14"/>
  <c r="C29" i="14" s="1"/>
  <c r="C25" i="14"/>
  <c r="F56" i="14"/>
  <c r="F29" i="14" s="1"/>
  <c r="F31" i="14" s="1"/>
  <c r="R16" i="14"/>
  <c r="G34" i="14"/>
  <c r="G32" i="14"/>
  <c r="E56" i="14"/>
  <c r="E29" i="14" s="1"/>
  <c r="E25" i="14"/>
  <c r="D56" i="14"/>
  <c r="D29" i="14" s="1"/>
  <c r="D31" i="14" s="1"/>
  <c r="H25" i="13"/>
  <c r="H26" i="13" s="1"/>
  <c r="E56" i="13"/>
  <c r="E30" i="13" s="1"/>
  <c r="E26" i="13"/>
  <c r="G30" i="13"/>
  <c r="G32" i="13" s="1"/>
  <c r="G26" i="13"/>
  <c r="D56" i="13"/>
  <c r="D30" i="13" s="1"/>
  <c r="D32" i="13" s="1"/>
  <c r="L16" i="11"/>
  <c r="E24" i="11"/>
  <c r="E25" i="11" s="1"/>
  <c r="C55" i="11"/>
  <c r="N16" i="11"/>
  <c r="D24" i="11"/>
  <c r="D25" i="11" s="1"/>
  <c r="H13" i="11"/>
  <c r="O16" i="11"/>
  <c r="G24" i="11"/>
  <c r="G29" i="11" s="1"/>
  <c r="G31" i="11" s="1"/>
  <c r="M16" i="11"/>
  <c r="E55" i="11"/>
  <c r="H14" i="11"/>
  <c r="H15" i="11"/>
  <c r="F24" i="11"/>
  <c r="P16" i="11"/>
  <c r="K16" i="11"/>
  <c r="H12" i="11"/>
  <c r="C24" i="11"/>
  <c r="G47" i="8"/>
  <c r="F47" i="8"/>
  <c r="H39" i="8"/>
  <c r="I39" i="8" s="1"/>
  <c r="H38" i="8"/>
  <c r="I45" i="8"/>
  <c r="E44" i="8"/>
  <c r="D47" i="8"/>
  <c r="I41" i="8"/>
  <c r="C40" i="8"/>
  <c r="I40" i="8" s="1"/>
  <c r="C56" i="21" l="1"/>
  <c r="C30" i="21" s="1"/>
  <c r="C26" i="21"/>
  <c r="E56" i="21"/>
  <c r="E30" i="21" s="1"/>
  <c r="E32" i="21" s="1"/>
  <c r="D56" i="21"/>
  <c r="D30" i="21" s="1"/>
  <c r="D32" i="21" s="1"/>
  <c r="G36" i="21"/>
  <c r="G49" i="21"/>
  <c r="E33" i="20"/>
  <c r="E35" i="20"/>
  <c r="G36" i="20"/>
  <c r="G49" i="20"/>
  <c r="F36" i="20"/>
  <c r="C26" i="20"/>
  <c r="C56" i="20"/>
  <c r="C30" i="20" s="1"/>
  <c r="D56" i="20"/>
  <c r="D30" i="20" s="1"/>
  <c r="D32" i="20" s="1"/>
  <c r="H29" i="16"/>
  <c r="H32" i="14"/>
  <c r="D32" i="18"/>
  <c r="D34" i="18"/>
  <c r="H35" i="18"/>
  <c r="H49" i="18"/>
  <c r="H51" i="18" s="1"/>
  <c r="G51" i="18"/>
  <c r="G35" i="18"/>
  <c r="C34" i="18"/>
  <c r="C32" i="18"/>
  <c r="E32" i="18"/>
  <c r="E34" i="18"/>
  <c r="I29" i="18"/>
  <c r="I31" i="18" s="1"/>
  <c r="F32" i="18"/>
  <c r="F34" i="18"/>
  <c r="C31" i="14"/>
  <c r="C34" i="14" s="1"/>
  <c r="I28" i="14"/>
  <c r="E32" i="13"/>
  <c r="E35" i="13" s="1"/>
  <c r="H29" i="13"/>
  <c r="E31" i="14"/>
  <c r="E32" i="14" s="1"/>
  <c r="F33" i="13"/>
  <c r="D33" i="16"/>
  <c r="D35" i="16"/>
  <c r="H30" i="16"/>
  <c r="H32" i="16" s="1"/>
  <c r="C32" i="16"/>
  <c r="F51" i="16"/>
  <c r="F36" i="16"/>
  <c r="E33" i="16"/>
  <c r="E35" i="16"/>
  <c r="G35" i="16"/>
  <c r="G33" i="16"/>
  <c r="E34" i="14"/>
  <c r="D32" i="14"/>
  <c r="D34" i="14"/>
  <c r="F32" i="14"/>
  <c r="F34" i="14"/>
  <c r="G35" i="14"/>
  <c r="G51" i="14"/>
  <c r="H35" i="14"/>
  <c r="H49" i="14"/>
  <c r="H51" i="14" s="1"/>
  <c r="I29" i="14"/>
  <c r="I31" i="14" s="1"/>
  <c r="E33" i="13"/>
  <c r="D33" i="13"/>
  <c r="D35" i="13"/>
  <c r="G33" i="13"/>
  <c r="G35" i="13"/>
  <c r="H30" i="13"/>
  <c r="H32" i="13" s="1"/>
  <c r="C32" i="13"/>
  <c r="F51" i="13"/>
  <c r="F36" i="13"/>
  <c r="H24" i="11"/>
  <c r="H25" i="11" s="1"/>
  <c r="G25" i="11"/>
  <c r="E47" i="8"/>
  <c r="C14" i="7"/>
  <c r="B14" i="7"/>
  <c r="D14" i="7"/>
  <c r="I14" i="7"/>
  <c r="I20" i="7" s="1"/>
  <c r="I38" i="8"/>
  <c r="K13" i="7"/>
  <c r="K20" i="7" s="1"/>
  <c r="H13" i="7"/>
  <c r="H20" i="7" s="1"/>
  <c r="E13" i="7"/>
  <c r="E20" i="7" s="1"/>
  <c r="B13" i="7"/>
  <c r="G32" i="11"/>
  <c r="G34" i="11"/>
  <c r="Q16" i="11"/>
  <c r="D28" i="11"/>
  <c r="F25" i="11"/>
  <c r="F28" i="11"/>
  <c r="F31" i="11" s="1"/>
  <c r="C28" i="11"/>
  <c r="E28" i="11"/>
  <c r="C56" i="11"/>
  <c r="C29" i="11" s="1"/>
  <c r="C25" i="11"/>
  <c r="D56" i="11"/>
  <c r="D29" i="11" s="1"/>
  <c r="E56" i="11"/>
  <c r="E29" i="11" s="1"/>
  <c r="C15" i="8"/>
  <c r="H47" i="8"/>
  <c r="I44" i="8"/>
  <c r="I42" i="8"/>
  <c r="C47" i="8"/>
  <c r="H30" i="21" l="1"/>
  <c r="H32" i="21" s="1"/>
  <c r="C32" i="21"/>
  <c r="D35" i="21"/>
  <c r="D33" i="21"/>
  <c r="E35" i="21"/>
  <c r="E33" i="21"/>
  <c r="D35" i="20"/>
  <c r="D33" i="20"/>
  <c r="E36" i="20"/>
  <c r="E49" i="20"/>
  <c r="H30" i="20"/>
  <c r="H32" i="20" s="1"/>
  <c r="C32" i="20"/>
  <c r="C32" i="14"/>
  <c r="I34" i="18"/>
  <c r="I32" i="18"/>
  <c r="C35" i="18"/>
  <c r="C49" i="18"/>
  <c r="E35" i="18"/>
  <c r="E49" i="18"/>
  <c r="E51" i="18" s="1"/>
  <c r="F35" i="18"/>
  <c r="F49" i="18"/>
  <c r="D35" i="18"/>
  <c r="D49" i="18"/>
  <c r="D51" i="18" s="1"/>
  <c r="E36" i="16"/>
  <c r="E49" i="16"/>
  <c r="C35" i="16"/>
  <c r="C33" i="16"/>
  <c r="H33" i="16"/>
  <c r="H35" i="16"/>
  <c r="G36" i="16"/>
  <c r="G49" i="16"/>
  <c r="G51" i="16" s="1"/>
  <c r="D36" i="16"/>
  <c r="D49" i="16"/>
  <c r="D51" i="16" s="1"/>
  <c r="I32" i="14"/>
  <c r="I34" i="14"/>
  <c r="E35" i="14"/>
  <c r="E49" i="14"/>
  <c r="E51" i="14" s="1"/>
  <c r="D35" i="14"/>
  <c r="D49" i="14"/>
  <c r="D51" i="14" s="1"/>
  <c r="C35" i="14"/>
  <c r="C49" i="14"/>
  <c r="F35" i="14"/>
  <c r="F49" i="14"/>
  <c r="C33" i="13"/>
  <c r="C35" i="13"/>
  <c r="D36" i="13"/>
  <c r="D49" i="13"/>
  <c r="D51" i="13" s="1"/>
  <c r="G36" i="13"/>
  <c r="G49" i="13"/>
  <c r="G51" i="13" s="1"/>
  <c r="H33" i="13"/>
  <c r="H35" i="13"/>
  <c r="E36" i="13"/>
  <c r="E49" i="13"/>
  <c r="N14" i="7"/>
  <c r="B20" i="7"/>
  <c r="N13" i="7"/>
  <c r="L20" i="7"/>
  <c r="C20" i="7"/>
  <c r="M20" i="7"/>
  <c r="D20" i="7"/>
  <c r="H28" i="11"/>
  <c r="C31" i="11"/>
  <c r="F34" i="11"/>
  <c r="F32" i="11"/>
  <c r="H29" i="11"/>
  <c r="G35" i="11"/>
  <c r="G49" i="11"/>
  <c r="G51" i="11" s="1"/>
  <c r="E31" i="11"/>
  <c r="D31" i="11"/>
  <c r="I47" i="8"/>
  <c r="E36" i="21" l="1"/>
  <c r="E49" i="21"/>
  <c r="D36" i="21"/>
  <c r="D49" i="21"/>
  <c r="C33" i="21"/>
  <c r="C35" i="21"/>
  <c r="H35" i="21"/>
  <c r="H33" i="21"/>
  <c r="E51" i="20"/>
  <c r="E50" i="20"/>
  <c r="C35" i="20"/>
  <c r="C33" i="20"/>
  <c r="H35" i="20"/>
  <c r="H33" i="20"/>
  <c r="D36" i="20"/>
  <c r="D49" i="20"/>
  <c r="F51" i="18"/>
  <c r="F50" i="18"/>
  <c r="C50" i="18"/>
  <c r="C51" i="18"/>
  <c r="I35" i="18"/>
  <c r="I49" i="18"/>
  <c r="C36" i="16"/>
  <c r="C49" i="16"/>
  <c r="H36" i="16"/>
  <c r="H49" i="16"/>
  <c r="E51" i="16"/>
  <c r="E50" i="16"/>
  <c r="C50" i="14"/>
  <c r="C51" i="14"/>
  <c r="F51" i="14"/>
  <c r="F50" i="14"/>
  <c r="I35" i="14"/>
  <c r="I49" i="14"/>
  <c r="J49" i="14" s="1"/>
  <c r="H36" i="13"/>
  <c r="H49" i="13"/>
  <c r="E51" i="13"/>
  <c r="E50" i="13"/>
  <c r="C36" i="13"/>
  <c r="C49" i="13"/>
  <c r="F35" i="11"/>
  <c r="F51" i="11"/>
  <c r="D32" i="11"/>
  <c r="D34" i="11"/>
  <c r="C34" i="11"/>
  <c r="C32" i="11"/>
  <c r="E32" i="11"/>
  <c r="E34" i="11"/>
  <c r="H31" i="11"/>
  <c r="D50" i="21" l="1"/>
  <c r="D51" i="21"/>
  <c r="H36" i="21"/>
  <c r="H49" i="21"/>
  <c r="I52" i="21"/>
  <c r="C36" i="21"/>
  <c r="C49" i="21"/>
  <c r="E51" i="21"/>
  <c r="E50" i="21"/>
  <c r="D51" i="20"/>
  <c r="D50" i="20"/>
  <c r="C36" i="20"/>
  <c r="C49" i="20"/>
  <c r="H36" i="20"/>
  <c r="I50" i="18"/>
  <c r="I51" i="18"/>
  <c r="C51" i="16"/>
  <c r="C50" i="16"/>
  <c r="I50" i="16"/>
  <c r="H50" i="16"/>
  <c r="H51" i="16"/>
  <c r="I50" i="14"/>
  <c r="I51" i="14"/>
  <c r="C51" i="13"/>
  <c r="C50" i="13"/>
  <c r="I50" i="13"/>
  <c r="H50" i="13"/>
  <c r="H51" i="13"/>
  <c r="C35" i="11"/>
  <c r="C49" i="11"/>
  <c r="D35" i="11"/>
  <c r="D49" i="11"/>
  <c r="D51" i="11" s="1"/>
  <c r="H32" i="11"/>
  <c r="H34" i="11"/>
  <c r="E35" i="11"/>
  <c r="E49" i="11"/>
  <c r="I50" i="21" l="1"/>
  <c r="H50" i="21"/>
  <c r="H51" i="21"/>
  <c r="C50" i="21"/>
  <c r="C51" i="21"/>
  <c r="I50" i="20"/>
  <c r="H50" i="20"/>
  <c r="H51" i="20"/>
  <c r="C51" i="20"/>
  <c r="C50" i="20"/>
  <c r="H35" i="11"/>
  <c r="H49" i="11"/>
  <c r="C51" i="11"/>
  <c r="C50" i="11"/>
  <c r="E51" i="11"/>
  <c r="E50" i="11"/>
  <c r="I50" i="11" l="1"/>
  <c r="H51" i="11"/>
  <c r="H50" i="11"/>
  <c r="H11" i="8" l="1"/>
  <c r="H22" i="8"/>
  <c r="H20" i="8"/>
  <c r="H6" i="8"/>
  <c r="H5" i="8"/>
  <c r="G5" i="8"/>
  <c r="E5" i="8"/>
  <c r="E16" i="8" s="1"/>
  <c r="G6" i="8"/>
  <c r="F11" i="8"/>
  <c r="F17" i="8"/>
  <c r="F20" i="8"/>
  <c r="F6" i="8"/>
  <c r="D20" i="8"/>
  <c r="D5" i="8"/>
  <c r="C5" i="8"/>
  <c r="D4" i="8"/>
  <c r="C4" i="8"/>
  <c r="R17" i="9"/>
  <c r="R16" i="9"/>
  <c r="R15" i="9"/>
  <c r="R11" i="9"/>
  <c r="R9" i="9"/>
  <c r="V9" i="9" s="1"/>
  <c r="U9" i="9"/>
  <c r="K9" i="9"/>
  <c r="H9" i="9"/>
  <c r="J9" i="9" s="1"/>
  <c r="L20" i="9"/>
  <c r="K20" i="9"/>
  <c r="H20" i="9"/>
  <c r="H16" i="9"/>
  <c r="H15" i="9"/>
  <c r="H14" i="9"/>
  <c r="E144" i="9"/>
  <c r="C144" i="9" s="1"/>
  <c r="D144" i="9"/>
  <c r="B144" i="9"/>
  <c r="F140" i="9" s="1"/>
  <c r="B76" i="9"/>
  <c r="H65" i="9"/>
  <c r="H64" i="9"/>
  <c r="D7" i="8"/>
  <c r="C6" i="8"/>
  <c r="G140" i="9" l="1"/>
  <c r="I16" i="9"/>
  <c r="O11" i="9" s="1"/>
  <c r="P11" i="9" s="1"/>
  <c r="S16" i="9"/>
  <c r="X9" i="9" s="1"/>
  <c r="D16" i="8"/>
  <c r="C8" i="7"/>
  <c r="H8" i="7"/>
  <c r="M8" i="7"/>
  <c r="F8" i="7"/>
  <c r="G8" i="7"/>
  <c r="L8" i="7"/>
  <c r="B8" i="7"/>
  <c r="E8" i="7"/>
  <c r="D8" i="7"/>
  <c r="J8" i="7"/>
  <c r="K8" i="7"/>
  <c r="I8" i="7"/>
  <c r="F17" i="7"/>
  <c r="G17" i="7"/>
  <c r="L17" i="7"/>
  <c r="E17" i="7"/>
  <c r="J17" i="7"/>
  <c r="K17" i="7"/>
  <c r="C17" i="7"/>
  <c r="I17" i="7"/>
  <c r="B17" i="7"/>
  <c r="D17" i="7"/>
  <c r="M17" i="7"/>
  <c r="H17" i="7"/>
  <c r="H15" i="7"/>
  <c r="C15" i="7"/>
  <c r="L15" i="7"/>
  <c r="F15" i="7"/>
  <c r="G15" i="7"/>
  <c r="E15" i="7"/>
  <c r="J15" i="7"/>
  <c r="K15" i="7"/>
  <c r="D15" i="7"/>
  <c r="I15" i="7"/>
  <c r="B15" i="7"/>
  <c r="M15" i="7"/>
  <c r="I16" i="7"/>
  <c r="J16" i="7"/>
  <c r="C16" i="7"/>
  <c r="D16" i="7"/>
  <c r="E16" i="7"/>
  <c r="B16" i="7"/>
  <c r="H16" i="7"/>
  <c r="G16" i="7"/>
  <c r="F16" i="7"/>
  <c r="I22" i="8"/>
  <c r="K10" i="7"/>
  <c r="I6" i="8"/>
  <c r="I7" i="8"/>
  <c r="C16" i="8"/>
  <c r="C24" i="8" s="1"/>
  <c r="I20" i="8"/>
  <c r="F4" i="8"/>
  <c r="I4" i="8" s="1"/>
  <c r="G16" i="8"/>
  <c r="G24" i="8" s="1"/>
  <c r="F13" i="8"/>
  <c r="F12" i="8"/>
  <c r="F14" i="8"/>
  <c r="D15" i="8"/>
  <c r="H12" i="8"/>
  <c r="H14" i="8"/>
  <c r="H13" i="8"/>
  <c r="B140" i="9"/>
  <c r="F16" i="8"/>
  <c r="I17" i="8"/>
  <c r="F15" i="8"/>
  <c r="H15" i="8"/>
  <c r="E15" i="8"/>
  <c r="H16" i="8"/>
  <c r="S9" i="9"/>
  <c r="S17" i="9"/>
  <c r="L9" i="9"/>
  <c r="I10" i="9" s="1"/>
  <c r="I20" i="9" s="1"/>
  <c r="I9" i="9"/>
  <c r="C140" i="9"/>
  <c r="T9" i="9"/>
  <c r="E140" i="9"/>
  <c r="I15" i="9"/>
  <c r="O9" i="9" s="1"/>
  <c r="D140" i="9"/>
  <c r="A133" i="2"/>
  <c r="N15" i="7" l="1"/>
  <c r="F9" i="7"/>
  <c r="J9" i="7"/>
  <c r="B9" i="7"/>
  <c r="C9" i="7"/>
  <c r="G9" i="7"/>
  <c r="K9" i="7"/>
  <c r="D9" i="7"/>
  <c r="H9" i="7"/>
  <c r="L9" i="7"/>
  <c r="E9" i="7"/>
  <c r="I9" i="7"/>
  <c r="M9" i="7"/>
  <c r="H24" i="8"/>
  <c r="D55" i="8"/>
  <c r="N17" i="7"/>
  <c r="N16" i="7"/>
  <c r="F55" i="8"/>
  <c r="F28" i="8" s="1"/>
  <c r="D28" i="8"/>
  <c r="C55" i="8"/>
  <c r="C28" i="8" s="1"/>
  <c r="E55" i="8"/>
  <c r="E28" i="8" s="1"/>
  <c r="G28" i="8"/>
  <c r="P16" i="8"/>
  <c r="I15" i="8"/>
  <c r="D12" i="8"/>
  <c r="I12" i="8" s="1"/>
  <c r="D14" i="8"/>
  <c r="I14" i="8" s="1"/>
  <c r="D13" i="8"/>
  <c r="I13" i="8" s="1"/>
  <c r="E24" i="8"/>
  <c r="E25" i="8" s="1"/>
  <c r="F24" i="8"/>
  <c r="F25" i="8" s="1"/>
  <c r="M20" i="9"/>
  <c r="N9" i="9" s="1"/>
  <c r="P9" i="9" s="1"/>
  <c r="I11" i="8"/>
  <c r="G25" i="8"/>
  <c r="L16" i="8"/>
  <c r="I16" i="8"/>
  <c r="Q16" i="8"/>
  <c r="O16" i="8"/>
  <c r="N16" i="8"/>
  <c r="R10" i="9"/>
  <c r="R12" i="9" s="1"/>
  <c r="T12" i="9" s="1"/>
  <c r="W9" i="9" s="1"/>
  <c r="Y9" i="9" s="1"/>
  <c r="C25" i="8"/>
  <c r="D16" i="6"/>
  <c r="E16" i="6"/>
  <c r="F16" i="6"/>
  <c r="G16" i="6"/>
  <c r="H16" i="6"/>
  <c r="I16" i="6"/>
  <c r="I14" i="6"/>
  <c r="E14" i="6"/>
  <c r="G14" i="6" s="1"/>
  <c r="F14" i="6"/>
  <c r="I13" i="6"/>
  <c r="E13" i="6"/>
  <c r="F13" i="6"/>
  <c r="G13" i="6" s="1"/>
  <c r="I12" i="6"/>
  <c r="E12" i="6"/>
  <c r="F12" i="6"/>
  <c r="G12" i="6" s="1"/>
  <c r="M7" i="6"/>
  <c r="L5" i="6"/>
  <c r="L4" i="6"/>
  <c r="K3" i="6"/>
  <c r="M6" i="6"/>
  <c r="L6" i="6"/>
  <c r="K6" i="6"/>
  <c r="I4" i="6"/>
  <c r="G4" i="6"/>
  <c r="F5" i="6"/>
  <c r="F6" i="6"/>
  <c r="G6" i="6" s="1"/>
  <c r="I6" i="6" s="1"/>
  <c r="F7" i="6"/>
  <c r="F8" i="6"/>
  <c r="F9" i="6"/>
  <c r="G9" i="6" s="1"/>
  <c r="I9" i="6" s="1"/>
  <c r="F10" i="6"/>
  <c r="F11" i="6"/>
  <c r="G11" i="6" s="1"/>
  <c r="I11" i="6" s="1"/>
  <c r="F4" i="6"/>
  <c r="F3" i="6"/>
  <c r="G3" i="6" s="1"/>
  <c r="I3" i="6" s="1"/>
  <c r="E4" i="6"/>
  <c r="E5" i="6"/>
  <c r="G5" i="6" s="1"/>
  <c r="I5" i="6" s="1"/>
  <c r="E6" i="6"/>
  <c r="E7" i="6"/>
  <c r="G7" i="6" s="1"/>
  <c r="I7" i="6" s="1"/>
  <c r="E8" i="6"/>
  <c r="G8" i="6" s="1"/>
  <c r="I8" i="6" s="1"/>
  <c r="E9" i="6"/>
  <c r="E10" i="6"/>
  <c r="G10" i="6" s="1"/>
  <c r="I10" i="6" s="1"/>
  <c r="E11" i="6"/>
  <c r="E3" i="6"/>
  <c r="N20" i="7" l="1"/>
  <c r="C5" i="7"/>
  <c r="C11" i="7" s="1"/>
  <c r="G5" i="7"/>
  <c r="G11" i="7" s="1"/>
  <c r="G22" i="7" s="1"/>
  <c r="K5" i="7"/>
  <c r="K11" i="7" s="1"/>
  <c r="K22" i="7" s="1"/>
  <c r="D5" i="7"/>
  <c r="H5" i="7"/>
  <c r="L5" i="7"/>
  <c r="E5" i="7"/>
  <c r="E11" i="7" s="1"/>
  <c r="E22" i="7" s="1"/>
  <c r="I5" i="7"/>
  <c r="I11" i="7" s="1"/>
  <c r="I22" i="7" s="1"/>
  <c r="M5" i="7"/>
  <c r="F5" i="7"/>
  <c r="F11" i="7" s="1"/>
  <c r="J5" i="7"/>
  <c r="J11" i="7" s="1"/>
  <c r="J22" i="7" s="1"/>
  <c r="B5" i="7"/>
  <c r="B11" i="7" s="1"/>
  <c r="B22" i="7" s="1"/>
  <c r="B25" i="7" s="1"/>
  <c r="C24" i="7" s="1"/>
  <c r="N9" i="7"/>
  <c r="G31" i="8"/>
  <c r="G34" i="8" s="1"/>
  <c r="G35" i="8" s="1"/>
  <c r="I28" i="8"/>
  <c r="I24" i="8"/>
  <c r="H25" i="8"/>
  <c r="H29" i="8"/>
  <c r="D24" i="8"/>
  <c r="C56" i="8" s="1"/>
  <c r="D11" i="7"/>
  <c r="D22" i="7" s="1"/>
  <c r="H11" i="7"/>
  <c r="H22" i="7" s="1"/>
  <c r="L11" i="7"/>
  <c r="L22" i="7" s="1"/>
  <c r="M16" i="8"/>
  <c r="R16" i="8" s="1"/>
  <c r="N10" i="7"/>
  <c r="M11" i="7"/>
  <c r="M22" i="7" s="1"/>
  <c r="C22" i="7"/>
  <c r="N8" i="7"/>
  <c r="N5" i="7" l="1"/>
  <c r="N11" i="7" s="1"/>
  <c r="N22" i="7" s="1"/>
  <c r="N25" i="7" s="1"/>
  <c r="F22" i="7"/>
  <c r="G32" i="8"/>
  <c r="F56" i="8"/>
  <c r="F29" i="8" s="1"/>
  <c r="C29" i="8"/>
  <c r="C31" i="8" s="1"/>
  <c r="D56" i="8"/>
  <c r="D29" i="8" s="1"/>
  <c r="D31" i="8" s="1"/>
  <c r="E56" i="8"/>
  <c r="E29" i="8" s="1"/>
  <c r="H31" i="8"/>
  <c r="D25" i="8"/>
  <c r="G51" i="8"/>
  <c r="C25" i="7"/>
  <c r="D24" i="7" s="1"/>
  <c r="D25" i="7" s="1"/>
  <c r="E24" i="7" s="1"/>
  <c r="E25" i="7" s="1"/>
  <c r="F24" i="7" s="1"/>
  <c r="I25" i="8"/>
  <c r="F25" i="7" l="1"/>
  <c r="G24" i="7" s="1"/>
  <c r="G25" i="7" s="1"/>
  <c r="H24" i="7" s="1"/>
  <c r="H25" i="7" s="1"/>
  <c r="I24" i="7" s="1"/>
  <c r="I25" i="7" s="1"/>
  <c r="J24" i="7" s="1"/>
  <c r="J25" i="7" s="1"/>
  <c r="K24" i="7" s="1"/>
  <c r="K25" i="7" s="1"/>
  <c r="L24" i="7" s="1"/>
  <c r="L25" i="7" s="1"/>
  <c r="M24" i="7" s="1"/>
  <c r="M25" i="7" s="1"/>
  <c r="E31" i="8"/>
  <c r="E34" i="8" s="1"/>
  <c r="F31" i="8"/>
  <c r="F34" i="8" s="1"/>
  <c r="I29" i="8"/>
  <c r="I31" i="8" s="1"/>
  <c r="C34" i="8"/>
  <c r="C49" i="8" s="1"/>
  <c r="H34" i="8"/>
  <c r="H32" i="8"/>
  <c r="D34" i="8"/>
  <c r="D35" i="8" s="1"/>
  <c r="E32" i="8" l="1"/>
  <c r="F35" i="8"/>
  <c r="F49" i="8"/>
  <c r="F50" i="8" s="1"/>
  <c r="E35" i="8"/>
  <c r="E49" i="8"/>
  <c r="E51" i="8" s="1"/>
  <c r="F32" i="8"/>
  <c r="C32" i="8"/>
  <c r="H49" i="8"/>
  <c r="H51" i="8" s="1"/>
  <c r="H35" i="8"/>
  <c r="I34" i="8"/>
  <c r="I32" i="8"/>
  <c r="D32" i="8"/>
  <c r="D49" i="8"/>
  <c r="D51" i="8" s="1"/>
  <c r="C35" i="8"/>
  <c r="C51" i="8"/>
  <c r="C50" i="8"/>
  <c r="F51" i="8" l="1"/>
  <c r="I35" i="8"/>
  <c r="I49" i="8"/>
  <c r="C37" i="5"/>
  <c r="D37" i="5"/>
  <c r="E37" i="5"/>
  <c r="F37" i="5"/>
  <c r="G37" i="5"/>
  <c r="H37" i="5"/>
  <c r="I37" i="5"/>
  <c r="J37" i="5"/>
  <c r="K37" i="5"/>
  <c r="L37" i="5"/>
  <c r="M37" i="5"/>
  <c r="B37" i="5"/>
  <c r="C28" i="5"/>
  <c r="D28" i="5"/>
  <c r="E28" i="5"/>
  <c r="F28" i="5"/>
  <c r="G28" i="5"/>
  <c r="H28" i="5"/>
  <c r="I28" i="5"/>
  <c r="J28" i="5"/>
  <c r="K28" i="5"/>
  <c r="L28" i="5"/>
  <c r="M28" i="5"/>
  <c r="C29" i="5"/>
  <c r="D29" i="5"/>
  <c r="E29" i="5"/>
  <c r="F29" i="5"/>
  <c r="G29" i="5"/>
  <c r="H29" i="5"/>
  <c r="I29" i="5"/>
  <c r="J29" i="5"/>
  <c r="K29" i="5"/>
  <c r="L29" i="5"/>
  <c r="M29" i="5"/>
  <c r="C30" i="5"/>
  <c r="D30" i="5"/>
  <c r="E30" i="5"/>
  <c r="F30" i="5"/>
  <c r="G30" i="5"/>
  <c r="H30" i="5"/>
  <c r="I30" i="5"/>
  <c r="J30" i="5"/>
  <c r="K30" i="5"/>
  <c r="L30" i="5"/>
  <c r="M30" i="5"/>
  <c r="C31" i="5"/>
  <c r="D31" i="5"/>
  <c r="E31" i="5"/>
  <c r="F31" i="5"/>
  <c r="G31" i="5"/>
  <c r="H31" i="5"/>
  <c r="I31" i="5"/>
  <c r="J31" i="5"/>
  <c r="K31" i="5"/>
  <c r="L31" i="5"/>
  <c r="M31" i="5"/>
  <c r="B31" i="5"/>
  <c r="B30" i="5"/>
  <c r="B29" i="5"/>
  <c r="B28" i="5"/>
  <c r="C7" i="5"/>
  <c r="C15" i="5" s="1"/>
  <c r="D7" i="5"/>
  <c r="D15" i="5" s="1"/>
  <c r="E7" i="5"/>
  <c r="E15" i="5" s="1"/>
  <c r="F7" i="5"/>
  <c r="F15" i="5" s="1"/>
  <c r="G7" i="5"/>
  <c r="G15" i="5" s="1"/>
  <c r="H7" i="5"/>
  <c r="H15" i="5" s="1"/>
  <c r="I7" i="5"/>
  <c r="I15" i="5" s="1"/>
  <c r="J7" i="5"/>
  <c r="J15" i="5" s="1"/>
  <c r="K7" i="5"/>
  <c r="K15" i="5" s="1"/>
  <c r="L7" i="5"/>
  <c r="L15" i="5" s="1"/>
  <c r="M7" i="5"/>
  <c r="M15" i="5" s="1"/>
  <c r="C8" i="5"/>
  <c r="C16" i="5" s="1"/>
  <c r="D8" i="5"/>
  <c r="D16" i="5" s="1"/>
  <c r="E8" i="5"/>
  <c r="E16" i="5" s="1"/>
  <c r="F8" i="5"/>
  <c r="F16" i="5" s="1"/>
  <c r="G8" i="5"/>
  <c r="G16" i="5" s="1"/>
  <c r="H8" i="5"/>
  <c r="H16" i="5" s="1"/>
  <c r="I8" i="5"/>
  <c r="I16" i="5" s="1"/>
  <c r="J8" i="5"/>
  <c r="J16" i="5" s="1"/>
  <c r="K8" i="5"/>
  <c r="K16" i="5" s="1"/>
  <c r="L8" i="5"/>
  <c r="L16" i="5" s="1"/>
  <c r="M8" i="5"/>
  <c r="M16" i="5" s="1"/>
  <c r="B8" i="5"/>
  <c r="B16" i="5" s="1"/>
  <c r="B7" i="5"/>
  <c r="B15" i="5" s="1"/>
  <c r="B4" i="5"/>
  <c r="C4" i="5" s="1"/>
  <c r="D4" i="5" s="1"/>
  <c r="E4" i="5" s="1"/>
  <c r="F4" i="5" s="1"/>
  <c r="G4" i="5" s="1"/>
  <c r="H4" i="5" s="1"/>
  <c r="I4" i="5" s="1"/>
  <c r="J4" i="5" s="1"/>
  <c r="K4" i="5" s="1"/>
  <c r="L4" i="5" s="1"/>
  <c r="M4" i="5" s="1"/>
  <c r="I51" i="8" l="1"/>
  <c r="I50" i="8"/>
  <c r="N37" i="5"/>
  <c r="N30" i="5"/>
  <c r="H35" i="5"/>
  <c r="E35" i="5"/>
  <c r="L35" i="5"/>
  <c r="D35" i="5"/>
  <c r="M35" i="5"/>
  <c r="I35" i="5"/>
  <c r="K35" i="5"/>
  <c r="G35" i="5"/>
  <c r="C35" i="5"/>
  <c r="B35" i="5"/>
  <c r="J35" i="5"/>
  <c r="F35" i="5"/>
  <c r="N16" i="5"/>
  <c r="L25" i="5"/>
  <c r="D25" i="5"/>
  <c r="N15" i="5"/>
  <c r="K25" i="5"/>
  <c r="C25" i="5"/>
  <c r="B25" i="5"/>
  <c r="J25" i="5"/>
  <c r="F25" i="5"/>
  <c r="H25" i="5"/>
  <c r="N31" i="5"/>
  <c r="G25" i="5"/>
  <c r="M25" i="5"/>
  <c r="I25" i="5"/>
  <c r="E25" i="5"/>
  <c r="N28" i="5"/>
  <c r="N29" i="5"/>
  <c r="N35" i="5" l="1"/>
  <c r="N25" i="5"/>
  <c r="M5" i="5" l="1"/>
  <c r="F6" i="5"/>
  <c r="F14" i="5" s="1"/>
  <c r="E6" i="5"/>
  <c r="E14" i="5" s="1"/>
  <c r="K6" i="5"/>
  <c r="K14" i="5" s="1"/>
  <c r="J5" i="5"/>
  <c r="L5" i="5"/>
  <c r="G5" i="5"/>
  <c r="J6" i="5"/>
  <c r="J14" i="5" s="1"/>
  <c r="G6" i="5"/>
  <c r="G14" i="5" s="1"/>
  <c r="F5" i="5"/>
  <c r="C5" i="5"/>
  <c r="C6" i="5"/>
  <c r="C14" i="5" s="1"/>
  <c r="B6" i="5"/>
  <c r="B14" i="5" s="1"/>
  <c r="B5" i="5"/>
  <c r="L6" i="5"/>
  <c r="L14" i="5" s="1"/>
  <c r="H5" i="5"/>
  <c r="H6" i="5"/>
  <c r="H14" i="5" s="1"/>
  <c r="D5" i="5"/>
  <c r="D6" i="5"/>
  <c r="D14" i="5" s="1"/>
  <c r="K5" i="5"/>
  <c r="I6" i="5"/>
  <c r="I14" i="5" s="1"/>
  <c r="I5" i="5"/>
  <c r="M6" i="5"/>
  <c r="E5" i="5"/>
  <c r="K13" i="5" l="1"/>
  <c r="K17" i="5" s="1"/>
  <c r="K27" i="5"/>
  <c r="K9" i="5"/>
  <c r="M27" i="5"/>
  <c r="M14" i="5"/>
  <c r="C9" i="5"/>
  <c r="C27" i="5"/>
  <c r="C13" i="5"/>
  <c r="C17" i="5" s="1"/>
  <c r="G9" i="5"/>
  <c r="G27" i="5"/>
  <c r="G13" i="5"/>
  <c r="G17" i="5" s="1"/>
  <c r="E9" i="5"/>
  <c r="E13" i="5"/>
  <c r="E17" i="5" s="1"/>
  <c r="E27" i="5"/>
  <c r="H13" i="5"/>
  <c r="H17" i="5" s="1"/>
  <c r="H27" i="5"/>
  <c r="H9" i="5"/>
  <c r="I27" i="5"/>
  <c r="I13" i="5"/>
  <c r="I17" i="5" s="1"/>
  <c r="I9" i="5"/>
  <c r="D13" i="5"/>
  <c r="D17" i="5" s="1"/>
  <c r="D27" i="5"/>
  <c r="D9" i="5"/>
  <c r="B27" i="5"/>
  <c r="N27" i="5" s="1"/>
  <c r="B13" i="5"/>
  <c r="B9" i="5"/>
  <c r="F27" i="5"/>
  <c r="F13" i="5"/>
  <c r="F17" i="5" s="1"/>
  <c r="F9" i="5"/>
  <c r="L13" i="5"/>
  <c r="L17" i="5" s="1"/>
  <c r="L27" i="5"/>
  <c r="L9" i="5"/>
  <c r="N14" i="5"/>
  <c r="J27" i="5"/>
  <c r="J9" i="5"/>
  <c r="J13" i="5"/>
  <c r="J17" i="5" s="1"/>
  <c r="M13" i="5"/>
  <c r="M17" i="5" s="1"/>
  <c r="M9" i="5"/>
  <c r="L21" i="5" l="1"/>
  <c r="L36" i="5" s="1"/>
  <c r="L38" i="5" s="1"/>
  <c r="L26" i="5"/>
  <c r="L32" i="5" s="1"/>
  <c r="E21" i="5"/>
  <c r="E36" i="5" s="1"/>
  <c r="E38" i="5" s="1"/>
  <c r="E26" i="5"/>
  <c r="E32" i="5" s="1"/>
  <c r="J26" i="5"/>
  <c r="J32" i="5" s="1"/>
  <c r="J21" i="5"/>
  <c r="J36" i="5" s="1"/>
  <c r="J38" i="5" s="1"/>
  <c r="D21" i="5"/>
  <c r="D36" i="5" s="1"/>
  <c r="D38" i="5" s="1"/>
  <c r="D26" i="5"/>
  <c r="D32" i="5" s="1"/>
  <c r="I22" i="5"/>
  <c r="I20" i="5"/>
  <c r="I19" i="5"/>
  <c r="H19" i="5"/>
  <c r="H23" i="5" s="1"/>
  <c r="H20" i="5"/>
  <c r="H22" i="5"/>
  <c r="G20" i="5"/>
  <c r="G22" i="5"/>
  <c r="G19" i="5"/>
  <c r="K21" i="5"/>
  <c r="K36" i="5" s="1"/>
  <c r="K38" i="5" s="1"/>
  <c r="K26" i="5"/>
  <c r="K32" i="5" s="1"/>
  <c r="C19" i="5"/>
  <c r="C23" i="5" s="1"/>
  <c r="C20" i="5"/>
  <c r="C22" i="5"/>
  <c r="M21" i="5"/>
  <c r="M36" i="5" s="1"/>
  <c r="M38" i="5" s="1"/>
  <c r="M26" i="5"/>
  <c r="M32" i="5" s="1"/>
  <c r="L19" i="5"/>
  <c r="L22" i="5"/>
  <c r="L20" i="5"/>
  <c r="B21" i="5"/>
  <c r="B26" i="5"/>
  <c r="C21" i="5"/>
  <c r="C36" i="5" s="1"/>
  <c r="C38" i="5" s="1"/>
  <c r="C26" i="5"/>
  <c r="C32" i="5" s="1"/>
  <c r="J22" i="5"/>
  <c r="J20" i="5"/>
  <c r="J19" i="5"/>
  <c r="F19" i="5"/>
  <c r="F22" i="5"/>
  <c r="F20" i="5"/>
  <c r="I21" i="5"/>
  <c r="I36" i="5" s="1"/>
  <c r="I38" i="5" s="1"/>
  <c r="I26" i="5"/>
  <c r="I32" i="5" s="1"/>
  <c r="M20" i="5"/>
  <c r="M19" i="5"/>
  <c r="M22" i="5"/>
  <c r="F21" i="5"/>
  <c r="F36" i="5" s="1"/>
  <c r="F38" i="5" s="1"/>
  <c r="F26" i="5"/>
  <c r="F32" i="5" s="1"/>
  <c r="B17" i="5"/>
  <c r="N13" i="5"/>
  <c r="N17" i="5" s="1"/>
  <c r="D19" i="5"/>
  <c r="D22" i="5"/>
  <c r="D20" i="5"/>
  <c r="H21" i="5"/>
  <c r="H36" i="5" s="1"/>
  <c r="H38" i="5" s="1"/>
  <c r="H26" i="5"/>
  <c r="H32" i="5" s="1"/>
  <c r="E22" i="5"/>
  <c r="E20" i="5"/>
  <c r="E19" i="5"/>
  <c r="G21" i="5"/>
  <c r="G36" i="5" s="1"/>
  <c r="G38" i="5" s="1"/>
  <c r="G26" i="5"/>
  <c r="G32" i="5" s="1"/>
  <c r="K20" i="5"/>
  <c r="K19" i="5"/>
  <c r="K22" i="5"/>
  <c r="C33" i="5" l="1"/>
  <c r="C40" i="5" s="1"/>
  <c r="C41" i="5" s="1"/>
  <c r="H33" i="5"/>
  <c r="H40" i="5" s="1"/>
  <c r="H41" i="5" s="1"/>
  <c r="K23" i="5"/>
  <c r="K33" i="5" s="1"/>
  <c r="K40" i="5" s="1"/>
  <c r="K41" i="5" s="1"/>
  <c r="D23" i="5"/>
  <c r="D33" i="5" s="1"/>
  <c r="D40" i="5" s="1"/>
  <c r="D41" i="5" s="1"/>
  <c r="F23" i="5"/>
  <c r="F33" i="5" s="1"/>
  <c r="F40" i="5" s="1"/>
  <c r="F41" i="5" s="1"/>
  <c r="I23" i="5"/>
  <c r="I33" i="5" s="1"/>
  <c r="I40" i="5" s="1"/>
  <c r="I41" i="5" s="1"/>
  <c r="E23" i="5"/>
  <c r="E33" i="5" s="1"/>
  <c r="E40" i="5" s="1"/>
  <c r="E41" i="5" s="1"/>
  <c r="J23" i="5"/>
  <c r="J33" i="5" s="1"/>
  <c r="J40" i="5" s="1"/>
  <c r="J41" i="5" s="1"/>
  <c r="B36" i="5"/>
  <c r="N21" i="5"/>
  <c r="B20" i="5"/>
  <c r="N20" i="5" s="1"/>
  <c r="B19" i="5"/>
  <c r="B23" i="5" s="1"/>
  <c r="B22" i="5"/>
  <c r="N22" i="5" s="1"/>
  <c r="M23" i="5"/>
  <c r="M33" i="5" s="1"/>
  <c r="M40" i="5" s="1"/>
  <c r="M41" i="5" s="1"/>
  <c r="N26" i="5"/>
  <c r="B32" i="5"/>
  <c r="N32" i="5" s="1"/>
  <c r="L23" i="5"/>
  <c r="L33" i="5" s="1"/>
  <c r="L40" i="5" s="1"/>
  <c r="L41" i="5" s="1"/>
  <c r="G23" i="5"/>
  <c r="G33" i="5" s="1"/>
  <c r="G40" i="5" s="1"/>
  <c r="G41" i="5" s="1"/>
  <c r="B33" i="5" l="1"/>
  <c r="B38" i="5"/>
  <c r="N36" i="5"/>
  <c r="N38" i="5" s="1"/>
  <c r="N19" i="5"/>
  <c r="N23" i="5" s="1"/>
  <c r="N33" i="5" s="1"/>
  <c r="B40" i="5" l="1"/>
  <c r="B41" i="5" s="1"/>
  <c r="N40" i="5"/>
  <c r="N41" i="5" s="1"/>
  <c r="B44" i="5" l="1"/>
  <c r="C43" i="5" s="1"/>
  <c r="C44" i="5" s="1"/>
  <c r="D43" i="5" s="1"/>
  <c r="D44" i="5" s="1"/>
  <c r="E43" i="5" s="1"/>
  <c r="E44" i="5" s="1"/>
  <c r="F43" i="5" s="1"/>
  <c r="F44" i="5" s="1"/>
  <c r="G43" i="5" s="1"/>
  <c r="G44" i="5" s="1"/>
  <c r="H43" i="5" s="1"/>
  <c r="H44" i="5" s="1"/>
  <c r="I43" i="5" s="1"/>
  <c r="I44" i="5" s="1"/>
  <c r="J43" i="5" s="1"/>
  <c r="J44" i="5" s="1"/>
  <c r="K43" i="5" s="1"/>
  <c r="K44" i="5" s="1"/>
  <c r="L43" i="5" s="1"/>
  <c r="L44" i="5" s="1"/>
  <c r="M43" i="5" s="1"/>
  <c r="M4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tc={CFFC10B8-7795-B341-A10F-55C2AF8AD095}</author>
    <author>tc={4F3EE303-2028-6541-8426-CF0596B44DFD}</author>
    <author>tc={EA4A60FF-7D8B-0D4C-A9A8-B98575644969}</author>
    <author>tc={6F945A41-BA0D-E846-ABF3-2087598D52B2}</author>
    <author>tc={49C5B77D-04C7-874A-8D73-63D02479338D}</author>
    <author>tc={624D3A03-E129-6B47-9308-2F35551D2782}</author>
    <author>tc={332DA2C8-0DFC-F842-8BBD-72C7F4D333C9}</author>
    <author>tc={78399F5F-AD53-2D4A-9CBB-E5D02709AD3A}</author>
    <author>tc={4E9500B6-30DB-374A-94B9-E4F386B407F5}</author>
    <author>tc={19B21914-6322-994E-889D-92D4B90EBBA1}</author>
  </authors>
  <commentList>
    <comment ref="G3" authorId="0" shapeId="0" xr:uid="{CFFC10B8-7795-B341-A10F-55C2AF8AD09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F4" authorId="1" shapeId="0" xr:uid="{4F3EE303-2028-6541-8426-CF0596B44DFD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G8" authorId="2" shapeId="0" xr:uid="{EA4A60FF-7D8B-0D4C-A9A8-B98575644969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6" authorId="3" shapeId="0" xr:uid="{6F945A41-BA0D-E846-ABF3-2087598D52B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L16" authorId="4" shapeId="0" xr:uid="{49C5B77D-04C7-874A-8D73-63D02479338D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5" authorId="5" shapeId="0" xr:uid="{624D3A03-E129-6B47-9308-2F35551D2782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H38" authorId="6" shapeId="0" xr:uid="{332DA2C8-0DFC-F842-8BBD-72C7F4D333C9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I38" authorId="7" shapeId="0" xr:uid="{78399F5F-AD53-2D4A-9CBB-E5D02709AD3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43" authorId="8" shapeId="0" xr:uid="{4E9500B6-30DB-374A-94B9-E4F386B407F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hearing kids here!!!</t>
      </text>
    </comment>
    <comment ref="A56" authorId="9" shapeId="0" xr:uid="{19B21914-6322-994E-889D-92D4B90EBBA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tc={FD8C5E19-C50D-BB40-AA30-15BC39E73B7F}</author>
  </authors>
  <commentList>
    <comment ref="G6" authorId="0" shapeId="0" xr:uid="{FD8C5E19-C50D-BB40-AA30-15BC39E73B7F}">
      <text>
        <t>[Threaded comment]
Your version of Excel allows you to read this threaded comment; however, any edits to it will get removed if the file is opened in a newer version of Excel. Learn more: https://go.microsoft.com/fwlink/?linkid=870924
Comment:
    Teacher training in july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tc={F4A0FE7D-3AE9-0C45-9ECA-3866EE3A6E53}</author>
    <author>tc={2265AFE5-9592-E24A-BABA-B8142E454D4C}</author>
    <author>tc={A3BE209F-6D7C-0047-B057-C643CACA37FA}</author>
    <author>tc={F72DA13F-1AAB-BB41-B0C9-3A0F66FBADE5}</author>
    <author>tc={2B455E9E-03B0-6745-885B-3EA55E72478B}</author>
    <author>tc={ABA7DC4B-44F7-D34F-BF3E-F32210868357}</author>
    <author>tc={AD070A10-9E4E-6447-9925-BEDE8BB315E1}</author>
    <author>tc={13736B8A-6E1A-1340-A935-63E36CE4E16D}</author>
    <author>tc={E612E8F9-B97C-2C41-9E9C-1790BBE18ED0}</author>
    <author>tc={6D9BD3E3-D81A-3849-9759-59B4323C820B}</author>
    <author>tc={79F078F5-D548-DA4B-8FCC-0F2452774E49}</author>
    <author>tc={550A4C81-BD61-0042-884D-C0A7DEE1A0AD}</author>
    <author>tc={8A61305F-A726-E849-BC42-3E5BCAD8DC27}</author>
  </authors>
  <commentList>
    <comment ref="A11" authorId="0" shapeId="0" xr:uid="{F4A0FE7D-3AE9-0C45-9ECA-3866EE3A6E53}">
      <text>
        <t>[Threaded comment]
Your version of Excel allows you to read this threaded comment; however, any edits to it will get removed if the file is opened in a newer version of Excel. Learn more: https://go.microsoft.com/fwlink/?linkid=870924
Comment:
    What to do about wait list? for scenario building?</t>
      </text>
    </comment>
    <comment ref="A13" authorId="1" shapeId="0" xr:uid="{2265AFE5-9592-E24A-BABA-B8142E454D4C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outreach and audiology output units</t>
      </text>
    </comment>
    <comment ref="G13" authorId="2" shapeId="0" xr:uid="{A3BE209F-6D7C-0047-B057-C643CACA37FA}">
      <text>
        <t>[Threaded comment]
Your version of Excel allows you to read this threaded comment; however, any edits to it will get removed if the file is opened in a newer version of Excel. Learn more: https://go.microsoft.com/fwlink/?linkid=870924
Comment:
    20-30 per week, averaging to 25</t>
      </text>
    </comment>
    <comment ref="E23" authorId="3" shapeId="0" xr:uid="{F72DA13F-1AAB-BB41-B0C9-3A0F66FBADE5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forget this!!!</t>
      </text>
    </comment>
    <comment ref="C27" authorId="4" shapeId="0" xr:uid="{2B455E9E-03B0-6745-885B-3EA55E72478B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</t>
      </text>
    </comment>
    <comment ref="H59" authorId="5" shapeId="0" xr:uid="{ABA7DC4B-44F7-D34F-BF3E-F32210868357}">
      <text>
        <t>[Threaded comment]
Your version of Excel allows you to read this threaded comment; however, any edits to it will get removed if the file is opened in a newer version of Excel. Learn more: https://go.microsoft.com/fwlink/?linkid=870924
Comment:
    split 90,000 in 2 b/c 2 admin assistants. But do these personnel costs include benefits?</t>
      </text>
    </comment>
    <comment ref="A64" authorId="6" shapeId="0" xr:uid="{AD070A10-9E4E-6447-9925-BEDE8BB315E1}">
      <text>
        <t>[Threaded comment]
Your version of Excel allows you to read this threaded comment; however, any edits to it will get removed if the file is opened in a newer version of Excel. Learn more: https://go.microsoft.com/fwlink/?linkid=870924
Comment:
    FTE ONLY</t>
      </text>
    </comment>
    <comment ref="A67" authorId="7" shapeId="0" xr:uid="{13736B8A-6E1A-1340-A935-63E36CE4E16D}">
      <text>
        <t>[Threaded comment]
Your version of Excel allows you to read this threaded comment; however, any edits to it will get removed if the file is opened in a newer version of Excel. Learn more: https://go.microsoft.com/fwlink/?linkid=870924
Comment:
    pay attention to monthly vs yearly when allocating costs! Will have to divide by c14 (except rent)</t>
      </text>
    </comment>
    <comment ref="A74" authorId="8" shapeId="0" xr:uid="{E612E8F9-B97C-2C41-9E9C-1790BBE18ED0}">
      <text>
        <t>[Threaded comment]
Your version of Excel allows you to read this threaded comment; however, any edits to it will get removed if the file is opened in a newer version of Excel. Learn more: https://go.microsoft.com/fwlink/?linkid=870924
Comment:
    Who counts as therapist? Therapy consultant?</t>
      </text>
    </comment>
    <comment ref="H89" authorId="9" shapeId="0" xr:uid="{6D9BD3E3-D81A-3849-9759-59B4323C820B}">
      <text>
        <t>[Threaded comment]
Your version of Excel allows you to read this threaded comment; however, any edits to it will get removed if the file is opened in a newer version of Excel. Learn more: https://go.microsoft.com/fwlink/?linkid=870924
Comment:
    8% admin, 2% Comm and dev</t>
      </text>
    </comment>
    <comment ref="A93" authorId="10" shapeId="0" xr:uid="{79F078F5-D548-DA4B-8FCC-0F2452774E49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to be equal allocation parameter? Or leave as a by title allocation?</t>
      </text>
    </comment>
    <comment ref="A96" authorId="11" shapeId="0" xr:uid="{550A4C81-BD61-0042-884D-C0A7DEE1A0AD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Specific to Education - so classroom and outreach</t>
      </text>
    </comment>
    <comment ref="H97" authorId="12" shapeId="0" xr:uid="{8A61305F-A726-E849-BC42-3E5BCAD8DC2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have to get allocated to programs at some point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tc={0464F091-B509-3242-987B-045663ADFC40}</author>
    <author>tc={6A893F32-3F0D-8E42-B159-31403DB5FD4C}</author>
    <author>tc={A70BA5B9-1B42-AC40-B4AC-4A465E056E30}</author>
    <author>tc={718E96F3-335F-BB46-BFB4-F8729BBB304D}</author>
  </authors>
  <commentList>
    <comment ref="B124" authorId="0" shapeId="0" xr:uid="{0464F091-B509-3242-987B-045663ADFC40}">
      <text>
        <t>[Threaded comment]
Your version of Excel allows you to read this threaded comment; however, any edits to it will get removed if the file is opened in a newer version of Excel. Learn more: https://go.microsoft.com/fwlink/?linkid=870924
Comment:
    October</t>
      </text>
    </comment>
    <comment ref="C124" authorId="1" shapeId="0" xr:uid="{6A893F32-3F0D-8E42-B159-31403DB5FD4C}">
      <text>
        <t>[Threaded comment]
Your version of Excel allows you to read this threaded comment; however, any edits to it will get removed if the file is opened in a newer version of Excel. Learn more: https://go.microsoft.com/fwlink/?linkid=870924
Comment:
    November</t>
      </text>
    </comment>
    <comment ref="D124" authorId="2" shapeId="0" xr:uid="{A70BA5B9-1B42-AC40-B4AC-4A465E056E30}">
      <text>
        <t>[Threaded comment]
Your version of Excel allows you to read this threaded comment; however, any edits to it will get removed if the file is opened in a newer version of Excel. Learn more: https://go.microsoft.com/fwlink/?linkid=870924
Comment:
    December</t>
      </text>
    </comment>
    <comment ref="C131" authorId="3" shapeId="0" xr:uid="{718E96F3-335F-BB46-BFB4-F8729BBB304D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multiply by month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tc={DFEAA8E7-EF68-AB44-84FC-0EA20395485F}</author>
    <author>tc={20E8F5C7-F19F-694A-8456-DB5BA0ECA200}</author>
    <author>tc={8F3AAA1D-C27C-BF46-B277-9C52DD863695}</author>
    <author>tc={3402C4C8-C398-B74D-A388-0349B72A9960}</author>
    <author>tc={B10C02BE-9810-0B48-A2DB-90BDCCFB235F}</author>
    <author>tc={6F3087AB-6CA8-EA40-BE4F-56EFD8C4EFC1}</author>
    <author>tc={C5AE4FF1-09EC-F04F-942D-927127852AF6}</author>
    <author>tc={75761D6F-626A-9449-8026-21521E00D056}</author>
  </authors>
  <commentList>
    <comment ref="F3" authorId="0" shapeId="0" xr:uid="{DFEAA8E7-EF68-AB44-84FC-0EA20395485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E4" authorId="1" shapeId="0" xr:uid="{20E8F5C7-F19F-694A-8456-DB5BA0ECA20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F9" authorId="2" shapeId="0" xr:uid="{8F3AAA1D-C27C-BF46-B277-9C52DD863695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7" authorId="3" shapeId="0" xr:uid="{3402C4C8-C398-B74D-A388-0349B72A9960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K17" authorId="4" shapeId="0" xr:uid="{B10C02BE-9810-0B48-A2DB-90BDCCFB235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6" authorId="5" shapeId="0" xr:uid="{6F3087AB-6CA8-EA40-BE4F-56EFD8C4EFC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H39" authorId="6" shapeId="0" xr:uid="{C5AE4FF1-09EC-F04F-942D-927127852AF6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56" authorId="7" shapeId="0" xr:uid="{75761D6F-626A-9449-8026-21521E00D05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tc={0908666A-ED18-A34D-97CF-EE76F6B3DE0C}</author>
    <author>tc={D72B3486-43C9-BE4E-BFD1-AC8975268ACE}</author>
    <author>tc={7E6493B9-E78F-CD45-B50B-7D5320DE3421}</author>
    <author>tc={42CD70CF-7990-3A4D-8709-423B34F1CE69}</author>
    <author>tc={9C9E8743-A169-2249-A145-E76F4CCFC86B}</author>
    <author>tc={0630D53D-FB50-D447-BFF2-488EED9FFB7D}</author>
    <author>tc={321024B4-FEFE-5240-B9DC-5C8534645F89}</author>
    <author>tc={35B97504-F0CC-C74E-B706-7A31A6B698A2}</author>
    <author>tc={464B1F4C-30BB-F149-A43A-28D7C727178B}</author>
  </authors>
  <commentList>
    <comment ref="F3" authorId="0" shapeId="0" xr:uid="{0908666A-ED18-A34D-97CF-EE76F6B3DE0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E4" authorId="1" shapeId="0" xr:uid="{D72B3486-43C9-BE4E-BFD1-AC8975268AC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F9" authorId="2" shapeId="0" xr:uid="{7E6493B9-E78F-CD45-B50B-7D5320DE342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7" authorId="3" shapeId="0" xr:uid="{42CD70CF-7990-3A4D-8709-423B34F1CE69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K17" authorId="4" shapeId="0" xr:uid="{9C9E8743-A169-2249-A145-E76F4CCFC86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6" authorId="5" shapeId="0" xr:uid="{0630D53D-FB50-D447-BFF2-488EED9FFB7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G39" authorId="6" shapeId="0" xr:uid="{321024B4-FEFE-5240-B9DC-5C8534645F89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H39" authorId="7" shapeId="0" xr:uid="{35B97504-F0CC-C74E-B706-7A31A6B698A2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56" authorId="8" shapeId="0" xr:uid="{464B1F4C-30BB-F149-A43A-28D7C727178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tc={E610A463-6DF6-A04F-9F88-583BC8D60FC8}</author>
    <author>tc={CBDBCF3F-EA1D-F240-8B87-F3ED53A9803C}</author>
    <author>tc={F0DCC80B-8947-CA42-8234-18BCE6955FDA}</author>
    <author>tc={5BF2FC00-1DCB-2F48-93B6-89D453F949D6}</author>
    <author>tc={66EB35DF-0BE5-AC44-9B0C-6A6462F2A886}</author>
    <author>tc={B070C318-87F2-2544-994F-C8E11D8D2BE0}</author>
    <author>tc={81BD4B74-5286-4A46-9D11-392E065C3DB6}</author>
    <author>tc={F14B0F8E-0F89-9A4B-80F9-4AE7B47253D7}</author>
    <author>tc={4C68FEDB-0063-7C4C-9DD7-B10143F03FD3}</author>
    <author>tc={55B2FCBC-0FC7-0346-B135-AC43929A6C47}</author>
    <author>tc={FCFCCDB2-17F4-B84D-8929-F52BF21F7C11}</author>
  </authors>
  <commentList>
    <comment ref="G3" authorId="0" shapeId="0" xr:uid="{E610A463-6DF6-A04F-9F88-583BC8D60F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F4" authorId="1" shapeId="0" xr:uid="{CBDBCF3F-EA1D-F240-8B87-F3ED53A9803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G8" authorId="2" shapeId="0" xr:uid="{F0DCC80B-8947-CA42-8234-18BCE6955FD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6" authorId="3" shapeId="0" xr:uid="{5BF2FC00-1DCB-2F48-93B6-89D453F949D6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L16" authorId="4" shapeId="0" xr:uid="{66EB35DF-0BE5-AC44-9B0C-6A6462F2A886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5" authorId="5" shapeId="0" xr:uid="{B070C318-87F2-2544-994F-C8E11D8D2BE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H38" authorId="6" shapeId="0" xr:uid="{81BD4B74-5286-4A46-9D11-392E065C3DB6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I38" authorId="7" shapeId="0" xr:uid="{F14B0F8E-0F89-9A4B-80F9-4AE7B47253D7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43" authorId="8" shapeId="0" xr:uid="{4C68FEDB-0063-7C4C-9DD7-B10143F03FD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hearing kids here!!!</t>
      </text>
    </comment>
    <comment ref="D43" authorId="9" shapeId="0" xr:uid="{55B2FCBC-0FC7-0346-B135-AC43929A6C4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strategy: 10% increase to non-deaf student tuition, 75% of deaf parents pay 35% of tuition (based on medicare estimate)</t>
      </text>
    </comment>
    <comment ref="A56" authorId="10" shapeId="0" xr:uid="{FCFCCDB2-17F4-B84D-8929-F52BF21F7C11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tc={60B5AE45-C6EF-AB46-8854-52CAFEF8DC3E}</author>
    <author>tc={1F3F0C29-3F45-4147-9F0D-5E67D857605C}</author>
    <author>tc={2535A177-CA6A-CC49-92D9-00B54CE29FB0}</author>
    <author>tc={DDA282F8-33E8-3743-904B-A47B408B1ABF}</author>
    <author>tc={B6666D6C-FB4F-F94E-B11B-5B96D3BC232E}</author>
    <author>tc={13B12A18-53FB-BD45-8F72-E7979883E773}</author>
    <author>tc={50A6AB6F-B96C-B941-B3E0-5423D2CBCF89}</author>
    <author>tc={643C5A78-BFEB-B741-BFDE-D76C743A7A51}</author>
    <author>tc={C5C05890-C4F1-9046-9507-14A7A0874D76}</author>
  </authors>
  <commentList>
    <comment ref="F3" authorId="0" shapeId="0" xr:uid="{60B5AE45-C6EF-AB46-8854-52CAFEF8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E4" authorId="1" shapeId="0" xr:uid="{1F3F0C29-3F45-4147-9F0D-5E67D857605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F9" authorId="2" shapeId="0" xr:uid="{2535A177-CA6A-CC49-92D9-00B54CE29FB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7" authorId="3" shapeId="0" xr:uid="{DDA282F8-33E8-3743-904B-A47B408B1ABF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K17" authorId="4" shapeId="0" xr:uid="{B6666D6C-FB4F-F94E-B11B-5B96D3BC232E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6" authorId="5" shapeId="0" xr:uid="{13B12A18-53FB-BD45-8F72-E7979883E773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G39" authorId="6" shapeId="0" xr:uid="{50A6AB6F-B96C-B941-B3E0-5423D2CBCF89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H39" authorId="7" shapeId="0" xr:uid="{643C5A78-BFEB-B741-BFDE-D76C743A7A51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56" authorId="8" shapeId="0" xr:uid="{C5C05890-C4F1-9046-9507-14A7A0874D76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tc={BEF3605B-C112-E945-BD26-244D68BD2D80}</author>
    <author>tc={3652249B-C977-C343-A910-9183EBBA6ACE}</author>
    <author>tc={A36B1C6C-9DBD-8B49-A02F-728AE71004CF}</author>
    <author>tc={4962F2EE-8944-B148-BAEC-12F23F28121D}</author>
    <author>tc={2B54FB2A-7049-1F42-9A63-C70FE1D32D1B}</author>
    <author>tc={BFE4474E-D435-EE41-A7FF-E833A1034BFA}</author>
    <author>tc={DB10221B-CFC6-1F4C-BA66-A5AEF9B3EF05}</author>
    <author>tc={DA3AFA56-9755-2B43-B5DD-1E6B13CD295A}</author>
    <author>tc={9C847BB6-D4B4-6841-A363-56FF0C787B41}</author>
    <author>tc={AD4A595A-AB1F-0448-995C-7208A872BABB}</author>
  </authors>
  <commentList>
    <comment ref="G3" authorId="0" shapeId="0" xr:uid="{BEF3605B-C112-E945-BD26-244D68BD2D80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F4" authorId="1" shapeId="0" xr:uid="{3652249B-C977-C343-A910-9183EBBA6ACE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G8" authorId="2" shapeId="0" xr:uid="{A36B1C6C-9DBD-8B49-A02F-728AE71004CF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6" authorId="3" shapeId="0" xr:uid="{4962F2EE-8944-B148-BAEC-12F23F28121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L16" authorId="4" shapeId="0" xr:uid="{2B54FB2A-7049-1F42-9A63-C70FE1D32D1B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5" authorId="5" shapeId="0" xr:uid="{BFE4474E-D435-EE41-A7FF-E833A1034BF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H38" authorId="6" shapeId="0" xr:uid="{DB10221B-CFC6-1F4C-BA66-A5AEF9B3EF05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I38" authorId="7" shapeId="0" xr:uid="{DA3AFA56-9755-2B43-B5DD-1E6B13CD295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43" authorId="8" shapeId="0" xr:uid="{9C847BB6-D4B4-6841-A363-56FF0C787B41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hearing kids here!!!</t>
      </text>
    </comment>
    <comment ref="A56" authorId="9" shapeId="0" xr:uid="{AD4A595A-AB1F-0448-995C-7208A872BAB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tc={495A6BBE-FC91-FC46-90F6-1DAB0A1D3441}</author>
    <author>tc={535DFAB3-26D4-9B40-BB32-A21627928EDC}</author>
    <author>tc={39878DE9-CA8C-DB42-B5CE-CF146C983D0C}</author>
    <author>tc={662B6B56-FA35-974A-9CB5-6E4A196C5533}</author>
    <author>tc={08D83BEF-CCD9-0F49-AF46-71588D82F09E}</author>
    <author>tc={1E6C9B48-F8D3-2D47-913B-9A378B9F79FE}</author>
    <author>tc={EFC73024-FBDF-D44F-B954-4361D02D8E61}</author>
    <author>tc={67F987FA-581E-F449-A602-8DCFA4C87F68}</author>
    <author>tc={F1030ED1-3C71-1C41-B468-1E2D578B7C4B}</author>
  </authors>
  <commentList>
    <comment ref="F3" authorId="0" shapeId="0" xr:uid="{495A6BBE-FC91-FC46-90F6-1DAB0A1D3441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E4" authorId="1" shapeId="0" xr:uid="{535DFAB3-26D4-9B40-BB32-A21627928EDC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F9" authorId="2" shapeId="0" xr:uid="{39878DE9-CA8C-DB42-B5CE-CF146C983D0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7" authorId="3" shapeId="0" xr:uid="{662B6B56-FA35-974A-9CB5-6E4A196C5533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K17" authorId="4" shapeId="0" xr:uid="{08D83BEF-CCD9-0F49-AF46-71588D82F09E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6" authorId="5" shapeId="0" xr:uid="{1E6C9B48-F8D3-2D47-913B-9A378B9F79FE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G39" authorId="6" shapeId="0" xr:uid="{EFC73024-FBDF-D44F-B954-4361D02D8E61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H39" authorId="7" shapeId="0" xr:uid="{67F987FA-581E-F449-A602-8DCFA4C87F68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56" authorId="8" shapeId="0" xr:uid="{F1030ED1-3C71-1C41-B468-1E2D578B7C4B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tc={787546EF-E2BF-2549-90C2-67E65100C3B7}</author>
    <author>tc={DCE748F8-AFA1-444C-9453-D7E6026977DB}</author>
    <author>tc={7BA13CFD-699F-9240-95E4-CC2FA65A3D5A}</author>
    <author>tc={A9CCDF89-0E5A-5F44-B0D3-E430E9E8D7B2}</author>
    <author>tc={B931745A-0164-024C-B660-41AC05E2920F}</author>
    <author>tc={FC850053-14F4-684D-8862-82E91FC0C7FB}</author>
    <author>tc={D683DF69-A9D1-3A43-BEDB-629CA8755842}</author>
    <author>tc={1728F59F-B221-F549-8ECE-275D331FD40A}</author>
    <author>tc={8A7E5027-5A9F-7746-A180-33964FCC7E84}</author>
  </authors>
  <commentList>
    <comment ref="F3" authorId="0" shapeId="0" xr:uid="{787546EF-E2BF-2549-90C2-67E65100C3B7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E4" authorId="1" shapeId="0" xr:uid="{DCE748F8-AFA1-444C-9453-D7E6026977D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students bc serve all students</t>
      </text>
    </comment>
    <comment ref="F8" authorId="2" shapeId="0" xr:uid="{7BA13CFD-699F-9240-95E4-CC2FA65A3D5A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adjust salaries so more employees are indirect?</t>
      </text>
    </comment>
    <comment ref="D16" authorId="3" shapeId="0" xr:uid="{A9CCDF89-0E5A-5F44-B0D3-E430E9E8D7B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teachers get yearly health coverage (b/c yearly salary?)</t>
      </text>
    </comment>
    <comment ref="K16" authorId="4" shapeId="0" xr:uid="{B931745A-0164-024C-B660-41AC05E2920F}">
      <text>
        <t>[Threaded comment]
Your version of Excel allows you to read this threaded comment; however, any edits to it will get removed if the file is opened in a newer version of Excel. Learn more: https://go.microsoft.com/fwlink/?linkid=870924
Comment:
    don’t double count this in total direct costs</t>
      </text>
    </comment>
    <comment ref="A25" authorId="5" shapeId="0" xr:uid="{FC850053-14F4-684D-8862-82E91FC0C7FB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change to per unit?</t>
      </text>
    </comment>
    <comment ref="G38" authorId="6" shapeId="0" xr:uid="{D683DF69-A9D1-3A43-BEDB-629CA8755842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H38" authorId="7" shapeId="0" xr:uid="{1728F59F-B221-F549-8ECE-275D331FD40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disbursement</t>
      </text>
    </comment>
    <comment ref="A56" authorId="8" shapeId="0" xr:uid="{8A7E5027-5A9F-7746-A180-33964FCC7E84}">
      <text>
        <t>[Threaded comment]
Your version of Excel allows you to read this threaded comment; however, any edits to it will get removed if the file is opened in a newer version of Excel. Learn more: https://go.microsoft.com/fwlink/?linkid=870924
Comment:
    equally allocated admin and development costs across dept</t>
      </text>
    </comment>
  </commentList>
</comments>
</file>

<file path=xl/sharedStrings.xml><?xml version="1.0" encoding="utf-8"?>
<sst xmlns="http://schemas.openxmlformats.org/spreadsheetml/2006/main" count="1179" uniqueCount="469">
  <si>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</si>
  <si>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</si>
  <si>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</si>
  <si>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</si>
  <si>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</si>
  <si>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</si>
  <si>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</si>
  <si>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</si>
  <si>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</si>
  <si>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</si>
  <si>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</si>
  <si>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</si>
  <si>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</si>
  <si>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LPNs</t>
  </si>
  <si>
    <t>Certified Staff</t>
  </si>
  <si>
    <t>Total Staff</t>
  </si>
  <si>
    <t xml:space="preserve"> Salaries</t>
  </si>
  <si>
    <t xml:space="preserve">   LPNs</t>
  </si>
  <si>
    <t xml:space="preserve">   Certified Assistants</t>
  </si>
  <si>
    <t xml:space="preserve">   Recreation Coordinator</t>
  </si>
  <si>
    <t xml:space="preserve">  Sub-total</t>
  </si>
  <si>
    <t xml:space="preserve">   Social Security</t>
  </si>
  <si>
    <t xml:space="preserve">   Unemp/Disability</t>
  </si>
  <si>
    <t xml:space="preserve">   Health Insurance</t>
  </si>
  <si>
    <t xml:space="preserve">   Pensions and OPEB</t>
  </si>
  <si>
    <t xml:space="preserve">   Activities</t>
  </si>
  <si>
    <t xml:space="preserve">   Employee certifications</t>
  </si>
  <si>
    <t xml:space="preserve">  Sub-Total</t>
  </si>
  <si>
    <t>Total Revenues</t>
  </si>
  <si>
    <t>Assumptions:</t>
  </si>
  <si>
    <t>2) There is no employee turnover.</t>
  </si>
  <si>
    <t>Parameters:</t>
  </si>
  <si>
    <t xml:space="preserve">  Employees (rounded up)</t>
  </si>
  <si>
    <t xml:space="preserve">  Salary Expenditures</t>
  </si>
  <si>
    <t xml:space="preserve">  Fringe Benefits</t>
  </si>
  <si>
    <t xml:space="preserve">   Social Security (%)</t>
  </si>
  <si>
    <t xml:space="preserve">   Unemp/Disability (%)</t>
  </si>
  <si>
    <t xml:space="preserve">  Other Expenditures</t>
  </si>
  <si>
    <t>Attendees</t>
  </si>
  <si>
    <t>Surplus/(Deficit)</t>
  </si>
  <si>
    <t>Total Expenses</t>
  </si>
  <si>
    <t>Expenses:</t>
  </si>
  <si>
    <t>Coho Adult Day Services</t>
  </si>
  <si>
    <t xml:space="preserve">   Utilities</t>
  </si>
  <si>
    <t xml:space="preserve">   Starting enrollment</t>
  </si>
  <si>
    <t xml:space="preserve">   Insurance</t>
  </si>
  <si>
    <t xml:space="preserve">   Operational months/year</t>
  </si>
  <si>
    <t>Revenues:</t>
  </si>
  <si>
    <t xml:space="preserve">  Other Expenses</t>
  </si>
  <si>
    <t xml:space="preserve">   Facility Certification</t>
  </si>
  <si>
    <t xml:space="preserve">   Facility Renovation</t>
  </si>
  <si>
    <t xml:space="preserve">   Paid days/month</t>
  </si>
  <si>
    <t>Work days/month</t>
  </si>
  <si>
    <t>4) For the Administrator and recreation coordinator, no additional staff will be hired for vacation/sick days</t>
  </si>
  <si>
    <t xml:space="preserve">3) For the LPNs and certified staff assistants, we assume additional staff would be hired to cover for vacation and sick days.  </t>
  </si>
  <si>
    <t>Recreational Coordinator</t>
  </si>
  <si>
    <t xml:space="preserve">   Employee CPEs</t>
  </si>
  <si>
    <t>Surplus/(Deficit) as a percent of Expenses</t>
  </si>
  <si>
    <t>5) Employees are not paid during training/certification days.</t>
  </si>
  <si>
    <t>8) Employee certification is conducted prior to the start of employment. It is employer sponsored. CPE credit are pro-rated and employer sponsored.</t>
  </si>
  <si>
    <t>7) General fund proceeds, renovation costs, facility certification costs, Insurance, and utilities allocated equally across months.</t>
  </si>
  <si>
    <t>Operating Budget</t>
  </si>
  <si>
    <t>Budget - Parameters</t>
  </si>
  <si>
    <t>Begin Cash Balance</t>
  </si>
  <si>
    <t>End Cash Balance</t>
  </si>
  <si>
    <t xml:space="preserve">  Health Insurance Subsidy</t>
  </si>
  <si>
    <t xml:space="preserve">  General Fund Subsidy</t>
  </si>
  <si>
    <t xml:space="preserve">  Monthly Fee</t>
  </si>
  <si>
    <t xml:space="preserve">   Maximum Enrollment</t>
  </si>
  <si>
    <t>6) Attendee fees are monthly even if the attendee is absent some days.</t>
  </si>
  <si>
    <t>Administrator/Nurse Practioner</t>
  </si>
  <si>
    <t xml:space="preserve">   Administrator/Nurse Practioner</t>
  </si>
  <si>
    <t>Parent-Infant 
Program</t>
  </si>
  <si>
    <t>Classroom 
Program</t>
  </si>
  <si>
    <t>Outreach 
Program</t>
  </si>
  <si>
    <t>Audiology Services 
Program</t>
  </si>
  <si>
    <t>Parent-Infant</t>
  </si>
  <si>
    <t>Benefit (all)</t>
  </si>
  <si>
    <t xml:space="preserve">Benefit (FTE) </t>
  </si>
  <si>
    <t>Base Salary</t>
  </si>
  <si>
    <t>Title/ Category</t>
  </si>
  <si>
    <t>TOTAL per employee</t>
  </si>
  <si>
    <t>Number of employees</t>
  </si>
  <si>
    <t>Total per category</t>
  </si>
  <si>
    <t>Speech-Hearing Therapists</t>
  </si>
  <si>
    <t>Status</t>
  </si>
  <si>
    <t>FTE</t>
  </si>
  <si>
    <t>PTE</t>
  </si>
  <si>
    <t>Classroom</t>
  </si>
  <si>
    <t>Full-Day Teacher</t>
  </si>
  <si>
    <t>Half-Day Teacher</t>
  </si>
  <si>
    <t>Outreach</t>
  </si>
  <si>
    <t>Lead Therapist*</t>
  </si>
  <si>
    <t>Parent Infant</t>
  </si>
  <si>
    <t>COST ALLOCATION</t>
  </si>
  <si>
    <t>Therapy Consultant</t>
  </si>
  <si>
    <t>Audiology</t>
  </si>
  <si>
    <t>Audiologist</t>
  </si>
  <si>
    <t>Administration, Communications and Development</t>
  </si>
  <si>
    <t>Executive Director</t>
  </si>
  <si>
    <t>Manager of Finance and Operations</t>
  </si>
  <si>
    <t>Accountant</t>
  </si>
  <si>
    <t>Education Director</t>
  </si>
  <si>
    <t>Development Director</t>
  </si>
  <si>
    <t>Development Coordinator</t>
  </si>
  <si>
    <t>Administrative Assistant</t>
  </si>
  <si>
    <t>in percent</t>
  </si>
  <si>
    <t>NOTES - no formulas</t>
  </si>
  <si>
    <t>Assumptions at bottom (max 10)</t>
  </si>
  <si>
    <t>NOTE - no hardcoded</t>
  </si>
  <si>
    <r>
      <t xml:space="preserve">Personnel </t>
    </r>
    <r>
      <rPr>
        <sz val="8"/>
        <rFont val="Avenir Next Regular"/>
      </rPr>
      <t>(see assumption 2)</t>
    </r>
  </si>
  <si>
    <t>TOTAL REVENUE</t>
  </si>
  <si>
    <t>Net Cash Flows</t>
  </si>
  <si>
    <t>Begin Balance</t>
  </si>
  <si>
    <t>End Balance</t>
  </si>
  <si>
    <t>Assumptions</t>
  </si>
  <si>
    <t xml:space="preserve">1. Work on gravel roads is to be completed, equally over a nine month period, beginning in March and ending in November. </t>
  </si>
  <si>
    <t>2. Salaries and wages are paid equally over 12 months.</t>
  </si>
  <si>
    <t>3. Depreciation expense does not result in a cash outflow.</t>
  </si>
  <si>
    <t>4. State reimbursements will be received in the month following service. One month of revenues will be collected in January 2021.</t>
  </si>
  <si>
    <t>Since depreciation does not result in a cash outflow -- you'll report a surplus on the cash flow budget even though you report a deficit in your program budget.</t>
  </si>
  <si>
    <t>Therapy Consultant (#) - Outreach</t>
  </si>
  <si>
    <t>Lead Therapist* (#) - Outreach</t>
  </si>
  <si>
    <t>Speech-Hearing Therapist (#) - Parent-Infant</t>
  </si>
  <si>
    <t>Full-Day Teacher (#) - Classroom</t>
  </si>
  <si>
    <t>Audiologist (#) - Audiology</t>
  </si>
  <si>
    <t>Executive Director (#) - Ind</t>
  </si>
  <si>
    <t>Manager of Finance and Operations (#) - Ind</t>
  </si>
  <si>
    <t>Accountant (#) - Ind</t>
  </si>
  <si>
    <t>Education Director (#) - Ind</t>
  </si>
  <si>
    <t>Development Director (#) - Ind</t>
  </si>
  <si>
    <t>Development Coordinator (#) - Ind</t>
  </si>
  <si>
    <t>Administrative Assistant (#) - Ind</t>
  </si>
  <si>
    <t>Speech-Hearing Therapist (base salary) - Parent-Infant</t>
  </si>
  <si>
    <t>Full-Day Teacher (base salary) - Classroom</t>
  </si>
  <si>
    <t>Half-Day Teacher (base salary) - Classroom</t>
  </si>
  <si>
    <t>Lead Therapist* (base salary) - Outreach</t>
  </si>
  <si>
    <t>Therapy Consultant (base salary) - Outreach</t>
  </si>
  <si>
    <t>Audiologist (base salary) - Audiology</t>
  </si>
  <si>
    <t>Executive Director (base salary) - Ind</t>
  </si>
  <si>
    <t>Manager of Finance and Operations (base salary) - Ind</t>
  </si>
  <si>
    <t>Accountant (base salary) - Ind</t>
  </si>
  <si>
    <t>Education Director (base salary) - Ind</t>
  </si>
  <si>
    <t>Development Director (base salary) - Ind</t>
  </si>
  <si>
    <t>Development Coordinator (base salary) - Ind</t>
  </si>
  <si>
    <t>Administrative Assistant (base salary) - Ind</t>
  </si>
  <si>
    <t>Direct FTE</t>
  </si>
  <si>
    <t>Cost Type &amp; Allocation</t>
  </si>
  <si>
    <t>Direct costs:</t>
  </si>
  <si>
    <t>Direct, Variable</t>
  </si>
  <si>
    <t>Direct, Step-Fixed</t>
  </si>
  <si>
    <t>Total Direct Costs</t>
  </si>
  <si>
    <t>Indirect costs:</t>
  </si>
  <si>
    <t>Total Indirect Cost</t>
  </si>
  <si>
    <t xml:space="preserve">TOTAL COST </t>
  </si>
  <si>
    <t>TOTAL SURPLUS/DEFICIT</t>
  </si>
  <si>
    <t>Surplus (deficit) per mile</t>
  </si>
  <si>
    <t>Surplus/(Deficit) % of Total Cost</t>
  </si>
  <si>
    <t>Allocation Factor</t>
  </si>
  <si>
    <t>Direct Costs</t>
  </si>
  <si>
    <t>Half-Day Teacher (#) - Classroom/ PART TIME</t>
  </si>
  <si>
    <t xml:space="preserve">   Health, dental and vision coverage ($/month)</t>
  </si>
  <si>
    <t xml:space="preserve">   Employee Retirement and Disability Coverage</t>
  </si>
  <si>
    <t>Indirect Cost Allocations</t>
  </si>
  <si>
    <t>Lead Outreach Therapist (% time)</t>
  </si>
  <si>
    <t>Staff Positions - Base Salary</t>
  </si>
  <si>
    <r>
      <t>Rubenstein Foundation Time-Restricted Operating Grant - FY 2020 Disbursement (</t>
    </r>
    <r>
      <rPr>
        <i/>
        <sz val="8"/>
        <rFont val="Baskerville"/>
        <family val="1"/>
      </rPr>
      <t>unrestricted)</t>
    </r>
  </si>
  <si>
    <t>Rubenstein yearly payout - unrestricted</t>
  </si>
  <si>
    <t>Rubenstein Foundation Restricted Audiology Grant - FY 2020 Disbursement</t>
  </si>
  <si>
    <t>Oct 2019 (FY 2020) Gala Scenarios</t>
  </si>
  <si>
    <r>
      <rPr>
        <i/>
        <sz val="8"/>
        <rFont val="Baskerville"/>
        <family val="1"/>
      </rPr>
      <t xml:space="preserve">Scenario 1: </t>
    </r>
    <r>
      <rPr>
        <sz val="8"/>
        <rFont val="Baskerville"/>
        <family val="1"/>
      </rPr>
      <t xml:space="preserve">50% Chance </t>
    </r>
  </si>
  <si>
    <r>
      <rPr>
        <i/>
        <sz val="8"/>
        <rFont val="Baskerville"/>
        <family val="1"/>
      </rPr>
      <t xml:space="preserve">Scenario 2: </t>
    </r>
    <r>
      <rPr>
        <sz val="8"/>
        <rFont val="Baskerville"/>
        <family val="1"/>
      </rPr>
      <t xml:space="preserve">40% Chance </t>
    </r>
  </si>
  <si>
    <r>
      <rPr>
        <i/>
        <sz val="8"/>
        <rFont val="Baskerville"/>
        <family val="1"/>
      </rPr>
      <t xml:space="preserve">Scenario 3: </t>
    </r>
    <r>
      <rPr>
        <sz val="8"/>
        <rFont val="Baskerville"/>
        <family val="1"/>
      </rPr>
      <t xml:space="preserve">10% Chance </t>
    </r>
  </si>
  <si>
    <t xml:space="preserve">Manager of Finance and Operations </t>
  </si>
  <si>
    <t>Administrative Assistants</t>
  </si>
  <si>
    <t xml:space="preserve">   Insurance (yearly)</t>
  </si>
  <si>
    <t xml:space="preserve">   Phone/ Internet service (yearly)</t>
  </si>
  <si>
    <t>Building Operating and Maintenance Costs</t>
  </si>
  <si>
    <t>Cleaning (yearly)</t>
  </si>
  <si>
    <t>Equipment (Computers, Printers etc.) (yearly)</t>
  </si>
  <si>
    <t xml:space="preserve">   Rent (monthly)</t>
  </si>
  <si>
    <t>Cascadia AY 2020 - Oct 2019 - Sep 2020</t>
  </si>
  <si>
    <t>Staff Indirect Cost Allocations</t>
  </si>
  <si>
    <t>Building Operating and Maintenance Allocation</t>
  </si>
  <si>
    <t>Re-certifications (per Therapist)</t>
  </si>
  <si>
    <t>Teacher Training (per Teacher)</t>
  </si>
  <si>
    <t>Training and Conferences (per Audiologist)</t>
  </si>
  <si>
    <t>Marketing Materials</t>
  </si>
  <si>
    <t>Newsletter</t>
  </si>
  <si>
    <t>Postage</t>
  </si>
  <si>
    <t>Travel and Mileage (Outreach per Consultant)</t>
  </si>
  <si>
    <t>Audiology Equipment</t>
  </si>
  <si>
    <t>Professional fees (yearly)</t>
  </si>
  <si>
    <t>Development Expenses (yearly)</t>
  </si>
  <si>
    <t>Other Program Expenses (yearly)</t>
  </si>
  <si>
    <t>Art Supplies and Teaching Aids (per class)</t>
  </si>
  <si>
    <t>Office Supplies and Misc. Expenses</t>
  </si>
  <si>
    <t>Other Parameters</t>
  </si>
  <si>
    <t>FY 2020 - Cash Balances Beg. Oct 1 2019</t>
  </si>
  <si>
    <t xml:space="preserve">Classroom </t>
  </si>
  <si>
    <t xml:space="preserve">Outreach </t>
  </si>
  <si>
    <t xml:space="preserve">Output Units: Attendees, Consultations and Appointments </t>
  </si>
  <si>
    <t>Indirect Costs: Admin, Comms and Dev Depts</t>
  </si>
  <si>
    <t>Other Indirect Costs</t>
  </si>
  <si>
    <t>General 
Parameter</t>
  </si>
  <si>
    <t xml:space="preserve">  Revenues  (can change headers for time?)</t>
  </si>
  <si>
    <t xml:space="preserve"> % Land Use Allocation (RENT - Building, Operating and Maintenance Costs)</t>
  </si>
  <si>
    <t>Black = given info from case, red = assumption</t>
  </si>
  <si>
    <t>Notes</t>
  </si>
  <si>
    <t>Variable-Step Cost</t>
  </si>
  <si>
    <t>Indirect, Fixed</t>
  </si>
  <si>
    <t>Direct, Variable-Step</t>
  </si>
  <si>
    <t>Indirect, Variable</t>
  </si>
  <si>
    <t>Direct, Fixed</t>
  </si>
  <si>
    <t>Given Allocation</t>
  </si>
  <si>
    <t>Equal</t>
  </si>
  <si>
    <t>Direct - Classroom and Outreach</t>
  </si>
  <si>
    <t>(need development allocation)</t>
  </si>
  <si>
    <t>1) FTE work 8 hours per day, 20 days a month during their program's operational months. PTE work 4 hours per day, 20 days a month, during their program's operational months</t>
  </si>
  <si>
    <t>DONE</t>
  </si>
  <si>
    <t>Costs (though double check)</t>
  </si>
  <si>
    <t>To Do:</t>
  </si>
  <si>
    <t>Output units for all programs</t>
  </si>
  <si>
    <t>Revenue by program</t>
  </si>
  <si>
    <t>Allocation of Indirect costs (depts)</t>
  </si>
  <si>
    <t>Growth scenarios</t>
  </si>
  <si>
    <t>Build Baseline Program Budget</t>
  </si>
  <si>
    <t xml:space="preserve">   Hours/day/full-time employee</t>
  </si>
  <si>
    <t xml:space="preserve">   Attendee/Staff ratio (Parent-Infant)</t>
  </si>
  <si>
    <t>Minimum Scenario - Attendee/Staff ratio (Parent-Infant)</t>
  </si>
  <si>
    <t>Ratios</t>
  </si>
  <si>
    <t xml:space="preserve">Operating Time Info </t>
  </si>
  <si>
    <t>Number of staff by category</t>
  </si>
  <si>
    <t>(Medical Billing Assistant) - for Audiology growth scenario</t>
  </si>
  <si>
    <t>Operational weeks/ year</t>
  </si>
  <si>
    <t>Half Day Students</t>
  </si>
  <si>
    <t>County Funding</t>
  </si>
  <si>
    <t>County Funding (per student/ per month)</t>
  </si>
  <si>
    <t>Appointments per week per therapist</t>
  </si>
  <si>
    <t>IDEA reimbursement (per student/ per month)</t>
  </si>
  <si>
    <t>IDEA reimbursement eligible percentage</t>
  </si>
  <si>
    <t>Classroom Tuition (Full-Day) (out of pocket per student/mo)</t>
  </si>
  <si>
    <t>Classroom Tuition (Half-Day) (out of pocket per student/mo)</t>
  </si>
  <si>
    <t xml:space="preserve">School district reimbursement rate </t>
  </si>
  <si>
    <t>Full Day Students</t>
  </si>
  <si>
    <t>Normal hearing students</t>
  </si>
  <si>
    <t>Deaf students (same ratio for fullday and halfday)</t>
  </si>
  <si>
    <t>Outreach revenue</t>
  </si>
  <si>
    <t>(Therapy Consultant) - for Outreach growth scenario</t>
  </si>
  <si>
    <t>Outreach growth scenario additional revenue</t>
  </si>
  <si>
    <t>Revenue per audiology visit</t>
  </si>
  <si>
    <t>Attendee/Teacher ratio (Classroom)</t>
  </si>
  <si>
    <t>Audiology Medicaid % students covered</t>
  </si>
  <si>
    <t>Audiology Scenario (For non-medicaid): Minimal fee per visit</t>
  </si>
  <si>
    <t>Audiology Scenario (For non-medicaid): Free</t>
  </si>
  <si>
    <t>Expected Gala expenses</t>
  </si>
  <si>
    <r>
      <t xml:space="preserve">Cascadia (2020) - </t>
    </r>
    <r>
      <rPr>
        <b/>
        <sz val="16"/>
        <color rgb="FFFF0000"/>
        <rFont val="Gill Sans"/>
        <family val="2"/>
      </rPr>
      <t>Baseline Program Budget</t>
    </r>
  </si>
  <si>
    <t>Direct PTE</t>
  </si>
  <si>
    <t xml:space="preserve">  Salaries </t>
  </si>
  <si>
    <t>Administration</t>
  </si>
  <si>
    <t>Communication and Development</t>
  </si>
  <si>
    <t>Cost Centers</t>
  </si>
  <si>
    <t>Mission Centers</t>
  </si>
  <si>
    <t>Parent-Infant Program</t>
  </si>
  <si>
    <t>Classroom Program</t>
  </si>
  <si>
    <t>Outreach Program</t>
  </si>
  <si>
    <t>Audiology Services</t>
  </si>
  <si>
    <t>Communications and Development</t>
  </si>
  <si>
    <t>Operating Months</t>
  </si>
  <si>
    <t>Max Enrollment</t>
  </si>
  <si>
    <t>Staffing</t>
  </si>
  <si>
    <t>Child to therapist ratio (rounded up)</t>
  </si>
  <si>
    <t>Scenario ratio (child to therapist) - min ratio</t>
  </si>
  <si>
    <t>Scenario ratio (child to therapist) - max ratio</t>
  </si>
  <si>
    <t>Current # Speech Hearing Therapists</t>
  </si>
  <si>
    <t>Growth condition: More therapists (ratio) and office space; minimum hire 1 therapist</t>
  </si>
  <si>
    <t>Output</t>
  </si>
  <si>
    <t>Revenue</t>
  </si>
  <si>
    <t>County funding (per child per month)</t>
  </si>
  <si>
    <t>Currently Enrolled Children</t>
  </si>
  <si>
    <t>IDEA reimbursement (per child per month)</t>
  </si>
  <si>
    <t>Families eligible for IDEA reimbursement</t>
  </si>
  <si>
    <t>Revenue Scenario: Charging non-IDEA eligible parents</t>
  </si>
  <si>
    <t>Revenue Scenario: % applicable</t>
  </si>
  <si>
    <t>(times total children)</t>
  </si>
  <si>
    <t>Payment Timeframe</t>
  </si>
  <si>
    <t>Half in Nov and Half in May</t>
  </si>
  <si>
    <t>Ratio Children to teacher</t>
  </si>
  <si>
    <t>Current Full Day Classes</t>
  </si>
  <si>
    <t>Current Half Day Classes</t>
  </si>
  <si>
    <t>Part-time teachers</t>
  </si>
  <si>
    <t>Ineligible for some fringe benefits</t>
  </si>
  <si>
    <t>Full-time teachers</t>
  </si>
  <si>
    <t>Half-Day Normal Hearing Students</t>
  </si>
  <si>
    <t>(full tuition, no school district reimbursement)</t>
  </si>
  <si>
    <t>School District Reimbursement</t>
  </si>
  <si>
    <t>Paid in Nov and May</t>
  </si>
  <si>
    <t>Full-Day Normal Hearing Students</t>
  </si>
  <si>
    <t>Growth Scenario</t>
  </si>
  <si>
    <t>Deaf Students on waiting list</t>
  </si>
  <si>
    <t>Normal-Hearing Students on Wating List</t>
  </si>
  <si>
    <t>Max number of teachers to hire</t>
  </si>
  <si>
    <t>(10:1 student teacher ratio)</t>
  </si>
  <si>
    <t>Condition: Can only expand if close Outreach OR Audiology Program</t>
  </si>
  <si>
    <t>Condition: If expand half-day, must expand full-day in 3 years</t>
  </si>
  <si>
    <t>Lead Therapist</t>
  </si>
  <si>
    <t>(See allocation factors for lead therapist)</t>
  </si>
  <si>
    <t>Therapy Consultants</t>
  </si>
  <si>
    <t>Per year revenue</t>
  </si>
  <si>
    <t>Growth Scenario Revenue</t>
  </si>
  <si>
    <t>deficit</t>
  </si>
  <si>
    <t>(still deficit)</t>
  </si>
  <si>
    <t>DELETE THIS!!</t>
  </si>
  <si>
    <t>note to cut outreach, costs more than it makes and not key to mission</t>
  </si>
  <si>
    <t xml:space="preserve">Operating Weeks </t>
  </si>
  <si>
    <t>(NOTE in weeks not months)</t>
  </si>
  <si>
    <t>Appointments/patients per week</t>
  </si>
  <si>
    <t>Assumption - taking average when given a range</t>
  </si>
  <si>
    <t>FTE Audiologist</t>
  </si>
  <si>
    <t>Salary: Audiologist</t>
  </si>
  <si>
    <t>Medicaid Reimbursement (per visit)</t>
  </si>
  <si>
    <t>Patients covered by Medicaid</t>
  </si>
  <si>
    <t>Current patients in school</t>
  </si>
  <si>
    <t>(Enrolled in parent-infant + classroom program)</t>
  </si>
  <si>
    <t>Right now this is only calculation, delete if unnecessary</t>
  </si>
  <si>
    <t>Patients not covered by Medicaid</t>
  </si>
  <si>
    <r>
      <t>Scenario</t>
    </r>
    <r>
      <rPr>
        <sz val="10"/>
        <rFont val="Arial"/>
        <family val="2"/>
      </rPr>
      <t>: Minimal fee for visit</t>
    </r>
    <r>
      <rPr>
        <i/>
        <sz val="10"/>
        <rFont val="Arial"/>
        <family val="2"/>
      </rPr>
      <t xml:space="preserve"> (per appt for those ineligible)</t>
    </r>
  </si>
  <si>
    <r>
      <t xml:space="preserve">Scenario: </t>
    </r>
    <r>
      <rPr>
        <sz val="10"/>
        <rFont val="Arial"/>
        <family val="2"/>
      </rPr>
      <t>No charge for ineligible</t>
    </r>
  </si>
  <si>
    <r>
      <t xml:space="preserve">Scenario: </t>
    </r>
    <r>
      <rPr>
        <sz val="10"/>
        <rFont val="Arial"/>
        <family val="2"/>
      </rPr>
      <t>No service for non-Medicaid eligible</t>
    </r>
  </si>
  <si>
    <t>2 increments AY 2020-2021</t>
  </si>
  <si>
    <t>FTE Medical Billing Assistant</t>
  </si>
  <si>
    <t>Question: Are they getting medicaid reimbursement now at all?</t>
  </si>
  <si>
    <t>#</t>
  </si>
  <si>
    <t>Salary</t>
  </si>
  <si>
    <t>(Salary)</t>
  </si>
  <si>
    <t>(salary)</t>
  </si>
  <si>
    <t>(Allocate to Comms and Dev?)</t>
  </si>
  <si>
    <t>Non-Personnel Costs</t>
  </si>
  <si>
    <t>Insurance</t>
  </si>
  <si>
    <t>Phone/Internet Service</t>
  </si>
  <si>
    <t>Land allocation</t>
  </si>
  <si>
    <t># Employee Allocation</t>
  </si>
  <si>
    <t xml:space="preserve">Allocation </t>
  </si>
  <si>
    <t>Cleaning</t>
  </si>
  <si>
    <t>Equipment</t>
  </si>
  <si>
    <t>Furniture and Building Repair and Maintenance</t>
  </si>
  <si>
    <t>Re-certifications (for Therapists)</t>
  </si>
  <si>
    <t># therapists</t>
  </si>
  <si>
    <t>Teacher Training (per teacher)</t>
  </si>
  <si>
    <t>Training and Conferences (per audiologist)</t>
  </si>
  <si>
    <t>Travel and Mileage Per Consultant</t>
  </si>
  <si>
    <t>Audiology Equipment (and upkeep)</t>
  </si>
  <si>
    <t>Office Supplies and Misc Expenses</t>
  </si>
  <si>
    <t>Rent per month</t>
  </si>
  <si>
    <t xml:space="preserve">FY2020 Gala </t>
  </si>
  <si>
    <t>General Parameters</t>
  </si>
  <si>
    <t>General Revenue</t>
  </si>
  <si>
    <t>Beginning Cash Balances (Oct 2019)</t>
  </si>
  <si>
    <t>Allocation Framework</t>
  </si>
  <si>
    <t>Land Use Allocation</t>
  </si>
  <si>
    <t>Admin</t>
  </si>
  <si>
    <t>Comms and Dev</t>
  </si>
  <si>
    <t>Percent of Total Employees</t>
  </si>
  <si>
    <t>Total Number of Employees</t>
  </si>
  <si>
    <t>Baseline</t>
  </si>
  <si>
    <t>Expanded Audiology</t>
  </si>
  <si>
    <t>Cut Outreach</t>
  </si>
  <si>
    <t>Cut Outreach and Expand Audiology</t>
  </si>
  <si>
    <t xml:space="preserve">Rent </t>
  </si>
  <si>
    <t>All Else</t>
  </si>
  <si>
    <t>Lead Therapist Allocation</t>
  </si>
  <si>
    <t xml:space="preserve">Lead Therapist </t>
  </si>
  <si>
    <t>Total Salary + Benefits</t>
  </si>
  <si>
    <t>Total Current Expense</t>
  </si>
  <si>
    <t>Total Current Revenue</t>
  </si>
  <si>
    <t>Revenue - Expense</t>
  </si>
  <si>
    <t>Charge non-IDEA families</t>
  </si>
  <si>
    <t>Add 1 therapist, add 145 students</t>
  </si>
  <si>
    <t>Enrolled Students</t>
  </si>
  <si>
    <t>Therapists</t>
  </si>
  <si>
    <t>Scenario Cost</t>
  </si>
  <si>
    <t>Scenario Revenue (without charging 5%)</t>
  </si>
  <si>
    <t xml:space="preserve">Total </t>
  </si>
  <si>
    <t>** So should grow Parent-Infant</t>
  </si>
  <si>
    <t>Students Enrolled</t>
  </si>
  <si>
    <t>Direct Cost per student</t>
  </si>
  <si>
    <t>NA</t>
  </si>
  <si>
    <t>Note = when no direct student enrollment, divided by total students</t>
  </si>
  <si>
    <t>Indirect cost per student</t>
  </si>
  <si>
    <t>Total Cost per student</t>
  </si>
  <si>
    <t>Revenue:</t>
  </si>
  <si>
    <t>Grant Revenue</t>
  </si>
  <si>
    <t>Estimated Gala Revenue</t>
  </si>
  <si>
    <t>weighted average</t>
  </si>
  <si>
    <t>IDEA Reimbursement</t>
  </si>
  <si>
    <t>Half-Day Deaf Students</t>
  </si>
  <si>
    <t>Full-Day Deaf Students</t>
  </si>
  <si>
    <t>Outreach Revenue</t>
  </si>
  <si>
    <t>Audiology not in revenue until it is expanded - not charging fees yet</t>
  </si>
  <si>
    <t>Audiology per appt reimbursement</t>
  </si>
  <si>
    <t>rent now for full year</t>
  </si>
  <si>
    <t>Benefits for All</t>
  </si>
  <si>
    <t>Fringe Benefits</t>
  </si>
  <si>
    <t xml:space="preserve">   Medicare (%)</t>
  </si>
  <si>
    <t>Personnel Costs</t>
  </si>
  <si>
    <t>Parent Tuition</t>
  </si>
  <si>
    <t>indirect, by FTE?</t>
  </si>
  <si>
    <t>Direct Total Employees</t>
  </si>
  <si>
    <t xml:space="preserve">Personnel Cost Sub-Total </t>
  </si>
  <si>
    <t>Direct Land Use</t>
  </si>
  <si>
    <t>School District Tuition Reimbursement</t>
  </si>
  <si>
    <t>Made direct cost to classroom program</t>
  </si>
  <si>
    <t>1. Assuming that parents are currently not covering part of tuition not covered by reimbursement</t>
  </si>
  <si>
    <t>2. Allocating building costs based on sq ft</t>
  </si>
  <si>
    <t>Allocate by direct cost</t>
  </si>
  <si>
    <t>should be -279500</t>
  </si>
  <si>
    <t>Mission Center Totals</t>
  </si>
  <si>
    <t>3. Allocating Admin by TE</t>
  </si>
  <si>
    <t>4. Allocating Comms and Dev by Direct Cost</t>
  </si>
  <si>
    <t>Development Expenses (Gala)</t>
  </si>
  <si>
    <t>Development</t>
  </si>
  <si>
    <t>Indirect, Total Cost</t>
  </si>
  <si>
    <t>Percent Direct Costs</t>
  </si>
  <si>
    <t>Indirect, Total Employee</t>
  </si>
  <si>
    <t>Building Operating and Maintenance Expenses</t>
  </si>
  <si>
    <t xml:space="preserve">  Supplies, office services, equipment</t>
  </si>
  <si>
    <t xml:space="preserve">  Social Security</t>
  </si>
  <si>
    <t xml:space="preserve">  Medicare</t>
  </si>
  <si>
    <t xml:space="preserve">  Unemployment, Disability and Workers Comp</t>
  </si>
  <si>
    <t xml:space="preserve">  Fringe: Retirement and disability</t>
  </si>
  <si>
    <t xml:space="preserve">  Fringe: Health coverage</t>
  </si>
  <si>
    <t xml:space="preserve">  Professional Costs (Certifications/Training/Travel)</t>
  </si>
  <si>
    <t xml:space="preserve">  Building Operating and Maintenance Expenses</t>
  </si>
  <si>
    <t xml:space="preserve">  Development Expenses (Gala)</t>
  </si>
  <si>
    <t>Professional Costs (Certificates, Travel, Training,  Conferences)</t>
  </si>
  <si>
    <t>Professional things assumptions</t>
  </si>
  <si>
    <t>Travel year round for outreach</t>
  </si>
  <si>
    <t>All therapist training in march</t>
  </si>
  <si>
    <t>All teacher training in June</t>
  </si>
  <si>
    <t>Audiology conference in october</t>
  </si>
  <si>
    <t>Supplies, office services, equipment</t>
  </si>
  <si>
    <t>Cascadia (2020) - Cash Flow Baseline Budget</t>
  </si>
  <si>
    <t>Disbursement Increments</t>
  </si>
  <si>
    <t>Assuming Rubinstein grant is in quarters of Jan, April, July, Oct</t>
  </si>
  <si>
    <t>Rubinstein Grant Quarterly Disbursements</t>
  </si>
  <si>
    <t>Gala Collection Schedule</t>
  </si>
  <si>
    <t>Gala</t>
  </si>
  <si>
    <t>Parent-Infant Reimbursement</t>
  </si>
  <si>
    <t>Clasroom Reimbursement (see note)</t>
  </si>
  <si>
    <t>Indirect, Total Direct Cost</t>
  </si>
  <si>
    <t>Parent-paid tuition</t>
  </si>
  <si>
    <t>baseline deficit = -379499</t>
  </si>
  <si>
    <t>Eliminated Outreach Scenario</t>
  </si>
  <si>
    <t>Rubenstein Foundation Grant (restricted) - FY2020</t>
  </si>
  <si>
    <t>Insurance Reimbursement</t>
  </si>
  <si>
    <t>Appointments per year</t>
  </si>
  <si>
    <t>Growth Scenario - 145 students</t>
  </si>
  <si>
    <t>Land use allocation (expand PI&amp;Audiology, close outreach)</t>
  </si>
  <si>
    <t>Half-Day Full Tuition (monthly) - NONDEAF</t>
  </si>
  <si>
    <t>Half-Day Full Tuition (monthly) - DEAF</t>
  </si>
  <si>
    <t>Full-Day Tuition (monthly) - NONDEAF</t>
  </si>
  <si>
    <t>Full-Day Tuition (monthly) - DEAF</t>
  </si>
  <si>
    <t>10% increase</t>
  </si>
  <si>
    <t>raises 15750</t>
  </si>
  <si>
    <t>(school will cover last 15%? Or assume that this will be those who will not be able to pay?)</t>
  </si>
  <si>
    <t>% of deaf parents paying leftover costs</t>
  </si>
  <si>
    <t>(based on 25% of families who do not have medicaid)</t>
  </si>
  <si>
    <t>5. Adding in that part-time teachers will now receive health benefits and retirmenet/ disability (equity consideration)</t>
  </si>
  <si>
    <t>Allocation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</si>
</sst>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&quot;$&quot;* #,##0_);_(&quot;$&quot;* \(#,##0\);_(&quot;$&quot;* &quot;-&quot;??_);_(@_)"/>
    <numFmt numFmtId="167" formatCode="0.0%"/>
  </numFmts>
  <fonts count="6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.5"/>
      <name val="Baskerville"/>
      <family val="1"/>
    </font>
    <font>
      <sz val="10"/>
      <name val="Baskerville"/>
      <family val="1"/>
    </font>
    <font>
      <b/>
      <sz val="10.5"/>
      <name val="Baskerville"/>
      <family val="1"/>
    </font>
    <font>
      <sz val="8"/>
      <name val="Baskerville"/>
      <family val="1"/>
    </font>
    <font>
      <i/>
      <sz val="8"/>
      <name val="Baskerville"/>
      <family val="1"/>
    </font>
    <font>
      <b/>
      <sz val="10"/>
      <name val="Baskerville"/>
      <family val="1"/>
    </font>
    <font>
      <b/>
      <sz val="8"/>
      <name val="Baskerville"/>
      <family val="1"/>
    </font>
    <font>
      <b/>
      <sz val="11"/>
      <name val="Baskerville"/>
      <family val="1"/>
    </font>
    <font>
      <sz val="11"/>
      <name val="Baskerville"/>
      <family val="1"/>
    </font>
    <font>
      <b/>
      <sz val="18"/>
      <name val="Baskerville"/>
      <family val="1"/>
    </font>
    <font>
      <b/>
      <sz val="9"/>
      <name val="Baskerville"/>
      <family val="1"/>
    </font>
    <font>
      <sz val="9"/>
      <name val="Baskerville"/>
      <family val="1"/>
    </font>
    <font>
      <b/>
      <i/>
      <sz val="9"/>
      <name val="Baskerville"/>
      <family val="1"/>
    </font>
    <font>
      <i/>
      <sz val="9"/>
      <name val="Baskerville"/>
      <family val="1"/>
    </font>
    <font>
      <sz val="8"/>
      <color rgb="FFFF0000"/>
      <name val="Baskerville"/>
      <family val="1"/>
    </font>
    <font>
      <b/>
      <sz val="9"/>
      <color theme="4"/>
      <name val="Baskerville"/>
      <family val="1"/>
    </font>
    <font>
      <b/>
      <sz val="9"/>
      <color theme="1"/>
      <name val="Baskerville"/>
      <family val="1"/>
    </font>
    <font>
      <i/>
      <sz val="9"/>
      <color theme="1"/>
      <name val="Baskerville"/>
      <family val="1"/>
    </font>
    <font>
      <b/>
      <i/>
      <sz val="9"/>
      <color theme="1"/>
      <name val="Baskerville"/>
      <family val="1"/>
    </font>
    <font>
      <b/>
      <i/>
      <sz val="8"/>
      <name val="Baskerville"/>
      <family val="1"/>
    </font>
    <font>
      <b/>
      <sz val="16"/>
      <name val="Avenir Next Regular"/>
    </font>
    <font>
      <b/>
      <sz val="12"/>
      <name val="Avenir Next Regular"/>
    </font>
    <font>
      <sz val="12"/>
      <name val="Avenir Next Regular"/>
    </font>
    <font>
      <sz val="8"/>
      <name val="Avenir Next Regular"/>
    </font>
    <font>
      <b/>
      <sz val="10"/>
      <name val="Avenir Next Regular"/>
    </font>
    <font>
      <sz val="10"/>
      <name val="Avenir Next Regular"/>
    </font>
    <font>
      <b/>
      <sz val="10"/>
      <color rgb="FFFF0000"/>
      <name val="Avenir Next Regular"/>
    </font>
    <font>
      <sz val="10"/>
      <color rgb="FF000000"/>
      <name val="Tahoma"/>
      <family val="2"/>
    </font>
    <font>
      <b/>
      <sz val="16"/>
      <name val="Gill Sans"/>
      <family val="2"/>
    </font>
    <font>
      <b/>
      <sz val="16"/>
      <color rgb="FFFF0000"/>
      <name val="Gill Sans"/>
      <family val="2"/>
    </font>
    <font>
      <sz val="12"/>
      <name val="Gill Sans"/>
      <family val="2"/>
    </font>
    <font>
      <sz val="12"/>
      <color rgb="FFFF0000"/>
      <name val="Gill Sans"/>
      <family val="2"/>
    </font>
    <font>
      <b/>
      <sz val="12"/>
      <name val="Gill Sans"/>
      <family val="2"/>
    </font>
    <font>
      <i/>
      <sz val="12"/>
      <color rgb="FFFF0000"/>
      <name val="Gill Sans"/>
      <family val="2"/>
    </font>
    <font>
      <b/>
      <sz val="12"/>
      <color rgb="FFFF0000"/>
      <name val="Gill Sans"/>
      <family val="2"/>
    </font>
    <font>
      <i/>
      <sz val="12"/>
      <color theme="4"/>
      <name val="Gill Sans"/>
      <family val="2"/>
    </font>
    <font>
      <b/>
      <i/>
      <sz val="12"/>
      <color theme="4"/>
      <name val="Gill Sans"/>
      <family val="2"/>
    </font>
    <font>
      <i/>
      <sz val="12"/>
      <name val="Gill Sans"/>
      <family val="2"/>
    </font>
    <font>
      <sz val="10"/>
      <color rgb="FFFF0000"/>
      <name val="Baskerville"/>
      <family val="1"/>
    </font>
    <font>
      <b/>
      <i/>
      <sz val="11"/>
      <color rgb="FFFF0000"/>
      <name val="Baskerville"/>
      <family val="1"/>
    </font>
    <font>
      <b/>
      <sz val="10"/>
      <color rgb="FFFF0000"/>
      <name val="Baskerville"/>
      <family val="1"/>
    </font>
    <font>
      <b/>
      <sz val="8"/>
      <color rgb="FFFF0000"/>
      <name val="Baskerville"/>
      <family val="1"/>
    </font>
    <font>
      <b/>
      <i/>
      <sz val="8"/>
      <color rgb="FFFF0000"/>
      <name val="Baskerville"/>
      <family val="1"/>
    </font>
    <font>
      <sz val="8"/>
      <color theme="1"/>
      <name val="Baskerville"/>
      <family val="1"/>
    </font>
    <font>
      <sz val="16"/>
      <name val="Gill Sans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theme="8" tint="0.59999389629810485"/>
      <name val="Arial"/>
      <family val="2"/>
    </font>
    <font>
      <sz val="12"/>
      <color theme="5" tint="-0.249977111117893"/>
      <name val="Gill Sans"/>
      <family val="2"/>
    </font>
    <font>
      <b/>
      <sz val="12"/>
      <color theme="5" tint="-0.249977111117893"/>
      <name val="Gill Sans"/>
      <family val="2"/>
    </font>
    <font>
      <b/>
      <sz val="12"/>
      <color theme="1"/>
      <name val="Gill Sans"/>
      <family val="2"/>
    </font>
    <font>
      <sz val="12"/>
      <color theme="1"/>
      <name val="Gill Sans"/>
      <family val="2"/>
    </font>
    <font>
      <i/>
      <sz val="12"/>
      <color theme="1"/>
      <name val="Gill Sans"/>
      <family val="2"/>
    </font>
    <font>
      <b/>
      <sz val="12"/>
      <color rgb="FFC00000"/>
      <name val="Gill Sans"/>
      <family val="2"/>
    </font>
    <font>
      <i/>
      <sz val="12"/>
      <name val="Avenir Next Regular"/>
    </font>
    <font>
      <sz val="10"/>
      <color rgb="FFFF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8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indexed="8"/>
      </bottom>
      <diagonal/>
    </border>
    <border>
      <left style="double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indexed="8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64"/>
      </right>
      <top style="double">
        <color auto="1"/>
      </top>
      <bottom/>
      <diagonal/>
    </border>
    <border>
      <left style="thin">
        <color indexed="8"/>
      </left>
      <right style="thin">
        <color indexed="64"/>
      </right>
      <top style="double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2">
    <xf numFmtId="0" fontId="0" fillId="0" borderId="0" xfId="0"/>
    <xf numFmtId="0" fontId="6" fillId="2" borderId="0" xfId="0" applyFont="1" applyFill="1" applyBorder="1"/>
    <xf numFmtId="0" fontId="6" fillId="2" borderId="0" xfId="0" applyFont="1" applyFill="1"/>
    <xf numFmtId="0" fontId="13" fillId="2" borderId="0" xfId="0" applyFont="1" applyFill="1"/>
    <xf numFmtId="0" fontId="8" fillId="2" borderId="0" xfId="0" applyFont="1" applyFill="1"/>
    <xf numFmtId="0" fontId="10" fillId="2" borderId="0" xfId="0" applyFont="1" applyFill="1" applyBorder="1"/>
    <xf numFmtId="0" fontId="8" fillId="2" borderId="0" xfId="0" quotePrefix="1" applyFont="1" applyFill="1" applyBorder="1" applyAlignment="1">
      <alignment horizontal="left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right"/>
    </xf>
    <xf numFmtId="0" fontId="8" fillId="2" borderId="0" xfId="0" applyFont="1" applyFill="1" applyBorder="1" applyAlignment="1">
      <alignment horizontal="left"/>
    </xf>
    <xf numFmtId="0" fontId="16" fillId="2" borderId="9" xfId="2" applyNumberFormat="1" applyFont="1" applyFill="1" applyBorder="1" applyAlignment="1" applyProtection="1">
      <alignment horizontal="center"/>
    </xf>
    <xf numFmtId="0" fontId="15" fillId="2" borderId="26" xfId="2" applyNumberFormat="1" applyFont="1" applyFill="1" applyBorder="1" applyAlignment="1" applyProtection="1">
      <alignment horizontal="center"/>
    </xf>
    <xf numFmtId="0" fontId="15" fillId="2" borderId="27" xfId="2" applyNumberFormat="1" applyFont="1" applyFill="1" applyBorder="1"/>
    <xf numFmtId="0" fontId="15" fillId="2" borderId="21" xfId="2" applyNumberFormat="1" applyFont="1" applyFill="1" applyBorder="1" applyAlignment="1" applyProtection="1">
      <alignment horizontal="center"/>
    </xf>
    <xf numFmtId="0" fontId="15" fillId="2" borderId="28" xfId="2" applyNumberFormat="1" applyFont="1" applyFill="1" applyBorder="1"/>
    <xf numFmtId="0" fontId="15" fillId="2" borderId="9" xfId="2" applyNumberFormat="1" applyFont="1" applyFill="1" applyBorder="1" applyAlignment="1" applyProtection="1">
      <alignment horizontal="center"/>
    </xf>
    <xf numFmtId="0" fontId="16" fillId="2" borderId="4" xfId="2" applyNumberFormat="1" applyFont="1" applyFill="1" applyBorder="1" applyAlignment="1" applyProtection="1">
      <alignment horizontal="center"/>
    </xf>
    <xf numFmtId="0" fontId="16" fillId="2" borderId="0" xfId="2" applyNumberFormat="1" applyFont="1" applyFill="1" applyBorder="1" applyAlignment="1" applyProtection="1">
      <alignment horizontal="center"/>
    </xf>
    <xf numFmtId="0" fontId="15" fillId="2" borderId="27" xfId="2" applyNumberFormat="1" applyFont="1" applyFill="1" applyBorder="1" applyAlignment="1" applyProtection="1">
      <alignment horizontal="center"/>
    </xf>
    <xf numFmtId="0" fontId="16" fillId="2" borderId="9" xfId="2" applyNumberFormat="1" applyFont="1" applyFill="1" applyBorder="1" applyAlignment="1" applyProtection="1">
      <alignment horizontal="right"/>
    </xf>
    <xf numFmtId="0" fontId="15" fillId="2" borderId="27" xfId="2" applyNumberFormat="1" applyFont="1" applyFill="1" applyBorder="1" applyAlignment="1" applyProtection="1">
      <alignment horizontal="right"/>
    </xf>
    <xf numFmtId="0" fontId="16" fillId="2" borderId="4" xfId="2" applyNumberFormat="1" applyFont="1" applyFill="1" applyBorder="1" applyAlignment="1" applyProtection="1">
      <alignment horizontal="right"/>
    </xf>
    <xf numFmtId="0" fontId="16" fillId="2" borderId="0" xfId="2" applyNumberFormat="1" applyFont="1" applyFill="1" applyBorder="1" applyAlignment="1" applyProtection="1">
      <alignment horizontal="right"/>
    </xf>
    <xf numFmtId="0" fontId="16" fillId="2" borderId="16" xfId="2" applyNumberFormat="1" applyFont="1" applyFill="1" applyBorder="1" applyAlignment="1" applyProtection="1">
      <alignment horizontal="right"/>
    </xf>
    <xf numFmtId="0" fontId="16" fillId="2" borderId="23" xfId="2" applyNumberFormat="1" applyFont="1" applyFill="1" applyBorder="1" applyAlignment="1" applyProtection="1">
      <alignment horizontal="right"/>
    </xf>
    <xf numFmtId="0" fontId="16" fillId="2" borderId="24" xfId="2" applyNumberFormat="1" applyFont="1" applyFill="1" applyBorder="1" applyAlignment="1" applyProtection="1">
      <alignment horizontal="right"/>
    </xf>
    <xf numFmtId="0" fontId="15" fillId="2" borderId="16" xfId="2" applyNumberFormat="1" applyFont="1" applyFill="1" applyBorder="1" applyAlignment="1" applyProtection="1">
      <alignment horizontal="right"/>
    </xf>
    <xf numFmtId="0" fontId="15" fillId="2" borderId="22" xfId="2" applyNumberFormat="1" applyFont="1" applyFill="1" applyBorder="1" applyAlignment="1">
      <alignment horizontal="right"/>
    </xf>
    <xf numFmtId="0" fontId="15" fillId="2" borderId="17" xfId="3" applyNumberFormat="1" applyFont="1" applyFill="1" applyBorder="1" applyAlignment="1" applyProtection="1">
      <alignment horizontal="right"/>
    </xf>
    <xf numFmtId="0" fontId="14" fillId="2" borderId="5" xfId="0" applyNumberFormat="1" applyFont="1" applyFill="1" applyBorder="1" applyAlignment="1">
      <alignment horizontal="left"/>
    </xf>
    <xf numFmtId="0" fontId="5" fillId="2" borderId="1" xfId="2" applyNumberFormat="1" applyFont="1" applyFill="1" applyBorder="1" applyAlignment="1" applyProtection="1">
      <alignment horizontal="centerContinuous"/>
    </xf>
    <xf numFmtId="0" fontId="7" fillId="2" borderId="1" xfId="2" applyNumberFormat="1" applyFont="1" applyFill="1" applyBorder="1" applyAlignment="1" applyProtection="1">
      <alignment horizontal="centerContinuous"/>
    </xf>
    <xf numFmtId="0" fontId="6" fillId="2" borderId="0" xfId="0" applyNumberFormat="1" applyFont="1" applyFill="1" applyBorder="1"/>
    <xf numFmtId="0" fontId="14" fillId="2" borderId="6" xfId="0" applyNumberFormat="1" applyFont="1" applyFill="1" applyBorder="1" applyAlignment="1">
      <alignment horizontal="left"/>
    </xf>
    <xf numFmtId="0" fontId="5" fillId="2" borderId="7" xfId="2" applyNumberFormat="1" applyFont="1" applyFill="1" applyBorder="1" applyAlignment="1">
      <alignment horizontal="centerContinuous"/>
    </xf>
    <xf numFmtId="0" fontId="5" fillId="2" borderId="7" xfId="2" applyNumberFormat="1" applyFont="1" applyFill="1" applyBorder="1" applyAlignment="1" applyProtection="1">
      <alignment horizontal="centerContinuous"/>
    </xf>
    <xf numFmtId="0" fontId="7" fillId="2" borderId="7" xfId="2" applyNumberFormat="1" applyFont="1" applyFill="1" applyBorder="1" applyAlignment="1" applyProtection="1">
      <alignment horizontal="centerContinuous"/>
    </xf>
    <xf numFmtId="0" fontId="15" fillId="2" borderId="2" xfId="0" applyNumberFormat="1" applyFont="1" applyFill="1" applyBorder="1" applyProtection="1"/>
    <xf numFmtId="0" fontId="15" fillId="2" borderId="8" xfId="2" applyNumberFormat="1" applyFont="1" applyFill="1" applyBorder="1" applyAlignment="1" applyProtection="1">
      <alignment horizontal="center" vertical="center"/>
    </xf>
    <xf numFmtId="0" fontId="15" fillId="2" borderId="25" xfId="2" applyNumberFormat="1" applyFont="1" applyFill="1" applyBorder="1" applyAlignment="1" applyProtection="1">
      <alignment horizontal="center" vertical="center"/>
    </xf>
    <xf numFmtId="0" fontId="15" fillId="2" borderId="0" xfId="0" applyNumberFormat="1" applyFont="1" applyFill="1" applyBorder="1"/>
    <xf numFmtId="0" fontId="15" fillId="2" borderId="3" xfId="0" applyNumberFormat="1" applyFont="1" applyFill="1" applyBorder="1" applyAlignment="1" applyProtection="1">
      <alignment horizontal="left"/>
    </xf>
    <xf numFmtId="0" fontId="16" fillId="2" borderId="0" xfId="0" applyNumberFormat="1" applyFont="1" applyFill="1" applyBorder="1"/>
    <xf numFmtId="0" fontId="15" fillId="2" borderId="20" xfId="0" applyNumberFormat="1" applyFont="1" applyFill="1" applyBorder="1" applyAlignment="1" applyProtection="1">
      <alignment horizontal="left"/>
    </xf>
    <xf numFmtId="0" fontId="16" fillId="2" borderId="3" xfId="0" applyNumberFormat="1" applyFont="1" applyFill="1" applyBorder="1" applyAlignment="1" applyProtection="1">
      <alignment horizontal="left"/>
    </xf>
    <xf numFmtId="0" fontId="17" fillId="2" borderId="12" xfId="0" applyNumberFormat="1" applyFont="1" applyFill="1" applyBorder="1" applyAlignment="1" applyProtection="1">
      <alignment horizontal="left"/>
    </xf>
    <xf numFmtId="0" fontId="17" fillId="2" borderId="0" xfId="0" applyNumberFormat="1" applyFont="1" applyFill="1" applyBorder="1"/>
    <xf numFmtId="0" fontId="16" fillId="2" borderId="3" xfId="0" quotePrefix="1" applyNumberFormat="1" applyFont="1" applyFill="1" applyBorder="1" applyAlignment="1" applyProtection="1">
      <alignment horizontal="left"/>
    </xf>
    <xf numFmtId="0" fontId="17" fillId="2" borderId="3" xfId="0" applyNumberFormat="1" applyFont="1" applyFill="1" applyBorder="1" applyAlignment="1" applyProtection="1">
      <alignment horizontal="left"/>
    </xf>
    <xf numFmtId="0" fontId="15" fillId="2" borderId="14" xfId="0" quotePrefix="1" applyNumberFormat="1" applyFont="1" applyFill="1" applyBorder="1" applyAlignment="1" applyProtection="1">
      <alignment horizontal="left"/>
    </xf>
    <xf numFmtId="0" fontId="15" fillId="2" borderId="16" xfId="0" applyNumberFormat="1" applyFont="1" applyFill="1" applyBorder="1" applyAlignment="1" applyProtection="1">
      <alignment horizontal="left"/>
    </xf>
    <xf numFmtId="0" fontId="16" fillId="2" borderId="16" xfId="0" applyNumberFormat="1" applyFont="1" applyFill="1" applyBorder="1" applyAlignment="1" applyProtection="1">
      <alignment horizontal="left"/>
    </xf>
    <xf numFmtId="0" fontId="16" fillId="2" borderId="19" xfId="0" applyNumberFormat="1" applyFont="1" applyFill="1" applyBorder="1"/>
    <xf numFmtId="0" fontId="15" fillId="2" borderId="17" xfId="0" applyNumberFormat="1" applyFont="1" applyFill="1" applyBorder="1"/>
    <xf numFmtId="0" fontId="15" fillId="2" borderId="6" xfId="0" applyNumberFormat="1" applyFont="1" applyFill="1" applyBorder="1"/>
    <xf numFmtId="0" fontId="15" fillId="2" borderId="6" xfId="0" applyNumberFormat="1" applyFont="1" applyFill="1" applyBorder="1" applyAlignment="1" applyProtection="1">
      <alignment horizontal="left"/>
    </xf>
    <xf numFmtId="0" fontId="18" fillId="2" borderId="0" xfId="0" applyNumberFormat="1" applyFont="1" applyFill="1"/>
    <xf numFmtId="0" fontId="18" fillId="2" borderId="0" xfId="0" applyNumberFormat="1" applyFont="1" applyFill="1" applyBorder="1"/>
    <xf numFmtId="0" fontId="15" fillId="2" borderId="0" xfId="0" applyNumberFormat="1" applyFont="1" applyFill="1" applyBorder="1" applyAlignment="1" applyProtection="1">
      <alignment horizontal="right"/>
    </xf>
    <xf numFmtId="0" fontId="6" fillId="2" borderId="0" xfId="0" applyNumberFormat="1" applyFont="1" applyFill="1"/>
    <xf numFmtId="0" fontId="6" fillId="2" borderId="0" xfId="2" applyNumberFormat="1" applyFont="1" applyFill="1"/>
    <xf numFmtId="0" fontId="10" fillId="2" borderId="0" xfId="2" applyNumberFormat="1" applyFont="1" applyFill="1"/>
    <xf numFmtId="0" fontId="19" fillId="2" borderId="0" xfId="0" applyFont="1" applyFill="1"/>
    <xf numFmtId="1" fontId="16" fillId="2" borderId="9" xfId="2" applyNumberFormat="1" applyFont="1" applyFill="1" applyBorder="1" applyAlignment="1" applyProtection="1">
      <alignment horizontal="center"/>
    </xf>
    <xf numFmtId="38" fontId="16" fillId="2" borderId="9" xfId="2" applyNumberFormat="1" applyFont="1" applyFill="1" applyBorder="1" applyAlignment="1" applyProtection="1">
      <alignment horizontal="right"/>
    </xf>
    <xf numFmtId="38" fontId="15" fillId="2" borderId="27" xfId="2" applyNumberFormat="1" applyFont="1" applyFill="1" applyBorder="1" applyAlignment="1" applyProtection="1">
      <alignment horizontal="right"/>
    </xf>
    <xf numFmtId="6" fontId="17" fillId="2" borderId="13" xfId="2" applyNumberFormat="1" applyFont="1" applyFill="1" applyBorder="1" applyAlignment="1" applyProtection="1">
      <alignment horizontal="right"/>
    </xf>
    <xf numFmtId="6" fontId="15" fillId="2" borderId="15" xfId="2" applyNumberFormat="1" applyFont="1" applyFill="1" applyBorder="1" applyAlignment="1" applyProtection="1">
      <alignment horizontal="right"/>
    </xf>
    <xf numFmtId="38" fontId="16" fillId="2" borderId="16" xfId="2" applyNumberFormat="1" applyFont="1" applyFill="1" applyBorder="1" applyAlignment="1" applyProtection="1">
      <alignment horizontal="right"/>
    </xf>
    <xf numFmtId="38" fontId="16" fillId="2" borderId="19" xfId="2" applyNumberFormat="1" applyFont="1" applyFill="1" applyBorder="1" applyAlignment="1">
      <alignment horizontal="right"/>
    </xf>
    <xf numFmtId="38" fontId="15" fillId="2" borderId="16" xfId="2" applyNumberFormat="1" applyFont="1" applyFill="1" applyBorder="1" applyAlignment="1" applyProtection="1">
      <alignment horizontal="right"/>
    </xf>
    <xf numFmtId="6" fontId="15" fillId="2" borderId="18" xfId="2" applyNumberFormat="1" applyFont="1" applyFill="1" applyBorder="1" applyAlignment="1">
      <alignment horizontal="right"/>
    </xf>
    <xf numFmtId="0" fontId="20" fillId="2" borderId="0" xfId="1" applyNumberFormat="1" applyFont="1" applyFill="1"/>
    <xf numFmtId="6" fontId="21" fillId="2" borderId="17" xfId="3" applyNumberFormat="1" applyFont="1" applyFill="1" applyBorder="1" applyAlignment="1" applyProtection="1">
      <alignment horizontal="right"/>
    </xf>
    <xf numFmtId="10" fontId="21" fillId="2" borderId="0" xfId="1" applyNumberFormat="1" applyFont="1" applyFill="1" applyAlignment="1">
      <alignment horizontal="right"/>
    </xf>
    <xf numFmtId="0" fontId="22" fillId="2" borderId="0" xfId="3" applyNumberFormat="1" applyFont="1" applyFill="1" applyAlignment="1">
      <alignment horizontal="right"/>
    </xf>
    <xf numFmtId="0" fontId="23" fillId="2" borderId="0" xfId="3" applyNumberFormat="1" applyFont="1" applyFill="1" applyAlignment="1">
      <alignment horizontal="right"/>
    </xf>
    <xf numFmtId="0" fontId="21" fillId="2" borderId="0" xfId="3" applyNumberFormat="1" applyFont="1" applyFill="1" applyBorder="1" applyAlignment="1" applyProtection="1">
      <alignment horizontal="right"/>
    </xf>
    <xf numFmtId="6" fontId="21" fillId="2" borderId="0" xfId="3" applyNumberFormat="1" applyFont="1" applyFill="1" applyBorder="1" applyAlignment="1" applyProtection="1">
      <alignment horizontal="right"/>
    </xf>
    <xf numFmtId="0" fontId="21" fillId="2" borderId="0" xfId="3" applyNumberFormat="1" applyFont="1" applyFill="1"/>
    <xf numFmtId="0" fontId="8" fillId="2" borderId="0" xfId="0" quotePrefix="1" applyFont="1" applyFill="1" applyBorder="1"/>
    <xf numFmtId="0" fontId="8" fillId="2" borderId="29" xfId="0" applyFont="1" applyFill="1" applyBorder="1"/>
    <xf numFmtId="0" fontId="11" fillId="2" borderId="29" xfId="0" quotePrefix="1" applyFont="1" applyFill="1" applyBorder="1" applyAlignment="1" applyProtection="1">
      <alignment horizontal="left"/>
    </xf>
    <xf numFmtId="0" fontId="8" fillId="2" borderId="29" xfId="0" quotePrefix="1" applyFont="1" applyFill="1" applyBorder="1" applyAlignment="1" applyProtection="1">
      <alignment horizontal="left"/>
    </xf>
    <xf numFmtId="0" fontId="8" fillId="2" borderId="29" xfId="0" applyFont="1" applyFill="1" applyBorder="1" applyAlignment="1" applyProtection="1">
      <alignment horizontal="left"/>
    </xf>
    <xf numFmtId="0" fontId="8" fillId="2" borderId="29" xfId="0" quotePrefix="1" applyFont="1" applyFill="1" applyBorder="1" applyAlignment="1" applyProtection="1">
      <alignment horizontal="left" indent="1"/>
    </xf>
    <xf numFmtId="0" fontId="8" fillId="2" borderId="29" xfId="0" quotePrefix="1" applyFont="1" applyFill="1" applyBorder="1"/>
    <xf numFmtId="0" fontId="11" fillId="4" borderId="29" xfId="0" quotePrefix="1" applyFont="1" applyFill="1" applyBorder="1" applyAlignment="1" applyProtection="1">
      <alignment horizontal="left"/>
    </xf>
    <xf numFmtId="0" fontId="17" fillId="3" borderId="32" xfId="0" applyFont="1" applyFill="1" applyBorder="1" applyAlignment="1">
      <alignment horizontal="centerContinuous" wrapText="1" shrinkToFit="1"/>
    </xf>
    <xf numFmtId="0" fontId="17" fillId="2" borderId="32" xfId="0" applyFont="1" applyFill="1" applyBorder="1" applyAlignment="1">
      <alignment horizontal="centerContinuous" wrapText="1" shrinkToFit="1"/>
    </xf>
    <xf numFmtId="0" fontId="10" fillId="5" borderId="29" xfId="0" applyFont="1" applyFill="1" applyBorder="1"/>
    <xf numFmtId="0" fontId="8" fillId="5" borderId="29" xfId="0" applyFont="1" applyFill="1" applyBorder="1"/>
    <xf numFmtId="0" fontId="2" fillId="0" borderId="0" xfId="0" applyFont="1"/>
    <xf numFmtId="0" fontId="8" fillId="2" borderId="29" xfId="0" quotePrefix="1" applyFont="1" applyFill="1" applyBorder="1" applyAlignment="1" applyProtection="1">
      <alignment horizontal="right"/>
    </xf>
    <xf numFmtId="0" fontId="11" fillId="4" borderId="29" xfId="0" quotePrefix="1" applyFont="1" applyFill="1" applyBorder="1" applyAlignment="1" applyProtection="1">
      <alignment horizontal="right"/>
    </xf>
    <xf numFmtId="0" fontId="24" fillId="4" borderId="29" xfId="0" applyFont="1" applyFill="1" applyBorder="1" applyAlignment="1" applyProtection="1">
      <alignment horizontal="right"/>
    </xf>
    <xf numFmtId="0" fontId="9" fillId="4" borderId="29" xfId="0" applyFont="1" applyFill="1" applyBorder="1" applyAlignment="1" applyProtection="1">
      <alignment horizontal="right"/>
    </xf>
    <xf numFmtId="0" fontId="8" fillId="2" borderId="29" xfId="0" applyFont="1" applyFill="1" applyBorder="1" applyAlignment="1">
      <alignment horizontal="right"/>
    </xf>
    <xf numFmtId="0" fontId="8" fillId="2" borderId="29" xfId="0" quotePrefix="1" applyFont="1" applyFill="1" applyBorder="1" applyAlignment="1">
      <alignment horizontal="right"/>
    </xf>
    <xf numFmtId="165" fontId="8" fillId="2" borderId="29" xfId="0" applyNumberFormat="1" applyFont="1" applyFill="1" applyBorder="1" applyAlignment="1">
      <alignment horizontal="right"/>
    </xf>
    <xf numFmtId="0" fontId="0" fillId="2" borderId="0" xfId="0" applyFill="1"/>
    <xf numFmtId="0" fontId="2" fillId="2" borderId="0" xfId="0" applyFont="1" applyFill="1"/>
    <xf numFmtId="0" fontId="16" fillId="6" borderId="0" xfId="0" applyNumberFormat="1" applyFont="1" applyFill="1" applyBorder="1"/>
    <xf numFmtId="0" fontId="26" fillId="2" borderId="33" xfId="0" applyFont="1" applyFill="1" applyBorder="1"/>
    <xf numFmtId="166" fontId="26" fillId="2" borderId="33" xfId="4" applyNumberFormat="1" applyFont="1" applyFill="1" applyBorder="1"/>
    <xf numFmtId="0" fontId="26" fillId="2" borderId="0" xfId="0" quotePrefix="1" applyFont="1" applyFill="1" applyAlignment="1">
      <alignment horizontal="left"/>
    </xf>
    <xf numFmtId="0" fontId="27" fillId="2" borderId="0" xfId="0" applyFont="1" applyFill="1" applyAlignment="1">
      <alignment horizontal="center"/>
    </xf>
    <xf numFmtId="166" fontId="26" fillId="2" borderId="0" xfId="4" applyNumberFormat="1" applyFont="1" applyFill="1"/>
    <xf numFmtId="0" fontId="27" fillId="2" borderId="0" xfId="0" quotePrefix="1" applyFont="1" applyFill="1" applyAlignment="1">
      <alignment horizontal="left"/>
    </xf>
    <xf numFmtId="3" fontId="27" fillId="2" borderId="0" xfId="4" applyNumberFormat="1" applyFont="1" applyFill="1" applyAlignment="1">
      <alignment horizontal="right"/>
    </xf>
    <xf numFmtId="166" fontId="26" fillId="2" borderId="0" xfId="4" applyNumberFormat="1" applyFont="1" applyFill="1" applyAlignment="1">
      <alignment horizontal="right"/>
    </xf>
    <xf numFmtId="3" fontId="27" fillId="2" borderId="0" xfId="2" applyNumberFormat="1" applyFont="1" applyFill="1"/>
    <xf numFmtId="0" fontId="26" fillId="2" borderId="34" xfId="0" quotePrefix="1" applyFont="1" applyFill="1" applyBorder="1" applyAlignment="1">
      <alignment horizontal="left"/>
    </xf>
    <xf numFmtId="6" fontId="26" fillId="2" borderId="34" xfId="0" applyNumberFormat="1" applyFont="1" applyFill="1" applyBorder="1" applyAlignment="1">
      <alignment horizontal="right"/>
    </xf>
    <xf numFmtId="6" fontId="26" fillId="2" borderId="34" xfId="4" applyNumberFormat="1" applyFont="1" applyFill="1" applyBorder="1" applyAlignment="1">
      <alignment horizontal="right"/>
    </xf>
    <xf numFmtId="3" fontId="26" fillId="2" borderId="0" xfId="0" applyNumberFormat="1" applyFont="1" applyFill="1" applyAlignment="1">
      <alignment horizontal="right"/>
    </xf>
    <xf numFmtId="166" fontId="26" fillId="2" borderId="0" xfId="4" applyNumberFormat="1" applyFont="1" applyFill="1" applyBorder="1" applyAlignment="1">
      <alignment horizontal="right"/>
    </xf>
    <xf numFmtId="0" fontId="27" fillId="2" borderId="0" xfId="0" applyFont="1" applyFill="1"/>
    <xf numFmtId="3" fontId="27" fillId="2" borderId="0" xfId="0" applyNumberFormat="1" applyFont="1" applyFill="1" applyAlignment="1">
      <alignment horizontal="center"/>
    </xf>
    <xf numFmtId="0" fontId="26" fillId="2" borderId="0" xfId="0" applyFont="1" applyFill="1"/>
    <xf numFmtId="3" fontId="27" fillId="2" borderId="0" xfId="0" applyNumberFormat="1" applyFont="1" applyFill="1"/>
    <xf numFmtId="6" fontId="26" fillId="2" borderId="0" xfId="0" applyNumberFormat="1" applyFont="1" applyFill="1" applyAlignment="1">
      <alignment horizontal="right"/>
    </xf>
    <xf numFmtId="6" fontId="26" fillId="2" borderId="0" xfId="0" applyNumberFormat="1" applyFont="1" applyFill="1"/>
    <xf numFmtId="6" fontId="26" fillId="2" borderId="0" xfId="4" applyNumberFormat="1" applyFont="1" applyFill="1" applyAlignment="1"/>
    <xf numFmtId="6" fontId="26" fillId="2" borderId="0" xfId="1" applyNumberFormat="1" applyFont="1" applyFill="1" applyAlignment="1"/>
    <xf numFmtId="0" fontId="29" fillId="2" borderId="0" xfId="0" applyFont="1" applyFill="1"/>
    <xf numFmtId="0" fontId="30" fillId="2" borderId="0" xfId="0" applyFont="1" applyFill="1"/>
    <xf numFmtId="9" fontId="27" fillId="2" borderId="0" xfId="1" applyFont="1" applyFill="1" applyAlignment="1"/>
    <xf numFmtId="0" fontId="31" fillId="2" borderId="0" xfId="0" applyFont="1" applyFill="1"/>
    <xf numFmtId="0" fontId="11" fillId="0" borderId="29" xfId="0" quotePrefix="1" applyFont="1" applyFill="1" applyBorder="1" applyAlignment="1" applyProtection="1">
      <alignment horizontal="right"/>
    </xf>
    <xf numFmtId="0" fontId="8" fillId="0" borderId="0" xfId="0" applyFont="1" applyFill="1"/>
    <xf numFmtId="0" fontId="33" fillId="2" borderId="0" xfId="0" quotePrefix="1" applyFont="1" applyFill="1" applyAlignment="1">
      <alignment horizontal="center"/>
    </xf>
    <xf numFmtId="0" fontId="35" fillId="2" borderId="0" xfId="0" applyFont="1" applyFill="1"/>
    <xf numFmtId="0" fontId="36" fillId="2" borderId="0" xfId="0" applyFont="1" applyFill="1"/>
    <xf numFmtId="0" fontId="37" fillId="2" borderId="33" xfId="0" applyFont="1" applyFill="1" applyBorder="1" applyAlignment="1">
      <alignment horizontal="center"/>
    </xf>
    <xf numFmtId="0" fontId="37" fillId="2" borderId="0" xfId="0" applyFont="1" applyFill="1" applyAlignment="1">
      <alignment horizontal="right"/>
    </xf>
    <xf numFmtId="0" fontId="35" fillId="2" borderId="33" xfId="0" applyFont="1" applyFill="1" applyBorder="1"/>
    <xf numFmtId="0" fontId="38" fillId="2" borderId="33" xfId="0" applyFont="1" applyFill="1" applyBorder="1"/>
    <xf numFmtId="0" fontId="37" fillId="2" borderId="0" xfId="0" quotePrefix="1" applyFont="1" applyFill="1" applyAlignment="1">
      <alignment horizontal="left"/>
    </xf>
    <xf numFmtId="0" fontId="35" fillId="2" borderId="0" xfId="0" applyFont="1" applyFill="1" applyAlignment="1">
      <alignment horizontal="center"/>
    </xf>
    <xf numFmtId="0" fontId="37" fillId="2" borderId="0" xfId="0" applyFont="1" applyFill="1"/>
    <xf numFmtId="0" fontId="35" fillId="2" borderId="0" xfId="0" quotePrefix="1" applyFont="1" applyFill="1" applyAlignment="1">
      <alignment horizontal="left"/>
    </xf>
    <xf numFmtId="0" fontId="36" fillId="2" borderId="0" xfId="0" quotePrefix="1" applyFont="1" applyFill="1" applyAlignment="1">
      <alignment horizontal="left"/>
    </xf>
    <xf numFmtId="164" fontId="35" fillId="2" borderId="0" xfId="0" applyNumberFormat="1" applyFont="1" applyFill="1" applyAlignment="1">
      <alignment horizontal="right"/>
    </xf>
    <xf numFmtId="164" fontId="37" fillId="2" borderId="0" xfId="0" applyNumberFormat="1" applyFont="1" applyFill="1" applyAlignment="1">
      <alignment horizontal="right"/>
    </xf>
    <xf numFmtId="0" fontId="37" fillId="2" borderId="35" xfId="0" quotePrefix="1" applyFont="1" applyFill="1" applyBorder="1" applyAlignment="1">
      <alignment horizontal="left"/>
    </xf>
    <xf numFmtId="0" fontId="39" fillId="2" borderId="35" xfId="0" applyFont="1" applyFill="1" applyBorder="1"/>
    <xf numFmtId="164" fontId="37" fillId="2" borderId="35" xfId="0" applyNumberFormat="1" applyFont="1" applyFill="1" applyBorder="1" applyAlignment="1">
      <alignment horizontal="right"/>
    </xf>
    <xf numFmtId="0" fontId="40" fillId="2" borderId="0" xfId="0" applyFont="1" applyFill="1"/>
    <xf numFmtId="0" fontId="38" fillId="2" borderId="0" xfId="0" applyFont="1" applyFill="1"/>
    <xf numFmtId="164" fontId="40" fillId="2" borderId="0" xfId="0" applyNumberFormat="1" applyFont="1" applyFill="1" applyAlignment="1">
      <alignment horizontal="center"/>
    </xf>
    <xf numFmtId="10" fontId="35" fillId="2" borderId="0" xfId="0" applyNumberFormat="1" applyFont="1" applyFill="1" applyAlignment="1">
      <alignment horizontal="center"/>
    </xf>
    <xf numFmtId="164" fontId="35" fillId="2" borderId="0" xfId="0" applyNumberFormat="1" applyFont="1" applyFill="1" applyAlignment="1">
      <alignment horizontal="center"/>
    </xf>
    <xf numFmtId="0" fontId="37" fillId="2" borderId="34" xfId="0" quotePrefix="1" applyFont="1" applyFill="1" applyBorder="1" applyAlignment="1">
      <alignment horizontal="left"/>
    </xf>
    <xf numFmtId="0" fontId="39" fillId="2" borderId="34" xfId="0" applyFont="1" applyFill="1" applyBorder="1"/>
    <xf numFmtId="164" fontId="37" fillId="2" borderId="34" xfId="0" applyNumberFormat="1" applyFont="1" applyFill="1" applyBorder="1" applyAlignment="1">
      <alignment horizontal="right"/>
    </xf>
    <xf numFmtId="164" fontId="41" fillId="2" borderId="0" xfId="0" applyNumberFormat="1" applyFont="1" applyFill="1" applyAlignment="1">
      <alignment horizontal="center"/>
    </xf>
    <xf numFmtId="9" fontId="35" fillId="2" borderId="0" xfId="1" applyFont="1" applyFill="1" applyAlignment="1">
      <alignment horizontal="center"/>
    </xf>
    <xf numFmtId="9" fontId="35" fillId="2" borderId="0" xfId="1" applyFont="1" applyFill="1" applyAlignment="1"/>
    <xf numFmtId="0" fontId="42" fillId="2" borderId="0" xfId="0" applyFont="1" applyFill="1"/>
    <xf numFmtId="10" fontId="8" fillId="2" borderId="29" xfId="0" quotePrefix="1" applyNumberFormat="1" applyFont="1" applyFill="1" applyBorder="1" applyAlignment="1" applyProtection="1">
      <alignment horizontal="left"/>
    </xf>
    <xf numFmtId="6" fontId="8" fillId="2" borderId="29" xfId="0" quotePrefix="1" applyNumberFormat="1" applyFont="1" applyFill="1" applyBorder="1" applyAlignment="1" applyProtection="1">
      <alignment horizontal="left"/>
    </xf>
    <xf numFmtId="0" fontId="8" fillId="7" borderId="29" xfId="0" quotePrefix="1" applyFont="1" applyFill="1" applyBorder="1" applyAlignment="1" applyProtection="1">
      <alignment horizontal="left"/>
    </xf>
    <xf numFmtId="3" fontId="8" fillId="2" borderId="29" xfId="0" quotePrefix="1" applyNumberFormat="1" applyFont="1" applyFill="1" applyBorder="1" applyAlignment="1" applyProtection="1">
      <alignment horizontal="left"/>
    </xf>
    <xf numFmtId="9" fontId="8" fillId="2" borderId="29" xfId="0" quotePrefix="1" applyNumberFormat="1" applyFont="1" applyFill="1" applyBorder="1" applyAlignment="1" applyProtection="1">
      <alignment horizontal="right"/>
    </xf>
    <xf numFmtId="3" fontId="8" fillId="4" borderId="29" xfId="0" quotePrefix="1" applyNumberFormat="1" applyFont="1" applyFill="1" applyBorder="1" applyAlignment="1" applyProtection="1">
      <alignment horizontal="left"/>
    </xf>
    <xf numFmtId="0" fontId="8" fillId="4" borderId="29" xfId="0" quotePrefix="1" applyFont="1" applyFill="1" applyBorder="1" applyAlignment="1" applyProtection="1">
      <alignment horizontal="right"/>
    </xf>
    <xf numFmtId="0" fontId="8" fillId="0" borderId="29" xfId="0" applyFont="1" applyFill="1" applyBorder="1" applyAlignment="1" applyProtection="1">
      <alignment horizontal="right"/>
    </xf>
    <xf numFmtId="0" fontId="24" fillId="4" borderId="29" xfId="0" quotePrefix="1" applyFont="1" applyFill="1" applyBorder="1" applyAlignment="1" applyProtection="1">
      <alignment horizontal="left"/>
    </xf>
    <xf numFmtId="6" fontId="8" fillId="2" borderId="29" xfId="0" quotePrefix="1" applyNumberFormat="1" applyFont="1" applyFill="1" applyBorder="1"/>
    <xf numFmtId="0" fontId="11" fillId="2" borderId="29" xfId="0" quotePrefix="1" applyFont="1" applyFill="1" applyBorder="1"/>
    <xf numFmtId="6" fontId="8" fillId="2" borderId="0" xfId="0" applyNumberFormat="1" applyFont="1" applyFill="1"/>
    <xf numFmtId="0" fontId="8" fillId="2" borderId="0" xfId="0" quotePrefix="1" applyFont="1" applyFill="1" applyBorder="1" applyAlignment="1">
      <alignment horizontal="right"/>
    </xf>
    <xf numFmtId="6" fontId="8" fillId="2" borderId="29" xfId="0" applyNumberFormat="1" applyFont="1" applyFill="1" applyBorder="1"/>
    <xf numFmtId="0" fontId="8" fillId="2" borderId="30" xfId="0" quotePrefix="1" applyFont="1" applyFill="1" applyBorder="1" applyAlignment="1" applyProtection="1">
      <alignment horizontal="left"/>
    </xf>
    <xf numFmtId="0" fontId="8" fillId="2" borderId="29" xfId="0" quotePrefix="1" applyFont="1" applyFill="1" applyBorder="1" applyAlignment="1">
      <alignment wrapText="1"/>
    </xf>
    <xf numFmtId="164" fontId="8" fillId="2" borderId="29" xfId="0" quotePrefix="1" applyNumberFormat="1" applyFont="1" applyFill="1" applyBorder="1" applyAlignment="1" applyProtection="1">
      <alignment horizontal="left"/>
    </xf>
    <xf numFmtId="0" fontId="24" fillId="2" borderId="29" xfId="0" quotePrefix="1" applyFont="1" applyFill="1" applyBorder="1" applyAlignment="1" applyProtection="1">
      <alignment horizontal="left"/>
    </xf>
    <xf numFmtId="0" fontId="24" fillId="2" borderId="0" xfId="0" applyFont="1" applyFill="1"/>
    <xf numFmtId="0" fontId="8" fillId="3" borderId="29" xfId="0" quotePrefix="1" applyFont="1" applyFill="1" applyBorder="1" applyAlignment="1" applyProtection="1">
      <alignment horizontal="right"/>
    </xf>
    <xf numFmtId="0" fontId="8" fillId="3" borderId="29" xfId="0" applyFont="1" applyFill="1" applyBorder="1" applyAlignment="1" applyProtection="1">
      <alignment horizontal="right"/>
    </xf>
    <xf numFmtId="0" fontId="8" fillId="3" borderId="0" xfId="0" applyFont="1" applyFill="1"/>
    <xf numFmtId="0" fontId="11" fillId="3" borderId="29" xfId="0" quotePrefix="1" applyFont="1" applyFill="1" applyBorder="1" applyAlignment="1" applyProtection="1">
      <alignment horizontal="right"/>
    </xf>
    <xf numFmtId="9" fontId="8" fillId="3" borderId="29" xfId="0" quotePrefix="1" applyNumberFormat="1" applyFont="1" applyFill="1" applyBorder="1" applyAlignment="1" applyProtection="1">
      <alignment horizontal="right"/>
    </xf>
    <xf numFmtId="6" fontId="8" fillId="3" borderId="29" xfId="0" quotePrefix="1" applyNumberFormat="1" applyFont="1" applyFill="1" applyBorder="1" applyAlignment="1" applyProtection="1">
      <alignment horizontal="right"/>
    </xf>
    <xf numFmtId="6" fontId="8" fillId="4" borderId="29" xfId="0" applyNumberFormat="1" applyFont="1" applyFill="1" applyBorder="1"/>
    <xf numFmtId="0" fontId="8" fillId="4" borderId="29" xfId="0" quotePrefix="1" applyFont="1" applyFill="1" applyBorder="1" applyAlignment="1">
      <alignment horizontal="right"/>
    </xf>
    <xf numFmtId="0" fontId="8" fillId="4" borderId="29" xfId="0" applyFont="1" applyFill="1" applyBorder="1" applyAlignment="1">
      <alignment horizontal="right"/>
    </xf>
    <xf numFmtId="0" fontId="11" fillId="4" borderId="29" xfId="0" quotePrefix="1" applyFont="1" applyFill="1" applyBorder="1"/>
    <xf numFmtId="0" fontId="11" fillId="4" borderId="29" xfId="0" quotePrefix="1" applyFont="1" applyFill="1" applyBorder="1" applyAlignment="1" applyProtection="1">
      <alignment horizontal="right" wrapText="1"/>
    </xf>
    <xf numFmtId="0" fontId="17" fillId="3" borderId="36" xfId="0" applyFont="1" applyFill="1" applyBorder="1" applyAlignment="1">
      <alignment wrapText="1" shrinkToFit="1"/>
    </xf>
    <xf numFmtId="0" fontId="12" fillId="2" borderId="2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 wrapText="1"/>
    </xf>
    <xf numFmtId="6" fontId="8" fillId="3" borderId="29" xfId="0" quotePrefix="1" applyNumberFormat="1" applyFont="1" applyFill="1" applyBorder="1" applyAlignment="1" applyProtection="1">
      <alignment horizontal="left"/>
    </xf>
    <xf numFmtId="6" fontId="11" fillId="3" borderId="29" xfId="0" quotePrefix="1" applyNumberFormat="1" applyFont="1" applyFill="1" applyBorder="1" applyAlignment="1" applyProtection="1">
      <alignment horizontal="right"/>
    </xf>
    <xf numFmtId="165" fontId="11" fillId="3" borderId="29" xfId="0" quotePrefix="1" applyNumberFormat="1" applyFont="1" applyFill="1" applyBorder="1" applyAlignment="1" applyProtection="1">
      <alignment horizontal="right"/>
    </xf>
    <xf numFmtId="165" fontId="11" fillId="0" borderId="29" xfId="0" quotePrefix="1" applyNumberFormat="1" applyFont="1" applyFill="1" applyBorder="1" applyAlignment="1" applyProtection="1">
      <alignment horizontal="right"/>
    </xf>
    <xf numFmtId="9" fontId="19" fillId="3" borderId="29" xfId="0" quotePrefix="1" applyNumberFormat="1" applyFont="1" applyFill="1" applyBorder="1" applyAlignment="1" applyProtection="1">
      <alignment horizontal="right"/>
    </xf>
    <xf numFmtId="9" fontId="19" fillId="2" borderId="29" xfId="0" quotePrefix="1" applyNumberFormat="1" applyFont="1" applyFill="1" applyBorder="1" applyAlignment="1" applyProtection="1">
      <alignment horizontal="right"/>
    </xf>
    <xf numFmtId="0" fontId="19" fillId="0" borderId="29" xfId="0" quotePrefix="1" applyFont="1" applyFill="1" applyBorder="1" applyAlignment="1" applyProtection="1">
      <alignment horizontal="right"/>
    </xf>
    <xf numFmtId="0" fontId="43" fillId="2" borderId="0" xfId="0" applyFont="1" applyFill="1" applyBorder="1" applyAlignment="1">
      <alignment shrinkToFit="1"/>
    </xf>
    <xf numFmtId="0" fontId="44" fillId="2" borderId="29" xfId="0" applyFont="1" applyFill="1" applyBorder="1" applyAlignment="1">
      <alignment horizontal="center" shrinkToFit="1"/>
    </xf>
    <xf numFmtId="0" fontId="45" fillId="5" borderId="29" xfId="0" applyFont="1" applyFill="1" applyBorder="1" applyAlignment="1">
      <alignment shrinkToFit="1"/>
    </xf>
    <xf numFmtId="0" fontId="46" fillId="2" borderId="29" xfId="0" quotePrefix="1" applyFont="1" applyFill="1" applyBorder="1" applyAlignment="1" applyProtection="1">
      <alignment horizontal="left" shrinkToFit="1"/>
    </xf>
    <xf numFmtId="0" fontId="19" fillId="2" borderId="29" xfId="0" quotePrefix="1" applyFont="1" applyFill="1" applyBorder="1" applyAlignment="1" applyProtection="1">
      <alignment horizontal="left" shrinkToFit="1"/>
    </xf>
    <xf numFmtId="0" fontId="19" fillId="2" borderId="0" xfId="0" applyFont="1" applyFill="1" applyAlignment="1">
      <alignment shrinkToFit="1"/>
    </xf>
    <xf numFmtId="0" fontId="46" fillId="4" borderId="29" xfId="0" quotePrefix="1" applyFont="1" applyFill="1" applyBorder="1" applyAlignment="1" applyProtection="1">
      <alignment horizontal="left" shrinkToFit="1"/>
    </xf>
    <xf numFmtId="0" fontId="19" fillId="2" borderId="29" xfId="0" applyFont="1" applyFill="1" applyBorder="1" applyAlignment="1" applyProtection="1">
      <alignment horizontal="left" shrinkToFit="1"/>
    </xf>
    <xf numFmtId="0" fontId="47" fillId="2" borderId="29" xfId="0" quotePrefix="1" applyFont="1" applyFill="1" applyBorder="1" applyAlignment="1" applyProtection="1">
      <alignment horizontal="left" shrinkToFit="1"/>
    </xf>
    <xf numFmtId="0" fontId="19" fillId="2" borderId="0" xfId="0" quotePrefix="1" applyFont="1" applyFill="1" applyBorder="1" applyAlignment="1" applyProtection="1">
      <alignment horizontal="left" shrinkToFit="1"/>
    </xf>
    <xf numFmtId="0" fontId="47" fillId="2" borderId="0" xfId="0" applyFont="1" applyFill="1" applyAlignment="1">
      <alignment shrinkToFit="1"/>
    </xf>
    <xf numFmtId="0" fontId="19" fillId="2" borderId="29" xfId="0" applyFont="1" applyFill="1" applyBorder="1" applyAlignment="1">
      <alignment shrinkToFit="1"/>
    </xf>
    <xf numFmtId="0" fontId="19" fillId="2" borderId="29" xfId="0" quotePrefix="1" applyFont="1" applyFill="1" applyBorder="1" applyAlignment="1">
      <alignment shrinkToFit="1"/>
    </xf>
    <xf numFmtId="0" fontId="46" fillId="4" borderId="29" xfId="0" quotePrefix="1" applyFont="1" applyFill="1" applyBorder="1" applyAlignment="1">
      <alignment shrinkToFit="1"/>
    </xf>
    <xf numFmtId="0" fontId="19" fillId="2" borderId="0" xfId="0" quotePrefix="1" applyFont="1" applyFill="1" applyBorder="1" applyAlignment="1">
      <alignment shrinkToFit="1"/>
    </xf>
    <xf numFmtId="0" fontId="45" fillId="2" borderId="0" xfId="0" applyFont="1" applyFill="1" applyBorder="1" applyAlignment="1">
      <alignment shrinkToFit="1"/>
    </xf>
    <xf numFmtId="0" fontId="19" fillId="2" borderId="0" xfId="0" quotePrefix="1" applyFont="1" applyFill="1" applyBorder="1" applyAlignment="1">
      <alignment horizontal="left" shrinkToFit="1"/>
    </xf>
    <xf numFmtId="0" fontId="19" fillId="2" borderId="0" xfId="0" applyFont="1" applyFill="1" applyBorder="1" applyAlignment="1">
      <alignment shrinkToFit="1"/>
    </xf>
    <xf numFmtId="0" fontId="19" fillId="2" borderId="0" xfId="0" applyFont="1" applyFill="1" applyBorder="1" applyAlignment="1">
      <alignment horizontal="left" shrinkToFit="1"/>
    </xf>
    <xf numFmtId="0" fontId="43" fillId="2" borderId="0" xfId="0" applyFont="1" applyFill="1" applyAlignment="1">
      <alignment shrinkToFit="1"/>
    </xf>
    <xf numFmtId="0" fontId="19" fillId="6" borderId="29" xfId="0" quotePrefix="1" applyFont="1" applyFill="1" applyBorder="1" applyAlignment="1" applyProtection="1">
      <alignment horizontal="left" shrinkToFit="1"/>
    </xf>
    <xf numFmtId="0" fontId="8" fillId="9" borderId="0" xfId="0" applyFont="1" applyFill="1" applyBorder="1"/>
    <xf numFmtId="0" fontId="8" fillId="6" borderId="0" xfId="0" applyFont="1" applyFill="1" applyBorder="1" applyAlignment="1">
      <alignment horizontal="left"/>
    </xf>
    <xf numFmtId="6" fontId="8" fillId="10" borderId="29" xfId="0" quotePrefix="1" applyNumberFormat="1" applyFont="1" applyFill="1" applyBorder="1" applyAlignment="1" applyProtection="1">
      <alignment horizontal="left"/>
    </xf>
    <xf numFmtId="10" fontId="8" fillId="10" borderId="29" xfId="0" quotePrefix="1" applyNumberFormat="1" applyFont="1" applyFill="1" applyBorder="1" applyAlignment="1" applyProtection="1">
      <alignment horizontal="left"/>
    </xf>
    <xf numFmtId="0" fontId="8" fillId="6" borderId="29" xfId="0" quotePrefix="1" applyFont="1" applyFill="1" applyBorder="1" applyAlignment="1" applyProtection="1">
      <alignment horizontal="right"/>
    </xf>
    <xf numFmtId="0" fontId="8" fillId="2" borderId="23" xfId="0" applyFont="1" applyFill="1" applyBorder="1"/>
    <xf numFmtId="0" fontId="8" fillId="2" borderId="35" xfId="0" applyFont="1" applyFill="1" applyBorder="1"/>
    <xf numFmtId="0" fontId="33" fillId="2" borderId="0" xfId="0" quotePrefix="1" applyFont="1" applyFill="1" applyAlignment="1">
      <alignment horizontal="center"/>
    </xf>
    <xf numFmtId="164" fontId="11" fillId="3" borderId="29" xfId="0" quotePrefix="1" applyNumberFormat="1" applyFont="1" applyFill="1" applyBorder="1" applyAlignment="1" applyProtection="1">
      <alignment horizontal="right"/>
    </xf>
    <xf numFmtId="0" fontId="19" fillId="3" borderId="29" xfId="0" quotePrefix="1" applyFont="1" applyFill="1" applyBorder="1" applyAlignment="1" applyProtection="1">
      <alignment horizontal="right"/>
    </xf>
    <xf numFmtId="0" fontId="8" fillId="0" borderId="29" xfId="0" applyFont="1" applyFill="1" applyBorder="1" applyAlignment="1">
      <alignment wrapText="1"/>
    </xf>
    <xf numFmtId="0" fontId="19" fillId="0" borderId="29" xfId="0" applyFont="1" applyFill="1" applyBorder="1" applyAlignment="1">
      <alignment shrinkToFit="1"/>
    </xf>
    <xf numFmtId="0" fontId="8" fillId="0" borderId="29" xfId="0" applyFont="1" applyFill="1" applyBorder="1"/>
    <xf numFmtId="0" fontId="8" fillId="0" borderId="29" xfId="0" applyFont="1" applyFill="1" applyBorder="1" applyAlignment="1">
      <alignment horizontal="right"/>
    </xf>
    <xf numFmtId="165" fontId="19" fillId="0" borderId="29" xfId="0" applyNumberFormat="1" applyFont="1" applyFill="1" applyBorder="1" applyAlignment="1">
      <alignment horizontal="right"/>
    </xf>
    <xf numFmtId="6" fontId="8" fillId="0" borderId="29" xfId="0" applyNumberFormat="1" applyFont="1" applyFill="1" applyBorder="1" applyAlignment="1">
      <alignment horizontal="right"/>
    </xf>
    <xf numFmtId="165" fontId="48" fillId="0" borderId="29" xfId="0" applyNumberFormat="1" applyFont="1" applyFill="1" applyBorder="1" applyAlignment="1">
      <alignment horizontal="right"/>
    </xf>
    <xf numFmtId="6" fontId="8" fillId="2" borderId="29" xfId="0" quotePrefix="1" applyNumberFormat="1" applyFont="1" applyFill="1" applyBorder="1" applyAlignment="1" applyProtection="1">
      <alignment horizontal="right"/>
    </xf>
    <xf numFmtId="0" fontId="51" fillId="0" borderId="0" xfId="0" applyFont="1"/>
    <xf numFmtId="6" fontId="0" fillId="0" borderId="0" xfId="0" applyNumberFormat="1"/>
    <xf numFmtId="0" fontId="2" fillId="12" borderId="0" xfId="0" applyFont="1" applyFill="1"/>
    <xf numFmtId="6" fontId="0" fillId="12" borderId="0" xfId="0" applyNumberFormat="1" applyFill="1"/>
    <xf numFmtId="165" fontId="0" fillId="0" borderId="0" xfId="0" applyNumberFormat="1"/>
    <xf numFmtId="164" fontId="0" fillId="0" borderId="0" xfId="0" applyNumberFormat="1"/>
    <xf numFmtId="6" fontId="8" fillId="2" borderId="0" xfId="0" quotePrefix="1" applyNumberFormat="1" applyFont="1" applyFill="1" applyBorder="1"/>
    <xf numFmtId="0" fontId="50" fillId="11" borderId="39" xfId="0" applyFont="1" applyFill="1" applyBorder="1" applyAlignment="1">
      <alignment horizontal="left"/>
    </xf>
    <xf numFmtId="0" fontId="0" fillId="11" borderId="40" xfId="0" applyFill="1" applyBorder="1"/>
    <xf numFmtId="0" fontId="2" fillId="11" borderId="41" xfId="0" applyFont="1" applyFill="1" applyBorder="1"/>
    <xf numFmtId="0" fontId="2" fillId="0" borderId="42" xfId="0" applyFont="1" applyBorder="1"/>
    <xf numFmtId="0" fontId="0" fillId="0" borderId="0" xfId="0" applyBorder="1"/>
    <xf numFmtId="0" fontId="0" fillId="0" borderId="43" xfId="0" applyBorder="1"/>
    <xf numFmtId="0" fontId="2" fillId="0" borderId="43" xfId="0" applyFont="1" applyBorder="1"/>
    <xf numFmtId="0" fontId="51" fillId="8" borderId="42" xfId="0" applyFont="1" applyFill="1" applyBorder="1" applyAlignment="1">
      <alignment horizontal="center"/>
    </xf>
    <xf numFmtId="0" fontId="2" fillId="8" borderId="0" xfId="0" applyFont="1" applyFill="1" applyBorder="1"/>
    <xf numFmtId="0" fontId="0" fillId="8" borderId="43" xfId="0" applyFill="1" applyBorder="1"/>
    <xf numFmtId="6" fontId="0" fillId="0" borderId="0" xfId="0" applyNumberFormat="1" applyBorder="1"/>
    <xf numFmtId="6" fontId="0" fillId="8" borderId="0" xfId="0" applyNumberFormat="1" applyFill="1" applyBorder="1"/>
    <xf numFmtId="0" fontId="0" fillId="0" borderId="0" xfId="0" applyNumberFormat="1" applyBorder="1"/>
    <xf numFmtId="0" fontId="0" fillId="8" borderId="0" xfId="0" applyNumberFormat="1" applyFill="1" applyBorder="1"/>
    <xf numFmtId="0" fontId="2" fillId="0" borderId="42" xfId="0" applyFont="1" applyBorder="1" applyAlignment="1">
      <alignment horizontal="left"/>
    </xf>
    <xf numFmtId="9" fontId="0" fillId="0" borderId="0" xfId="0" applyNumberFormat="1" applyBorder="1"/>
    <xf numFmtId="9" fontId="2" fillId="0" borderId="0" xfId="0" applyNumberFormat="1" applyFont="1" applyBorder="1"/>
    <xf numFmtId="0" fontId="2" fillId="0" borderId="0" xfId="0" applyFont="1" applyBorder="1"/>
    <xf numFmtId="0" fontId="50" fillId="11" borderId="42" xfId="0" applyFont="1" applyFill="1" applyBorder="1"/>
    <xf numFmtId="0" fontId="0" fillId="11" borderId="0" xfId="0" applyFill="1" applyBorder="1"/>
    <xf numFmtId="0" fontId="2" fillId="11" borderId="43" xfId="0" applyFont="1" applyFill="1" applyBorder="1"/>
    <xf numFmtId="0" fontId="0" fillId="8" borderId="0" xfId="0" applyFill="1" applyBorder="1"/>
    <xf numFmtId="0" fontId="2" fillId="0" borderId="42" xfId="0" applyFont="1" applyBorder="1" applyAlignment="1">
      <alignment horizontal="left" vertical="top"/>
    </xf>
    <xf numFmtId="0" fontId="52" fillId="8" borderId="0" xfId="0" applyFont="1" applyFill="1" applyBorder="1"/>
    <xf numFmtId="9" fontId="52" fillId="8" borderId="0" xfId="0" applyNumberFormat="1" applyFont="1" applyFill="1" applyBorder="1"/>
    <xf numFmtId="9" fontId="52" fillId="8" borderId="43" xfId="0" applyNumberFormat="1" applyFont="1" applyFill="1" applyBorder="1"/>
    <xf numFmtId="0" fontId="51" fillId="0" borderId="42" xfId="0" applyFont="1" applyBorder="1"/>
    <xf numFmtId="0" fontId="2" fillId="0" borderId="42" xfId="0" applyFont="1" applyFill="1" applyBorder="1" applyAlignment="1">
      <alignment horizontal="left"/>
    </xf>
    <xf numFmtId="164" fontId="0" fillId="0" borderId="0" xfId="0" applyNumberFormat="1" applyBorder="1"/>
    <xf numFmtId="0" fontId="50" fillId="13" borderId="42" xfId="0" applyFont="1" applyFill="1" applyBorder="1"/>
    <xf numFmtId="0" fontId="0" fillId="13" borderId="0" xfId="0" applyFill="1" applyBorder="1"/>
    <xf numFmtId="0" fontId="0" fillId="13" borderId="43" xfId="0" applyFill="1" applyBorder="1"/>
    <xf numFmtId="0" fontId="0" fillId="0" borderId="42" xfId="0" applyBorder="1"/>
    <xf numFmtId="0" fontId="8" fillId="2" borderId="44" xfId="0" quotePrefix="1" applyFont="1" applyFill="1" applyBorder="1"/>
    <xf numFmtId="0" fontId="8" fillId="2" borderId="42" xfId="0" quotePrefix="1" applyFont="1" applyFill="1" applyBorder="1" applyAlignment="1">
      <alignment wrapText="1"/>
    </xf>
    <xf numFmtId="0" fontId="0" fillId="0" borderId="46" xfId="0" applyBorder="1"/>
    <xf numFmtId="0" fontId="0" fillId="0" borderId="47" xfId="0" applyBorder="1"/>
    <xf numFmtId="0" fontId="8" fillId="2" borderId="42" xfId="0" quotePrefix="1" applyFont="1" applyFill="1" applyBorder="1"/>
    <xf numFmtId="6" fontId="12" fillId="0" borderId="0" xfId="0" applyNumberFormat="1" applyFont="1"/>
    <xf numFmtId="9" fontId="12" fillId="0" borderId="0" xfId="0" applyNumberFormat="1" applyFont="1"/>
    <xf numFmtId="0" fontId="2" fillId="0" borderId="45" xfId="0" applyFont="1" applyBorder="1"/>
    <xf numFmtId="10" fontId="0" fillId="0" borderId="43" xfId="0" applyNumberFormat="1" applyBorder="1"/>
    <xf numFmtId="6" fontId="2" fillId="0" borderId="0" xfId="0" applyNumberFormat="1" applyFont="1"/>
    <xf numFmtId="8" fontId="0" fillId="0" borderId="0" xfId="0" applyNumberFormat="1"/>
    <xf numFmtId="0" fontId="2" fillId="8" borderId="42" xfId="0" applyFont="1" applyFill="1" applyBorder="1"/>
    <xf numFmtId="0" fontId="50" fillId="8" borderId="42" xfId="0" applyFont="1" applyFill="1" applyBorder="1"/>
    <xf numFmtId="6" fontId="12" fillId="8" borderId="0" xfId="0" applyNumberFormat="1" applyFont="1" applyFill="1"/>
    <xf numFmtId="0" fontId="50" fillId="8" borderId="0" xfId="0" applyFont="1" applyFill="1" applyBorder="1"/>
    <xf numFmtId="0" fontId="50" fillId="8" borderId="43" xfId="0" applyFont="1" applyFill="1" applyBorder="1"/>
    <xf numFmtId="8" fontId="35" fillId="2" borderId="0" xfId="0" applyNumberFormat="1" applyFont="1" applyFill="1" applyAlignment="1">
      <alignment horizontal="right"/>
    </xf>
    <xf numFmtId="0" fontId="53" fillId="2" borderId="0" xfId="0" applyFont="1" applyFill="1"/>
    <xf numFmtId="164" fontId="53" fillId="2" borderId="0" xfId="0" applyNumberFormat="1" applyFont="1" applyFill="1" applyAlignment="1">
      <alignment horizontal="right"/>
    </xf>
    <xf numFmtId="165" fontId="40" fillId="2" borderId="0" xfId="0" applyNumberFormat="1" applyFont="1" applyFill="1" applyAlignment="1">
      <alignment horizontal="center"/>
    </xf>
    <xf numFmtId="1" fontId="35" fillId="2" borderId="0" xfId="0" applyNumberFormat="1" applyFont="1" applyFill="1" applyAlignment="1">
      <alignment horizontal="right"/>
    </xf>
    <xf numFmtId="1" fontId="37" fillId="2" borderId="0" xfId="0" applyNumberFormat="1" applyFont="1" applyFill="1" applyAlignment="1">
      <alignment horizontal="right"/>
    </xf>
    <xf numFmtId="0" fontId="35" fillId="2" borderId="0" xfId="0" applyFont="1" applyFill="1" applyAlignment="1">
      <alignment horizontal="right"/>
    </xf>
    <xf numFmtId="0" fontId="37" fillId="0" borderId="0" xfId="0" applyFont="1" applyFill="1" applyAlignment="1">
      <alignment horizontal="right"/>
    </xf>
    <xf numFmtId="0" fontId="53" fillId="2" borderId="0" xfId="0" applyFont="1" applyFill="1" applyAlignment="1">
      <alignment horizontal="right"/>
    </xf>
    <xf numFmtId="164" fontId="35" fillId="6" borderId="0" xfId="0" applyNumberFormat="1" applyFont="1" applyFill="1" applyAlignment="1">
      <alignment horizontal="right"/>
    </xf>
    <xf numFmtId="0" fontId="54" fillId="2" borderId="0" xfId="0" applyFont="1" applyFill="1"/>
    <xf numFmtId="0" fontId="42" fillId="2" borderId="0" xfId="0" quotePrefix="1" applyFont="1" applyFill="1" applyAlignment="1">
      <alignment horizontal="left"/>
    </xf>
    <xf numFmtId="0" fontId="36" fillId="2" borderId="35" xfId="0" applyFont="1" applyFill="1" applyBorder="1"/>
    <xf numFmtId="164" fontId="55" fillId="2" borderId="0" xfId="0" applyNumberFormat="1" applyFont="1" applyFill="1" applyAlignment="1">
      <alignment horizontal="center"/>
    </xf>
    <xf numFmtId="0" fontId="56" fillId="2" borderId="0" xfId="0" applyFont="1" applyFill="1"/>
    <xf numFmtId="0" fontId="56" fillId="2" borderId="35" xfId="0" applyFont="1" applyFill="1" applyBorder="1" applyAlignment="1">
      <alignment horizontal="center"/>
    </xf>
    <xf numFmtId="0" fontId="55" fillId="2" borderId="35" xfId="0" applyFont="1" applyFill="1" applyBorder="1"/>
    <xf numFmtId="164" fontId="57" fillId="2" borderId="0" xfId="0" applyNumberFormat="1" applyFont="1" applyFill="1" applyAlignment="1">
      <alignment horizontal="center"/>
    </xf>
    <xf numFmtId="164" fontId="56" fillId="2" borderId="0" xfId="0" applyNumberFormat="1" applyFont="1" applyFill="1" applyAlignment="1">
      <alignment horizontal="center"/>
    </xf>
    <xf numFmtId="0" fontId="55" fillId="2" borderId="0" xfId="0" applyFont="1" applyFill="1"/>
    <xf numFmtId="0" fontId="0" fillId="0" borderId="0" xfId="0" applyFill="1" applyBorder="1"/>
    <xf numFmtId="164" fontId="37" fillId="6" borderId="0" xfId="0" applyNumberFormat="1" applyFont="1" applyFill="1" applyAlignment="1">
      <alignment horizontal="right"/>
    </xf>
    <xf numFmtId="0" fontId="2" fillId="6" borderId="0" xfId="0" applyFont="1" applyFill="1"/>
    <xf numFmtId="10" fontId="0" fillId="0" borderId="0" xfId="0" applyNumberFormat="1" applyBorder="1"/>
    <xf numFmtId="164" fontId="58" fillId="2" borderId="0" xfId="0" applyNumberFormat="1" applyFont="1" applyFill="1" applyAlignment="1">
      <alignment horizontal="right"/>
    </xf>
    <xf numFmtId="6" fontId="35" fillId="2" borderId="0" xfId="0" applyNumberFormat="1" applyFont="1" applyFill="1" applyAlignment="1">
      <alignment horizontal="right"/>
    </xf>
    <xf numFmtId="165" fontId="53" fillId="2" borderId="0" xfId="0" applyNumberFormat="1" applyFont="1" applyFill="1" applyAlignment="1">
      <alignment horizontal="right"/>
    </xf>
    <xf numFmtId="10" fontId="42" fillId="2" borderId="0" xfId="1" applyNumberFormat="1" applyFont="1" applyFill="1" applyAlignment="1"/>
    <xf numFmtId="0" fontId="56" fillId="2" borderId="35" xfId="0" applyFont="1" applyFill="1" applyBorder="1" applyAlignment="1">
      <alignment horizontal="right"/>
    </xf>
    <xf numFmtId="164" fontId="56" fillId="2" borderId="0" xfId="0" applyNumberFormat="1" applyFont="1" applyFill="1" applyAlignment="1">
      <alignment horizontal="right"/>
    </xf>
    <xf numFmtId="164" fontId="35" fillId="0" borderId="0" xfId="0" applyNumberFormat="1" applyFont="1" applyFill="1" applyAlignment="1">
      <alignment horizontal="right"/>
    </xf>
    <xf numFmtId="0" fontId="51" fillId="2" borderId="0" xfId="0" applyFont="1" applyFill="1"/>
    <xf numFmtId="9" fontId="42" fillId="2" borderId="0" xfId="1" applyNumberFormat="1" applyFont="1" applyFill="1" applyAlignment="1"/>
    <xf numFmtId="9" fontId="35" fillId="2" borderId="0" xfId="1" applyNumberFormat="1" applyFont="1" applyFill="1" applyAlignment="1"/>
    <xf numFmtId="0" fontId="59" fillId="2" borderId="0" xfId="0" quotePrefix="1" applyFont="1" applyFill="1" applyAlignment="1">
      <alignment horizontal="left"/>
    </xf>
    <xf numFmtId="1" fontId="0" fillId="0" borderId="0" xfId="0" applyNumberFormat="1" applyFill="1" applyBorder="1"/>
    <xf numFmtId="9" fontId="8" fillId="2" borderId="0" xfId="0" applyNumberFormat="1" applyFont="1" applyFill="1" applyBorder="1"/>
    <xf numFmtId="166" fontId="26" fillId="2" borderId="34" xfId="0" applyNumberFormat="1" applyFont="1" applyFill="1" applyBorder="1" applyAlignment="1">
      <alignment horizontal="right"/>
    </xf>
    <xf numFmtId="17" fontId="26" fillId="2" borderId="33" xfId="0" applyNumberFormat="1" applyFont="1" applyFill="1" applyBorder="1" applyAlignment="1">
      <alignment horizontal="center"/>
    </xf>
    <xf numFmtId="0" fontId="33" fillId="2" borderId="0" xfId="0" quotePrefix="1" applyFont="1" applyFill="1" applyAlignment="1">
      <alignment horizontal="center"/>
    </xf>
    <xf numFmtId="0" fontId="49" fillId="2" borderId="0" xfId="0" quotePrefix="1" applyFont="1" applyFill="1" applyAlignment="1">
      <alignment horizontal="center"/>
    </xf>
    <xf numFmtId="0" fontId="25" fillId="2" borderId="0" xfId="0" quotePrefix="1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11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1" fillId="8" borderId="30" xfId="0" quotePrefix="1" applyFont="1" applyFill="1" applyBorder="1"/>
    <xf numFmtId="0" fontId="11" fillId="8" borderId="31" xfId="0" quotePrefix="1" applyFont="1" applyFill="1" applyBorder="1"/>
    <xf numFmtId="0" fontId="24" fillId="2" borderId="30" xfId="0" quotePrefix="1" applyFont="1" applyFill="1" applyBorder="1" applyAlignment="1" applyProtection="1">
      <alignment horizontal="left"/>
    </xf>
    <xf numFmtId="0" fontId="24" fillId="2" borderId="31" xfId="0" quotePrefix="1" applyFont="1" applyFill="1" applyBorder="1" applyAlignment="1" applyProtection="1">
      <alignment horizontal="left"/>
    </xf>
    <xf numFmtId="0" fontId="24" fillId="2" borderId="38" xfId="0" quotePrefix="1" applyFont="1" applyFill="1" applyBorder="1" applyAlignment="1" applyProtection="1">
      <alignment horizontal="left"/>
    </xf>
    <xf numFmtId="0" fontId="11" fillId="2" borderId="30" xfId="0" quotePrefix="1" applyFont="1" applyFill="1" applyBorder="1" applyAlignment="1" applyProtection="1">
      <alignment horizontal="left"/>
    </xf>
    <xf numFmtId="0" fontId="11" fillId="2" borderId="31" xfId="0" quotePrefix="1" applyFont="1" applyFill="1" applyBorder="1" applyAlignment="1" applyProtection="1">
      <alignment horizontal="left"/>
    </xf>
    <xf numFmtId="0" fontId="11" fillId="2" borderId="38" xfId="0" quotePrefix="1" applyFont="1" applyFill="1" applyBorder="1" applyAlignment="1" applyProtection="1">
      <alignment horizontal="left"/>
    </xf>
    <xf numFmtId="0" fontId="11" fillId="0" borderId="30" xfId="0" quotePrefix="1" applyFont="1" applyFill="1" applyBorder="1" applyAlignment="1" applyProtection="1">
      <alignment horizontal="left"/>
    </xf>
    <xf numFmtId="0" fontId="11" fillId="0" borderId="31" xfId="0" quotePrefix="1" applyFont="1" applyFill="1" applyBorder="1" applyAlignment="1" applyProtection="1">
      <alignment horizontal="left"/>
    </xf>
    <xf numFmtId="0" fontId="11" fillId="0" borderId="38" xfId="0" quotePrefix="1" applyFont="1" applyFill="1" applyBorder="1" applyAlignment="1" applyProtection="1">
      <alignment horizontal="left"/>
    </xf>
    <xf numFmtId="164" fontId="56" fillId="0" borderId="0" xfId="0" applyNumberFormat="1" applyFont="1" applyFill="1" applyAlignment="1">
      <alignment horizontal="right"/>
    </xf>
    <xf numFmtId="0" fontId="56" fillId="0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6" fontId="2" fillId="0" borderId="0" xfId="0" applyNumberFormat="1" applyFont="1" applyBorder="1"/>
    <xf numFmtId="167" fontId="35" fillId="2" borderId="0" xfId="1" applyNumberFormat="1" applyFont="1" applyFill="1" applyAlignment="1">
      <alignment horizontal="center"/>
    </xf>
    <xf numFmtId="0" fontId="60" fillId="2" borderId="0" xfId="0" applyFont="1" applyFill="1"/>
    <xf numFmtId="9" fontId="35" fillId="2" borderId="0" xfId="1" applyNumberFormat="1" applyFont="1" applyFill="1" applyAlignment="1">
      <alignment horizontal="center"/>
    </xf>
    <xf numFmtId="3" fontId="35" fillId="2" borderId="0" xfId="0" applyNumberFormat="1" applyFont="1" applyFill="1" applyAlignment="1">
      <alignment horizontal="right"/>
    </xf>
    <xf numFmtId="3" fontId="37" fillId="2" borderId="0" xfId="0" applyNumberFormat="1" applyFont="1" applyFill="1" applyAlignment="1">
      <alignment horizontal="right"/>
    </xf>
    <xf numFmtId="3" fontId="0" fillId="2" borderId="0" xfId="0" applyNumberFormat="1" applyFill="1"/>
    <xf numFmtId="3" fontId="37" fillId="2" borderId="35" xfId="0" applyNumberFormat="1" applyFont="1" applyFill="1" applyBorder="1" applyAlignment="1">
      <alignment horizontal="right"/>
    </xf>
    <xf numFmtId="3" fontId="40" fillId="2" borderId="0" xfId="0" applyNumberFormat="1" applyFont="1" applyFill="1" applyAlignment="1">
      <alignment horizontal="right"/>
    </xf>
    <xf numFmtId="3" fontId="35" fillId="2" borderId="0" xfId="0" applyNumberFormat="1" applyFont="1" applyFill="1" applyAlignment="1">
      <alignment horizontal="center"/>
    </xf>
    <xf numFmtId="3" fontId="37" fillId="2" borderId="0" xfId="0" applyNumberFormat="1" applyFont="1" applyFill="1"/>
    <xf numFmtId="3" fontId="40" fillId="2" borderId="0" xfId="0" applyNumberFormat="1" applyFont="1" applyFill="1" applyAlignment="1">
      <alignment horizontal="center"/>
    </xf>
    <xf numFmtId="3" fontId="37" fillId="2" borderId="34" xfId="0" applyNumberFormat="1" applyFont="1" applyFill="1" applyBorder="1" applyAlignment="1">
      <alignment horizontal="right"/>
    </xf>
    <xf numFmtId="3" fontId="41" fillId="2" borderId="0" xfId="0" applyNumberFormat="1" applyFont="1" applyFill="1" applyAlignment="1">
      <alignment horizontal="right"/>
    </xf>
    <xf numFmtId="3" fontId="41" fillId="2" borderId="0" xfId="0" applyNumberFormat="1" applyFont="1" applyFill="1" applyAlignment="1">
      <alignment horizontal="center"/>
    </xf>
    <xf numFmtId="3" fontId="56" fillId="2" borderId="35" xfId="0" applyNumberFormat="1" applyFont="1" applyFill="1" applyBorder="1" applyAlignment="1">
      <alignment horizontal="right"/>
    </xf>
    <xf numFmtId="3" fontId="56" fillId="2" borderId="35" xfId="0" applyNumberFormat="1" applyFont="1" applyFill="1" applyBorder="1" applyAlignment="1">
      <alignment horizontal="center"/>
    </xf>
    <xf numFmtId="3" fontId="55" fillId="2" borderId="35" xfId="0" applyNumberFormat="1" applyFont="1" applyFill="1" applyBorder="1"/>
    <xf numFmtId="3" fontId="56" fillId="2" borderId="0" xfId="0" applyNumberFormat="1" applyFont="1" applyFill="1" applyAlignment="1">
      <alignment horizontal="right"/>
    </xf>
    <xf numFmtId="3" fontId="56" fillId="2" borderId="0" xfId="0" applyNumberFormat="1" applyFont="1" applyFill="1" applyAlignment="1">
      <alignment horizontal="center"/>
    </xf>
    <xf numFmtId="3" fontId="55" fillId="2" borderId="0" xfId="0" applyNumberFormat="1" applyFont="1" applyFill="1" applyAlignment="1">
      <alignment horizontal="center"/>
    </xf>
    <xf numFmtId="3" fontId="55" fillId="2" borderId="0" xfId="0" applyNumberFormat="1" applyFont="1" applyFill="1" applyAlignment="1">
      <alignment horizontal="right"/>
    </xf>
    <xf numFmtId="3" fontId="55" fillId="2" borderId="0" xfId="0" applyNumberFormat="1" applyFont="1" applyFill="1"/>
    <xf numFmtId="3" fontId="35" fillId="2" borderId="0" xfId="0" applyNumberFormat="1" applyFont="1" applyFill="1"/>
  </cellXfs>
  <cellStyles count="5">
    <cellStyle name="Comma" xfId="2" builtinId="3"/>
    <cellStyle name="Currency" xfId="3" builtinId="4"/>
    <cellStyle name="Currency 2" xfId="4" xr:uid="{BEF1ABDC-BD51-7F48-8EC4-0A7E129F8BD0}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ebecca Hsu" id="{15C84CE3-7BA3-8B45-9BEE-0DEADE423C53}" userId="75e3b47a3b6fbc0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0-12-05T01:29:57.45" personId="{15C84CE3-7BA3-8B45-9BEE-0DEADE423C53}" id="{CFFC10B8-7795-B341-A10F-55C2AF8AD095}">
    <text>maybe adjust salaries so more employees are indirect?</text>
  </threadedComment>
  <threadedComment ref="F4" dT="2020-12-07T04:30:29.83" personId="{15C84CE3-7BA3-8B45-9BEE-0DEADE423C53}" id="{4F3EE303-2028-6541-8426-CF0596B44DFD}">
    <text>total students bc serve all students</text>
  </threadedComment>
  <threadedComment ref="G8" dT="2020-12-05T01:29:57.45" personId="{15C84CE3-7BA3-8B45-9BEE-0DEADE423C53}" id="{EA4A60FF-7D8B-0D4C-A9A8-B98575644969}">
    <text>maybe adjust salaries so more employees are indirect?</text>
  </threadedComment>
  <threadedComment ref="D16" dT="2020-12-07T01:14:35.27" personId="{15C84CE3-7BA3-8B45-9BEE-0DEADE423C53}" id="{6F945A41-BA0D-E846-ABF3-2087598D52B2}">
    <text>Assuming teachers get yearly health coverage (b/c yearly salary?)</text>
  </threadedComment>
  <threadedComment ref="L16" dT="2020-12-05T00:14:22.11" personId="{15C84CE3-7BA3-8B45-9BEE-0DEADE423C53}" id="{49C5B77D-04C7-874A-8D73-63D02479338D}">
    <text>don’t double count this in total direct costs</text>
  </threadedComment>
  <threadedComment ref="A25" dT="2020-12-05T06:43:37.37" personId="{15C84CE3-7BA3-8B45-9BEE-0DEADE423C53}" id="{624D3A03-E129-6B47-9308-2F35551D2782}">
    <text>maybe change to per unit?</text>
  </threadedComment>
  <threadedComment ref="H38" dT="2020-12-05T06:25:31.66" personId="{15C84CE3-7BA3-8B45-9BEE-0DEADE423C53}" id="{332DA2C8-0DFC-F842-8BBD-72C7F4D333C9}">
    <text>double check disbursement</text>
  </threadedComment>
  <threadedComment ref="I38" dT="2020-12-05T06:25:31.66" personId="{15C84CE3-7BA3-8B45-9BEE-0DEADE423C53}" id="{78399F5F-AD53-2D4A-9CBB-E5D02709AD3A}">
    <text>double check disbursement</text>
  </threadedComment>
  <threadedComment ref="A43" dT="2020-12-07T07:38:40.33" personId="{15C84CE3-7BA3-8B45-9BEE-0DEADE423C53}" id="{4E9500B6-30DB-374A-94B9-E4F386B407F5}">
    <text>ADD hearing kids here!!!</text>
  </threadedComment>
  <threadedComment ref="A56" dT="2020-12-06T23:46:47.92" personId="{15C84CE3-7BA3-8B45-9BEE-0DEADE423C53}" id="{19B21914-6322-994E-889D-92D4B90EBBA1}">
    <text>equally allocated admin and development costs across dept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G6" dT="2020-12-07T06:17:10.38" personId="{15C84CE3-7BA3-8B45-9BEE-0DEADE423C53}" id="{FD8C5E19-C50D-BB40-AA30-15BC39E73B7F}">
    <text>Teacher training in july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A11" dT="2020-12-01T05:55:31.86" personId="{15C84CE3-7BA3-8B45-9BEE-0DEADE423C53}" id="{F4A0FE7D-3AE9-0C45-9ECA-3866EE3A6E53}">
    <text>What to do about wait list? for scenario building?</text>
  </threadedComment>
  <threadedComment ref="A13" dT="2020-11-28T04:25:45.21" personId="{15C84CE3-7BA3-8B45-9BEE-0DEADE423C53}" id="{2265AFE5-9592-E24A-BABA-B8142E454D4C}">
    <text>ADD outreach and audiology output units</text>
  </threadedComment>
  <threadedComment ref="G13" dT="2020-11-30T04:29:29.62" personId="{15C84CE3-7BA3-8B45-9BEE-0DEADE423C53}" id="{A3BE209F-6D7C-0047-B057-C643CACA37FA}">
    <text>20-30 per week, averaging to 25</text>
  </threadedComment>
  <threadedComment ref="E23" dT="2020-11-28T06:30:48.78" personId="{15C84CE3-7BA3-8B45-9BEE-0DEADE423C53}" id="{F72DA13F-1AAB-BB41-B0C9-3A0F66FBADE5}">
    <text>Don’t forget this!!!</text>
  </threadedComment>
  <threadedComment ref="C27" dT="2020-11-28T06:08:28.07" personId="{15C84CE3-7BA3-8B45-9BEE-0DEADE423C53}" id="{2B455E9E-03B0-6745-885B-3EA55E72478B}">
    <text>Assumption</text>
  </threadedComment>
  <threadedComment ref="H59" dT="2020-11-28T04:21:56.11" personId="{15C84CE3-7BA3-8B45-9BEE-0DEADE423C53}" id="{ABA7DC4B-44F7-D34F-BF3E-F32210868357}">
    <text>split 90,000 in 2 b/c 2 admin assistants. But do these personnel costs include benefits?</text>
  </threadedComment>
  <threadedComment ref="A64" dT="2020-11-28T04:31:17.43" personId="{15C84CE3-7BA3-8B45-9BEE-0DEADE423C53}" id="{AD070A10-9E4E-6447-9925-BEDE8BB315E1}">
    <text>FTE ONLY</text>
  </threadedComment>
  <threadedComment ref="A67" dT="2020-11-28T05:05:30.57" personId="{15C84CE3-7BA3-8B45-9BEE-0DEADE423C53}" id="{13736B8A-6E1A-1340-A935-63E36CE4E16D}">
    <text>pay attention to monthly vs yearly when allocating costs! Will have to divide by c14 (except rent)</text>
  </threadedComment>
  <threadedComment ref="A74" dT="2020-11-28T05:23:59.41" personId="{15C84CE3-7BA3-8B45-9BEE-0DEADE423C53}" id="{E612E8F9-B97C-2C41-9E9C-1790BBE18ED0}">
    <text>Who counts as therapist? Therapy consultant?</text>
  </threadedComment>
  <threadedComment ref="H89" dT="2020-11-28T04:34:20.57" personId="{15C84CE3-7BA3-8B45-9BEE-0DEADE423C53}" id="{6D9BD3E3-D81A-3849-9759-59B4323C820B}">
    <text>8% admin, 2% Comm and dev</text>
  </threadedComment>
  <threadedComment ref="A93" dT="2020-11-28T06:18:05.12" personId="{15C84CE3-7BA3-8B45-9BEE-0DEADE423C53}" id="{79F078F5-D548-DA4B-8FCC-0F2452774E49}">
    <text>Change to be equal allocation parameter? Or leave as a by title allocation?</text>
  </threadedComment>
  <threadedComment ref="A96" dT="2020-11-28T06:18:31.34" personId="{15C84CE3-7BA3-8B45-9BEE-0DEADE423C53}" id="{550A4C81-BD61-0042-884D-C0A7DEE1A0AD}">
    <text>Specific to Education - so classroom and outreach</text>
  </threadedComment>
  <threadedComment ref="H97" dT="2020-11-28T06:17:37.02" personId="{15C84CE3-7BA3-8B45-9BEE-0DEADE423C53}" id="{8A61305F-A726-E849-BC42-3E5BCAD8DC27}">
    <text>these have to get allocated to programs at some point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24" dT="2020-12-07T06:27:26.38" personId="{15C84CE3-7BA3-8B45-9BEE-0DEADE423C53}" id="{0464F091-B509-3242-987B-045663ADFC40}">
    <text>October</text>
  </threadedComment>
  <threadedComment ref="C124" dT="2020-12-07T06:27:34.12" personId="{15C84CE3-7BA3-8B45-9BEE-0DEADE423C53}" id="{6A893F32-3F0D-8E42-B159-31403DB5FD4C}">
    <text>November</text>
  </threadedComment>
  <threadedComment ref="D124" dT="2020-12-07T06:27:40.09" personId="{15C84CE3-7BA3-8B45-9BEE-0DEADE423C53}" id="{A70BA5B9-1B42-AC40-B4AC-4A465E056E30}">
    <text>December</text>
  </threadedComment>
  <threadedComment ref="C131" dT="2020-12-06T07:15:08.99" personId="{15C84CE3-7BA3-8B45-9BEE-0DEADE423C53}" id="{718E96F3-335F-BB46-BFB4-F8729BBB304D}">
    <text>multiply by month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3" dT="2020-12-05T01:29:57.45" personId="{15C84CE3-7BA3-8B45-9BEE-0DEADE423C53}" id="{DFEAA8E7-EF68-AB44-84FC-0EA20395485F}">
    <text>maybe adjust salaries so more employees are indirect?</text>
  </threadedComment>
  <threadedComment ref="E4" dT="2020-12-07T04:30:29.83" personId="{15C84CE3-7BA3-8B45-9BEE-0DEADE423C53}" id="{20E8F5C7-F19F-694A-8456-DB5BA0ECA200}">
    <text>total students bc serve all students</text>
  </threadedComment>
  <threadedComment ref="F9" dT="2020-12-05T01:29:57.45" personId="{15C84CE3-7BA3-8B45-9BEE-0DEADE423C53}" id="{8F3AAA1D-C27C-BF46-B277-9C52DD863695}">
    <text>maybe adjust salaries so more employees are indirect?</text>
  </threadedComment>
  <threadedComment ref="D17" dT="2020-12-07T01:14:35.27" personId="{15C84CE3-7BA3-8B45-9BEE-0DEADE423C53}" id="{3402C4C8-C398-B74D-A388-0349B72A9960}">
    <text>Assuming teachers get yearly health coverage (b/c yearly salary?)</text>
  </threadedComment>
  <threadedComment ref="K17" dT="2020-12-05T00:14:22.11" personId="{15C84CE3-7BA3-8B45-9BEE-0DEADE423C53}" id="{B10C02BE-9810-0B48-A2DB-90BDCCFB235F}">
    <text>don’t double count this in total direct costs</text>
  </threadedComment>
  <threadedComment ref="A26" dT="2020-12-05T06:43:37.37" personId="{15C84CE3-7BA3-8B45-9BEE-0DEADE423C53}" id="{6F3087AB-6CA8-EA40-BE4F-56EFD8C4EFC1}">
    <text>maybe change to per unit?</text>
  </threadedComment>
  <threadedComment ref="H39" dT="2020-12-05T06:25:31.66" personId="{15C84CE3-7BA3-8B45-9BEE-0DEADE423C53}" id="{C5AE4FF1-09EC-F04F-942D-927127852AF6}">
    <text>double check disbursement</text>
  </threadedComment>
  <threadedComment ref="A56" dT="2020-12-06T23:46:47.92" personId="{15C84CE3-7BA3-8B45-9BEE-0DEADE423C53}" id="{75761D6F-626A-9449-8026-21521E00D056}">
    <text>equally allocated admin and development costs across dept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3" dT="2020-12-05T01:29:57.45" personId="{15C84CE3-7BA3-8B45-9BEE-0DEADE423C53}" id="{0908666A-ED18-A34D-97CF-EE76F6B3DE0C}">
    <text>maybe adjust salaries so more employees are indirect?</text>
  </threadedComment>
  <threadedComment ref="E4" dT="2020-12-07T04:30:29.83" personId="{15C84CE3-7BA3-8B45-9BEE-0DEADE423C53}" id="{D72B3486-43C9-BE4E-BFD1-AC8975268ACE}">
    <text>total students bc serve all students</text>
  </threadedComment>
  <threadedComment ref="F9" dT="2020-12-05T01:29:57.45" personId="{15C84CE3-7BA3-8B45-9BEE-0DEADE423C53}" id="{7E6493B9-E78F-CD45-B50B-7D5320DE3421}">
    <text>maybe adjust salaries so more employees are indirect?</text>
  </threadedComment>
  <threadedComment ref="D17" dT="2020-12-07T01:14:35.27" personId="{15C84CE3-7BA3-8B45-9BEE-0DEADE423C53}" id="{42CD70CF-7990-3A4D-8709-423B34F1CE69}">
    <text>Assuming teachers get yearly health coverage (b/c yearly salary?)</text>
  </threadedComment>
  <threadedComment ref="K17" dT="2020-12-05T00:14:22.11" personId="{15C84CE3-7BA3-8B45-9BEE-0DEADE423C53}" id="{9C9E8743-A169-2249-A145-E76F4CCFC86B}">
    <text>don’t double count this in total direct costs</text>
  </threadedComment>
  <threadedComment ref="A26" dT="2020-12-05T06:43:37.37" personId="{15C84CE3-7BA3-8B45-9BEE-0DEADE423C53}" id="{0630D53D-FB50-D447-BFF2-488EED9FFB7D}">
    <text>maybe change to per unit?</text>
  </threadedComment>
  <threadedComment ref="G39" dT="2020-12-05T06:25:31.66" personId="{15C84CE3-7BA3-8B45-9BEE-0DEADE423C53}" id="{321024B4-FEFE-5240-B9DC-5C8534645F89}">
    <text>double check disbursement</text>
  </threadedComment>
  <threadedComment ref="H39" dT="2020-12-05T06:25:31.66" personId="{15C84CE3-7BA3-8B45-9BEE-0DEADE423C53}" id="{35B97504-F0CC-C74E-B706-7A31A6B698A2}">
    <text>double check disbursement</text>
  </threadedComment>
  <threadedComment ref="A56" dT="2020-12-06T23:46:47.92" personId="{15C84CE3-7BA3-8B45-9BEE-0DEADE423C53}" id="{464B1F4C-30BB-F149-A43A-28D7C727178B}">
    <text>equally allocated admin and development costs across dept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G3" dT="2020-12-05T01:29:57.45" personId="{15C84CE3-7BA3-8B45-9BEE-0DEADE423C53}" id="{E610A463-6DF6-A04F-9F88-583BC8D60FC8}">
    <text>maybe adjust salaries so more employees are indirect?</text>
  </threadedComment>
  <threadedComment ref="F4" dT="2020-12-07T04:30:29.83" personId="{15C84CE3-7BA3-8B45-9BEE-0DEADE423C53}" id="{CBDBCF3F-EA1D-F240-8B87-F3ED53A9803C}">
    <text>total students bc serve all students</text>
  </threadedComment>
  <threadedComment ref="G8" dT="2020-12-05T01:29:57.45" personId="{15C84CE3-7BA3-8B45-9BEE-0DEADE423C53}" id="{F0DCC80B-8947-CA42-8234-18BCE6955FDA}">
    <text>maybe adjust salaries so more employees are indirect?</text>
  </threadedComment>
  <threadedComment ref="D16" dT="2020-12-07T01:14:35.27" personId="{15C84CE3-7BA3-8B45-9BEE-0DEADE423C53}" id="{5BF2FC00-1DCB-2F48-93B6-89D453F949D6}">
    <text>Assuming teachers get yearly health coverage (b/c yearly salary?)</text>
  </threadedComment>
  <threadedComment ref="L16" dT="2020-12-05T00:14:22.11" personId="{15C84CE3-7BA3-8B45-9BEE-0DEADE423C53}" id="{66EB35DF-0BE5-AC44-9B0C-6A6462F2A886}">
    <text>don’t double count this in total direct costs</text>
  </threadedComment>
  <threadedComment ref="A25" dT="2020-12-05T06:43:37.37" personId="{15C84CE3-7BA3-8B45-9BEE-0DEADE423C53}" id="{B070C318-87F2-2544-994F-C8E11D8D2BE0}">
    <text>maybe change to per unit?</text>
  </threadedComment>
  <threadedComment ref="H38" dT="2020-12-05T06:25:31.66" personId="{15C84CE3-7BA3-8B45-9BEE-0DEADE423C53}" id="{81BD4B74-5286-4A46-9D11-392E065C3DB6}">
    <text>double check disbursement</text>
  </threadedComment>
  <threadedComment ref="I38" dT="2020-12-05T06:25:31.66" personId="{15C84CE3-7BA3-8B45-9BEE-0DEADE423C53}" id="{F14B0F8E-0F89-9A4B-80F9-4AE7B47253D7}">
    <text>double check disbursement</text>
  </threadedComment>
  <threadedComment ref="A43" dT="2020-12-07T07:38:40.33" personId="{15C84CE3-7BA3-8B45-9BEE-0DEADE423C53}" id="{4C68FEDB-0063-7C4C-9DD7-B10143F03FD3}">
    <text>ADD hearing kids here!!!</text>
  </threadedComment>
  <threadedComment ref="D43" dT="2020-12-12T22:50:22.12" personId="{15C84CE3-7BA3-8B45-9BEE-0DEADE423C53}" id="{55B2FCBC-0FC7-0346-B135-AC43929A6C47}">
    <text>strategy: 10% increase to non-deaf student tuition, 75% of deaf parents pay 35% of tuition (based on medicare estimate)</text>
  </threadedComment>
  <threadedComment ref="A56" dT="2020-12-06T23:46:47.92" personId="{15C84CE3-7BA3-8B45-9BEE-0DEADE423C53}" id="{FCFCCDB2-17F4-B84D-8929-F52BF21F7C11}">
    <text>equally allocated admin and development costs across dept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F3" dT="2020-12-05T01:29:57.45" personId="{15C84CE3-7BA3-8B45-9BEE-0DEADE423C53}" id="{60B5AE45-C6EF-AB46-8854-52CAFEF8DC3E}">
    <text>maybe adjust salaries so more employees are indirect?</text>
  </threadedComment>
  <threadedComment ref="E4" dT="2020-12-07T04:30:29.83" personId="{15C84CE3-7BA3-8B45-9BEE-0DEADE423C53}" id="{1F3F0C29-3F45-4147-9F0D-5E67D857605C}">
    <text>total students bc serve all students</text>
  </threadedComment>
  <threadedComment ref="F9" dT="2020-12-05T01:29:57.45" personId="{15C84CE3-7BA3-8B45-9BEE-0DEADE423C53}" id="{2535A177-CA6A-CC49-92D9-00B54CE29FB0}">
    <text>maybe adjust salaries so more employees are indirect?</text>
  </threadedComment>
  <threadedComment ref="D17" dT="2020-12-07T01:14:35.27" personId="{15C84CE3-7BA3-8B45-9BEE-0DEADE423C53}" id="{DDA282F8-33E8-3743-904B-A47B408B1ABF}">
    <text>Assuming teachers get yearly health coverage (b/c yearly salary?)</text>
  </threadedComment>
  <threadedComment ref="K17" dT="2020-12-05T00:14:22.11" personId="{15C84CE3-7BA3-8B45-9BEE-0DEADE423C53}" id="{B6666D6C-FB4F-F94E-B11B-5B96D3BC232E}">
    <text>don’t double count this in total direct costs</text>
  </threadedComment>
  <threadedComment ref="A26" dT="2020-12-05T06:43:37.37" personId="{15C84CE3-7BA3-8B45-9BEE-0DEADE423C53}" id="{13B12A18-53FB-BD45-8F72-E7979883E773}">
    <text>maybe change to per unit?</text>
  </threadedComment>
  <threadedComment ref="G39" dT="2020-12-05T06:25:31.66" personId="{15C84CE3-7BA3-8B45-9BEE-0DEADE423C53}" id="{50A6AB6F-B96C-B941-B3E0-5423D2CBCF89}">
    <text>double check disbursement</text>
  </threadedComment>
  <threadedComment ref="H39" dT="2020-12-05T06:25:31.66" personId="{15C84CE3-7BA3-8B45-9BEE-0DEADE423C53}" id="{643C5A78-BFEB-B741-BFDE-D76C743A7A51}">
    <text>double check disbursement</text>
  </threadedComment>
  <threadedComment ref="A56" dT="2020-12-06T23:46:47.92" personId="{15C84CE3-7BA3-8B45-9BEE-0DEADE423C53}" id="{C5C05890-C4F1-9046-9507-14A7A0874D76}">
    <text>equally allocated admin and development costs across dept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G3" dT="2020-12-05T01:29:57.45" personId="{15C84CE3-7BA3-8B45-9BEE-0DEADE423C53}" id="{BEF3605B-C112-E945-BD26-244D68BD2D80}">
    <text>maybe adjust salaries so more employees are indirect?</text>
  </threadedComment>
  <threadedComment ref="F4" dT="2020-12-07T04:30:29.83" personId="{15C84CE3-7BA3-8B45-9BEE-0DEADE423C53}" id="{3652249B-C977-C343-A910-9183EBBA6ACE}">
    <text>total students bc serve all students</text>
  </threadedComment>
  <threadedComment ref="G8" dT="2020-12-05T01:29:57.45" personId="{15C84CE3-7BA3-8B45-9BEE-0DEADE423C53}" id="{A36B1C6C-9DBD-8B49-A02F-728AE71004CF}">
    <text>maybe adjust salaries so more employees are indirect?</text>
  </threadedComment>
  <threadedComment ref="D16" dT="2020-12-07T01:14:35.27" personId="{15C84CE3-7BA3-8B45-9BEE-0DEADE423C53}" id="{4962F2EE-8944-B148-BAEC-12F23F28121D}">
    <text>Assuming teachers get yearly health coverage (b/c yearly salary?)</text>
  </threadedComment>
  <threadedComment ref="L16" dT="2020-12-05T00:14:22.11" personId="{15C84CE3-7BA3-8B45-9BEE-0DEADE423C53}" id="{2B54FB2A-7049-1F42-9A63-C70FE1D32D1B}">
    <text>don’t double count this in total direct costs</text>
  </threadedComment>
  <threadedComment ref="A25" dT="2020-12-05T06:43:37.37" personId="{15C84CE3-7BA3-8B45-9BEE-0DEADE423C53}" id="{BFE4474E-D435-EE41-A7FF-E833A1034BFA}">
    <text>maybe change to per unit?</text>
  </threadedComment>
  <threadedComment ref="H38" dT="2020-12-05T06:25:31.66" personId="{15C84CE3-7BA3-8B45-9BEE-0DEADE423C53}" id="{DB10221B-CFC6-1F4C-BA66-A5AEF9B3EF05}">
    <text>double check disbursement</text>
  </threadedComment>
  <threadedComment ref="I38" dT="2020-12-05T06:25:31.66" personId="{15C84CE3-7BA3-8B45-9BEE-0DEADE423C53}" id="{DA3AFA56-9755-2B43-B5DD-1E6B13CD295A}">
    <text>double check disbursement</text>
  </threadedComment>
  <threadedComment ref="A43" dT="2020-12-07T07:38:40.33" personId="{15C84CE3-7BA3-8B45-9BEE-0DEADE423C53}" id="{9C847BB6-D4B4-6841-A363-56FF0C787B41}">
    <text>ADD hearing kids here!!!</text>
  </threadedComment>
  <threadedComment ref="A56" dT="2020-12-06T23:46:47.92" personId="{15C84CE3-7BA3-8B45-9BEE-0DEADE423C53}" id="{AD4A595A-AB1F-0448-995C-7208A872BABB}">
    <text>equally allocated admin and development costs across dept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F3" dT="2020-12-05T01:29:57.45" personId="{15C84CE3-7BA3-8B45-9BEE-0DEADE423C53}" id="{495A6BBE-FC91-FC46-90F6-1DAB0A1D3441}">
    <text>maybe adjust salaries so more employees are indirect?</text>
  </threadedComment>
  <threadedComment ref="E4" dT="2020-12-07T04:30:29.83" personId="{15C84CE3-7BA3-8B45-9BEE-0DEADE423C53}" id="{535DFAB3-26D4-9B40-BB32-A21627928EDC}">
    <text>total students bc serve all students</text>
  </threadedComment>
  <threadedComment ref="F9" dT="2020-12-05T01:29:57.45" personId="{15C84CE3-7BA3-8B45-9BEE-0DEADE423C53}" id="{39878DE9-CA8C-DB42-B5CE-CF146C983D0C}">
    <text>maybe adjust salaries so more employees are indirect?</text>
  </threadedComment>
  <threadedComment ref="D17" dT="2020-12-07T01:14:35.27" personId="{15C84CE3-7BA3-8B45-9BEE-0DEADE423C53}" id="{662B6B56-FA35-974A-9CB5-6E4A196C5533}">
    <text>Assuming teachers get yearly health coverage (b/c yearly salary?)</text>
  </threadedComment>
  <threadedComment ref="K17" dT="2020-12-05T00:14:22.11" personId="{15C84CE3-7BA3-8B45-9BEE-0DEADE423C53}" id="{08D83BEF-CCD9-0F49-AF46-71588D82F09E}">
    <text>don’t double count this in total direct costs</text>
  </threadedComment>
  <threadedComment ref="A26" dT="2020-12-05T06:43:37.37" personId="{15C84CE3-7BA3-8B45-9BEE-0DEADE423C53}" id="{1E6C9B48-F8D3-2D47-913B-9A378B9F79FE}">
    <text>maybe change to per unit?</text>
  </threadedComment>
  <threadedComment ref="G39" dT="2020-12-05T06:25:31.66" personId="{15C84CE3-7BA3-8B45-9BEE-0DEADE423C53}" id="{EFC73024-FBDF-D44F-B954-4361D02D8E61}">
    <text>double check disbursement</text>
  </threadedComment>
  <threadedComment ref="H39" dT="2020-12-05T06:25:31.66" personId="{15C84CE3-7BA3-8B45-9BEE-0DEADE423C53}" id="{67F987FA-581E-F449-A602-8DCFA4C87F68}">
    <text>double check disbursement</text>
  </threadedComment>
  <threadedComment ref="A56" dT="2020-12-06T23:46:47.92" personId="{15C84CE3-7BA3-8B45-9BEE-0DEADE423C53}" id="{F1030ED1-3C71-1C41-B468-1E2D578B7C4B}">
    <text>equally allocated admin and development costs across dept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F3" dT="2020-12-05T01:29:57.45" personId="{15C84CE3-7BA3-8B45-9BEE-0DEADE423C53}" id="{787546EF-E2BF-2549-90C2-67E65100C3B7}">
    <text>maybe adjust salaries so more employees are indirect?</text>
  </threadedComment>
  <threadedComment ref="E4" dT="2020-12-07T04:30:29.83" personId="{15C84CE3-7BA3-8B45-9BEE-0DEADE423C53}" id="{DCE748F8-AFA1-444C-9453-D7E6026977DB}">
    <text>total students bc serve all students</text>
  </threadedComment>
  <threadedComment ref="F8" dT="2020-12-05T01:29:57.45" personId="{15C84CE3-7BA3-8B45-9BEE-0DEADE423C53}" id="{7BA13CFD-699F-9240-95E4-CC2FA65A3D5A}">
    <text>maybe adjust salaries so more employees are indirect?</text>
  </threadedComment>
  <threadedComment ref="D16" dT="2020-12-07T01:14:35.27" personId="{15C84CE3-7BA3-8B45-9BEE-0DEADE423C53}" id="{A9CCDF89-0E5A-5F44-B0D3-E430E9E8D7B2}">
    <text>Assuming teachers get yearly health coverage (b/c yearly salary?)</text>
  </threadedComment>
  <threadedComment ref="K16" dT="2020-12-05T00:14:22.11" personId="{15C84CE3-7BA3-8B45-9BEE-0DEADE423C53}" id="{B931745A-0164-024C-B660-41AC05E2920F}">
    <text>don’t double count this in total direct costs</text>
  </threadedComment>
  <threadedComment ref="A25" dT="2020-12-05T06:43:37.37" personId="{15C84CE3-7BA3-8B45-9BEE-0DEADE423C53}" id="{FC850053-14F4-684D-8862-82E91FC0C7FB}">
    <text>maybe change to per unit?</text>
  </threadedComment>
  <threadedComment ref="G38" dT="2020-12-05T06:25:31.66" personId="{15C84CE3-7BA3-8B45-9BEE-0DEADE423C53}" id="{D683DF69-A9D1-3A43-BEDB-629CA8755842}">
    <text>double check disbursement</text>
  </threadedComment>
  <threadedComment ref="H38" dT="2020-12-05T06:25:31.66" personId="{15C84CE3-7BA3-8B45-9BEE-0DEADE423C53}" id="{1728F59F-B221-F549-8ECE-275D331FD40A}">
    <text>double check disbursement</text>
  </threadedComment>
  <threadedComment ref="A56" dT="2020-12-06T23:46:47.92" personId="{15C84CE3-7BA3-8B45-9BEE-0DEADE423C53}" id="{8A7E5027-5A9F-7746-A180-33964FCC7E84}">
    <text>equally allocated admin and development costs across dept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99D9A-692C-9F47-82EA-5AEB83F49AD7}">
  <dimension ref="A1:R63"/>
  <sheetViews>
    <sheetView topLeftCell="A28" zoomScale="75" workbookViewId="0">
      <selection activeCell="I22" sqref="I22"/>
    </sheetView>
  </sheetViews>
  <sheetFormatPr baseColWidth="10" defaultRowHeight="13"/>
  <cols>
    <col min="1" max="1" width="27.33203125" customWidth="1"/>
    <col min="2" max="2" width="17.33203125" customWidth="1"/>
    <col min="3" max="5" width="19.33203125" customWidth="1"/>
    <col min="6" max="7" width="17.33203125" customWidth="1"/>
    <col min="8" max="8" width="15.83203125" customWidth="1"/>
    <col min="9" max="9" width="26" customWidth="1"/>
    <col min="10" max="10" width="20.1640625" customWidth="1"/>
    <col min="11" max="15" width="11" bestFit="1" customWidth="1"/>
    <col min="16" max="16" width="12.33203125" bestFit="1" customWidth="1"/>
  </cols>
  <sheetData>
    <row r="1" spans="1:18" ht="21">
      <c r="A1" s="334" t="s">
        <v>256</v>
      </c>
      <c r="B1" s="334"/>
      <c r="C1" s="334"/>
      <c r="D1" s="334"/>
      <c r="E1" s="334"/>
      <c r="F1" s="334"/>
      <c r="G1" s="334"/>
      <c r="H1" s="334"/>
      <c r="I1" s="334"/>
    </row>
    <row r="2" spans="1:18" ht="21">
      <c r="A2" s="131"/>
      <c r="B2" s="131"/>
      <c r="C2" s="335" t="s">
        <v>262</v>
      </c>
      <c r="D2" s="335"/>
      <c r="E2" s="335"/>
      <c r="F2" s="335"/>
      <c r="G2" s="335" t="s">
        <v>261</v>
      </c>
      <c r="H2" s="335"/>
      <c r="I2" s="131"/>
    </row>
    <row r="3" spans="1:18" ht="16">
      <c r="A3" s="132"/>
      <c r="B3" s="133"/>
      <c r="C3" s="134" t="s">
        <v>76</v>
      </c>
      <c r="D3" s="134" t="s">
        <v>88</v>
      </c>
      <c r="E3" s="134" t="s">
        <v>91</v>
      </c>
      <c r="F3" s="134" t="s">
        <v>96</v>
      </c>
      <c r="G3" s="134" t="s">
        <v>259</v>
      </c>
      <c r="H3" s="134" t="s">
        <v>260</v>
      </c>
      <c r="I3" s="134" t="s">
        <v>416</v>
      </c>
    </row>
    <row r="4" spans="1:18" ht="16">
      <c r="A4" s="302" t="s">
        <v>384</v>
      </c>
      <c r="B4" s="133"/>
      <c r="C4" s="296">
        <f>Parameters!$B$3</f>
        <v>102</v>
      </c>
      <c r="D4" s="132">
        <f>Parameters!$B$27</f>
        <v>60</v>
      </c>
      <c r="E4" s="303" t="s">
        <v>386</v>
      </c>
      <c r="F4" s="132">
        <f>SUM(C4:D4)</f>
        <v>162</v>
      </c>
      <c r="G4" s="303" t="s">
        <v>386</v>
      </c>
      <c r="H4" s="301" t="s">
        <v>386</v>
      </c>
      <c r="I4" s="135">
        <f>SUM(C4:F4)</f>
        <v>324</v>
      </c>
    </row>
    <row r="5" spans="1:18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140">
        <f>Parameters!$B$2</f>
        <v>12</v>
      </c>
      <c r="F5" s="301">
        <f>Parameters!B2</f>
        <v>12</v>
      </c>
      <c r="G5" s="140">
        <f>Parameters!$B$2</f>
        <v>12</v>
      </c>
      <c r="H5" s="140">
        <f>Parameters!$B$2</f>
        <v>12</v>
      </c>
      <c r="I5" s="135"/>
    </row>
    <row r="6" spans="1:18" ht="16">
      <c r="A6" s="135" t="s">
        <v>146</v>
      </c>
      <c r="B6" s="133"/>
      <c r="C6" s="299">
        <f>ROUNDUP('Assumptions and Parameters'!$D$30,0)</f>
        <v>11</v>
      </c>
      <c r="D6" s="299">
        <f>ROUNDUP(SUM(Parameters!B32:B33),0)</f>
        <v>4</v>
      </c>
      <c r="E6" s="299">
        <f>ROUNDUP(SUM(Parameters!B62,Parameters!B63),0)</f>
        <v>3</v>
      </c>
      <c r="F6" s="299">
        <f>Parameters!B78</f>
        <v>1</v>
      </c>
      <c r="G6" s="299">
        <f>SUM(Parameters!B96:B99)</f>
        <v>5</v>
      </c>
      <c r="H6" s="299">
        <f>SUM(Parameters!B112:'Parameters'!B113)</f>
        <v>2</v>
      </c>
      <c r="I6" s="300">
        <f>SUM(C6:F6)</f>
        <v>19</v>
      </c>
    </row>
    <row r="7" spans="1:18" ht="16">
      <c r="A7" s="135" t="s">
        <v>257</v>
      </c>
      <c r="B7" s="133"/>
      <c r="C7" s="299">
        <v>0</v>
      </c>
      <c r="D7" s="299">
        <f>ROUNDUP('Assumptions and Parameters'!$E$32,0)</f>
        <v>3</v>
      </c>
      <c r="E7" s="299">
        <v>0</v>
      </c>
      <c r="F7" s="299">
        <v>0</v>
      </c>
      <c r="G7" s="299">
        <v>0</v>
      </c>
      <c r="H7" s="299">
        <v>0</v>
      </c>
      <c r="I7" s="300">
        <f>SUM(C7:F7)</f>
        <v>3</v>
      </c>
    </row>
    <row r="8" spans="1:18" ht="16">
      <c r="A8" s="136"/>
      <c r="B8" s="137" t="s">
        <v>147</v>
      </c>
      <c r="C8" s="134" t="s">
        <v>76</v>
      </c>
      <c r="D8" s="134" t="s">
        <v>88</v>
      </c>
      <c r="E8" s="134" t="s">
        <v>91</v>
      </c>
      <c r="F8" s="134" t="s">
        <v>96</v>
      </c>
      <c r="G8" s="134" t="s">
        <v>259</v>
      </c>
      <c r="H8" s="134" t="s">
        <v>260</v>
      </c>
      <c r="I8" s="134" t="s">
        <v>12</v>
      </c>
    </row>
    <row r="9" spans="1:18" ht="16">
      <c r="A9" s="138" t="s">
        <v>148</v>
      </c>
      <c r="B9" s="133"/>
      <c r="C9" s="139"/>
      <c r="D9" s="139"/>
      <c r="E9" s="139"/>
      <c r="F9" s="139"/>
      <c r="G9" s="139"/>
      <c r="H9" s="139"/>
      <c r="I9" s="140"/>
    </row>
    <row r="10" spans="1:18">
      <c r="A10" s="326" t="s">
        <v>404</v>
      </c>
      <c r="B10" s="100"/>
      <c r="C10" s="100"/>
      <c r="D10" s="100"/>
      <c r="E10" s="100"/>
      <c r="F10" s="100"/>
      <c r="G10" s="100"/>
      <c r="H10" s="100"/>
      <c r="I10" s="100"/>
    </row>
    <row r="11" spans="1:18" ht="16">
      <c r="A11" s="141" t="s">
        <v>258</v>
      </c>
      <c r="B11" s="133" t="s">
        <v>150</v>
      </c>
      <c r="C11" s="143">
        <f>Parameters!$B$9*Parameters!$C$9 + (Parameters!$C$62*Parameters!B141)</f>
        <v>738750</v>
      </c>
      <c r="D11" s="143">
        <f>Parameters!$B$34*(Parameters!$C$34) +Parameters!$B$33*(Parameters!$C$33)+Parameters!$C$32 + (Parameters!$C$62*Parameters!C141)</f>
        <v>385500</v>
      </c>
      <c r="E11" s="325">
        <f>Parameters!$B$63*Parameters!$C$63 + (Parameters!$C$62*Parameters!D141)</f>
        <v>202250</v>
      </c>
      <c r="F11" s="143">
        <f>(Parameters!B78*Parameters!B79)</f>
        <v>105000</v>
      </c>
      <c r="G11" s="143">
        <f>ROUND(SUM(Parameters!C96:C98)+(Parameters!B99*Parameters!C99),2)</f>
        <v>387500</v>
      </c>
      <c r="H11" s="143">
        <f>(Parameters!$B$112*Parameters!$C$112)+(Parameters!$B$113*Parameters!$C$113)</f>
        <v>150000</v>
      </c>
      <c r="I11" s="144">
        <f t="shared" ref="I11:I17" si="0">SUM(C11:H11)</f>
        <v>1969000</v>
      </c>
      <c r="J11" s="244"/>
    </row>
    <row r="12" spans="1:18" ht="16">
      <c r="A12" s="141" t="s">
        <v>426</v>
      </c>
      <c r="B12" s="133"/>
      <c r="C12" s="143">
        <f>ROUND(C11*Parameters!$C$128,1)</f>
        <v>45802.5</v>
      </c>
      <c r="D12" s="143">
        <f>ROUND(D11*Parameters!$C$128,1)</f>
        <v>23901</v>
      </c>
      <c r="E12" s="143">
        <f>ROUND(E11*Parameters!$C$128,1)</f>
        <v>12539.5</v>
      </c>
      <c r="F12" s="143">
        <f>ROUND(F11*Parameters!$C$128,1)</f>
        <v>6510</v>
      </c>
      <c r="G12" s="143">
        <f>ROUND(G11*Parameters!$C$128,1)</f>
        <v>24025</v>
      </c>
      <c r="H12" s="143">
        <f>ROUND(H11*Parameters!$C$128,1)</f>
        <v>9300</v>
      </c>
      <c r="I12" s="144">
        <f t="shared" si="0"/>
        <v>122078</v>
      </c>
    </row>
    <row r="13" spans="1:18" ht="16">
      <c r="A13" s="141" t="s">
        <v>427</v>
      </c>
      <c r="B13" s="133"/>
      <c r="C13" s="143">
        <f>ROUND(C11*Parameters!$C$129,2)</f>
        <v>10711.88</v>
      </c>
      <c r="D13" s="143">
        <f>ROUND(D11*Parameters!$C$129,2)</f>
        <v>5589.75</v>
      </c>
      <c r="E13" s="143">
        <f>ROUND(E11*Parameters!$C$129,2)</f>
        <v>2932.63</v>
      </c>
      <c r="F13" s="143">
        <f>ROUND(F11*Parameters!$C$129,2)</f>
        <v>1522.5</v>
      </c>
      <c r="G13" s="143">
        <f>ROUND(G11*Parameters!$C$129,2)</f>
        <v>5618.75</v>
      </c>
      <c r="H13" s="143">
        <f>ROUND(H11*Parameters!$C$129,2)</f>
        <v>2175</v>
      </c>
      <c r="I13" s="144">
        <f t="shared" si="0"/>
        <v>28550.51</v>
      </c>
    </row>
    <row r="14" spans="1:18" ht="16">
      <c r="A14" s="141" t="s">
        <v>428</v>
      </c>
      <c r="B14" s="133"/>
      <c r="C14" s="320">
        <f>ROUND(C11*Parameters!$C$127,0)</f>
        <v>59100</v>
      </c>
      <c r="D14" s="320">
        <f>ROUND(D11*Parameters!$C$127,0)</f>
        <v>30840</v>
      </c>
      <c r="E14" s="320">
        <f>ROUND(E11*Parameters!$C$127,0)</f>
        <v>16180</v>
      </c>
      <c r="F14" s="320">
        <f>ROUND(F11*Parameters!$C$127,0)</f>
        <v>8400</v>
      </c>
      <c r="G14" s="320">
        <f>ROUND(G11*Parameters!$C$127,0)</f>
        <v>31000</v>
      </c>
      <c r="H14" s="320">
        <f>ROUND(H11*Parameters!$C$127,0)</f>
        <v>12000</v>
      </c>
      <c r="I14" s="144">
        <f t="shared" si="0"/>
        <v>157520</v>
      </c>
      <c r="J14">
        <v>218988</v>
      </c>
      <c r="K14" s="244"/>
    </row>
    <row r="15" spans="1:18" ht="16">
      <c r="A15" s="141" t="s">
        <v>429</v>
      </c>
      <c r="B15" s="133"/>
      <c r="C15" s="295">
        <f>Parameters!$C$132*'Baseline Program Budget'!C11</f>
        <v>55406.25</v>
      </c>
      <c r="D15" s="320">
        <f>(Parameters!$C$132*'Baseline Program Budget'!D11)-(D7*Parameters!C33*Parameters!C132)</f>
        <v>20362.5</v>
      </c>
      <c r="E15" s="295">
        <f>Parameters!$C$132*'Baseline Program Budget'!E11</f>
        <v>15168.75</v>
      </c>
      <c r="F15" s="295">
        <f>Parameters!$C$132*'Baseline Program Budget'!F11</f>
        <v>7875</v>
      </c>
      <c r="G15" s="320">
        <f>ROUND(Parameters!$C$132*'Baseline Program Budget'!G11,2)</f>
        <v>29062.5</v>
      </c>
      <c r="H15" s="320">
        <f>Parameters!$C$132*'Baseline Program Budget'!H11</f>
        <v>11250</v>
      </c>
      <c r="I15" s="144">
        <f t="shared" si="0"/>
        <v>139125</v>
      </c>
    </row>
    <row r="16" spans="1:18" ht="16">
      <c r="A16" s="141" t="s">
        <v>430</v>
      </c>
      <c r="B16" s="133"/>
      <c r="C16" s="320">
        <f>(Parameters!$C$131*'Baseline Program Budget'!C6*'Baseline Program Budget'!C5)+(Parameters!B141*Parameters!C131*Parameters!B2)</f>
        <v>57375</v>
      </c>
      <c r="D16" s="320">
        <f>(Parameters!$C$131*'Baseline Program Budget'!D6*'Baseline Program Budget'!C5) + (Parameters!C141*Parameters!C131*Parameters!B2)</f>
        <v>21420</v>
      </c>
      <c r="E16" s="320">
        <f>Parameters!$C$131*Parameters!B63* E5 + (Parameters!D141*Parameters!C131*Parameters!B2)</f>
        <v>13005</v>
      </c>
      <c r="F16" s="320">
        <f>Parameters!$C$131*'Baseline Program Budget'!F6*'Baseline Program Budget'!F5</f>
        <v>5100</v>
      </c>
      <c r="G16" s="320">
        <f>ROUND(Parameters!$C$131*'Baseline Program Budget'!G6*'Baseline Program Budget'!G5,2)</f>
        <v>25500</v>
      </c>
      <c r="H16" s="320">
        <f>Parameters!$C$131*'Baseline Program Budget'!H6*'Baseline Program Budget'!H5</f>
        <v>10200</v>
      </c>
      <c r="I16" s="144">
        <f t="shared" si="0"/>
        <v>132600</v>
      </c>
      <c r="J16" s="141" t="s">
        <v>408</v>
      </c>
      <c r="K16" s="133"/>
      <c r="L16" s="297">
        <f>SUM(C11:C16)</f>
        <v>967145.63</v>
      </c>
      <c r="M16" s="297">
        <f>SUM(D11:D16)</f>
        <v>487613.25</v>
      </c>
      <c r="N16" s="297">
        <f>SUM(E11:E16)</f>
        <v>262075.88</v>
      </c>
      <c r="O16" s="297">
        <f>SUM(F11:F16)</f>
        <v>134407.5</v>
      </c>
      <c r="P16" s="321">
        <f>ROUND(SUM(G11:G16),2)</f>
        <v>502706.25</v>
      </c>
      <c r="Q16" s="297">
        <f>SUM(H11:H16)</f>
        <v>194925</v>
      </c>
      <c r="R16" s="319">
        <f>SUM(L16:Q16)</f>
        <v>2548873.5099999998</v>
      </c>
    </row>
    <row r="17" spans="1:10" ht="16">
      <c r="A17" s="141" t="s">
        <v>431</v>
      </c>
      <c r="B17" s="133" t="s">
        <v>149</v>
      </c>
      <c r="C17" s="143">
        <f>Parameters!$B$20*Parameters!$B$9</f>
        <v>13750</v>
      </c>
      <c r="D17" s="143">
        <f>Parameters!$B$50*(Parameters!$B$33+Parameters!$B$34)</f>
        <v>4500</v>
      </c>
      <c r="E17" s="143">
        <f>(Parameters!B71*Parameters!B63)+(Parameters!B70*(SUM(Parameters!B62:B63)))</f>
        <v>9750</v>
      </c>
      <c r="F17" s="143">
        <f>Parameters!B88*Parameters!B78</f>
        <v>3000</v>
      </c>
      <c r="G17" s="143">
        <v>0</v>
      </c>
      <c r="H17" s="143">
        <v>0</v>
      </c>
      <c r="I17" s="144">
        <f t="shared" si="0"/>
        <v>31000</v>
      </c>
    </row>
    <row r="18" spans="1:10" ht="16">
      <c r="A18" s="141"/>
      <c r="B18" s="133"/>
      <c r="C18" s="143"/>
      <c r="D18" s="143"/>
      <c r="E18" s="143"/>
      <c r="F18" s="143"/>
      <c r="G18" s="143"/>
      <c r="H18" s="143"/>
      <c r="I18" s="144"/>
    </row>
    <row r="19" spans="1:10" ht="16">
      <c r="A19" s="306" t="s">
        <v>337</v>
      </c>
      <c r="B19" s="133"/>
      <c r="C19" s="143"/>
      <c r="D19" s="143"/>
      <c r="E19" s="143"/>
      <c r="F19" s="143"/>
      <c r="G19" s="143"/>
      <c r="H19" s="143"/>
      <c r="I19" s="144"/>
    </row>
    <row r="20" spans="1:10" ht="16">
      <c r="A20" s="141" t="s">
        <v>425</v>
      </c>
      <c r="B20" s="142" t="s">
        <v>149</v>
      </c>
      <c r="C20" s="143"/>
      <c r="D20" s="143">
        <f>Parameters!$B$51*(Parameters!$B$28+Parameters!$B$29)</f>
        <v>24000</v>
      </c>
      <c r="E20" s="143"/>
      <c r="F20" s="143">
        <f>Parameters!B89</f>
        <v>65000</v>
      </c>
      <c r="G20" s="143">
        <f>SUM(Parameters!B107:B108)</f>
        <v>16850</v>
      </c>
      <c r="H20" s="143">
        <f>SUM(Parameters!B115:B117)</f>
        <v>16350</v>
      </c>
      <c r="I20" s="144">
        <f>SUM(C20:H20)</f>
        <v>122200</v>
      </c>
    </row>
    <row r="21" spans="1:10" ht="16">
      <c r="A21" s="141" t="s">
        <v>432</v>
      </c>
      <c r="B21" s="133"/>
      <c r="C21" s="143">
        <f>(ROUND((Parameters!$B$102*Parameters!$B$2)+SUM(Parameters!$B$103:$B$106),0))*Parameters!B137</f>
        <v>119250</v>
      </c>
      <c r="D21" s="143">
        <f>(ROUND((Parameters!$B$102*Parameters!$B$2)+SUM(Parameters!$B$103:$B$106),0))*Parameters!C137</f>
        <v>119250</v>
      </c>
      <c r="E21" s="143">
        <f>(ROUND((Parameters!$B$102*Parameters!$B$2)+SUM(Parameters!$B$103:$B$106),0))*Parameters!D137</f>
        <v>79500</v>
      </c>
      <c r="F21" s="143">
        <f>(ROUND((Parameters!$B$102*Parameters!$B$2)+SUM(Parameters!$B$103:$B$106),0))*Parameters!E137</f>
        <v>39750</v>
      </c>
      <c r="G21" s="143">
        <f>(ROUND((Parameters!$B$102*Parameters!$B$2)+SUM(Parameters!$B$103:$B$106),0))*Parameters!F137</f>
        <v>31800</v>
      </c>
      <c r="H21" s="143">
        <f>(ROUND((Parameters!$B$102*Parameters!$B$2)+SUM(Parameters!$B$103:$B$106),0))*Parameters!G137</f>
        <v>7950</v>
      </c>
      <c r="I21" s="144">
        <f>SUM(C21:H21)</f>
        <v>397500</v>
      </c>
    </row>
    <row r="22" spans="1:10" ht="16">
      <c r="A22" s="141" t="s">
        <v>433</v>
      </c>
      <c r="B22" s="133"/>
      <c r="C22" s="143"/>
      <c r="D22" s="143"/>
      <c r="E22" s="143"/>
      <c r="F22" s="143"/>
      <c r="G22" s="143"/>
      <c r="H22" s="143">
        <f>Parameters!B118</f>
        <v>42000</v>
      </c>
      <c r="I22" s="144">
        <f>SUM(C22:H22)</f>
        <v>42000</v>
      </c>
      <c r="J22" s="92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</row>
    <row r="24" spans="1:10" ht="16">
      <c r="A24" s="145" t="s">
        <v>151</v>
      </c>
      <c r="B24" s="146"/>
      <c r="C24" s="147">
        <f>SUM(C11:C16)+SUM(C17:C21)</f>
        <v>1100145.6299999999</v>
      </c>
      <c r="D24" s="147">
        <f>SUM(D11:D16)+SUM(D17:D21)</f>
        <v>635363.25</v>
      </c>
      <c r="E24" s="147">
        <f>SUM(E11:E16)+SUM(E17:E21)</f>
        <v>351325.88</v>
      </c>
      <c r="F24" s="147">
        <f>SUM(F11:F16)+SUM(F17:F21)</f>
        <v>242157.5</v>
      </c>
      <c r="G24" s="147">
        <f>SUM(G11:G21)</f>
        <v>551356.25</v>
      </c>
      <c r="H24" s="147">
        <f>SUM(H11:H21)</f>
        <v>219225</v>
      </c>
      <c r="I24" s="147">
        <f>SUM(I10:I22)</f>
        <v>3141573.51</v>
      </c>
    </row>
    <row r="25" spans="1:10" ht="16">
      <c r="A25" s="148" t="s">
        <v>385</v>
      </c>
      <c r="B25" s="149"/>
      <c r="C25" s="298">
        <f>C24/C4</f>
        <v>10785.741470588235</v>
      </c>
      <c r="D25" s="298">
        <f>D24/D4</f>
        <v>10589.387500000001</v>
      </c>
      <c r="E25" s="298">
        <f>E24/I4</f>
        <v>1084.3391358024692</v>
      </c>
      <c r="F25" s="150">
        <f>F24/I4</f>
        <v>747.39969135802471</v>
      </c>
      <c r="G25" s="150">
        <f>G24/I4</f>
        <v>1701.7168209876543</v>
      </c>
      <c r="H25" s="150">
        <f>H24/I4</f>
        <v>676.62037037037032</v>
      </c>
      <c r="I25" s="150">
        <f>I24/I$4</f>
        <v>9696.2145370370363</v>
      </c>
      <c r="J25" s="92" t="s">
        <v>387</v>
      </c>
    </row>
    <row r="26" spans="1:10" ht="16">
      <c r="A26" s="132"/>
      <c r="B26" s="149"/>
      <c r="C26" s="151"/>
      <c r="D26" s="151"/>
      <c r="E26" s="151"/>
      <c r="F26" s="151"/>
      <c r="G26" s="151"/>
      <c r="H26" s="151"/>
      <c r="I26" s="140"/>
    </row>
    <row r="27" spans="1:10" ht="16">
      <c r="A27" s="140" t="s">
        <v>152</v>
      </c>
      <c r="B27" s="133"/>
      <c r="C27" s="152"/>
      <c r="D27" s="152"/>
      <c r="E27" s="152"/>
      <c r="F27" s="152"/>
      <c r="G27" s="152"/>
      <c r="H27" s="152"/>
      <c r="I27" s="140"/>
    </row>
    <row r="28" spans="1:10" ht="16">
      <c r="A28" s="141" t="s">
        <v>259</v>
      </c>
      <c r="B28" s="142" t="s">
        <v>423</v>
      </c>
      <c r="C28" s="143">
        <f>$G$24*C55</f>
        <v>275678.125</v>
      </c>
      <c r="D28" s="143">
        <f>$G$24*D55</f>
        <v>175431.53409090909</v>
      </c>
      <c r="E28" s="143">
        <f>$G$24*E55</f>
        <v>75184.943181818177</v>
      </c>
      <c r="F28" s="143">
        <f>$G$24*F55</f>
        <v>25061.647727272728</v>
      </c>
      <c r="G28" s="304">
        <f>-G24</f>
        <v>-551356.25</v>
      </c>
      <c r="H28" s="316"/>
      <c r="I28" s="144">
        <f>SUM(C28:G28)</f>
        <v>0</v>
      </c>
    </row>
    <row r="29" spans="1:10" ht="16">
      <c r="A29" s="141" t="s">
        <v>420</v>
      </c>
      <c r="B29" s="142" t="s">
        <v>449</v>
      </c>
      <c r="C29" s="143">
        <f>$H$24*C56</f>
        <v>103555.27147039553</v>
      </c>
      <c r="D29" s="143">
        <f>$H$24*D56</f>
        <v>59805.913000865883</v>
      </c>
      <c r="E29" s="143">
        <f>$H$24*E56</f>
        <v>33069.846287509783</v>
      </c>
      <c r="F29" s="143">
        <f>$H$24*F56</f>
        <v>22793.969241228824</v>
      </c>
      <c r="G29" s="304"/>
      <c r="H29" s="304">
        <f>-H24</f>
        <v>-219225</v>
      </c>
      <c r="I29" s="144">
        <f>SUM(C29:H29)</f>
        <v>0</v>
      </c>
      <c r="J29" s="92"/>
    </row>
    <row r="30" spans="1:10" ht="16">
      <c r="A30" s="141"/>
      <c r="B30" s="142"/>
      <c r="C30" s="143"/>
      <c r="D30" s="143"/>
      <c r="E30" s="143"/>
      <c r="F30" s="143"/>
      <c r="G30" s="143"/>
      <c r="H30" s="143"/>
      <c r="I30" s="144"/>
    </row>
    <row r="31" spans="1:10" ht="16">
      <c r="A31" s="145" t="s">
        <v>153</v>
      </c>
      <c r="B31" s="146"/>
      <c r="C31" s="147">
        <f t="shared" ref="C31:I31" si="1">SUM(C28:C29)</f>
        <v>379233.3964703955</v>
      </c>
      <c r="D31" s="147">
        <f t="shared" si="1"/>
        <v>235237.44709177496</v>
      </c>
      <c r="E31" s="147">
        <f t="shared" si="1"/>
        <v>108254.78946932795</v>
      </c>
      <c r="F31" s="147">
        <f t="shared" si="1"/>
        <v>47855.616968501548</v>
      </c>
      <c r="G31" s="147">
        <f t="shared" si="1"/>
        <v>-551356.25</v>
      </c>
      <c r="H31" s="147">
        <f t="shared" si="1"/>
        <v>-219225</v>
      </c>
      <c r="I31" s="147">
        <f t="shared" si="1"/>
        <v>0</v>
      </c>
    </row>
    <row r="32" spans="1:10" ht="16">
      <c r="A32" s="148" t="s">
        <v>388</v>
      </c>
      <c r="B32" s="149"/>
      <c r="C32" s="150">
        <f>C31/C$4</f>
        <v>3717.974475199956</v>
      </c>
      <c r="D32" s="150">
        <f>D31/D4</f>
        <v>3920.6241181962491</v>
      </c>
      <c r="E32" s="150">
        <f>E31/I4</f>
        <v>334.11972058434554</v>
      </c>
      <c r="F32" s="150">
        <f>F31/I4</f>
        <v>147.70252150772083</v>
      </c>
      <c r="G32" s="150">
        <f>G31/I4</f>
        <v>-1701.7168209876543</v>
      </c>
      <c r="H32" s="150">
        <f>H31/I4</f>
        <v>-676.62037037037032</v>
      </c>
      <c r="I32" s="150">
        <f>I31/I$4</f>
        <v>0</v>
      </c>
    </row>
    <row r="33" spans="1:10" ht="16">
      <c r="A33" s="132"/>
      <c r="B33" s="133"/>
      <c r="C33" s="152"/>
      <c r="D33" s="152"/>
      <c r="E33" s="152"/>
      <c r="F33" s="152"/>
      <c r="G33" s="152"/>
      <c r="H33" s="152"/>
      <c r="I33" s="140"/>
    </row>
    <row r="34" spans="1:10" ht="17" thickBot="1">
      <c r="A34" s="153" t="s">
        <v>154</v>
      </c>
      <c r="B34" s="154"/>
      <c r="C34" s="155">
        <f t="shared" ref="C34:I34" si="2">C31+C24</f>
        <v>1479379.0264703953</v>
      </c>
      <c r="D34" s="155">
        <f t="shared" si="2"/>
        <v>870600.69709177501</v>
      </c>
      <c r="E34" s="155">
        <f t="shared" si="2"/>
        <v>459580.66946932796</v>
      </c>
      <c r="F34" s="155">
        <f t="shared" si="2"/>
        <v>290013.11696850153</v>
      </c>
      <c r="G34" s="155">
        <f t="shared" si="2"/>
        <v>0</v>
      </c>
      <c r="H34" s="155">
        <f t="shared" si="2"/>
        <v>0</v>
      </c>
      <c r="I34" s="155">
        <f t="shared" si="2"/>
        <v>3141573.51</v>
      </c>
    </row>
    <row r="35" spans="1:10" ht="16">
      <c r="A35" s="148" t="s">
        <v>389</v>
      </c>
      <c r="B35" s="149"/>
      <c r="C35" s="150">
        <f>C34/C$4</f>
        <v>14503.715945788188</v>
      </c>
      <c r="D35" s="150">
        <f>D34/D4</f>
        <v>14510.011618196249</v>
      </c>
      <c r="E35" s="150">
        <f>E34/I4</f>
        <v>1418.4588563868147</v>
      </c>
      <c r="F35" s="150">
        <f>F34/I4</f>
        <v>895.10221286574551</v>
      </c>
      <c r="G35" s="150">
        <f>G34/I4</f>
        <v>0</v>
      </c>
      <c r="H35" s="150">
        <f>H34/I4</f>
        <v>0</v>
      </c>
      <c r="I35" s="156">
        <f>I34/I4</f>
        <v>9696.2145370370363</v>
      </c>
    </row>
    <row r="36" spans="1:10" ht="16">
      <c r="A36" s="148"/>
      <c r="B36" s="149"/>
      <c r="C36" s="150"/>
      <c r="D36" s="150"/>
      <c r="E36" s="150"/>
      <c r="F36" s="150"/>
      <c r="G36" s="150"/>
      <c r="H36" s="150"/>
      <c r="I36" s="156"/>
    </row>
    <row r="37" spans="1:10" ht="16">
      <c r="A37" s="145" t="s">
        <v>390</v>
      </c>
      <c r="B37" s="307"/>
      <c r="C37" s="323"/>
      <c r="D37" s="323"/>
      <c r="E37" s="323"/>
      <c r="F37" s="310"/>
      <c r="G37" s="310"/>
      <c r="H37" s="310"/>
      <c r="I37" s="311"/>
    </row>
    <row r="38" spans="1:10" ht="16">
      <c r="A38" s="141" t="s">
        <v>391</v>
      </c>
      <c r="B38" s="149"/>
      <c r="C38" s="324"/>
      <c r="D38" s="324"/>
      <c r="E38" s="324"/>
      <c r="F38" s="313"/>
      <c r="G38" s="313"/>
      <c r="H38" s="308">
        <f>Parameters!B134</f>
        <v>450000</v>
      </c>
      <c r="I38" s="308">
        <f>SUM(C38:H38)</f>
        <v>450000</v>
      </c>
    </row>
    <row r="39" spans="1:10" ht="16">
      <c r="A39" s="309" t="s">
        <v>392</v>
      </c>
      <c r="B39" s="149"/>
      <c r="C39" s="324"/>
      <c r="D39" s="324"/>
      <c r="E39" s="324"/>
      <c r="F39" s="313"/>
      <c r="G39" s="313"/>
      <c r="H39" s="313">
        <f xml:space="preserve"> SUM(Parameters!B121*Parameters!C121, Parameters!B122*Parameters!C122, Parameters!B123*Parameters!C123)/SUM(Parameters!C121:C123)</f>
        <v>675000</v>
      </c>
      <c r="I39" s="308">
        <f xml:space="preserve"> SUM(C39:H39)</f>
        <v>675000</v>
      </c>
      <c r="J39" s="92"/>
    </row>
    <row r="40" spans="1:10" ht="16">
      <c r="A40" s="309" t="s">
        <v>236</v>
      </c>
      <c r="B40" s="149"/>
      <c r="C40" s="324">
        <f>Parameters!B13*Parameters!B3*Parameters!B2</f>
        <v>612000</v>
      </c>
      <c r="D40" s="324"/>
      <c r="E40" s="324"/>
      <c r="F40" s="313"/>
      <c r="G40" s="313"/>
      <c r="H40" s="313"/>
      <c r="I40" s="308">
        <f>SUM(C40:H40)</f>
        <v>612000</v>
      </c>
    </row>
    <row r="41" spans="1:10" ht="16">
      <c r="A41" s="309" t="s">
        <v>394</v>
      </c>
      <c r="B41" s="149"/>
      <c r="C41" s="324">
        <f>Parameters!B14*Parameters!B2*(Parameters!B15*Parameters!B3)</f>
        <v>290700</v>
      </c>
      <c r="D41" s="324"/>
      <c r="E41" s="324"/>
      <c r="F41" s="313"/>
      <c r="G41" s="313"/>
      <c r="H41" s="313"/>
      <c r="I41" s="308">
        <f>SUM(C41:H41)</f>
        <v>290700</v>
      </c>
    </row>
    <row r="42" spans="1:10" ht="16">
      <c r="A42" s="309" t="s">
        <v>410</v>
      </c>
      <c r="B42" s="149"/>
      <c r="C42" s="324"/>
      <c r="D42" s="324">
        <f>Parameters!B26*((Parameters!B36*Parameters!B40*Parameters!B39)+(Parameters!B42*Parameters!B45*Parameters!B46))</f>
        <v>511875</v>
      </c>
      <c r="E42" s="324"/>
      <c r="F42" s="313"/>
      <c r="G42" s="313"/>
      <c r="H42" s="313"/>
      <c r="I42" s="308">
        <f>SUM(C42:H42)</f>
        <v>511875</v>
      </c>
    </row>
    <row r="43" spans="1:10" ht="16">
      <c r="A43" s="355" t="s">
        <v>450</v>
      </c>
      <c r="B43" s="149"/>
      <c r="C43" s="324"/>
      <c r="D43" s="354">
        <f>Parameters!B26*((Parameters!B36*Parameters!B38)+(Parameters!B42*Parameters!B44))</f>
        <v>157500</v>
      </c>
      <c r="E43" s="324"/>
      <c r="F43" s="313"/>
      <c r="G43" s="313"/>
      <c r="H43" s="313"/>
      <c r="I43" s="308">
        <f>SUM(C43:H43)</f>
        <v>157500</v>
      </c>
    </row>
    <row r="44" spans="1:10" ht="16">
      <c r="A44" s="309" t="s">
        <v>397</v>
      </c>
      <c r="B44" s="149"/>
      <c r="C44" s="324"/>
      <c r="D44" s="324"/>
      <c r="E44" s="324">
        <f>Parameters!B65</f>
        <v>165000</v>
      </c>
      <c r="F44" s="313"/>
      <c r="G44" s="313"/>
      <c r="H44" s="313"/>
      <c r="I44" s="308">
        <f>SUM(C44:H44)</f>
        <v>165000</v>
      </c>
    </row>
    <row r="45" spans="1:10" ht="16">
      <c r="A45" s="309" t="s">
        <v>399</v>
      </c>
      <c r="B45" s="149"/>
      <c r="C45" s="324"/>
      <c r="D45" s="324"/>
      <c r="E45" s="324"/>
      <c r="F45" s="312"/>
      <c r="G45" s="313"/>
      <c r="H45" s="313"/>
      <c r="I45" s="308">
        <f>SUM(C45:H45)</f>
        <v>0</v>
      </c>
      <c r="J45" s="92" t="s">
        <v>398</v>
      </c>
    </row>
    <row r="46" spans="1:10" ht="16">
      <c r="A46" s="309"/>
      <c r="B46" s="133"/>
      <c r="C46" s="324"/>
      <c r="D46" s="324"/>
      <c r="E46" s="324"/>
      <c r="F46" s="313"/>
      <c r="G46" s="313"/>
      <c r="H46" s="313"/>
      <c r="I46" s="314"/>
    </row>
    <row r="47" spans="1:10" ht="17" thickBot="1">
      <c r="A47" s="153" t="s">
        <v>111</v>
      </c>
      <c r="B47" s="154"/>
      <c r="C47" s="155">
        <f>SUM(C38:C46)</f>
        <v>902700</v>
      </c>
      <c r="D47" s="155">
        <f>SUM(D38:D46)</f>
        <v>669375</v>
      </c>
      <c r="E47" s="155">
        <f>SUM(E38:E45)</f>
        <v>165000</v>
      </c>
      <c r="F47" s="155">
        <f>SUM(F38:F45)</f>
        <v>0</v>
      </c>
      <c r="G47" s="155">
        <f>SUM(G38:G45)</f>
        <v>0</v>
      </c>
      <c r="H47" s="155">
        <f>SUM(H38:H45)</f>
        <v>1125000</v>
      </c>
      <c r="I47" s="155">
        <f>SUM(I38:I45)</f>
        <v>2862075</v>
      </c>
    </row>
    <row r="48" spans="1:10" ht="16">
      <c r="A48" s="140"/>
      <c r="B48" s="133"/>
      <c r="C48" s="132"/>
      <c r="D48" s="132"/>
      <c r="E48" s="132"/>
      <c r="F48" s="132"/>
      <c r="G48" s="132"/>
      <c r="H48" s="132"/>
      <c r="I48" s="140"/>
    </row>
    <row r="49" spans="1:11" ht="17" thickBot="1">
      <c r="A49" s="153" t="s">
        <v>155</v>
      </c>
      <c r="B49" s="154"/>
      <c r="C49" s="155">
        <f>+C47-C34</f>
        <v>-576679.02647039527</v>
      </c>
      <c r="D49" s="155">
        <f>+D47-D34</f>
        <v>-201225.69709177501</v>
      </c>
      <c r="E49" s="155">
        <f>+E47-E34</f>
        <v>-294580.66946932796</v>
      </c>
      <c r="F49" s="155">
        <f>+F47-F34</f>
        <v>-290013.11696850153</v>
      </c>
      <c r="G49" s="155"/>
      <c r="H49" s="155">
        <f>+H47-H34</f>
        <v>1125000</v>
      </c>
      <c r="I49" s="155">
        <f>+I47-I34</f>
        <v>-279498.50999999978</v>
      </c>
      <c r="J49" s="356"/>
      <c r="K49" s="356"/>
    </row>
    <row r="50" spans="1:11" ht="16">
      <c r="A50" s="148" t="s">
        <v>156</v>
      </c>
      <c r="B50" s="149"/>
      <c r="C50" s="150">
        <f>+C49/C4</f>
        <v>-5653.7159457881889</v>
      </c>
      <c r="D50" s="150"/>
      <c r="E50" s="150"/>
      <c r="F50" s="150">
        <f>+F49/F4</f>
        <v>-1790.204425731491</v>
      </c>
      <c r="G50" s="150"/>
      <c r="H50" s="150"/>
      <c r="I50" s="156">
        <f>+I49/I4</f>
        <v>-862.6497222222215</v>
      </c>
      <c r="J50" s="244"/>
    </row>
    <row r="51" spans="1:11" ht="16">
      <c r="A51" s="132" t="s">
        <v>157</v>
      </c>
      <c r="B51" s="133"/>
      <c r="C51" s="157">
        <f t="shared" ref="C51:I51" si="3">+C49/C34</f>
        <v>-0.38981154670434659</v>
      </c>
      <c r="D51" s="157">
        <f t="shared" si="3"/>
        <v>-0.23113431652876643</v>
      </c>
      <c r="E51" s="157">
        <f t="shared" si="3"/>
        <v>-0.64097706678889821</v>
      </c>
      <c r="F51" s="157">
        <f t="shared" si="3"/>
        <v>-1</v>
      </c>
      <c r="G51" s="157" t="e">
        <f t="shared" si="3"/>
        <v>#DIV/0!</v>
      </c>
      <c r="H51" s="157" t="e">
        <f t="shared" si="3"/>
        <v>#DIV/0!</v>
      </c>
      <c r="I51" s="157">
        <f t="shared" si="3"/>
        <v>-8.8967681039556448E-2</v>
      </c>
    </row>
    <row r="52" spans="1:11" ht="16">
      <c r="A52" s="132"/>
      <c r="B52" s="133"/>
      <c r="C52" s="132"/>
      <c r="D52" s="132"/>
      <c r="E52" s="132"/>
      <c r="F52" s="132"/>
      <c r="G52" s="132"/>
      <c r="H52" s="132"/>
      <c r="I52" s="140"/>
    </row>
    <row r="53" spans="1:11" ht="16">
      <c r="A53" s="140" t="s">
        <v>158</v>
      </c>
      <c r="B53" s="133"/>
      <c r="C53" s="132"/>
      <c r="D53" s="132"/>
      <c r="E53" s="132"/>
      <c r="F53" s="132"/>
      <c r="G53" s="132"/>
      <c r="H53" s="132"/>
      <c r="I53" s="140"/>
    </row>
    <row r="54" spans="1:11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ROUND((Parameters!D137)+(SUM(Parameters!$F$137:$G$137)/4),4)</f>
        <v>0.22500000000000001</v>
      </c>
      <c r="F54" s="328">
        <f>ROUND((Parameters!E137)+(SUM(Parameters!$F$137:$G$137)/4),4)</f>
        <v>0.125</v>
      </c>
      <c r="G54" s="158"/>
      <c r="H54" s="158"/>
      <c r="I54" s="140"/>
    </row>
    <row r="55" spans="1:11" ht="16">
      <c r="A55" s="132" t="s">
        <v>407</v>
      </c>
      <c r="B55" s="149"/>
      <c r="C55" s="328">
        <f>(C6+C7)/($I$6+$I$7)</f>
        <v>0.5</v>
      </c>
      <c r="D55" s="328">
        <f>(D6+D7)/($I$6+$I$7)</f>
        <v>0.31818181818181818</v>
      </c>
      <c r="E55" s="328">
        <f>(E6+E7)/($I$6+$I$7)</f>
        <v>0.13636363636363635</v>
      </c>
      <c r="F55" s="328">
        <f>(F6+F7)/($I$6+$I$7)</f>
        <v>4.5454545454545456E-2</v>
      </c>
      <c r="G55" s="158"/>
      <c r="H55" s="158"/>
      <c r="I55" s="140"/>
    </row>
    <row r="56" spans="1:11" ht="16">
      <c r="A56" s="159" t="s">
        <v>422</v>
      </c>
      <c r="B56" s="149"/>
      <c r="C56" s="327">
        <f>C24/SUM($C$24:$F$24)</f>
        <v>0.47236980942135032</v>
      </c>
      <c r="D56" s="327">
        <f>D24/SUM($C$24:$F$24)</f>
        <v>0.2728060805148404</v>
      </c>
      <c r="E56" s="327">
        <f>E24/SUM($C$24:$F$24)</f>
        <v>0.15084888259783227</v>
      </c>
      <c r="F56" s="327">
        <f>F24/SUM($C$24:$F$24)</f>
        <v>0.10397522746597708</v>
      </c>
      <c r="G56" s="322"/>
      <c r="H56" s="322"/>
      <c r="I56" s="140"/>
    </row>
    <row r="58" spans="1:11">
      <c r="A58" s="92" t="s">
        <v>115</v>
      </c>
    </row>
    <row r="59" spans="1:11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1">
      <c r="A60" s="92" t="s">
        <v>413</v>
      </c>
    </row>
    <row r="61" spans="1:11">
      <c r="A61" s="92" t="s">
        <v>417</v>
      </c>
    </row>
    <row r="62" spans="1:11">
      <c r="A62" s="92" t="s">
        <v>418</v>
      </c>
    </row>
    <row r="63" spans="1:11">
      <c r="B63" s="92" t="s">
        <v>414</v>
      </c>
    </row>
  </sheetData>
  <mergeCells count="3">
    <mergeCell ref="A1:I1"/>
    <mergeCell ref="C2:F2"/>
    <mergeCell ref="G2:H2"/>
  </mergeCells>
  <phoneticPr fontId="3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80F5-5E0D-D246-96D4-43A7972DFDFD}">
  <dimension ref="A1:N36"/>
  <sheetViews>
    <sheetView zoomScale="75" workbookViewId="0">
      <selection activeCell="G37" sqref="G37"/>
    </sheetView>
  </sheetViews>
  <sheetFormatPr baseColWidth="10" defaultRowHeight="13"/>
  <cols>
    <col min="2" max="3" width="14.83203125" customWidth="1"/>
    <col min="4" max="5" width="13.6640625" customWidth="1"/>
    <col min="6" max="6" width="12.83203125" customWidth="1"/>
    <col min="7" max="7" width="13.33203125" customWidth="1"/>
    <col min="8" max="8" width="13.6640625" customWidth="1"/>
    <col min="9" max="9" width="13.33203125" customWidth="1"/>
    <col min="10" max="10" width="14.1640625" customWidth="1"/>
    <col min="11" max="11" width="14" customWidth="1"/>
    <col min="12" max="12" width="13.5" customWidth="1"/>
    <col min="13" max="13" width="14.5" bestFit="1" customWidth="1"/>
    <col min="14" max="14" width="14.6640625" bestFit="1" customWidth="1"/>
  </cols>
  <sheetData>
    <row r="1" spans="1:14" ht="23">
      <c r="A1" s="336" t="s">
        <v>441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  <c r="L1" s="336"/>
      <c r="M1" s="336"/>
      <c r="N1" s="336"/>
    </row>
    <row r="2" spans="1:14" ht="17">
      <c r="A2" s="103"/>
      <c r="B2" s="333">
        <v>43739</v>
      </c>
      <c r="C2" s="333">
        <v>43770</v>
      </c>
      <c r="D2" s="333">
        <v>43800</v>
      </c>
      <c r="E2" s="333">
        <v>43831</v>
      </c>
      <c r="F2" s="333">
        <v>43862</v>
      </c>
      <c r="G2" s="333">
        <v>43891</v>
      </c>
      <c r="H2" s="333">
        <v>43922</v>
      </c>
      <c r="I2" s="333">
        <v>43952</v>
      </c>
      <c r="J2" s="333">
        <v>43983</v>
      </c>
      <c r="K2" s="333">
        <v>44013</v>
      </c>
      <c r="L2" s="333">
        <v>44044</v>
      </c>
      <c r="M2" s="333">
        <v>44075</v>
      </c>
      <c r="N2" s="104" t="s">
        <v>12</v>
      </c>
    </row>
    <row r="3" spans="1:14" ht="17">
      <c r="A3" s="105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7"/>
    </row>
    <row r="4" spans="1:14">
      <c r="A4" s="239" t="s">
        <v>404</v>
      </c>
    </row>
    <row r="5" spans="1:14" ht="17">
      <c r="A5" s="108" t="s">
        <v>110</v>
      </c>
      <c r="B5" s="109">
        <f>SUM('Baseline Program Budget'!$I$11:$I$16)/'Baseline Program Budget'!$C$5</f>
        <v>212406.12583333332</v>
      </c>
      <c r="C5" s="109">
        <f>SUM('Baseline Program Budget'!$I$11:$I$16)/'Baseline Program Budget'!$C$5</f>
        <v>212406.12583333332</v>
      </c>
      <c r="D5" s="109">
        <f>SUM('Baseline Program Budget'!$I$11:$I$16)/'Baseline Program Budget'!$C$5</f>
        <v>212406.12583333332</v>
      </c>
      <c r="E5" s="109">
        <f>SUM('Baseline Program Budget'!$I$11:$I$16)/'Baseline Program Budget'!$C$5</f>
        <v>212406.12583333332</v>
      </c>
      <c r="F5" s="109">
        <f>SUM('Baseline Program Budget'!$I$11:$I$16)/'Baseline Program Budget'!$C$5</f>
        <v>212406.12583333332</v>
      </c>
      <c r="G5" s="109">
        <f>SUM('Baseline Program Budget'!$I$11:$I$16)/'Baseline Program Budget'!$C$5</f>
        <v>212406.12583333332</v>
      </c>
      <c r="H5" s="109">
        <f>SUM('Baseline Program Budget'!$I$11:$I$16)/'Baseline Program Budget'!$C$5</f>
        <v>212406.12583333332</v>
      </c>
      <c r="I5" s="109">
        <f>SUM('Baseline Program Budget'!$I$11:$I$16)/'Baseline Program Budget'!$C$5</f>
        <v>212406.12583333332</v>
      </c>
      <c r="J5" s="109">
        <f>SUM('Baseline Program Budget'!$I$11:$I$16)/'Baseline Program Budget'!$C$5</f>
        <v>212406.12583333332</v>
      </c>
      <c r="K5" s="109">
        <f>SUM('Baseline Program Budget'!$I$11:$I$16)/'Baseline Program Budget'!$C$5</f>
        <v>212406.12583333332</v>
      </c>
      <c r="L5" s="109">
        <f>SUM('Baseline Program Budget'!$I$11:$I$16)/'Baseline Program Budget'!$C$5</f>
        <v>212406.12583333332</v>
      </c>
      <c r="M5" s="109">
        <f>SUM('Baseline Program Budget'!$I$11:$I$16)/'Baseline Program Budget'!$C$5</f>
        <v>212406.12583333332</v>
      </c>
      <c r="N5" s="110">
        <f>SUM(B5:M5)</f>
        <v>2548873.5099999998</v>
      </c>
    </row>
    <row r="6" spans="1:14" ht="17">
      <c r="A6" s="108" t="s">
        <v>434</v>
      </c>
      <c r="B6" s="109">
        <f>(Parameters!$B$71*Parameters!$B$63)/Parameters!$B$2</f>
        <v>500</v>
      </c>
      <c r="C6" s="109">
        <f>(Parameters!$B$71*Parameters!$B$63)/Parameters!$B$2</f>
        <v>500</v>
      </c>
      <c r="D6" s="109">
        <f>Parameters!B70*(Parameters!B62+Parameters!B63+Parameters!B9) + (Parameters!$B$71*Parameters!$B$63)/Parameters!$B$2</f>
        <v>18000</v>
      </c>
      <c r="E6" s="109">
        <f>(Parameters!$B$71*Parameters!$B$63)/Parameters!$B$2</f>
        <v>500</v>
      </c>
      <c r="F6" s="109">
        <f>(Parameters!$B$71*Parameters!$B$63)/Parameters!$B$2</f>
        <v>500</v>
      </c>
      <c r="G6" s="109">
        <f>(Parameters!$B$71*Parameters!$B$63)/Parameters!$B$2 + (Parameters!B50*(Parameters!B34+Parameters!B33))</f>
        <v>5000</v>
      </c>
      <c r="H6" s="109">
        <f>(Parameters!$B$71*Parameters!$B$63)/Parameters!$B$2</f>
        <v>500</v>
      </c>
      <c r="I6" s="109">
        <f>(Parameters!$B$71*Parameters!$B$63)/Parameters!$B$2</f>
        <v>500</v>
      </c>
      <c r="J6" s="109">
        <f>(Parameters!$B$71*Parameters!$B$63)/Parameters!$B$2</f>
        <v>500</v>
      </c>
      <c r="K6" s="109">
        <f>Parameters!B88*Parameters!B78 + (Parameters!$B$71*Parameters!$B$63)/Parameters!$B$2</f>
        <v>3500</v>
      </c>
      <c r="L6" s="109">
        <f>(Parameters!$B$71*Parameters!$B$63)/Parameters!$B$2</f>
        <v>500</v>
      </c>
      <c r="M6" s="109">
        <f>(Parameters!$B$71*Parameters!$B$63)/Parameters!$B$2</f>
        <v>500</v>
      </c>
      <c r="N6" s="110">
        <f>SUM(B6:M6)</f>
        <v>31000</v>
      </c>
    </row>
    <row r="7" spans="1:14" ht="17">
      <c r="A7" s="329" t="s">
        <v>337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10"/>
    </row>
    <row r="8" spans="1:14" ht="17">
      <c r="A8" s="108" t="s">
        <v>424</v>
      </c>
      <c r="B8" s="109">
        <f>'Baseline Program Budget'!$I$21/'Baseline Program Budget'!$C$5</f>
        <v>33125</v>
      </c>
      <c r="C8" s="109">
        <f>'Baseline Program Budget'!$I$21/'Baseline Program Budget'!$C$5</f>
        <v>33125</v>
      </c>
      <c r="D8" s="109">
        <f>'Baseline Program Budget'!$I$21/'Baseline Program Budget'!$C$5</f>
        <v>33125</v>
      </c>
      <c r="E8" s="109">
        <f>'Baseline Program Budget'!$I$21/'Baseline Program Budget'!$C$5</f>
        <v>33125</v>
      </c>
      <c r="F8" s="109">
        <f>'Baseline Program Budget'!$I$21/'Baseline Program Budget'!$C$5</f>
        <v>33125</v>
      </c>
      <c r="G8" s="109">
        <f>'Baseline Program Budget'!$I$21/'Baseline Program Budget'!$C$5</f>
        <v>33125</v>
      </c>
      <c r="H8" s="109">
        <f>'Baseline Program Budget'!$I$21/'Baseline Program Budget'!$C$5</f>
        <v>33125</v>
      </c>
      <c r="I8" s="109">
        <f>'Baseline Program Budget'!$I$21/'Baseline Program Budget'!$C$5</f>
        <v>33125</v>
      </c>
      <c r="J8" s="109">
        <f>'Baseline Program Budget'!$I$21/'Baseline Program Budget'!$C$5</f>
        <v>33125</v>
      </c>
      <c r="K8" s="109">
        <f>'Baseline Program Budget'!$I$21/'Baseline Program Budget'!$C$5</f>
        <v>33125</v>
      </c>
      <c r="L8" s="109">
        <f>'Baseline Program Budget'!$I$21/'Baseline Program Budget'!$C$5</f>
        <v>33125</v>
      </c>
      <c r="M8" s="109">
        <f>'Baseline Program Budget'!$I$21/'Baseline Program Budget'!$C$5</f>
        <v>33125</v>
      </c>
      <c r="N8" s="110">
        <f>SUM(B8:M8)</f>
        <v>397500</v>
      </c>
    </row>
    <row r="9" spans="1:14" ht="17">
      <c r="A9" s="108" t="s">
        <v>440</v>
      </c>
      <c r="B9" s="109">
        <f>'Baseline Program Budget'!$I$20/'Baseline Program Budget'!$C$5</f>
        <v>10183.333333333334</v>
      </c>
      <c r="C9" s="109">
        <f>'Baseline Program Budget'!$I$20/'Baseline Program Budget'!$C$5</f>
        <v>10183.333333333334</v>
      </c>
      <c r="D9" s="109">
        <f>'Baseline Program Budget'!$I$20/'Baseline Program Budget'!$C$5</f>
        <v>10183.333333333334</v>
      </c>
      <c r="E9" s="109">
        <f>'Baseline Program Budget'!$I$20/'Baseline Program Budget'!$C$5</f>
        <v>10183.333333333334</v>
      </c>
      <c r="F9" s="109">
        <f>'Baseline Program Budget'!$I$20/'Baseline Program Budget'!$C$5</f>
        <v>10183.333333333334</v>
      </c>
      <c r="G9" s="109">
        <f>'Baseline Program Budget'!$I$20/'Baseline Program Budget'!$C$5</f>
        <v>10183.333333333334</v>
      </c>
      <c r="H9" s="109">
        <f>'Baseline Program Budget'!$I$20/'Baseline Program Budget'!$C$5</f>
        <v>10183.333333333334</v>
      </c>
      <c r="I9" s="109">
        <f>'Baseline Program Budget'!$I$20/'Baseline Program Budget'!$C$5</f>
        <v>10183.333333333334</v>
      </c>
      <c r="J9" s="109">
        <f>'Baseline Program Budget'!$I$20/'Baseline Program Budget'!$C$5</f>
        <v>10183.333333333334</v>
      </c>
      <c r="K9" s="109">
        <f>'Baseline Program Budget'!$I$20/'Baseline Program Budget'!$C$5</f>
        <v>10183.333333333334</v>
      </c>
      <c r="L9" s="109">
        <f>'Baseline Program Budget'!$I$20/'Baseline Program Budget'!$C$5</f>
        <v>10183.333333333334</v>
      </c>
      <c r="M9" s="109">
        <f>'Baseline Program Budget'!$I$20/'Baseline Program Budget'!$C$5</f>
        <v>10183.333333333334</v>
      </c>
      <c r="N9" s="110">
        <f>SUM(B9:M9)</f>
        <v>122199.99999999999</v>
      </c>
    </row>
    <row r="10" spans="1:14" ht="17">
      <c r="A10" s="108" t="s">
        <v>419</v>
      </c>
      <c r="B10" s="109"/>
      <c r="C10" s="109"/>
      <c r="D10" s="111"/>
      <c r="E10" s="111"/>
      <c r="F10" s="111"/>
      <c r="G10" s="111"/>
      <c r="H10" s="111"/>
      <c r="I10" s="111"/>
      <c r="J10" s="111"/>
      <c r="K10" s="111">
        <f>'Baseline Program Budget'!H22</f>
        <v>42000</v>
      </c>
      <c r="L10" s="111"/>
      <c r="M10" s="111"/>
      <c r="N10" s="110">
        <f>SUM(B10:M10)</f>
        <v>42000</v>
      </c>
    </row>
    <row r="11" spans="1:14" ht="18" thickBot="1">
      <c r="A11" s="112" t="s">
        <v>40</v>
      </c>
      <c r="B11" s="113">
        <f t="shared" ref="B11:N11" si="0">SUM(B5:B10)</f>
        <v>256214.45916666667</v>
      </c>
      <c r="C11" s="113">
        <f t="shared" si="0"/>
        <v>256214.45916666667</v>
      </c>
      <c r="D11" s="113">
        <f t="shared" si="0"/>
        <v>273714.45916666667</v>
      </c>
      <c r="E11" s="113">
        <f t="shared" si="0"/>
        <v>256214.45916666667</v>
      </c>
      <c r="F11" s="113">
        <f t="shared" si="0"/>
        <v>256214.45916666667</v>
      </c>
      <c r="G11" s="113">
        <f t="shared" si="0"/>
        <v>260714.45916666667</v>
      </c>
      <c r="H11" s="113">
        <f t="shared" si="0"/>
        <v>256214.45916666667</v>
      </c>
      <c r="I11" s="113">
        <f t="shared" si="0"/>
        <v>256214.45916666667</v>
      </c>
      <c r="J11" s="113">
        <f t="shared" si="0"/>
        <v>256214.45916666667</v>
      </c>
      <c r="K11" s="113">
        <f t="shared" si="0"/>
        <v>301214.45916666667</v>
      </c>
      <c r="L11" s="113">
        <f t="shared" si="0"/>
        <v>256214.45916666667</v>
      </c>
      <c r="M11" s="113">
        <f t="shared" si="0"/>
        <v>256214.45916666667</v>
      </c>
      <c r="N11" s="114">
        <f t="shared" si="0"/>
        <v>3141573.51</v>
      </c>
    </row>
    <row r="12" spans="1:14" ht="17">
      <c r="A12" s="105"/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6"/>
    </row>
    <row r="13" spans="1:14" ht="17">
      <c r="A13" s="108" t="s">
        <v>444</v>
      </c>
      <c r="B13" s="115">
        <f>'Baseline Program Budget'!$H$38/Parameters!$C$134</f>
        <v>112500</v>
      </c>
      <c r="C13" s="115"/>
      <c r="D13" s="115"/>
      <c r="E13" s="115">
        <f>'Baseline Program Budget'!$H$38/Parameters!$C$134</f>
        <v>112500</v>
      </c>
      <c r="F13" s="115"/>
      <c r="G13" s="115"/>
      <c r="H13" s="115">
        <f>'Baseline Program Budget'!$H$38/Parameters!$C$134</f>
        <v>112500</v>
      </c>
      <c r="I13" s="115"/>
      <c r="J13" s="115"/>
      <c r="K13" s="115">
        <f>'Baseline Program Budget'!$H$38/Parameters!$C$134</f>
        <v>112500</v>
      </c>
      <c r="L13" s="115"/>
      <c r="M13" s="115"/>
      <c r="N13" s="116">
        <f>SUM(B13:M13)</f>
        <v>450000</v>
      </c>
    </row>
    <row r="14" spans="1:14" ht="17">
      <c r="A14" s="117" t="s">
        <v>446</v>
      </c>
      <c r="B14" s="118">
        <f>'Baseline Program Budget'!$I$39*Parameters!B124</f>
        <v>168750</v>
      </c>
      <c r="C14" s="118">
        <f>'Baseline Program Budget'!$I$39*Parameters!C124</f>
        <v>202500</v>
      </c>
      <c r="D14" s="118">
        <f>'Baseline Program Budget'!$I$39*Parameters!D124</f>
        <v>135000</v>
      </c>
      <c r="E14" s="118"/>
      <c r="F14" s="118"/>
      <c r="G14" s="118"/>
      <c r="H14" s="118"/>
      <c r="I14" s="118">
        <f>Parameters!E124*'Baseline Program Budget'!I39</f>
        <v>168750</v>
      </c>
      <c r="J14" s="118"/>
      <c r="N14" s="116">
        <f>SUM(B14:J14)</f>
        <v>675000</v>
      </c>
    </row>
    <row r="15" spans="1:14" ht="17">
      <c r="A15" s="117" t="s">
        <v>447</v>
      </c>
      <c r="B15" s="118">
        <f>'Baseline Program Budget'!$C$47/'Baseline Program Budget'!$C$5</f>
        <v>75225</v>
      </c>
      <c r="C15" s="118">
        <f>'Baseline Program Budget'!$C$47/'Baseline Program Budget'!$C$5</f>
        <v>75225</v>
      </c>
      <c r="D15" s="118">
        <f>'Baseline Program Budget'!$C$47/'Baseline Program Budget'!$C$5</f>
        <v>75225</v>
      </c>
      <c r="E15" s="118">
        <f>'Baseline Program Budget'!$C$47/'Baseline Program Budget'!$C$5</f>
        <v>75225</v>
      </c>
      <c r="F15" s="118">
        <f>'Baseline Program Budget'!$C$47/'Baseline Program Budget'!$C$5</f>
        <v>75225</v>
      </c>
      <c r="G15" s="118">
        <f>'Baseline Program Budget'!$C$47/'Baseline Program Budget'!$C$5</f>
        <v>75225</v>
      </c>
      <c r="H15" s="118">
        <f>'Baseline Program Budget'!$C$47/'Baseline Program Budget'!$C$5</f>
        <v>75225</v>
      </c>
      <c r="I15" s="118">
        <f>'Baseline Program Budget'!$C$47/'Baseline Program Budget'!$C$5</f>
        <v>75225</v>
      </c>
      <c r="J15" s="118">
        <f>'Baseline Program Budget'!$C$47/'Baseline Program Budget'!$C$5</f>
        <v>75225</v>
      </c>
      <c r="K15" s="118">
        <f>'Baseline Program Budget'!$C$47/'Baseline Program Budget'!$C$5</f>
        <v>75225</v>
      </c>
      <c r="L15" s="118">
        <f>'Baseline Program Budget'!$C$47/'Baseline Program Budget'!$C$5</f>
        <v>75225</v>
      </c>
      <c r="M15" s="118">
        <f>'Baseline Program Budget'!$C$47/'Baseline Program Budget'!$C$5</f>
        <v>75225</v>
      </c>
      <c r="N15" s="116">
        <f>SUM(B15:M15)</f>
        <v>902700</v>
      </c>
    </row>
    <row r="16" spans="1:14" ht="17">
      <c r="A16" s="117" t="s">
        <v>448</v>
      </c>
      <c r="B16" s="118">
        <f>'Baseline Program Budget'!$D$42/'Baseline Program Budget'!$D$5</f>
        <v>56875</v>
      </c>
      <c r="C16" s="118">
        <f>'Baseline Program Budget'!$D$42/'Baseline Program Budget'!$D$5</f>
        <v>56875</v>
      </c>
      <c r="D16" s="118">
        <f>'Baseline Program Budget'!$D$42/'Baseline Program Budget'!$D$5</f>
        <v>56875</v>
      </c>
      <c r="E16" s="118">
        <f>'Baseline Program Budget'!$D$42/'Baseline Program Budget'!$D$5</f>
        <v>56875</v>
      </c>
      <c r="F16" s="118">
        <f>'Baseline Program Budget'!$D$42/'Baseline Program Budget'!$D$5</f>
        <v>56875</v>
      </c>
      <c r="G16" s="118">
        <f>'Baseline Program Budget'!$D$42/'Baseline Program Budget'!$D$5</f>
        <v>56875</v>
      </c>
      <c r="H16" s="118">
        <f>'Baseline Program Budget'!$D$42/'Baseline Program Budget'!$D$5</f>
        <v>56875</v>
      </c>
      <c r="I16" s="118">
        <f>'Baseline Program Budget'!$D$42/'Baseline Program Budget'!$D$5</f>
        <v>56875</v>
      </c>
      <c r="J16" s="118">
        <f>'Baseline Program Budget'!$D$42/'Baseline Program Budget'!$D$5</f>
        <v>56875</v>
      </c>
      <c r="N16" s="116">
        <f>SUM(B16:J16)</f>
        <v>511875</v>
      </c>
    </row>
    <row r="17" spans="1:14" ht="17">
      <c r="A17" s="117" t="s">
        <v>397</v>
      </c>
      <c r="B17" s="118">
        <f>'Baseline Program Budget'!$E$44/'Baseline Program Budget'!$C$5</f>
        <v>13750</v>
      </c>
      <c r="C17" s="118">
        <f>'Baseline Program Budget'!$E$44/'Baseline Program Budget'!$C$5</f>
        <v>13750</v>
      </c>
      <c r="D17" s="118">
        <f>'Baseline Program Budget'!$E$44/'Baseline Program Budget'!$C$5</f>
        <v>13750</v>
      </c>
      <c r="E17" s="118">
        <f>'Baseline Program Budget'!$E$44/'Baseline Program Budget'!$C$5</f>
        <v>13750</v>
      </c>
      <c r="F17" s="118">
        <f>'Baseline Program Budget'!$E$44/'Baseline Program Budget'!$C$5</f>
        <v>13750</v>
      </c>
      <c r="G17" s="118">
        <f>'Baseline Program Budget'!$E$44/'Baseline Program Budget'!$C$5</f>
        <v>13750</v>
      </c>
      <c r="H17" s="118">
        <f>'Baseline Program Budget'!$E$44/'Baseline Program Budget'!$C$5</f>
        <v>13750</v>
      </c>
      <c r="I17" s="118">
        <f>'Baseline Program Budget'!$E$44/'Baseline Program Budget'!$C$5</f>
        <v>13750</v>
      </c>
      <c r="J17" s="118">
        <f>'Baseline Program Budget'!$E$44/'Baseline Program Budget'!$C$5</f>
        <v>13750</v>
      </c>
      <c r="K17" s="118">
        <f>'Baseline Program Budget'!$E$44/'Baseline Program Budget'!$C$5</f>
        <v>13750</v>
      </c>
      <c r="L17" s="118">
        <f>'Baseline Program Budget'!$E$44/'Baseline Program Budget'!$C$5</f>
        <v>13750</v>
      </c>
      <c r="M17" s="118">
        <f>'Baseline Program Budget'!$E$44/'Baseline Program Budget'!$C$5</f>
        <v>13750</v>
      </c>
      <c r="N17" s="116">
        <f>SUM(B17:M17)</f>
        <v>165000</v>
      </c>
    </row>
    <row r="18" spans="1:14" ht="17">
      <c r="A18" s="117"/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6"/>
    </row>
    <row r="20" spans="1:14" ht="18" thickBot="1">
      <c r="A20" s="112" t="s">
        <v>111</v>
      </c>
      <c r="B20" s="113">
        <f t="shared" ref="B20:M20" si="1">SUM(B13:B14)</f>
        <v>281250</v>
      </c>
      <c r="C20" s="113">
        <f t="shared" si="1"/>
        <v>202500</v>
      </c>
      <c r="D20" s="113">
        <f t="shared" si="1"/>
        <v>135000</v>
      </c>
      <c r="E20" s="113">
        <f t="shared" si="1"/>
        <v>112500</v>
      </c>
      <c r="F20" s="113">
        <f t="shared" si="1"/>
        <v>0</v>
      </c>
      <c r="G20" s="113">
        <f t="shared" si="1"/>
        <v>0</v>
      </c>
      <c r="H20" s="113">
        <f t="shared" si="1"/>
        <v>112500</v>
      </c>
      <c r="I20" s="113">
        <f t="shared" si="1"/>
        <v>168750</v>
      </c>
      <c r="J20" s="113">
        <f t="shared" si="1"/>
        <v>0</v>
      </c>
      <c r="K20" s="113">
        <f t="shared" si="1"/>
        <v>112500</v>
      </c>
      <c r="L20" s="113">
        <f t="shared" si="1"/>
        <v>0</v>
      </c>
      <c r="M20" s="113">
        <f t="shared" si="1"/>
        <v>0</v>
      </c>
      <c r="N20" s="332">
        <f>SUM(N13:N19)</f>
        <v>2704575</v>
      </c>
    </row>
    <row r="21" spans="1:14" ht="17">
      <c r="A21" s="119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07"/>
    </row>
    <row r="22" spans="1:14" ht="18" thickBot="1">
      <c r="A22" s="112" t="s">
        <v>112</v>
      </c>
      <c r="B22" s="113">
        <f>B20-B11</f>
        <v>25035.540833333333</v>
      </c>
      <c r="C22" s="113">
        <f t="shared" ref="C22:N22" si="2">C20-C11</f>
        <v>-53714.459166666667</v>
      </c>
      <c r="D22" s="113">
        <f t="shared" si="2"/>
        <v>-138714.45916666667</v>
      </c>
      <c r="E22" s="113">
        <f t="shared" si="2"/>
        <v>-143714.45916666667</v>
      </c>
      <c r="F22" s="113">
        <f t="shared" si="2"/>
        <v>-256214.45916666667</v>
      </c>
      <c r="G22" s="113">
        <f t="shared" si="2"/>
        <v>-260714.45916666667</v>
      </c>
      <c r="H22" s="113">
        <f t="shared" si="2"/>
        <v>-143714.45916666667</v>
      </c>
      <c r="I22" s="113">
        <f t="shared" si="2"/>
        <v>-87464.459166666667</v>
      </c>
      <c r="J22" s="113">
        <f t="shared" si="2"/>
        <v>-256214.45916666667</v>
      </c>
      <c r="K22" s="113">
        <f t="shared" si="2"/>
        <v>-188714.45916666667</v>
      </c>
      <c r="L22" s="113">
        <f t="shared" si="2"/>
        <v>-256214.45916666667</v>
      </c>
      <c r="M22" s="113">
        <f t="shared" si="2"/>
        <v>-256214.45916666667</v>
      </c>
      <c r="N22" s="113">
        <f t="shared" si="2"/>
        <v>-436998.50999999978</v>
      </c>
    </row>
    <row r="23" spans="1:14" ht="17">
      <c r="A23" s="105"/>
      <c r="B23" s="121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</row>
    <row r="24" spans="1:14" ht="17">
      <c r="A24" s="122" t="s">
        <v>113</v>
      </c>
      <c r="B24" s="122">
        <f>Parameters!B135</f>
        <v>154080</v>
      </c>
      <c r="C24" s="122">
        <f>B25</f>
        <v>179115.54083333333</v>
      </c>
      <c r="D24" s="122">
        <f t="shared" ref="D24:M24" si="3">C25</f>
        <v>125401.08166666667</v>
      </c>
      <c r="E24" s="122">
        <f t="shared" si="3"/>
        <v>-13313.377500000002</v>
      </c>
      <c r="F24" s="122">
        <f t="shared" si="3"/>
        <v>-157027.83666666667</v>
      </c>
      <c r="G24" s="122">
        <f t="shared" si="3"/>
        <v>-413242.29583333334</v>
      </c>
      <c r="H24" s="122">
        <f t="shared" si="3"/>
        <v>-673956.755</v>
      </c>
      <c r="I24" s="122">
        <f t="shared" si="3"/>
        <v>-817671.21416666661</v>
      </c>
      <c r="J24" s="122">
        <f>I25</f>
        <v>-905135.67333333334</v>
      </c>
      <c r="K24" s="122">
        <f t="shared" si="3"/>
        <v>-1161350.1325000001</v>
      </c>
      <c r="L24" s="122">
        <f t="shared" si="3"/>
        <v>-1350064.5916666668</v>
      </c>
      <c r="M24" s="122">
        <f t="shared" si="3"/>
        <v>-1606279.0508333335</v>
      </c>
      <c r="N24" s="123">
        <v>0</v>
      </c>
    </row>
    <row r="25" spans="1:14" ht="17">
      <c r="A25" s="122" t="s">
        <v>114</v>
      </c>
      <c r="B25" s="124">
        <f>B24+B22</f>
        <v>179115.54083333333</v>
      </c>
      <c r="C25" s="124">
        <f>C24+C22</f>
        <v>125401.08166666667</v>
      </c>
      <c r="D25" s="124">
        <f t="shared" ref="D25:I25" si="4">D24+D22</f>
        <v>-13313.377500000002</v>
      </c>
      <c r="E25" s="124">
        <f t="shared" si="4"/>
        <v>-157027.83666666667</v>
      </c>
      <c r="F25" s="124">
        <f t="shared" si="4"/>
        <v>-413242.29583333334</v>
      </c>
      <c r="G25" s="124">
        <f t="shared" si="4"/>
        <v>-673956.755</v>
      </c>
      <c r="H25" s="124">
        <f t="shared" si="4"/>
        <v>-817671.21416666661</v>
      </c>
      <c r="I25" s="124">
        <f t="shared" si="4"/>
        <v>-905135.67333333334</v>
      </c>
      <c r="J25" s="124">
        <f>J24+J22</f>
        <v>-1161350.1325000001</v>
      </c>
      <c r="K25" s="124">
        <f>K24+K22</f>
        <v>-1350064.5916666668</v>
      </c>
      <c r="L25" s="124">
        <f>L24+L22</f>
        <v>-1606279.0508333335</v>
      </c>
      <c r="M25" s="124">
        <f>M24+M22</f>
        <v>-1862493.5100000002</v>
      </c>
      <c r="N25" s="123">
        <f>N24+N22</f>
        <v>-436998.50999999978</v>
      </c>
    </row>
    <row r="26" spans="1:14" ht="17">
      <c r="A26" s="117"/>
      <c r="B26" s="117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17"/>
      <c r="N26" s="107"/>
    </row>
    <row r="27" spans="1:14" ht="17">
      <c r="A27" s="125" t="s">
        <v>115</v>
      </c>
      <c r="B27" s="117"/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07"/>
    </row>
    <row r="28" spans="1:14" ht="17">
      <c r="A28" s="126" t="s">
        <v>116</v>
      </c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27"/>
      <c r="N28" s="107"/>
    </row>
    <row r="29" spans="1:14" ht="17">
      <c r="A29" s="126" t="s">
        <v>117</v>
      </c>
      <c r="B29" s="117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27"/>
      <c r="N29" s="107"/>
    </row>
    <row r="30" spans="1:14" ht="17">
      <c r="A30" s="126" t="s">
        <v>118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19"/>
      <c r="L30" s="119"/>
      <c r="M30" s="127"/>
      <c r="N30" s="107"/>
    </row>
    <row r="31" spans="1:14" ht="17">
      <c r="A31" s="126" t="s">
        <v>119</v>
      </c>
      <c r="B31" s="117"/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07"/>
    </row>
    <row r="32" spans="1:14" ht="17">
      <c r="A32" s="128" t="s">
        <v>120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07"/>
    </row>
    <row r="35" spans="1:5">
      <c r="A35" s="92" t="s">
        <v>435</v>
      </c>
      <c r="B35" s="92" t="s">
        <v>436</v>
      </c>
      <c r="C35" s="92" t="s">
        <v>437</v>
      </c>
      <c r="D35" s="92" t="s">
        <v>438</v>
      </c>
      <c r="E35" s="92" t="s">
        <v>439</v>
      </c>
    </row>
    <row r="36" spans="1:5">
      <c r="A36" s="92" t="s">
        <v>443</v>
      </c>
    </row>
  </sheetData>
  <mergeCells count="1">
    <mergeCell ref="A1:N1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E0EEB-38FD-9E4B-9336-88C08D867EF6}">
  <sheetPr>
    <pageSetUpPr fitToPage="1"/>
  </sheetPr>
  <dimension ref="A1:O45"/>
  <sheetViews>
    <sheetView zoomScale="91" zoomScaleNormal="200" zoomScalePageLayoutView="210" workbookViewId="0">
      <pane xSplit="1" ySplit="3" topLeftCell="B11" activePane="bottomRight" state="frozen"/>
      <selection pane="topRight" activeCell="B1" sqref="B1"/>
      <selection pane="bottomLeft" activeCell="A4" sqref="A4"/>
      <selection pane="bottomRight" activeCell="C5" sqref="C5"/>
    </sheetView>
  </sheetViews>
  <sheetFormatPr baseColWidth="10" defaultColWidth="8.83203125" defaultRowHeight="14"/>
  <cols>
    <col min="1" max="1" width="34.5" style="59" bestFit="1" customWidth="1"/>
    <col min="2" max="13" width="9.33203125" style="60" customWidth="1"/>
    <col min="14" max="14" width="10.1640625" style="61" bestFit="1" customWidth="1"/>
    <col min="15" max="16384" width="8.83203125" style="32"/>
  </cols>
  <sheetData>
    <row r="1" spans="1:15" ht="25" thickTop="1">
      <c r="A1" s="29" t="s">
        <v>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1"/>
    </row>
    <row r="2" spans="1:15" ht="25" thickBot="1">
      <c r="A2" s="33" t="s">
        <v>61</v>
      </c>
      <c r="B2" s="34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6"/>
    </row>
    <row r="3" spans="1:15" s="40" customFormat="1" thickTop="1" thickBot="1">
      <c r="A3" s="37"/>
      <c r="B3" s="38" t="s">
        <v>0</v>
      </c>
      <c r="C3" s="38" t="s">
        <v>1</v>
      </c>
      <c r="D3" s="38" t="s">
        <v>2</v>
      </c>
      <c r="E3" s="38" t="s">
        <v>3</v>
      </c>
      <c r="F3" s="38" t="s">
        <v>4</v>
      </c>
      <c r="G3" s="38" t="s">
        <v>5</v>
      </c>
      <c r="H3" s="38" t="s">
        <v>6</v>
      </c>
      <c r="I3" s="38" t="s">
        <v>7</v>
      </c>
      <c r="J3" s="38" t="s">
        <v>8</v>
      </c>
      <c r="K3" s="38" t="s">
        <v>9</v>
      </c>
      <c r="L3" s="38" t="s">
        <v>10</v>
      </c>
      <c r="M3" s="38" t="s">
        <v>11</v>
      </c>
      <c r="N3" s="39" t="s">
        <v>12</v>
      </c>
    </row>
    <row r="4" spans="1:15" s="42" customFormat="1" ht="13" thickTop="1">
      <c r="A4" s="41" t="s">
        <v>38</v>
      </c>
      <c r="B4" s="10" t="e">
        <f>IF('Assumptions and Parameters'!#REF!&lt;'Assumptions and Parameters'!#REF!,'Assumptions and Parameters'!#REF!,'Assumptions and Parameters'!#REF!)</f>
        <v>#REF!</v>
      </c>
      <c r="C4" s="10" t="e">
        <f>IF(ROUNDUP(B4*(1+'Assumptions and Parameters'!#REF!),0)&lt;'Assumptions and Parameters'!#REF!,ROUNDUP(B4*(1+'Assumptions and Parameters'!#REF!),0),'Assumptions and Parameters'!#REF!)</f>
        <v>#REF!</v>
      </c>
      <c r="D4" s="10" t="e">
        <f>IF(ROUNDUP(C4*(1+'Assumptions and Parameters'!#REF!),0)&lt;'Assumptions and Parameters'!#REF!,ROUNDUP(C4*(1+'Assumptions and Parameters'!#REF!),0),'Assumptions and Parameters'!#REF!)</f>
        <v>#REF!</v>
      </c>
      <c r="E4" s="10" t="e">
        <f>IF(ROUNDUP(D4*(1+'Assumptions and Parameters'!#REF!),0)&lt;'Assumptions and Parameters'!#REF!,ROUNDUP(D4*(1+'Assumptions and Parameters'!#REF!),0),'Assumptions and Parameters'!#REF!)</f>
        <v>#REF!</v>
      </c>
      <c r="F4" s="10" t="e">
        <f>IF(ROUNDUP(E4*(1+'Assumptions and Parameters'!#REF!),0)&lt;'Assumptions and Parameters'!#REF!,ROUNDUP(E4*(1+'Assumptions and Parameters'!#REF!),0),'Assumptions and Parameters'!#REF!)</f>
        <v>#REF!</v>
      </c>
      <c r="G4" s="10" t="e">
        <f>IF(ROUNDUP(F4*(1+'Assumptions and Parameters'!#REF!),0)&lt;'Assumptions and Parameters'!#REF!,ROUNDUP(F4*(1+'Assumptions and Parameters'!#REF!),0),'Assumptions and Parameters'!#REF!)</f>
        <v>#REF!</v>
      </c>
      <c r="H4" s="10" t="e">
        <f>IF(ROUNDUP(G4*(1+'Assumptions and Parameters'!#REF!),0)&lt;'Assumptions and Parameters'!#REF!,ROUNDUP(G4*(1+'Assumptions and Parameters'!#REF!),0),'Assumptions and Parameters'!#REF!)</f>
        <v>#REF!</v>
      </c>
      <c r="I4" s="10" t="e">
        <f>IF(ROUNDUP(H4*(1+'Assumptions and Parameters'!#REF!),0)&lt;'Assumptions and Parameters'!#REF!,ROUNDUP(H4*(1+'Assumptions and Parameters'!#REF!),0),'Assumptions and Parameters'!#REF!)</f>
        <v>#REF!</v>
      </c>
      <c r="J4" s="10" t="e">
        <f>IF(ROUNDUP(I4*(1+'Assumptions and Parameters'!#REF!),0)&lt;'Assumptions and Parameters'!#REF!,ROUNDUP(I4*(1+'Assumptions and Parameters'!#REF!),0),'Assumptions and Parameters'!#REF!)</f>
        <v>#REF!</v>
      </c>
      <c r="K4" s="10" t="e">
        <f>IF(ROUNDUP(J4*(1+'Assumptions and Parameters'!#REF!),0)&lt;'Assumptions and Parameters'!#REF!,ROUNDUP(J4*(1+'Assumptions and Parameters'!#REF!),0),'Assumptions and Parameters'!#REF!)</f>
        <v>#REF!</v>
      </c>
      <c r="L4" s="10" t="e">
        <f>IF(ROUNDUP(K4*(1+'Assumptions and Parameters'!#REF!),0)&lt;'Assumptions and Parameters'!#REF!,ROUNDUP(K4*(1+'Assumptions and Parameters'!#REF!),0),'Assumptions and Parameters'!#REF!)</f>
        <v>#REF!</v>
      </c>
      <c r="M4" s="10" t="e">
        <f>IF(ROUNDUP(L4*(1+'Assumptions and Parameters'!#REF!),0)&lt;'Assumptions and Parameters'!#REF!,ROUNDUP(L4*(1+'Assumptions and Parameters'!#REF!),0),'Assumptions and Parameters'!#REF!)</f>
        <v>#REF!</v>
      </c>
      <c r="N4" s="11"/>
    </row>
    <row r="5" spans="1:15" s="42" customFormat="1" ht="12">
      <c r="A5" s="41" t="s">
        <v>13</v>
      </c>
      <c r="B5" s="10" t="e">
        <f>ROUNDUP((ROUNDUP(B4/'Assumptions and Parameters'!#REF!,0))*('Assumptions and Parameters'!#REF!/'Assumptions and Parameters'!#REF!),0)</f>
        <v>#REF!</v>
      </c>
      <c r="C5" s="10" t="e">
        <f>ROUNDUP((ROUNDUP(C4/'Assumptions and Parameters'!#REF!,0))*('Assumptions and Parameters'!#REF!/'Assumptions and Parameters'!#REF!),0)</f>
        <v>#REF!</v>
      </c>
      <c r="D5" s="10" t="e">
        <f>ROUNDUP((ROUNDUP(D4/'Assumptions and Parameters'!#REF!,0))*('Assumptions and Parameters'!#REF!/'Assumptions and Parameters'!#REF!),0)</f>
        <v>#REF!</v>
      </c>
      <c r="E5" s="10" t="e">
        <f>ROUNDUP((ROUNDUP(E4/'Assumptions and Parameters'!#REF!,0))*('Assumptions and Parameters'!#REF!/'Assumptions and Parameters'!#REF!),0)</f>
        <v>#REF!</v>
      </c>
      <c r="F5" s="10" t="e">
        <f>ROUNDUP((ROUNDUP(F4/'Assumptions and Parameters'!#REF!,0))*('Assumptions and Parameters'!#REF!/'Assumptions and Parameters'!#REF!),0)</f>
        <v>#REF!</v>
      </c>
      <c r="G5" s="10" t="e">
        <f>ROUNDUP((ROUNDUP(G4/'Assumptions and Parameters'!#REF!,0))*('Assumptions and Parameters'!#REF!/'Assumptions and Parameters'!#REF!),0)</f>
        <v>#REF!</v>
      </c>
      <c r="H5" s="10" t="e">
        <f>ROUNDUP((ROUNDUP(H4/'Assumptions and Parameters'!#REF!,0))*('Assumptions and Parameters'!#REF!/'Assumptions and Parameters'!#REF!),0)</f>
        <v>#REF!</v>
      </c>
      <c r="I5" s="10" t="e">
        <f>ROUNDUP((ROUNDUP(I4/'Assumptions and Parameters'!#REF!,0))*('Assumptions and Parameters'!#REF!/'Assumptions and Parameters'!#REF!),0)</f>
        <v>#REF!</v>
      </c>
      <c r="J5" s="10" t="e">
        <f>ROUNDUP((ROUNDUP(J4/'Assumptions and Parameters'!#REF!,0))*('Assumptions and Parameters'!#REF!/'Assumptions and Parameters'!#REF!),0)</f>
        <v>#REF!</v>
      </c>
      <c r="K5" s="10" t="e">
        <f>ROUNDUP((ROUNDUP(K4/'Assumptions and Parameters'!#REF!,0))*('Assumptions and Parameters'!#REF!/'Assumptions and Parameters'!#REF!),0)</f>
        <v>#REF!</v>
      </c>
      <c r="L5" s="10" t="e">
        <f>ROUNDUP((ROUNDUP(L4/'Assumptions and Parameters'!#REF!,0))*('Assumptions and Parameters'!#REF!/'Assumptions and Parameters'!#REF!),0)</f>
        <v>#REF!</v>
      </c>
      <c r="M5" s="10" t="e">
        <f>ROUNDUP((ROUNDUP(M4/'Assumptions and Parameters'!#REF!,0))*('Assumptions and Parameters'!#REF!/'Assumptions and Parameters'!#REF!),0)</f>
        <v>#REF!</v>
      </c>
      <c r="N5" s="12"/>
      <c r="O5" s="102" t="s">
        <v>109</v>
      </c>
    </row>
    <row r="6" spans="1:15" s="42" customFormat="1" ht="12">
      <c r="A6" s="41" t="s">
        <v>14</v>
      </c>
      <c r="B6" s="10" t="e">
        <f>ROUNDUP((ROUNDUP(B4/'Assumptions and Parameters'!#REF!,0)*('Assumptions and Parameters'!#REF!/'Assumptions and Parameters'!#REF!)),0)</f>
        <v>#REF!</v>
      </c>
      <c r="C6" s="10" t="e">
        <f>ROUNDUP((ROUNDUP(C4/'Assumptions and Parameters'!#REF!,0)*('Assumptions and Parameters'!#REF!/'Assumptions and Parameters'!#REF!)),0)</f>
        <v>#REF!</v>
      </c>
      <c r="D6" s="10" t="e">
        <f>ROUNDUP((ROUNDUP(D4/'Assumptions and Parameters'!#REF!,0)*('Assumptions and Parameters'!#REF!/'Assumptions and Parameters'!#REF!)),0)</f>
        <v>#REF!</v>
      </c>
      <c r="E6" s="10" t="e">
        <f>ROUNDUP((ROUNDUP(E4/'Assumptions and Parameters'!#REF!,0)*('Assumptions and Parameters'!#REF!/'Assumptions and Parameters'!#REF!)),0)</f>
        <v>#REF!</v>
      </c>
      <c r="F6" s="10" t="e">
        <f>ROUNDUP((ROUNDUP(F4/'Assumptions and Parameters'!#REF!,0)*('Assumptions and Parameters'!#REF!/'Assumptions and Parameters'!#REF!)),0)</f>
        <v>#REF!</v>
      </c>
      <c r="G6" s="10" t="e">
        <f>ROUNDUP((ROUNDUP(G4/'Assumptions and Parameters'!#REF!,0)*('Assumptions and Parameters'!#REF!/'Assumptions and Parameters'!#REF!)),0)</f>
        <v>#REF!</v>
      </c>
      <c r="H6" s="10" t="e">
        <f>ROUNDUP((ROUNDUP(H4/'Assumptions and Parameters'!#REF!,0)*('Assumptions and Parameters'!#REF!/'Assumptions and Parameters'!#REF!)),0)</f>
        <v>#REF!</v>
      </c>
      <c r="I6" s="10" t="e">
        <f>ROUNDUP((ROUNDUP(I4/'Assumptions and Parameters'!#REF!,0)*('Assumptions and Parameters'!#REF!/'Assumptions and Parameters'!#REF!)),0)</f>
        <v>#REF!</v>
      </c>
      <c r="J6" s="10" t="e">
        <f>ROUNDUP((ROUNDUP(J4/'Assumptions and Parameters'!#REF!,0)*('Assumptions and Parameters'!#REF!/'Assumptions and Parameters'!#REF!)),0)</f>
        <v>#REF!</v>
      </c>
      <c r="K6" s="10" t="e">
        <f>ROUNDUP((ROUNDUP(K4/'Assumptions and Parameters'!#REF!,0)*('Assumptions and Parameters'!#REF!/'Assumptions and Parameters'!#REF!)),0)</f>
        <v>#REF!</v>
      </c>
      <c r="L6" s="10" t="e">
        <f>ROUNDUP((ROUNDUP(L4/'Assumptions and Parameters'!#REF!,0)*('Assumptions and Parameters'!#REF!/'Assumptions and Parameters'!#REF!)),0)</f>
        <v>#REF!</v>
      </c>
      <c r="M6" s="10" t="e">
        <f>ROUNDUP((ROUNDUP(M4/'Assumptions and Parameters'!#REF!,0)*('Assumptions and Parameters'!#REF!/'Assumptions and Parameters'!#REF!)),0)</f>
        <v>#REF!</v>
      </c>
      <c r="N6" s="12"/>
    </row>
    <row r="7" spans="1:15" s="42" customFormat="1" ht="12">
      <c r="A7" s="41" t="s">
        <v>70</v>
      </c>
      <c r="B7" s="63" t="e">
        <f>'Assumptions and Parameters'!#REF!</f>
        <v>#REF!</v>
      </c>
      <c r="C7" s="63" t="e">
        <f>'Assumptions and Parameters'!#REF!</f>
        <v>#REF!</v>
      </c>
      <c r="D7" s="63" t="e">
        <f>'Assumptions and Parameters'!#REF!</f>
        <v>#REF!</v>
      </c>
      <c r="E7" s="63" t="e">
        <f>'Assumptions and Parameters'!#REF!</f>
        <v>#REF!</v>
      </c>
      <c r="F7" s="63" t="e">
        <f>'Assumptions and Parameters'!#REF!</f>
        <v>#REF!</v>
      </c>
      <c r="G7" s="63" t="e">
        <f>'Assumptions and Parameters'!#REF!</f>
        <v>#REF!</v>
      </c>
      <c r="H7" s="63" t="e">
        <f>'Assumptions and Parameters'!#REF!</f>
        <v>#REF!</v>
      </c>
      <c r="I7" s="63" t="e">
        <f>'Assumptions and Parameters'!#REF!</f>
        <v>#REF!</v>
      </c>
      <c r="J7" s="63" t="e">
        <f>'Assumptions and Parameters'!#REF!</f>
        <v>#REF!</v>
      </c>
      <c r="K7" s="63" t="e">
        <f>'Assumptions and Parameters'!#REF!</f>
        <v>#REF!</v>
      </c>
      <c r="L7" s="63" t="e">
        <f>'Assumptions and Parameters'!#REF!</f>
        <v>#REF!</v>
      </c>
      <c r="M7" s="63" t="e">
        <f>'Assumptions and Parameters'!#REF!</f>
        <v>#REF!</v>
      </c>
      <c r="N7" s="12"/>
    </row>
    <row r="8" spans="1:15" s="42" customFormat="1" ht="12">
      <c r="A8" s="41" t="s">
        <v>55</v>
      </c>
      <c r="B8" s="63" t="e">
        <f>'Assumptions and Parameters'!#REF!</f>
        <v>#REF!</v>
      </c>
      <c r="C8" s="63" t="e">
        <f>'Assumptions and Parameters'!#REF!</f>
        <v>#REF!</v>
      </c>
      <c r="D8" s="63" t="e">
        <f>'Assumptions and Parameters'!#REF!</f>
        <v>#REF!</v>
      </c>
      <c r="E8" s="63" t="e">
        <f>'Assumptions and Parameters'!#REF!</f>
        <v>#REF!</v>
      </c>
      <c r="F8" s="63" t="e">
        <f>'Assumptions and Parameters'!#REF!</f>
        <v>#REF!</v>
      </c>
      <c r="G8" s="63" t="e">
        <f>'Assumptions and Parameters'!#REF!</f>
        <v>#REF!</v>
      </c>
      <c r="H8" s="63" t="e">
        <f>'Assumptions and Parameters'!#REF!</f>
        <v>#REF!</v>
      </c>
      <c r="I8" s="63" t="e">
        <f>'Assumptions and Parameters'!#REF!</f>
        <v>#REF!</v>
      </c>
      <c r="J8" s="63" t="e">
        <f>'Assumptions and Parameters'!#REF!</f>
        <v>#REF!</v>
      </c>
      <c r="K8" s="63" t="e">
        <f>'Assumptions and Parameters'!#REF!</f>
        <v>#REF!</v>
      </c>
      <c r="L8" s="63" t="e">
        <f>'Assumptions and Parameters'!#REF!</f>
        <v>#REF!</v>
      </c>
      <c r="M8" s="63" t="e">
        <f>'Assumptions and Parameters'!#REF!</f>
        <v>#REF!</v>
      </c>
      <c r="N8" s="12"/>
    </row>
    <row r="9" spans="1:15" s="40" customFormat="1" ht="12">
      <c r="A9" s="43" t="s">
        <v>15</v>
      </c>
      <c r="B9" s="13" t="e">
        <f>SUM(B5:B8)</f>
        <v>#REF!</v>
      </c>
      <c r="C9" s="13" t="e">
        <f t="shared" ref="C9:M9" si="0">SUM(C5:C8)</f>
        <v>#REF!</v>
      </c>
      <c r="D9" s="13" t="e">
        <f t="shared" si="0"/>
        <v>#REF!</v>
      </c>
      <c r="E9" s="13" t="e">
        <f t="shared" si="0"/>
        <v>#REF!</v>
      </c>
      <c r="F9" s="13" t="e">
        <f t="shared" si="0"/>
        <v>#REF!</v>
      </c>
      <c r="G9" s="13" t="e">
        <f t="shared" si="0"/>
        <v>#REF!</v>
      </c>
      <c r="H9" s="13" t="e">
        <f t="shared" si="0"/>
        <v>#REF!</v>
      </c>
      <c r="I9" s="13" t="e">
        <f t="shared" si="0"/>
        <v>#REF!</v>
      </c>
      <c r="J9" s="13" t="e">
        <f t="shared" si="0"/>
        <v>#REF!</v>
      </c>
      <c r="K9" s="13" t="e">
        <f t="shared" si="0"/>
        <v>#REF!</v>
      </c>
      <c r="L9" s="13" t="e">
        <f t="shared" si="0"/>
        <v>#REF!</v>
      </c>
      <c r="M9" s="13" t="e">
        <f t="shared" si="0"/>
        <v>#REF!</v>
      </c>
      <c r="N9" s="14"/>
    </row>
    <row r="10" spans="1:15" s="40" customFormat="1" ht="12">
      <c r="A10" s="41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2"/>
    </row>
    <row r="11" spans="1:15" s="42" customFormat="1" ht="12">
      <c r="A11" s="41" t="s">
        <v>41</v>
      </c>
      <c r="B11" s="10"/>
      <c r="C11" s="10"/>
      <c r="D11" s="16"/>
      <c r="E11" s="17"/>
      <c r="F11" s="10"/>
      <c r="G11" s="10"/>
      <c r="H11" s="10"/>
      <c r="I11" s="10"/>
      <c r="J11" s="10"/>
      <c r="K11" s="10"/>
      <c r="L11" s="10"/>
      <c r="M11" s="10"/>
      <c r="N11" s="18"/>
    </row>
    <row r="12" spans="1:15" s="42" customFormat="1" ht="12">
      <c r="A12" s="41" t="s">
        <v>16</v>
      </c>
      <c r="B12" s="10"/>
      <c r="C12" s="10"/>
      <c r="D12" s="16"/>
      <c r="E12" s="17"/>
      <c r="F12" s="10"/>
      <c r="G12" s="10"/>
      <c r="H12" s="10"/>
      <c r="I12" s="10"/>
      <c r="J12" s="10"/>
      <c r="K12" s="10"/>
      <c r="L12" s="10"/>
      <c r="M12" s="10"/>
      <c r="N12" s="18"/>
    </row>
    <row r="13" spans="1:15" s="42" customFormat="1" ht="12">
      <c r="A13" s="44" t="s">
        <v>17</v>
      </c>
      <c r="B13" s="64" t="e">
        <f>B5*'Assumptions and Parameters'!#REF!*'Assumptions and Parameters'!#REF!*'Assumptions and Parameters'!#REF!</f>
        <v>#REF!</v>
      </c>
      <c r="C13" s="64" t="e">
        <f>C5*'Assumptions and Parameters'!#REF!*'Assumptions and Parameters'!#REF!*'Assumptions and Parameters'!#REF!</f>
        <v>#REF!</v>
      </c>
      <c r="D13" s="64" t="e">
        <f>D5*'Assumptions and Parameters'!#REF!*'Assumptions and Parameters'!#REF!*'Assumptions and Parameters'!#REF!</f>
        <v>#REF!</v>
      </c>
      <c r="E13" s="64" t="e">
        <f>E5*'Assumptions and Parameters'!#REF!*'Assumptions and Parameters'!#REF!*'Assumptions and Parameters'!#REF!</f>
        <v>#REF!</v>
      </c>
      <c r="F13" s="64" t="e">
        <f>F5*'Assumptions and Parameters'!#REF!*'Assumptions and Parameters'!#REF!*'Assumptions and Parameters'!#REF!</f>
        <v>#REF!</v>
      </c>
      <c r="G13" s="64" t="e">
        <f>G5*'Assumptions and Parameters'!#REF!*'Assumptions and Parameters'!#REF!*'Assumptions and Parameters'!#REF!</f>
        <v>#REF!</v>
      </c>
      <c r="H13" s="64" t="e">
        <f>H5*'Assumptions and Parameters'!#REF!*'Assumptions and Parameters'!#REF!*'Assumptions and Parameters'!#REF!</f>
        <v>#REF!</v>
      </c>
      <c r="I13" s="64" t="e">
        <f>I5*'Assumptions and Parameters'!#REF!*'Assumptions and Parameters'!#REF!*'Assumptions and Parameters'!#REF!</f>
        <v>#REF!</v>
      </c>
      <c r="J13" s="64" t="e">
        <f>J5*'Assumptions and Parameters'!#REF!*'Assumptions and Parameters'!#REF!*'Assumptions and Parameters'!#REF!</f>
        <v>#REF!</v>
      </c>
      <c r="K13" s="64" t="e">
        <f>K5*'Assumptions and Parameters'!#REF!*'Assumptions and Parameters'!#REF!*'Assumptions and Parameters'!#REF!</f>
        <v>#REF!</v>
      </c>
      <c r="L13" s="64" t="e">
        <f>L5*'Assumptions and Parameters'!#REF!*'Assumptions and Parameters'!#REF!*'Assumptions and Parameters'!#REF!</f>
        <v>#REF!</v>
      </c>
      <c r="M13" s="64" t="e">
        <f>M5*'Assumptions and Parameters'!#REF!*'Assumptions and Parameters'!#REF!*'Assumptions and Parameters'!#REF!</f>
        <v>#REF!</v>
      </c>
      <c r="N13" s="65" t="e">
        <f>SUM(B13:M13)</f>
        <v>#REF!</v>
      </c>
    </row>
    <row r="14" spans="1:15" s="42" customFormat="1" ht="12">
      <c r="A14" s="44" t="s">
        <v>18</v>
      </c>
      <c r="B14" s="64" t="e">
        <f>B6*'Assumptions and Parameters'!#REF!*'Assumptions and Parameters'!#REF!*'Assumptions and Parameters'!#REF!</f>
        <v>#REF!</v>
      </c>
      <c r="C14" s="64" t="e">
        <f>C6*'Assumptions and Parameters'!#REF!*'Assumptions and Parameters'!#REF!*'Assumptions and Parameters'!#REF!</f>
        <v>#REF!</v>
      </c>
      <c r="D14" s="64" t="e">
        <f>D6*'Assumptions and Parameters'!#REF!*'Assumptions and Parameters'!#REF!*'Assumptions and Parameters'!#REF!</f>
        <v>#REF!</v>
      </c>
      <c r="E14" s="64" t="e">
        <f>E6*'Assumptions and Parameters'!#REF!*'Assumptions and Parameters'!#REF!*'Assumptions and Parameters'!#REF!</f>
        <v>#REF!</v>
      </c>
      <c r="F14" s="64" t="e">
        <f>F6*'Assumptions and Parameters'!#REF!*'Assumptions and Parameters'!#REF!*'Assumptions and Parameters'!#REF!</f>
        <v>#REF!</v>
      </c>
      <c r="G14" s="64" t="e">
        <f>G6*'Assumptions and Parameters'!#REF!*'Assumptions and Parameters'!#REF!*'Assumptions and Parameters'!#REF!</f>
        <v>#REF!</v>
      </c>
      <c r="H14" s="64" t="e">
        <f>H6*'Assumptions and Parameters'!#REF!*'Assumptions and Parameters'!#REF!*'Assumptions and Parameters'!#REF!</f>
        <v>#REF!</v>
      </c>
      <c r="I14" s="64" t="e">
        <f>I6*'Assumptions and Parameters'!#REF!*'Assumptions and Parameters'!#REF!*'Assumptions and Parameters'!#REF!</f>
        <v>#REF!</v>
      </c>
      <c r="J14" s="64" t="e">
        <f>J6*'Assumptions and Parameters'!#REF!*'Assumptions and Parameters'!#REF!*'Assumptions and Parameters'!#REF!</f>
        <v>#REF!</v>
      </c>
      <c r="K14" s="64" t="e">
        <f>K6*'Assumptions and Parameters'!#REF!*'Assumptions and Parameters'!#REF!*'Assumptions and Parameters'!#REF!</f>
        <v>#REF!</v>
      </c>
      <c r="L14" s="64" t="e">
        <f>L6*'Assumptions and Parameters'!#REF!*'Assumptions and Parameters'!#REF!*'Assumptions and Parameters'!#REF!</f>
        <v>#REF!</v>
      </c>
      <c r="M14" s="64" t="e">
        <f>M6*'Assumptions and Parameters'!#REF!*'Assumptions and Parameters'!#REF!*'Assumptions and Parameters'!#REF!</f>
        <v>#REF!</v>
      </c>
      <c r="N14" s="65" t="e">
        <f>SUM(B14:M14)</f>
        <v>#REF!</v>
      </c>
    </row>
    <row r="15" spans="1:15" s="42" customFormat="1" ht="12">
      <c r="A15" s="47" t="s">
        <v>71</v>
      </c>
      <c r="B15" s="64" t="e">
        <f>('Assumptions and Parameters'!#REF!/'Assumptions and Parameters'!#REF!)*B7</f>
        <v>#REF!</v>
      </c>
      <c r="C15" s="64" t="e">
        <f>('Assumptions and Parameters'!#REF!/'Assumptions and Parameters'!#REF!)*C7</f>
        <v>#REF!</v>
      </c>
      <c r="D15" s="64" t="e">
        <f>('Assumptions and Parameters'!#REF!/'Assumptions and Parameters'!#REF!)*D7</f>
        <v>#REF!</v>
      </c>
      <c r="E15" s="64" t="e">
        <f>('Assumptions and Parameters'!#REF!/'Assumptions and Parameters'!#REF!)*E7</f>
        <v>#REF!</v>
      </c>
      <c r="F15" s="64" t="e">
        <f>('Assumptions and Parameters'!#REF!/'Assumptions and Parameters'!#REF!)*F7</f>
        <v>#REF!</v>
      </c>
      <c r="G15" s="64" t="e">
        <f>('Assumptions and Parameters'!#REF!/'Assumptions and Parameters'!#REF!)*G7</f>
        <v>#REF!</v>
      </c>
      <c r="H15" s="64" t="e">
        <f>('Assumptions and Parameters'!#REF!/'Assumptions and Parameters'!#REF!)*H7</f>
        <v>#REF!</v>
      </c>
      <c r="I15" s="64" t="e">
        <f>('Assumptions and Parameters'!#REF!/'Assumptions and Parameters'!#REF!)*I7</f>
        <v>#REF!</v>
      </c>
      <c r="J15" s="64" t="e">
        <f>('Assumptions and Parameters'!#REF!/'Assumptions and Parameters'!#REF!)*J7</f>
        <v>#REF!</v>
      </c>
      <c r="K15" s="64" t="e">
        <f>('Assumptions and Parameters'!#REF!/'Assumptions and Parameters'!#REF!)*K7</f>
        <v>#REF!</v>
      </c>
      <c r="L15" s="64" t="e">
        <f>('Assumptions and Parameters'!#REF!/'Assumptions and Parameters'!#REF!)*L7</f>
        <v>#REF!</v>
      </c>
      <c r="M15" s="64" t="e">
        <f>('Assumptions and Parameters'!#REF!/'Assumptions and Parameters'!#REF!)*M7</f>
        <v>#REF!</v>
      </c>
      <c r="N15" s="65" t="e">
        <f>SUM(B15:M15)</f>
        <v>#REF!</v>
      </c>
    </row>
    <row r="16" spans="1:15" s="42" customFormat="1" ht="12">
      <c r="A16" s="44" t="s">
        <v>19</v>
      </c>
      <c r="B16" s="64" t="e">
        <f>B8*('Assumptions and Parameters'!#REF!/'Assumptions and Parameters'!#REF!)</f>
        <v>#REF!</v>
      </c>
      <c r="C16" s="64" t="e">
        <f>C8*('Assumptions and Parameters'!#REF!/'Assumptions and Parameters'!#REF!)</f>
        <v>#REF!</v>
      </c>
      <c r="D16" s="64" t="e">
        <f>D8*('Assumptions and Parameters'!#REF!/'Assumptions and Parameters'!#REF!)</f>
        <v>#REF!</v>
      </c>
      <c r="E16" s="64" t="e">
        <f>E8*('Assumptions and Parameters'!#REF!/'Assumptions and Parameters'!#REF!)</f>
        <v>#REF!</v>
      </c>
      <c r="F16" s="64" t="e">
        <f>F8*('Assumptions and Parameters'!#REF!/'Assumptions and Parameters'!#REF!)</f>
        <v>#REF!</v>
      </c>
      <c r="G16" s="64" t="e">
        <f>G8*('Assumptions and Parameters'!#REF!/'Assumptions and Parameters'!#REF!)</f>
        <v>#REF!</v>
      </c>
      <c r="H16" s="64" t="e">
        <f>H8*('Assumptions and Parameters'!#REF!/'Assumptions and Parameters'!#REF!)</f>
        <v>#REF!</v>
      </c>
      <c r="I16" s="64" t="e">
        <f>I8*('Assumptions and Parameters'!#REF!/'Assumptions and Parameters'!#REF!)</f>
        <v>#REF!</v>
      </c>
      <c r="J16" s="64" t="e">
        <f>J8*('Assumptions and Parameters'!#REF!/'Assumptions and Parameters'!#REF!)</f>
        <v>#REF!</v>
      </c>
      <c r="K16" s="64" t="e">
        <f>K8*('Assumptions and Parameters'!#REF!/'Assumptions and Parameters'!#REF!)</f>
        <v>#REF!</v>
      </c>
      <c r="L16" s="64" t="e">
        <f>L8*('Assumptions and Parameters'!#REF!/'Assumptions and Parameters'!#REF!)</f>
        <v>#REF!</v>
      </c>
      <c r="M16" s="64" t="e">
        <f>M8*('Assumptions and Parameters'!#REF!/'Assumptions and Parameters'!#REF!)</f>
        <v>#REF!</v>
      </c>
      <c r="N16" s="65" t="e">
        <f>SUM(B16:M16)</f>
        <v>#REF!</v>
      </c>
    </row>
    <row r="17" spans="1:14" s="46" customFormat="1" ht="12">
      <c r="A17" s="45" t="s">
        <v>20</v>
      </c>
      <c r="B17" s="66" t="e">
        <f>SUM(B13:B16)</f>
        <v>#REF!</v>
      </c>
      <c r="C17" s="66" t="e">
        <f t="shared" ref="C17:N17" si="1">SUM(C13:C16)</f>
        <v>#REF!</v>
      </c>
      <c r="D17" s="66" t="e">
        <f t="shared" si="1"/>
        <v>#REF!</v>
      </c>
      <c r="E17" s="66" t="e">
        <f t="shared" si="1"/>
        <v>#REF!</v>
      </c>
      <c r="F17" s="66" t="e">
        <f t="shared" si="1"/>
        <v>#REF!</v>
      </c>
      <c r="G17" s="66" t="e">
        <f t="shared" si="1"/>
        <v>#REF!</v>
      </c>
      <c r="H17" s="66" t="e">
        <f t="shared" si="1"/>
        <v>#REF!</v>
      </c>
      <c r="I17" s="66" t="e">
        <f t="shared" si="1"/>
        <v>#REF!</v>
      </c>
      <c r="J17" s="66" t="e">
        <f t="shared" si="1"/>
        <v>#REF!</v>
      </c>
      <c r="K17" s="66" t="e">
        <f t="shared" si="1"/>
        <v>#REF!</v>
      </c>
      <c r="L17" s="66" t="e">
        <f t="shared" si="1"/>
        <v>#REF!</v>
      </c>
      <c r="M17" s="66" t="e">
        <f t="shared" si="1"/>
        <v>#REF!</v>
      </c>
      <c r="N17" s="66" t="e">
        <f t="shared" si="1"/>
        <v>#REF!</v>
      </c>
    </row>
    <row r="18" spans="1:14" s="42" customFormat="1" ht="12">
      <c r="A18" s="41" t="s">
        <v>34</v>
      </c>
      <c r="B18" s="19"/>
      <c r="C18" s="19"/>
      <c r="D18" s="21"/>
      <c r="E18" s="22"/>
      <c r="F18" s="19"/>
      <c r="G18" s="19"/>
      <c r="H18" s="19"/>
      <c r="I18" s="19"/>
      <c r="J18" s="19"/>
      <c r="K18" s="19"/>
      <c r="L18" s="19"/>
      <c r="M18" s="19"/>
      <c r="N18" s="20"/>
    </row>
    <row r="19" spans="1:14" s="42" customFormat="1" ht="12">
      <c r="A19" s="44" t="s">
        <v>21</v>
      </c>
      <c r="B19" s="64" t="e">
        <f>B17*'Assumptions and Parameters'!#REF!</f>
        <v>#REF!</v>
      </c>
      <c r="C19" s="64" t="e">
        <f>C17*'Assumptions and Parameters'!#REF!</f>
        <v>#REF!</v>
      </c>
      <c r="D19" s="64" t="e">
        <f>D17*'Assumptions and Parameters'!#REF!</f>
        <v>#REF!</v>
      </c>
      <c r="E19" s="64" t="e">
        <f>E17*'Assumptions and Parameters'!#REF!</f>
        <v>#REF!</v>
      </c>
      <c r="F19" s="64" t="e">
        <f>F17*'Assumptions and Parameters'!#REF!</f>
        <v>#REF!</v>
      </c>
      <c r="G19" s="64" t="e">
        <f>G17*'Assumptions and Parameters'!#REF!</f>
        <v>#REF!</v>
      </c>
      <c r="H19" s="64" t="e">
        <f>H17*'Assumptions and Parameters'!#REF!</f>
        <v>#REF!</v>
      </c>
      <c r="I19" s="64" t="e">
        <f>I17*'Assumptions and Parameters'!#REF!</f>
        <v>#REF!</v>
      </c>
      <c r="J19" s="64" t="e">
        <f>J17*'Assumptions and Parameters'!#REF!</f>
        <v>#REF!</v>
      </c>
      <c r="K19" s="64" t="e">
        <f>K17*'Assumptions and Parameters'!#REF!</f>
        <v>#REF!</v>
      </c>
      <c r="L19" s="64" t="e">
        <f>L17*'Assumptions and Parameters'!#REF!</f>
        <v>#REF!</v>
      </c>
      <c r="M19" s="64" t="e">
        <f>M17*'Assumptions and Parameters'!#REF!</f>
        <v>#REF!</v>
      </c>
      <c r="N19" s="65" t="e">
        <f>SUM(B19:M19)</f>
        <v>#REF!</v>
      </c>
    </row>
    <row r="20" spans="1:14" s="42" customFormat="1" ht="12">
      <c r="A20" s="44" t="s">
        <v>22</v>
      </c>
      <c r="B20" s="64" t="e">
        <f>B17*'Assumptions and Parameters'!#REF!</f>
        <v>#REF!</v>
      </c>
      <c r="C20" s="64" t="e">
        <f>C17*'Assumptions and Parameters'!#REF!</f>
        <v>#REF!</v>
      </c>
      <c r="D20" s="64" t="e">
        <f>D17*'Assumptions and Parameters'!#REF!</f>
        <v>#REF!</v>
      </c>
      <c r="E20" s="64" t="e">
        <f>E17*'Assumptions and Parameters'!#REF!</f>
        <v>#REF!</v>
      </c>
      <c r="F20" s="64" t="e">
        <f>F17*'Assumptions and Parameters'!#REF!</f>
        <v>#REF!</v>
      </c>
      <c r="G20" s="64" t="e">
        <f>G17*'Assumptions and Parameters'!#REF!</f>
        <v>#REF!</v>
      </c>
      <c r="H20" s="64" t="e">
        <f>H17*'Assumptions and Parameters'!#REF!</f>
        <v>#REF!</v>
      </c>
      <c r="I20" s="64" t="e">
        <f>I17*'Assumptions and Parameters'!#REF!</f>
        <v>#REF!</v>
      </c>
      <c r="J20" s="64" t="e">
        <f>J17*'Assumptions and Parameters'!#REF!</f>
        <v>#REF!</v>
      </c>
      <c r="K20" s="64" t="e">
        <f>K17*'Assumptions and Parameters'!#REF!</f>
        <v>#REF!</v>
      </c>
      <c r="L20" s="64" t="e">
        <f>L17*'Assumptions and Parameters'!#REF!</f>
        <v>#REF!</v>
      </c>
      <c r="M20" s="64" t="e">
        <f>M17*'Assumptions and Parameters'!#REF!</f>
        <v>#REF!</v>
      </c>
      <c r="N20" s="65" t="e">
        <f>SUM(B20:M20)</f>
        <v>#REF!</v>
      </c>
    </row>
    <row r="21" spans="1:14" s="42" customFormat="1" ht="12">
      <c r="A21" s="44" t="s">
        <v>23</v>
      </c>
      <c r="B21" s="64" t="e">
        <f>B9*'Assumptions and Parameters'!#REF!*'Assumptions and Parameters'!#REF!</f>
        <v>#REF!</v>
      </c>
      <c r="C21" s="64" t="e">
        <f>C9*'Assumptions and Parameters'!#REF!*'Assumptions and Parameters'!#REF!</f>
        <v>#REF!</v>
      </c>
      <c r="D21" s="64" t="e">
        <f>D9*'Assumptions and Parameters'!#REF!*'Assumptions and Parameters'!#REF!</f>
        <v>#REF!</v>
      </c>
      <c r="E21" s="64" t="e">
        <f>E9*'Assumptions and Parameters'!#REF!*'Assumptions and Parameters'!#REF!</f>
        <v>#REF!</v>
      </c>
      <c r="F21" s="64" t="e">
        <f>F9*'Assumptions and Parameters'!#REF!*'Assumptions and Parameters'!#REF!</f>
        <v>#REF!</v>
      </c>
      <c r="G21" s="64" t="e">
        <f>G9*'Assumptions and Parameters'!#REF!*'Assumptions and Parameters'!#REF!</f>
        <v>#REF!</v>
      </c>
      <c r="H21" s="64" t="e">
        <f>H9*'Assumptions and Parameters'!#REF!*'Assumptions and Parameters'!#REF!</f>
        <v>#REF!</v>
      </c>
      <c r="I21" s="64" t="e">
        <f>I9*'Assumptions and Parameters'!#REF!*'Assumptions and Parameters'!#REF!</f>
        <v>#REF!</v>
      </c>
      <c r="J21" s="64" t="e">
        <f>J9*'Assumptions and Parameters'!#REF!*'Assumptions and Parameters'!#REF!</f>
        <v>#REF!</v>
      </c>
      <c r="K21" s="64" t="e">
        <f>K9*'Assumptions and Parameters'!#REF!*'Assumptions and Parameters'!#REF!</f>
        <v>#REF!</v>
      </c>
      <c r="L21" s="64" t="e">
        <f>L9*'Assumptions and Parameters'!#REF!*'Assumptions and Parameters'!#REF!</f>
        <v>#REF!</v>
      </c>
      <c r="M21" s="64" t="e">
        <f>M9*'Assumptions and Parameters'!#REF!*'Assumptions and Parameters'!#REF!</f>
        <v>#REF!</v>
      </c>
      <c r="N21" s="65" t="e">
        <f>SUM(B21:M21)</f>
        <v>#REF!</v>
      </c>
    </row>
    <row r="22" spans="1:14" s="42" customFormat="1" ht="12">
      <c r="A22" s="44" t="s">
        <v>24</v>
      </c>
      <c r="B22" s="64" t="e">
        <f>(B17-B14)*'Assumptions and Parameters'!#REF!</f>
        <v>#REF!</v>
      </c>
      <c r="C22" s="64" t="e">
        <f>(C17-C14)*'Assumptions and Parameters'!#REF!</f>
        <v>#REF!</v>
      </c>
      <c r="D22" s="64" t="e">
        <f>(D17-D14)*'Assumptions and Parameters'!#REF!</f>
        <v>#REF!</v>
      </c>
      <c r="E22" s="64" t="e">
        <f>(E17-E14)*'Assumptions and Parameters'!#REF!</f>
        <v>#REF!</v>
      </c>
      <c r="F22" s="64" t="e">
        <f>(F17-F14)*'Assumptions and Parameters'!#REF!</f>
        <v>#REF!</v>
      </c>
      <c r="G22" s="64" t="e">
        <f>(G17-G14)*'Assumptions and Parameters'!#REF!</f>
        <v>#REF!</v>
      </c>
      <c r="H22" s="64" t="e">
        <f>(H17-H14)*'Assumptions and Parameters'!#REF!</f>
        <v>#REF!</v>
      </c>
      <c r="I22" s="64" t="e">
        <f>(I17-I14)*'Assumptions and Parameters'!#REF!</f>
        <v>#REF!</v>
      </c>
      <c r="J22" s="64" t="e">
        <f>(J17-J14)*'Assumptions and Parameters'!#REF!</f>
        <v>#REF!</v>
      </c>
      <c r="K22" s="64" t="e">
        <f>(K17-K14)*'Assumptions and Parameters'!#REF!</f>
        <v>#REF!</v>
      </c>
      <c r="L22" s="64" t="e">
        <f>(L17-L14)*'Assumptions and Parameters'!#REF!</f>
        <v>#REF!</v>
      </c>
      <c r="M22" s="64" t="e">
        <f>(M17-M14)*'Assumptions and Parameters'!#REF!</f>
        <v>#REF!</v>
      </c>
      <c r="N22" s="65" t="e">
        <f>SUM(B22:M22)</f>
        <v>#REF!</v>
      </c>
    </row>
    <row r="23" spans="1:14" s="46" customFormat="1" ht="12">
      <c r="A23" s="45" t="s">
        <v>20</v>
      </c>
      <c r="B23" s="66" t="e">
        <f>SUM(B19:B22)</f>
        <v>#REF!</v>
      </c>
      <c r="C23" s="66" t="e">
        <f t="shared" ref="C23:N23" si="2">SUM(C19:C22)</f>
        <v>#REF!</v>
      </c>
      <c r="D23" s="66" t="e">
        <f t="shared" si="2"/>
        <v>#REF!</v>
      </c>
      <c r="E23" s="66" t="e">
        <f t="shared" si="2"/>
        <v>#REF!</v>
      </c>
      <c r="F23" s="66" t="e">
        <f t="shared" si="2"/>
        <v>#REF!</v>
      </c>
      <c r="G23" s="66" t="e">
        <f t="shared" si="2"/>
        <v>#REF!</v>
      </c>
      <c r="H23" s="66" t="e">
        <f t="shared" si="2"/>
        <v>#REF!</v>
      </c>
      <c r="I23" s="66" t="e">
        <f t="shared" si="2"/>
        <v>#REF!</v>
      </c>
      <c r="J23" s="66" t="e">
        <f t="shared" si="2"/>
        <v>#REF!</v>
      </c>
      <c r="K23" s="66" t="e">
        <f t="shared" si="2"/>
        <v>#REF!</v>
      </c>
      <c r="L23" s="66" t="e">
        <f t="shared" si="2"/>
        <v>#REF!</v>
      </c>
      <c r="M23" s="66" t="e">
        <f t="shared" si="2"/>
        <v>#REF!</v>
      </c>
      <c r="N23" s="66" t="e">
        <f t="shared" si="2"/>
        <v>#REF!</v>
      </c>
    </row>
    <row r="24" spans="1:14" s="42" customFormat="1" ht="12">
      <c r="A24" s="41" t="s">
        <v>48</v>
      </c>
      <c r="B24" s="19"/>
      <c r="C24" s="19"/>
      <c r="D24" s="21"/>
      <c r="E24" s="22"/>
      <c r="F24" s="19"/>
      <c r="G24" s="19"/>
      <c r="H24" s="19"/>
      <c r="I24" s="19"/>
      <c r="J24" s="19"/>
      <c r="K24" s="19"/>
      <c r="L24" s="19"/>
      <c r="M24" s="19"/>
      <c r="N24" s="20"/>
    </row>
    <row r="25" spans="1:14" s="42" customFormat="1" ht="12">
      <c r="A25" s="44" t="s">
        <v>25</v>
      </c>
      <c r="B25" s="64" t="e">
        <f>B4*'Assumptions and Parameters'!#REF!*'Assumptions and Parameters'!#REF!</f>
        <v>#REF!</v>
      </c>
      <c r="C25" s="64" t="e">
        <f>C4*'Assumptions and Parameters'!#REF!*'Assumptions and Parameters'!#REF!</f>
        <v>#REF!</v>
      </c>
      <c r="D25" s="64" t="e">
        <f>D4*'Assumptions and Parameters'!#REF!*'Assumptions and Parameters'!#REF!</f>
        <v>#REF!</v>
      </c>
      <c r="E25" s="64" t="e">
        <f>E4*'Assumptions and Parameters'!#REF!*'Assumptions and Parameters'!#REF!</f>
        <v>#REF!</v>
      </c>
      <c r="F25" s="64" t="e">
        <f>F4*'Assumptions and Parameters'!#REF!*'Assumptions and Parameters'!#REF!</f>
        <v>#REF!</v>
      </c>
      <c r="G25" s="64" t="e">
        <f>G4*'Assumptions and Parameters'!#REF!*'Assumptions and Parameters'!#REF!</f>
        <v>#REF!</v>
      </c>
      <c r="H25" s="64" t="e">
        <f>H4*'Assumptions and Parameters'!#REF!*'Assumptions and Parameters'!#REF!</f>
        <v>#REF!</v>
      </c>
      <c r="I25" s="64" t="e">
        <f>I4*'Assumptions and Parameters'!#REF!*'Assumptions and Parameters'!#REF!</f>
        <v>#REF!</v>
      </c>
      <c r="J25" s="64" t="e">
        <f>J4*'Assumptions and Parameters'!#REF!*'Assumptions and Parameters'!#REF!</f>
        <v>#REF!</v>
      </c>
      <c r="K25" s="64" t="e">
        <f>K4*'Assumptions and Parameters'!#REF!*'Assumptions and Parameters'!#REF!</f>
        <v>#REF!</v>
      </c>
      <c r="L25" s="64" t="e">
        <f>L4*'Assumptions and Parameters'!#REF!*'Assumptions and Parameters'!#REF!</f>
        <v>#REF!</v>
      </c>
      <c r="M25" s="64" t="e">
        <f>M4*'Assumptions and Parameters'!#REF!*'Assumptions and Parameters'!#REF!</f>
        <v>#REF!</v>
      </c>
      <c r="N25" s="65" t="e">
        <f>SUM(B25:M25)</f>
        <v>#REF!</v>
      </c>
    </row>
    <row r="26" spans="1:14" s="42" customFormat="1" ht="12">
      <c r="A26" s="47" t="s">
        <v>26</v>
      </c>
      <c r="B26" s="64" t="e">
        <f>B9*'Assumptions and Parameters'!#REF!</f>
        <v>#REF!</v>
      </c>
      <c r="C26" s="64" t="e">
        <f>(C9-B9)*'Assumptions and Parameters'!#REF!</f>
        <v>#REF!</v>
      </c>
      <c r="D26" s="64" t="e">
        <f>(D9-C9)*'Assumptions and Parameters'!#REF!</f>
        <v>#REF!</v>
      </c>
      <c r="E26" s="64" t="e">
        <f>(E9-D9)*'Assumptions and Parameters'!#REF!</f>
        <v>#REF!</v>
      </c>
      <c r="F26" s="64" t="e">
        <f>(F9-E9)*'Assumptions and Parameters'!#REF!</f>
        <v>#REF!</v>
      </c>
      <c r="G26" s="64" t="e">
        <f>(G9-F9)*'Assumptions and Parameters'!#REF!</f>
        <v>#REF!</v>
      </c>
      <c r="H26" s="64" t="e">
        <f>(H9-G9)*'Assumptions and Parameters'!#REF!</f>
        <v>#REF!</v>
      </c>
      <c r="I26" s="64" t="e">
        <f>(I9-H9)*'Assumptions and Parameters'!#REF!</f>
        <v>#REF!</v>
      </c>
      <c r="J26" s="64" t="e">
        <f>(J9-I9)*'Assumptions and Parameters'!#REF!</f>
        <v>#REF!</v>
      </c>
      <c r="K26" s="64" t="e">
        <f>(K9-J9)*'Assumptions and Parameters'!#REF!</f>
        <v>#REF!</v>
      </c>
      <c r="L26" s="64" t="e">
        <f>(L9-K9)*'Assumptions and Parameters'!#REF!</f>
        <v>#REF!</v>
      </c>
      <c r="M26" s="64" t="e">
        <f>(M9-L9)*'Assumptions and Parameters'!#REF!</f>
        <v>#REF!</v>
      </c>
      <c r="N26" s="65" t="e">
        <f t="shared" ref="N26:N32" si="3">SUM(B26:M26)</f>
        <v>#REF!</v>
      </c>
    </row>
    <row r="27" spans="1:14" s="42" customFormat="1" ht="12">
      <c r="A27" s="47" t="s">
        <v>56</v>
      </c>
      <c r="B27" s="64" t="e">
        <f>(B5*'Assumptions and Parameters'!#REF!*'Assumptions and Parameters'!#REF!)+('Assumptions and Parameters'!#REF!*'Assumptions and Parameters'!#REF!*'Operating Budget  '!B6)</f>
        <v>#REF!</v>
      </c>
      <c r="C27" s="64" t="e">
        <f>(C5*'Assumptions and Parameters'!#REF!*'Assumptions and Parameters'!#REF!)+('Assumptions and Parameters'!#REF!*'Assumptions and Parameters'!#REF!*'Operating Budget  '!C6)</f>
        <v>#REF!</v>
      </c>
      <c r="D27" s="64" t="e">
        <f>(D5*'Assumptions and Parameters'!#REF!*'Assumptions and Parameters'!#REF!)+('Assumptions and Parameters'!#REF!*'Assumptions and Parameters'!#REF!*'Operating Budget  '!D6)</f>
        <v>#REF!</v>
      </c>
      <c r="E27" s="64" t="e">
        <f>(E5*'Assumptions and Parameters'!#REF!*'Assumptions and Parameters'!#REF!)+('Assumptions and Parameters'!#REF!*'Assumptions and Parameters'!#REF!*'Operating Budget  '!E6)</f>
        <v>#REF!</v>
      </c>
      <c r="F27" s="64" t="e">
        <f>(F5*'Assumptions and Parameters'!#REF!*'Assumptions and Parameters'!#REF!)+('Assumptions and Parameters'!#REF!*'Assumptions and Parameters'!#REF!*'Operating Budget  '!F6)</f>
        <v>#REF!</v>
      </c>
      <c r="G27" s="64" t="e">
        <f>(G5*'Assumptions and Parameters'!#REF!*'Assumptions and Parameters'!#REF!)+('Assumptions and Parameters'!#REF!*'Assumptions and Parameters'!#REF!*'Operating Budget  '!G6)</f>
        <v>#REF!</v>
      </c>
      <c r="H27" s="64" t="e">
        <f>(H5*'Assumptions and Parameters'!#REF!*'Assumptions and Parameters'!#REF!)+('Assumptions and Parameters'!#REF!*'Assumptions and Parameters'!#REF!*'Operating Budget  '!H6)</f>
        <v>#REF!</v>
      </c>
      <c r="I27" s="64" t="e">
        <f>(I5*'Assumptions and Parameters'!#REF!*'Assumptions and Parameters'!#REF!)+('Assumptions and Parameters'!#REF!*'Assumptions and Parameters'!#REF!*'Operating Budget  '!I6)</f>
        <v>#REF!</v>
      </c>
      <c r="J27" s="64" t="e">
        <f>(J5*'Assumptions and Parameters'!#REF!*'Assumptions and Parameters'!#REF!)+('Assumptions and Parameters'!#REF!*'Assumptions and Parameters'!#REF!*'Operating Budget  '!J6)</f>
        <v>#REF!</v>
      </c>
      <c r="K27" s="64" t="e">
        <f>(K5*'Assumptions and Parameters'!#REF!*'Assumptions and Parameters'!#REF!)+('Assumptions and Parameters'!#REF!*'Assumptions and Parameters'!#REF!*'Operating Budget  '!K6)</f>
        <v>#REF!</v>
      </c>
      <c r="L27" s="64" t="e">
        <f>(L5*'Assumptions and Parameters'!#REF!*'Assumptions and Parameters'!#REF!)+('Assumptions and Parameters'!#REF!*'Assumptions and Parameters'!#REF!*'Operating Budget  '!L6)</f>
        <v>#REF!</v>
      </c>
      <c r="M27" s="64" t="e">
        <f>(M5*'Assumptions and Parameters'!#REF!*'Assumptions and Parameters'!#REF!)+('Assumptions and Parameters'!#REF!*'Assumptions and Parameters'!#REF!*'Operating Budget  '!M6)</f>
        <v>#REF!</v>
      </c>
      <c r="N27" s="65" t="e">
        <f t="shared" si="3"/>
        <v>#REF!</v>
      </c>
    </row>
    <row r="28" spans="1:14" s="42" customFormat="1" ht="12">
      <c r="A28" s="47" t="s">
        <v>45</v>
      </c>
      <c r="B28" s="64" t="e">
        <f>'Assumptions and Parameters'!#REF!</f>
        <v>#REF!</v>
      </c>
      <c r="C28" s="64" t="e">
        <f>'Assumptions and Parameters'!#REF!</f>
        <v>#REF!</v>
      </c>
      <c r="D28" s="64" t="e">
        <f>'Assumptions and Parameters'!#REF!</f>
        <v>#REF!</v>
      </c>
      <c r="E28" s="64" t="e">
        <f>'Assumptions and Parameters'!#REF!</f>
        <v>#REF!</v>
      </c>
      <c r="F28" s="64" t="e">
        <f>'Assumptions and Parameters'!#REF!</f>
        <v>#REF!</v>
      </c>
      <c r="G28" s="64" t="e">
        <f>'Assumptions and Parameters'!#REF!</f>
        <v>#REF!</v>
      </c>
      <c r="H28" s="64" t="e">
        <f>'Assumptions and Parameters'!#REF!</f>
        <v>#REF!</v>
      </c>
      <c r="I28" s="64" t="e">
        <f>'Assumptions and Parameters'!#REF!</f>
        <v>#REF!</v>
      </c>
      <c r="J28" s="64" t="e">
        <f>'Assumptions and Parameters'!#REF!</f>
        <v>#REF!</v>
      </c>
      <c r="K28" s="64" t="e">
        <f>'Assumptions and Parameters'!#REF!</f>
        <v>#REF!</v>
      </c>
      <c r="L28" s="64" t="e">
        <f>'Assumptions and Parameters'!#REF!</f>
        <v>#REF!</v>
      </c>
      <c r="M28" s="64" t="e">
        <f>'Assumptions and Parameters'!#REF!</f>
        <v>#REF!</v>
      </c>
      <c r="N28" s="65" t="e">
        <f t="shared" si="3"/>
        <v>#REF!</v>
      </c>
    </row>
    <row r="29" spans="1:14" s="42" customFormat="1" ht="12">
      <c r="A29" s="47" t="s">
        <v>43</v>
      </c>
      <c r="B29" s="64" t="e">
        <f>'Assumptions and Parameters'!#REF!</f>
        <v>#REF!</v>
      </c>
      <c r="C29" s="64" t="e">
        <f>'Assumptions and Parameters'!#REF!</f>
        <v>#REF!</v>
      </c>
      <c r="D29" s="64" t="e">
        <f>'Assumptions and Parameters'!#REF!</f>
        <v>#REF!</v>
      </c>
      <c r="E29" s="64" t="e">
        <f>'Assumptions and Parameters'!#REF!</f>
        <v>#REF!</v>
      </c>
      <c r="F29" s="64" t="e">
        <f>'Assumptions and Parameters'!#REF!</f>
        <v>#REF!</v>
      </c>
      <c r="G29" s="64" t="e">
        <f>'Assumptions and Parameters'!#REF!</f>
        <v>#REF!</v>
      </c>
      <c r="H29" s="64" t="e">
        <f>'Assumptions and Parameters'!#REF!</f>
        <v>#REF!</v>
      </c>
      <c r="I29" s="64" t="e">
        <f>'Assumptions and Parameters'!#REF!</f>
        <v>#REF!</v>
      </c>
      <c r="J29" s="64" t="e">
        <f>'Assumptions and Parameters'!#REF!</f>
        <v>#REF!</v>
      </c>
      <c r="K29" s="64" t="e">
        <f>'Assumptions and Parameters'!#REF!</f>
        <v>#REF!</v>
      </c>
      <c r="L29" s="64" t="e">
        <f>'Assumptions and Parameters'!#REF!</f>
        <v>#REF!</v>
      </c>
      <c r="M29" s="64" t="e">
        <f>'Assumptions and Parameters'!#REF!</f>
        <v>#REF!</v>
      </c>
      <c r="N29" s="65" t="e">
        <f t="shared" si="3"/>
        <v>#REF!</v>
      </c>
    </row>
    <row r="30" spans="1:14" s="42" customFormat="1" ht="12">
      <c r="A30" s="47" t="s">
        <v>49</v>
      </c>
      <c r="B30" s="64" t="e">
        <f>'Assumptions and Parameters'!#REF!/'Assumptions and Parameters'!#REF!</f>
        <v>#REF!</v>
      </c>
      <c r="C30" s="64" t="e">
        <f>'Assumptions and Parameters'!#REF!/'Assumptions and Parameters'!#REF!</f>
        <v>#REF!</v>
      </c>
      <c r="D30" s="64" t="e">
        <f>'Assumptions and Parameters'!#REF!/'Assumptions and Parameters'!#REF!</f>
        <v>#REF!</v>
      </c>
      <c r="E30" s="64" t="e">
        <f>'Assumptions and Parameters'!#REF!/'Assumptions and Parameters'!#REF!</f>
        <v>#REF!</v>
      </c>
      <c r="F30" s="64" t="e">
        <f>'Assumptions and Parameters'!#REF!/'Assumptions and Parameters'!#REF!</f>
        <v>#REF!</v>
      </c>
      <c r="G30" s="64" t="e">
        <f>'Assumptions and Parameters'!#REF!/'Assumptions and Parameters'!#REF!</f>
        <v>#REF!</v>
      </c>
      <c r="H30" s="64" t="e">
        <f>'Assumptions and Parameters'!#REF!/'Assumptions and Parameters'!#REF!</f>
        <v>#REF!</v>
      </c>
      <c r="I30" s="64" t="e">
        <f>'Assumptions and Parameters'!#REF!/'Assumptions and Parameters'!#REF!</f>
        <v>#REF!</v>
      </c>
      <c r="J30" s="64" t="e">
        <f>'Assumptions and Parameters'!#REF!/'Assumptions and Parameters'!#REF!</f>
        <v>#REF!</v>
      </c>
      <c r="K30" s="64" t="e">
        <f>'Assumptions and Parameters'!#REF!/'Assumptions and Parameters'!#REF!</f>
        <v>#REF!</v>
      </c>
      <c r="L30" s="64" t="e">
        <f>'Assumptions and Parameters'!#REF!/'Assumptions and Parameters'!#REF!</f>
        <v>#REF!</v>
      </c>
      <c r="M30" s="64" t="e">
        <f>'Assumptions and Parameters'!#REF!/'Assumptions and Parameters'!#REF!</f>
        <v>#REF!</v>
      </c>
      <c r="N30" s="65" t="e">
        <f t="shared" si="3"/>
        <v>#REF!</v>
      </c>
    </row>
    <row r="31" spans="1:14" s="42" customFormat="1" ht="12">
      <c r="A31" s="47" t="s">
        <v>50</v>
      </c>
      <c r="B31" s="64" t="e">
        <f>'Assumptions and Parameters'!#REF!/'Assumptions and Parameters'!#REF!</f>
        <v>#REF!</v>
      </c>
      <c r="C31" s="64" t="e">
        <f>'Assumptions and Parameters'!#REF!/'Assumptions and Parameters'!#REF!</f>
        <v>#REF!</v>
      </c>
      <c r="D31" s="64" t="e">
        <f>'Assumptions and Parameters'!#REF!/'Assumptions and Parameters'!#REF!</f>
        <v>#REF!</v>
      </c>
      <c r="E31" s="64" t="e">
        <f>'Assumptions and Parameters'!#REF!/'Assumptions and Parameters'!#REF!</f>
        <v>#REF!</v>
      </c>
      <c r="F31" s="64" t="e">
        <f>'Assumptions and Parameters'!#REF!/'Assumptions and Parameters'!#REF!</f>
        <v>#REF!</v>
      </c>
      <c r="G31" s="64" t="e">
        <f>'Assumptions and Parameters'!#REF!/'Assumptions and Parameters'!#REF!</f>
        <v>#REF!</v>
      </c>
      <c r="H31" s="64" t="e">
        <f>'Assumptions and Parameters'!#REF!/'Assumptions and Parameters'!#REF!</f>
        <v>#REF!</v>
      </c>
      <c r="I31" s="64" t="e">
        <f>'Assumptions and Parameters'!#REF!/'Assumptions and Parameters'!#REF!</f>
        <v>#REF!</v>
      </c>
      <c r="J31" s="64" t="e">
        <f>'Assumptions and Parameters'!#REF!/'Assumptions and Parameters'!#REF!</f>
        <v>#REF!</v>
      </c>
      <c r="K31" s="64" t="e">
        <f>'Assumptions and Parameters'!#REF!/'Assumptions and Parameters'!#REF!</f>
        <v>#REF!</v>
      </c>
      <c r="L31" s="64" t="e">
        <f>'Assumptions and Parameters'!#REF!/'Assumptions and Parameters'!#REF!</f>
        <v>#REF!</v>
      </c>
      <c r="M31" s="64" t="e">
        <f>'Assumptions and Parameters'!#REF!/'Assumptions and Parameters'!#REF!</f>
        <v>#REF!</v>
      </c>
      <c r="N31" s="65" t="e">
        <f t="shared" si="3"/>
        <v>#REF!</v>
      </c>
    </row>
    <row r="32" spans="1:14" s="46" customFormat="1" ht="12">
      <c r="A32" s="48" t="s">
        <v>27</v>
      </c>
      <c r="B32" s="66" t="e">
        <f>SUM(B25:B31)</f>
        <v>#REF!</v>
      </c>
      <c r="C32" s="66" t="e">
        <f t="shared" ref="C32:M32" si="4">SUM(C25:C31)</f>
        <v>#REF!</v>
      </c>
      <c r="D32" s="66" t="e">
        <f t="shared" si="4"/>
        <v>#REF!</v>
      </c>
      <c r="E32" s="66" t="e">
        <f t="shared" si="4"/>
        <v>#REF!</v>
      </c>
      <c r="F32" s="66" t="e">
        <f t="shared" si="4"/>
        <v>#REF!</v>
      </c>
      <c r="G32" s="66" t="e">
        <f t="shared" si="4"/>
        <v>#REF!</v>
      </c>
      <c r="H32" s="66" t="e">
        <f t="shared" si="4"/>
        <v>#REF!</v>
      </c>
      <c r="I32" s="66" t="e">
        <f t="shared" si="4"/>
        <v>#REF!</v>
      </c>
      <c r="J32" s="66" t="e">
        <f t="shared" si="4"/>
        <v>#REF!</v>
      </c>
      <c r="K32" s="66" t="e">
        <f t="shared" si="4"/>
        <v>#REF!</v>
      </c>
      <c r="L32" s="66" t="e">
        <f t="shared" si="4"/>
        <v>#REF!</v>
      </c>
      <c r="M32" s="66" t="e">
        <f t="shared" si="4"/>
        <v>#REF!</v>
      </c>
      <c r="N32" s="66" t="e">
        <f t="shared" si="3"/>
        <v>#REF!</v>
      </c>
    </row>
    <row r="33" spans="1:14" s="40" customFormat="1" ht="13" thickBot="1">
      <c r="A33" s="49" t="s">
        <v>40</v>
      </c>
      <c r="B33" s="67" t="e">
        <f>+B17+B23+B32</f>
        <v>#REF!</v>
      </c>
      <c r="C33" s="67" t="e">
        <f t="shared" ref="C33:N33" si="5">+C17+C23+C32</f>
        <v>#REF!</v>
      </c>
      <c r="D33" s="67" t="e">
        <f t="shared" si="5"/>
        <v>#REF!</v>
      </c>
      <c r="E33" s="67" t="e">
        <f t="shared" si="5"/>
        <v>#REF!</v>
      </c>
      <c r="F33" s="67" t="e">
        <f t="shared" si="5"/>
        <v>#REF!</v>
      </c>
      <c r="G33" s="67" t="e">
        <f t="shared" si="5"/>
        <v>#REF!</v>
      </c>
      <c r="H33" s="67" t="e">
        <f t="shared" si="5"/>
        <v>#REF!</v>
      </c>
      <c r="I33" s="67" t="e">
        <f t="shared" si="5"/>
        <v>#REF!</v>
      </c>
      <c r="J33" s="67" t="e">
        <f t="shared" si="5"/>
        <v>#REF!</v>
      </c>
      <c r="K33" s="67" t="e">
        <f t="shared" si="5"/>
        <v>#REF!</v>
      </c>
      <c r="L33" s="67" t="e">
        <f t="shared" si="5"/>
        <v>#REF!</v>
      </c>
      <c r="M33" s="67" t="e">
        <f t="shared" si="5"/>
        <v>#REF!</v>
      </c>
      <c r="N33" s="67" t="e">
        <f t="shared" si="5"/>
        <v>#REF!</v>
      </c>
    </row>
    <row r="34" spans="1:14" s="42" customFormat="1" ht="13" thickTop="1">
      <c r="A34" s="50" t="s">
        <v>47</v>
      </c>
      <c r="B34" s="23"/>
      <c r="C34" s="24"/>
      <c r="D34" s="21"/>
      <c r="E34" s="25"/>
      <c r="F34" s="23"/>
      <c r="G34" s="23"/>
      <c r="H34" s="23"/>
      <c r="I34" s="23"/>
      <c r="J34" s="23"/>
      <c r="K34" s="23"/>
      <c r="L34" s="23"/>
      <c r="M34" s="23"/>
      <c r="N34" s="26"/>
    </row>
    <row r="35" spans="1:14" s="42" customFormat="1" ht="12">
      <c r="A35" s="51" t="s">
        <v>67</v>
      </c>
      <c r="B35" s="68" t="e">
        <f>B4*'Assumptions and Parameters'!#REF!</f>
        <v>#REF!</v>
      </c>
      <c r="C35" s="68" t="e">
        <f>C4*'Assumptions and Parameters'!#REF!</f>
        <v>#REF!</v>
      </c>
      <c r="D35" s="68" t="e">
        <f>D4*'Assumptions and Parameters'!#REF!</f>
        <v>#REF!</v>
      </c>
      <c r="E35" s="68" t="e">
        <f>E4*'Assumptions and Parameters'!#REF!</f>
        <v>#REF!</v>
      </c>
      <c r="F35" s="68" t="e">
        <f>F4*'Assumptions and Parameters'!#REF!</f>
        <v>#REF!</v>
      </c>
      <c r="G35" s="68" t="e">
        <f>G4*'Assumptions and Parameters'!#REF!</f>
        <v>#REF!</v>
      </c>
      <c r="H35" s="68" t="e">
        <f>H4*'Assumptions and Parameters'!#REF!</f>
        <v>#REF!</v>
      </c>
      <c r="I35" s="68" t="e">
        <f>I4*'Assumptions and Parameters'!#REF!</f>
        <v>#REF!</v>
      </c>
      <c r="J35" s="68" t="e">
        <f>J4*'Assumptions and Parameters'!#REF!</f>
        <v>#REF!</v>
      </c>
      <c r="K35" s="68" t="e">
        <f>K4*'Assumptions and Parameters'!#REF!</f>
        <v>#REF!</v>
      </c>
      <c r="L35" s="68" t="e">
        <f>L4*'Assumptions and Parameters'!#REF!</f>
        <v>#REF!</v>
      </c>
      <c r="M35" s="68" t="e">
        <f>M4*'Assumptions and Parameters'!#REF!</f>
        <v>#REF!</v>
      </c>
      <c r="N35" s="70" t="e">
        <f>SUM(B35:M35)</f>
        <v>#REF!</v>
      </c>
    </row>
    <row r="36" spans="1:14" s="42" customFormat="1" ht="12">
      <c r="A36" s="51" t="s">
        <v>65</v>
      </c>
      <c r="B36" s="68" t="e">
        <f>B21</f>
        <v>#REF!</v>
      </c>
      <c r="C36" s="68" t="e">
        <f t="shared" ref="C36:M36" si="6">C21</f>
        <v>#REF!</v>
      </c>
      <c r="D36" s="68" t="e">
        <f t="shared" si="6"/>
        <v>#REF!</v>
      </c>
      <c r="E36" s="68" t="e">
        <f t="shared" si="6"/>
        <v>#REF!</v>
      </c>
      <c r="F36" s="68" t="e">
        <f t="shared" si="6"/>
        <v>#REF!</v>
      </c>
      <c r="G36" s="68" t="e">
        <f t="shared" si="6"/>
        <v>#REF!</v>
      </c>
      <c r="H36" s="68" t="e">
        <f t="shared" si="6"/>
        <v>#REF!</v>
      </c>
      <c r="I36" s="68" t="e">
        <f t="shared" si="6"/>
        <v>#REF!</v>
      </c>
      <c r="J36" s="68" t="e">
        <f t="shared" si="6"/>
        <v>#REF!</v>
      </c>
      <c r="K36" s="68" t="e">
        <f t="shared" si="6"/>
        <v>#REF!</v>
      </c>
      <c r="L36" s="68" t="e">
        <f t="shared" si="6"/>
        <v>#REF!</v>
      </c>
      <c r="M36" s="68" t="e">
        <f t="shared" si="6"/>
        <v>#REF!</v>
      </c>
      <c r="N36" s="70" t="e">
        <f>SUM(B36:M36)</f>
        <v>#REF!</v>
      </c>
    </row>
    <row r="37" spans="1:14" s="42" customFormat="1" ht="13" thickBot="1">
      <c r="A37" s="52" t="s">
        <v>66</v>
      </c>
      <c r="B37" s="69" t="e">
        <f>'Assumptions and Parameters'!#REF!/'Assumptions and Parameters'!#REF!</f>
        <v>#REF!</v>
      </c>
      <c r="C37" s="69" t="e">
        <f>'Assumptions and Parameters'!#REF!/'Assumptions and Parameters'!#REF!</f>
        <v>#REF!</v>
      </c>
      <c r="D37" s="69" t="e">
        <f>'Assumptions and Parameters'!#REF!/'Assumptions and Parameters'!#REF!</f>
        <v>#REF!</v>
      </c>
      <c r="E37" s="69" t="e">
        <f>'Assumptions and Parameters'!#REF!/'Assumptions and Parameters'!#REF!</f>
        <v>#REF!</v>
      </c>
      <c r="F37" s="69" t="e">
        <f>'Assumptions and Parameters'!#REF!/'Assumptions and Parameters'!#REF!</f>
        <v>#REF!</v>
      </c>
      <c r="G37" s="69" t="e">
        <f>'Assumptions and Parameters'!#REF!/'Assumptions and Parameters'!#REF!</f>
        <v>#REF!</v>
      </c>
      <c r="H37" s="69" t="e">
        <f>'Assumptions and Parameters'!#REF!/'Assumptions and Parameters'!#REF!</f>
        <v>#REF!</v>
      </c>
      <c r="I37" s="69" t="e">
        <f>'Assumptions and Parameters'!#REF!/'Assumptions and Parameters'!#REF!</f>
        <v>#REF!</v>
      </c>
      <c r="J37" s="69" t="e">
        <f>'Assumptions and Parameters'!#REF!/'Assumptions and Parameters'!#REF!</f>
        <v>#REF!</v>
      </c>
      <c r="K37" s="69" t="e">
        <f>'Assumptions and Parameters'!#REF!/'Assumptions and Parameters'!#REF!</f>
        <v>#REF!</v>
      </c>
      <c r="L37" s="69" t="e">
        <f>'Assumptions and Parameters'!#REF!/'Assumptions and Parameters'!#REF!</f>
        <v>#REF!</v>
      </c>
      <c r="M37" s="69" t="e">
        <f>'Assumptions and Parameters'!#REF!/'Assumptions and Parameters'!#REF!</f>
        <v>#REF!</v>
      </c>
      <c r="N37" s="70" t="e">
        <f>SUM(B37:M37)</f>
        <v>#REF!</v>
      </c>
    </row>
    <row r="38" spans="1:14" s="40" customFormat="1" thickTop="1" thickBot="1">
      <c r="A38" s="53" t="s">
        <v>28</v>
      </c>
      <c r="B38" s="71" t="e">
        <f>SUM(B35:B37)</f>
        <v>#REF!</v>
      </c>
      <c r="C38" s="71" t="e">
        <f t="shared" ref="C38:N38" si="7">SUM(C35:C37)</f>
        <v>#REF!</v>
      </c>
      <c r="D38" s="71" t="e">
        <f t="shared" si="7"/>
        <v>#REF!</v>
      </c>
      <c r="E38" s="71" t="e">
        <f t="shared" si="7"/>
        <v>#REF!</v>
      </c>
      <c r="F38" s="71" t="e">
        <f t="shared" si="7"/>
        <v>#REF!</v>
      </c>
      <c r="G38" s="71" t="e">
        <f t="shared" si="7"/>
        <v>#REF!</v>
      </c>
      <c r="H38" s="71" t="e">
        <f t="shared" si="7"/>
        <v>#REF!</v>
      </c>
      <c r="I38" s="71" t="e">
        <f t="shared" si="7"/>
        <v>#REF!</v>
      </c>
      <c r="J38" s="71" t="e">
        <f t="shared" si="7"/>
        <v>#REF!</v>
      </c>
      <c r="K38" s="71" t="e">
        <f t="shared" si="7"/>
        <v>#REF!</v>
      </c>
      <c r="L38" s="71" t="e">
        <f t="shared" si="7"/>
        <v>#REF!</v>
      </c>
      <c r="M38" s="71" t="e">
        <f t="shared" si="7"/>
        <v>#REF!</v>
      </c>
      <c r="N38" s="71" t="e">
        <f t="shared" si="7"/>
        <v>#REF!</v>
      </c>
    </row>
    <row r="39" spans="1:14" s="40" customFormat="1" thickTop="1" thickBot="1">
      <c r="A39" s="54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</row>
    <row r="40" spans="1:14" s="42" customFormat="1" thickTop="1" thickBot="1">
      <c r="A40" s="55" t="s">
        <v>39</v>
      </c>
      <c r="B40" s="73" t="e">
        <f>B38-B33</f>
        <v>#REF!</v>
      </c>
      <c r="C40" s="73" t="e">
        <f t="shared" ref="C40:N40" si="8">C38-C33</f>
        <v>#REF!</v>
      </c>
      <c r="D40" s="73" t="e">
        <f t="shared" si="8"/>
        <v>#REF!</v>
      </c>
      <c r="E40" s="73" t="e">
        <f t="shared" si="8"/>
        <v>#REF!</v>
      </c>
      <c r="F40" s="73" t="e">
        <f t="shared" si="8"/>
        <v>#REF!</v>
      </c>
      <c r="G40" s="73" t="e">
        <f t="shared" si="8"/>
        <v>#REF!</v>
      </c>
      <c r="H40" s="73" t="e">
        <f t="shared" si="8"/>
        <v>#REF!</v>
      </c>
      <c r="I40" s="73" t="e">
        <f t="shared" si="8"/>
        <v>#REF!</v>
      </c>
      <c r="J40" s="73" t="e">
        <f t="shared" si="8"/>
        <v>#REF!</v>
      </c>
      <c r="K40" s="73" t="e">
        <f t="shared" si="8"/>
        <v>#REF!</v>
      </c>
      <c r="L40" s="73" t="e">
        <f t="shared" si="8"/>
        <v>#REF!</v>
      </c>
      <c r="M40" s="73" t="e">
        <f t="shared" si="8"/>
        <v>#REF!</v>
      </c>
      <c r="N40" s="73" t="e">
        <f t="shared" si="8"/>
        <v>#REF!</v>
      </c>
    </row>
    <row r="41" spans="1:14" s="40" customFormat="1" ht="13" thickTop="1">
      <c r="A41" s="72" t="s">
        <v>57</v>
      </c>
      <c r="B41" s="74" t="e">
        <f>B40/B33</f>
        <v>#REF!</v>
      </c>
      <c r="C41" s="74" t="e">
        <f t="shared" ref="C41:N41" si="9">C40/C33</f>
        <v>#REF!</v>
      </c>
      <c r="D41" s="74" t="e">
        <f t="shared" si="9"/>
        <v>#REF!</v>
      </c>
      <c r="E41" s="74" t="e">
        <f t="shared" si="9"/>
        <v>#REF!</v>
      </c>
      <c r="F41" s="74" t="e">
        <f t="shared" si="9"/>
        <v>#REF!</v>
      </c>
      <c r="G41" s="74" t="e">
        <f t="shared" si="9"/>
        <v>#REF!</v>
      </c>
      <c r="H41" s="74" t="e">
        <f t="shared" si="9"/>
        <v>#REF!</v>
      </c>
      <c r="I41" s="74" t="e">
        <f t="shared" si="9"/>
        <v>#REF!</v>
      </c>
      <c r="J41" s="74" t="e">
        <f t="shared" si="9"/>
        <v>#REF!</v>
      </c>
      <c r="K41" s="74" t="e">
        <f t="shared" si="9"/>
        <v>#REF!</v>
      </c>
      <c r="L41" s="74" t="e">
        <f t="shared" si="9"/>
        <v>#REF!</v>
      </c>
      <c r="M41" s="74" t="e">
        <f t="shared" si="9"/>
        <v>#REF!</v>
      </c>
      <c r="N41" s="74" t="e">
        <f t="shared" si="9"/>
        <v>#REF!</v>
      </c>
    </row>
    <row r="42" spans="1:14" s="57" customFormat="1" ht="12">
      <c r="A42" s="56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6"/>
    </row>
    <row r="43" spans="1:14" s="42" customFormat="1" ht="13" thickBot="1">
      <c r="A43" s="58" t="s">
        <v>63</v>
      </c>
      <c r="B43" s="77">
        <v>0</v>
      </c>
      <c r="C43" s="78" t="e">
        <f>B44</f>
        <v>#REF!</v>
      </c>
      <c r="D43" s="78" t="e">
        <f t="shared" ref="D43:M43" si="10">C44</f>
        <v>#REF!</v>
      </c>
      <c r="E43" s="78" t="e">
        <f t="shared" si="10"/>
        <v>#REF!</v>
      </c>
      <c r="F43" s="78" t="e">
        <f t="shared" si="10"/>
        <v>#REF!</v>
      </c>
      <c r="G43" s="78" t="e">
        <f t="shared" si="10"/>
        <v>#REF!</v>
      </c>
      <c r="H43" s="78" t="e">
        <f t="shared" si="10"/>
        <v>#REF!</v>
      </c>
      <c r="I43" s="78" t="e">
        <f t="shared" si="10"/>
        <v>#REF!</v>
      </c>
      <c r="J43" s="78" t="e">
        <f t="shared" si="10"/>
        <v>#REF!</v>
      </c>
      <c r="K43" s="78" t="e">
        <f t="shared" si="10"/>
        <v>#REF!</v>
      </c>
      <c r="L43" s="78" t="e">
        <f t="shared" si="10"/>
        <v>#REF!</v>
      </c>
      <c r="M43" s="78" t="e">
        <f t="shared" si="10"/>
        <v>#REF!</v>
      </c>
      <c r="N43" s="77"/>
    </row>
    <row r="44" spans="1:14" s="42" customFormat="1" thickTop="1" thickBot="1">
      <c r="A44" s="28" t="s">
        <v>64</v>
      </c>
      <c r="B44" s="73" t="e">
        <f>+B43+B40</f>
        <v>#REF!</v>
      </c>
      <c r="C44" s="73" t="e">
        <f>+C43+C40</f>
        <v>#REF!</v>
      </c>
      <c r="D44" s="73" t="e">
        <f t="shared" ref="D44:M44" si="11">+D43+D40</f>
        <v>#REF!</v>
      </c>
      <c r="E44" s="73" t="e">
        <f t="shared" si="11"/>
        <v>#REF!</v>
      </c>
      <c r="F44" s="73" t="e">
        <f t="shared" si="11"/>
        <v>#REF!</v>
      </c>
      <c r="G44" s="73" t="e">
        <f t="shared" si="11"/>
        <v>#REF!</v>
      </c>
      <c r="H44" s="73" t="e">
        <f t="shared" si="11"/>
        <v>#REF!</v>
      </c>
      <c r="I44" s="73" t="e">
        <f t="shared" si="11"/>
        <v>#REF!</v>
      </c>
      <c r="J44" s="73" t="e">
        <f t="shared" si="11"/>
        <v>#REF!</v>
      </c>
      <c r="K44" s="73" t="e">
        <f t="shared" si="11"/>
        <v>#REF!</v>
      </c>
      <c r="L44" s="73" t="e">
        <f t="shared" si="11"/>
        <v>#REF!</v>
      </c>
      <c r="M44" s="73" t="e">
        <f t="shared" si="11"/>
        <v>#REF!</v>
      </c>
      <c r="N44" s="79"/>
    </row>
    <row r="45" spans="1:14" ht="15" thickTop="1"/>
  </sheetData>
  <pageMargins left="0.7" right="0.7" top="0.75" bottom="0.75" header="0.3" footer="0.3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6ABA6-D1C2-1749-8E8C-B358E1A1AC9C}">
  <dimension ref="A2:M16"/>
  <sheetViews>
    <sheetView workbookViewId="0">
      <selection activeCell="H5" sqref="H5"/>
    </sheetView>
  </sheetViews>
  <sheetFormatPr baseColWidth="10" defaultRowHeight="13"/>
  <sheetData>
    <row r="2" spans="1:13">
      <c r="B2" s="92" t="s">
        <v>80</v>
      </c>
      <c r="C2" s="92" t="s">
        <v>85</v>
      </c>
      <c r="D2" s="92" t="s">
        <v>79</v>
      </c>
      <c r="E2" s="92" t="s">
        <v>77</v>
      </c>
      <c r="F2" s="92" t="s">
        <v>78</v>
      </c>
      <c r="G2" s="92" t="s">
        <v>81</v>
      </c>
      <c r="H2" s="92" t="s">
        <v>82</v>
      </c>
      <c r="I2" s="92" t="s">
        <v>83</v>
      </c>
      <c r="J2" s="92" t="s">
        <v>94</v>
      </c>
      <c r="K2" s="92" t="s">
        <v>93</v>
      </c>
      <c r="L2" s="92" t="s">
        <v>88</v>
      </c>
      <c r="M2" s="92" t="s">
        <v>91</v>
      </c>
    </row>
    <row r="3" spans="1:13">
      <c r="A3" s="92" t="s">
        <v>76</v>
      </c>
      <c r="B3" s="92" t="s">
        <v>84</v>
      </c>
      <c r="C3" s="92" t="s">
        <v>86</v>
      </c>
      <c r="D3">
        <v>65000</v>
      </c>
      <c r="E3">
        <f>((0.062*D3)+(0.0143*D3)+(0.08*D3))</f>
        <v>10159.5</v>
      </c>
      <c r="F3">
        <f xml:space="preserve"> IF(C3="FTE", ((0.075*D3)+425), 0)</f>
        <v>5300</v>
      </c>
      <c r="G3">
        <f>D3+E3+F3</f>
        <v>80459.5</v>
      </c>
      <c r="H3">
        <v>11</v>
      </c>
      <c r="I3">
        <f>G3*H3</f>
        <v>885054.5</v>
      </c>
      <c r="K3">
        <f>I3</f>
        <v>885054.5</v>
      </c>
    </row>
    <row r="4" spans="1:13">
      <c r="A4" s="92" t="s">
        <v>88</v>
      </c>
      <c r="B4" s="92" t="s">
        <v>89</v>
      </c>
      <c r="C4" s="92" t="s">
        <v>86</v>
      </c>
      <c r="D4">
        <v>55000</v>
      </c>
      <c r="E4">
        <f t="shared" ref="E4:E14" si="0">((0.062*D4)+(0.0143*D4)+(0.08*D4))</f>
        <v>8596.5</v>
      </c>
      <c r="F4">
        <f xml:space="preserve"> IF(C4="FTE", ((0.075*D4)+425), 0)</f>
        <v>4550</v>
      </c>
      <c r="G4">
        <f t="shared" ref="G4:G14" si="1">D4+E4+F4</f>
        <v>68146.5</v>
      </c>
      <c r="H4">
        <v>3</v>
      </c>
      <c r="I4">
        <f t="shared" ref="I4:I14" si="2">G4*H4</f>
        <v>204439.5</v>
      </c>
      <c r="L4">
        <f>I4</f>
        <v>204439.5</v>
      </c>
    </row>
    <row r="5" spans="1:13">
      <c r="B5" s="92" t="s">
        <v>90</v>
      </c>
      <c r="C5" s="92" t="s">
        <v>87</v>
      </c>
      <c r="D5">
        <v>38000</v>
      </c>
      <c r="E5">
        <f t="shared" si="0"/>
        <v>5939.4</v>
      </c>
      <c r="F5">
        <f t="shared" ref="F5:F14" si="3" xml:space="preserve"> IF(C5="FTE", ((0.075*D5)+425), 0)</f>
        <v>0</v>
      </c>
      <c r="G5">
        <f t="shared" si="1"/>
        <v>43939.4</v>
      </c>
      <c r="H5">
        <v>3</v>
      </c>
      <c r="I5">
        <f t="shared" si="2"/>
        <v>131818.20000000001</v>
      </c>
      <c r="L5">
        <f>I5</f>
        <v>131818.20000000001</v>
      </c>
    </row>
    <row r="6" spans="1:13">
      <c r="A6" s="92" t="s">
        <v>91</v>
      </c>
      <c r="B6" s="92" t="s">
        <v>92</v>
      </c>
      <c r="C6" s="92" t="s">
        <v>86</v>
      </c>
      <c r="D6">
        <v>95000</v>
      </c>
      <c r="E6">
        <f t="shared" si="0"/>
        <v>14848.5</v>
      </c>
      <c r="F6">
        <f t="shared" si="3"/>
        <v>7550</v>
      </c>
      <c r="G6">
        <f t="shared" si="1"/>
        <v>117398.5</v>
      </c>
      <c r="H6">
        <v>1</v>
      </c>
      <c r="I6">
        <f t="shared" si="2"/>
        <v>117398.5</v>
      </c>
      <c r="J6" s="92"/>
      <c r="K6">
        <f>0.25*I6</f>
        <v>29349.625</v>
      </c>
      <c r="L6">
        <f>0.2*I6</f>
        <v>23479.7</v>
      </c>
      <c r="M6">
        <f>0.55*I6</f>
        <v>64569.175000000003</v>
      </c>
    </row>
    <row r="7" spans="1:13">
      <c r="B7" s="92" t="s">
        <v>95</v>
      </c>
      <c r="C7" s="92" t="s">
        <v>86</v>
      </c>
      <c r="D7">
        <v>75000</v>
      </c>
      <c r="E7">
        <f t="shared" si="0"/>
        <v>11722.5</v>
      </c>
      <c r="F7">
        <f t="shared" si="3"/>
        <v>6050</v>
      </c>
      <c r="G7">
        <f t="shared" si="1"/>
        <v>92772.5</v>
      </c>
      <c r="H7">
        <v>2</v>
      </c>
      <c r="I7">
        <f t="shared" si="2"/>
        <v>185545</v>
      </c>
      <c r="M7">
        <f>I7</f>
        <v>185545</v>
      </c>
    </row>
    <row r="8" spans="1:13">
      <c r="A8" s="92" t="s">
        <v>96</v>
      </c>
      <c r="B8" s="92" t="s">
        <v>97</v>
      </c>
      <c r="C8" s="92" t="s">
        <v>86</v>
      </c>
      <c r="D8">
        <v>105000</v>
      </c>
      <c r="E8">
        <f t="shared" si="0"/>
        <v>16411.5</v>
      </c>
      <c r="F8">
        <f t="shared" si="3"/>
        <v>8300</v>
      </c>
      <c r="G8">
        <f t="shared" si="1"/>
        <v>129711.5</v>
      </c>
      <c r="H8">
        <v>1</v>
      </c>
      <c r="I8">
        <f t="shared" si="2"/>
        <v>129711.5</v>
      </c>
    </row>
    <row r="9" spans="1:13">
      <c r="A9" s="92" t="s">
        <v>98</v>
      </c>
      <c r="B9" s="92" t="s">
        <v>99</v>
      </c>
      <c r="C9" s="92" t="s">
        <v>86</v>
      </c>
      <c r="D9">
        <v>132500</v>
      </c>
      <c r="E9">
        <f t="shared" si="0"/>
        <v>20709.75</v>
      </c>
      <c r="F9">
        <f t="shared" si="3"/>
        <v>10362.5</v>
      </c>
      <c r="G9">
        <f t="shared" si="1"/>
        <v>163572.25</v>
      </c>
      <c r="H9">
        <v>1</v>
      </c>
      <c r="I9">
        <f t="shared" si="2"/>
        <v>163572.25</v>
      </c>
    </row>
    <row r="10" spans="1:13">
      <c r="B10" s="92" t="s">
        <v>100</v>
      </c>
      <c r="C10" s="92" t="s">
        <v>86</v>
      </c>
      <c r="D10">
        <v>97500</v>
      </c>
      <c r="E10">
        <f t="shared" si="0"/>
        <v>15239.25</v>
      </c>
      <c r="F10">
        <f t="shared" si="3"/>
        <v>7737.5</v>
      </c>
      <c r="G10">
        <f t="shared" si="1"/>
        <v>120476.75</v>
      </c>
      <c r="H10">
        <v>1</v>
      </c>
      <c r="I10">
        <f t="shared" si="2"/>
        <v>120476.75</v>
      </c>
    </row>
    <row r="11" spans="1:13">
      <c r="B11" s="92" t="s">
        <v>101</v>
      </c>
      <c r="C11" s="92" t="s">
        <v>86</v>
      </c>
      <c r="D11">
        <v>67500</v>
      </c>
      <c r="E11">
        <f t="shared" si="0"/>
        <v>10550.25</v>
      </c>
      <c r="F11">
        <f t="shared" si="3"/>
        <v>5487.5</v>
      </c>
      <c r="G11">
        <f t="shared" si="1"/>
        <v>83537.75</v>
      </c>
      <c r="H11">
        <v>1</v>
      </c>
      <c r="I11">
        <f t="shared" si="2"/>
        <v>83537.75</v>
      </c>
    </row>
    <row r="12" spans="1:13">
      <c r="B12" s="92" t="s">
        <v>102</v>
      </c>
      <c r="C12" s="92" t="s">
        <v>86</v>
      </c>
      <c r="D12">
        <v>87500</v>
      </c>
      <c r="E12">
        <f t="shared" si="0"/>
        <v>13676.25</v>
      </c>
      <c r="F12">
        <f t="shared" si="3"/>
        <v>6987.5</v>
      </c>
      <c r="G12">
        <f t="shared" si="1"/>
        <v>108163.75</v>
      </c>
      <c r="H12">
        <v>1</v>
      </c>
      <c r="I12">
        <f t="shared" si="2"/>
        <v>108163.75</v>
      </c>
    </row>
    <row r="13" spans="1:13">
      <c r="B13" s="92" t="s">
        <v>103</v>
      </c>
      <c r="C13" s="92" t="s">
        <v>86</v>
      </c>
      <c r="D13">
        <v>105000</v>
      </c>
      <c r="E13">
        <f t="shared" si="0"/>
        <v>16411.5</v>
      </c>
      <c r="F13">
        <f t="shared" si="3"/>
        <v>8300</v>
      </c>
      <c r="G13">
        <f t="shared" si="1"/>
        <v>129711.5</v>
      </c>
      <c r="H13">
        <v>1</v>
      </c>
      <c r="I13">
        <f t="shared" si="2"/>
        <v>129711.5</v>
      </c>
    </row>
    <row r="14" spans="1:13">
      <c r="B14" s="92" t="s">
        <v>104</v>
      </c>
      <c r="C14" s="92" t="s">
        <v>86</v>
      </c>
      <c r="D14">
        <v>45000</v>
      </c>
      <c r="E14">
        <f t="shared" si="0"/>
        <v>7033.5</v>
      </c>
      <c r="F14">
        <f t="shared" si="3"/>
        <v>3800</v>
      </c>
      <c r="G14">
        <f t="shared" si="1"/>
        <v>55833.5</v>
      </c>
      <c r="H14">
        <v>1</v>
      </c>
      <c r="I14">
        <f t="shared" si="2"/>
        <v>55833.5</v>
      </c>
    </row>
    <row r="15" spans="1:13">
      <c r="B15" s="92" t="s">
        <v>105</v>
      </c>
      <c r="C15" s="92" t="s">
        <v>86</v>
      </c>
    </row>
    <row r="16" spans="1:13">
      <c r="D16">
        <f t="shared" ref="D16:I16" si="4">SUM(D3:D14)</f>
        <v>968000</v>
      </c>
      <c r="E16">
        <f t="shared" si="4"/>
        <v>151298.4</v>
      </c>
      <c r="F16">
        <f t="shared" si="4"/>
        <v>74425</v>
      </c>
      <c r="G16">
        <f t="shared" si="4"/>
        <v>1193723.3999999999</v>
      </c>
      <c r="H16">
        <f t="shared" si="4"/>
        <v>27</v>
      </c>
      <c r="I16">
        <f t="shared" si="4"/>
        <v>2315262.7000000002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K139"/>
  <sheetViews>
    <sheetView topLeftCell="A40" zoomScale="141" zoomScaleNormal="240" zoomScalePageLayoutView="219" workbookViewId="0">
      <selection activeCell="D47" sqref="D47"/>
    </sheetView>
  </sheetViews>
  <sheetFormatPr baseColWidth="10" defaultColWidth="8.83203125" defaultRowHeight="13"/>
  <cols>
    <col min="1" max="1" width="28" style="2" customWidth="1"/>
    <col min="2" max="2" width="9.33203125" style="219" customWidth="1"/>
    <col min="3" max="3" width="10.6640625" style="2" customWidth="1"/>
    <col min="4" max="4" width="12.33203125" style="2" customWidth="1"/>
    <col min="5" max="5" width="13" style="2" customWidth="1"/>
    <col min="6" max="6" width="10.1640625" style="2" customWidth="1"/>
    <col min="7" max="9" width="12.1640625" style="2" customWidth="1"/>
    <col min="10" max="16384" width="8.83203125" style="2"/>
  </cols>
  <sheetData>
    <row r="1" spans="1:15" ht="14" thickBot="1">
      <c r="A1" s="1"/>
      <c r="B1" s="200"/>
      <c r="C1" s="1"/>
      <c r="D1" s="1"/>
      <c r="E1" s="1"/>
      <c r="F1" s="1"/>
      <c r="G1" s="1"/>
      <c r="H1" s="1"/>
      <c r="I1" s="1"/>
    </row>
    <row r="2" spans="1:15" s="3" customFormat="1" ht="15" customHeight="1" thickTop="1" thickBot="1">
      <c r="A2" s="337" t="s">
        <v>181</v>
      </c>
      <c r="B2" s="338"/>
      <c r="C2" s="338"/>
      <c r="D2" s="338"/>
      <c r="E2" s="338"/>
      <c r="F2" s="338"/>
      <c r="G2" s="338"/>
      <c r="H2" s="338"/>
      <c r="I2" s="339"/>
    </row>
    <row r="3" spans="1:15" s="3" customFormat="1" ht="14.25" customHeight="1" thickTop="1" thickBot="1">
      <c r="A3" s="340" t="s">
        <v>62</v>
      </c>
      <c r="B3" s="341"/>
      <c r="C3" s="341"/>
      <c r="D3" s="341"/>
      <c r="E3" s="341"/>
      <c r="F3" s="341"/>
      <c r="G3" s="341"/>
      <c r="H3" s="341"/>
      <c r="I3" s="342"/>
      <c r="K3" s="3" t="s">
        <v>107</v>
      </c>
    </row>
    <row r="4" spans="1:15" s="3" customFormat="1" ht="43" customHeight="1">
      <c r="A4" s="191"/>
      <c r="B4" s="201" t="s">
        <v>208</v>
      </c>
      <c r="C4" s="192" t="s">
        <v>204</v>
      </c>
      <c r="D4" s="190" t="s">
        <v>72</v>
      </c>
      <c r="E4" s="88" t="s">
        <v>73</v>
      </c>
      <c r="F4" s="88" t="s">
        <v>74</v>
      </c>
      <c r="G4" s="88" t="s">
        <v>75</v>
      </c>
      <c r="H4" s="89" t="s">
        <v>202</v>
      </c>
      <c r="I4" s="89" t="s">
        <v>203</v>
      </c>
      <c r="K4" s="3" t="s">
        <v>207</v>
      </c>
    </row>
    <row r="5" spans="1:15" s="4" customFormat="1" ht="15">
      <c r="A5" s="90" t="s">
        <v>31</v>
      </c>
      <c r="B5" s="202"/>
      <c r="C5" s="90"/>
      <c r="D5" s="91"/>
      <c r="E5" s="90"/>
      <c r="F5" s="90"/>
      <c r="G5" s="90"/>
      <c r="H5" s="90"/>
      <c r="I5" s="90"/>
      <c r="K5" s="3" t="s">
        <v>108</v>
      </c>
      <c r="L5" s="101"/>
      <c r="M5" s="101"/>
      <c r="N5" s="101"/>
    </row>
    <row r="6" spans="1:15" s="4" customFormat="1">
      <c r="A6" s="348" t="s">
        <v>201</v>
      </c>
      <c r="B6" s="349"/>
      <c r="C6" s="349"/>
      <c r="D6" s="349"/>
      <c r="E6" s="349"/>
      <c r="F6" s="349"/>
      <c r="G6" s="349"/>
      <c r="H6" s="349"/>
      <c r="I6" s="350"/>
      <c r="K6" s="100"/>
      <c r="L6" s="101"/>
      <c r="M6" s="101"/>
      <c r="N6" s="100"/>
      <c r="O6" s="100"/>
    </row>
    <row r="7" spans="1:15" s="4" customFormat="1">
      <c r="A7" s="83" t="s">
        <v>44</v>
      </c>
      <c r="B7" s="204"/>
      <c r="C7" s="83"/>
      <c r="D7" s="179">
        <v>102</v>
      </c>
      <c r="E7" s="179">
        <v>60</v>
      </c>
      <c r="F7" s="179"/>
      <c r="G7" s="179"/>
      <c r="H7" s="93"/>
      <c r="I7" s="93"/>
      <c r="J7" s="62"/>
      <c r="K7" s="101"/>
      <c r="L7" s="101"/>
      <c r="M7" s="101"/>
      <c r="N7" s="100"/>
      <c r="O7" s="100"/>
    </row>
    <row r="8" spans="1:15" s="4" customFormat="1">
      <c r="A8" s="83" t="s">
        <v>68</v>
      </c>
      <c r="B8" s="204"/>
      <c r="C8" s="83"/>
      <c r="D8" s="179">
        <v>145</v>
      </c>
      <c r="E8" s="179">
        <v>60</v>
      </c>
      <c r="F8" s="179"/>
      <c r="G8" s="179"/>
      <c r="H8" s="93"/>
      <c r="I8" s="93"/>
      <c r="K8" s="101"/>
      <c r="L8" s="101"/>
      <c r="M8" s="101"/>
      <c r="N8" s="100"/>
      <c r="O8" s="100"/>
    </row>
    <row r="9" spans="1:15" s="4" customFormat="1">
      <c r="A9" s="83" t="s">
        <v>244</v>
      </c>
      <c r="B9" s="204"/>
      <c r="C9" s="83"/>
      <c r="D9" s="179"/>
      <c r="E9" s="179">
        <v>30</v>
      </c>
      <c r="F9" s="179"/>
      <c r="G9" s="179"/>
      <c r="H9" s="93"/>
      <c r="I9" s="93"/>
      <c r="K9" s="100"/>
      <c r="L9" s="101"/>
      <c r="M9" s="101"/>
      <c r="N9" s="100"/>
      <c r="O9" s="100"/>
    </row>
    <row r="10" spans="1:15" s="4" customFormat="1">
      <c r="A10" s="83" t="s">
        <v>235</v>
      </c>
      <c r="B10" s="204"/>
      <c r="C10" s="83"/>
      <c r="D10" s="179"/>
      <c r="E10" s="179">
        <v>30</v>
      </c>
      <c r="F10" s="179"/>
      <c r="G10" s="179"/>
      <c r="H10" s="93"/>
      <c r="I10" s="93"/>
      <c r="K10" s="100"/>
      <c r="L10" s="101"/>
      <c r="M10" s="101"/>
      <c r="N10" s="100"/>
      <c r="O10" s="100"/>
    </row>
    <row r="11" spans="1:15" s="4" customFormat="1">
      <c r="A11" s="83" t="s">
        <v>246</v>
      </c>
      <c r="B11" s="204"/>
      <c r="C11" s="83"/>
      <c r="D11" s="179"/>
      <c r="E11" s="179">
        <v>25</v>
      </c>
      <c r="F11" s="179"/>
      <c r="G11" s="179"/>
      <c r="H11" s="93"/>
      <c r="I11" s="93"/>
      <c r="K11" s="100"/>
      <c r="L11" s="101"/>
      <c r="M11" s="101"/>
      <c r="N11" s="100"/>
      <c r="O11" s="100"/>
    </row>
    <row r="12" spans="1:15" s="4" customFormat="1">
      <c r="A12" s="83" t="s">
        <v>245</v>
      </c>
      <c r="B12" s="204"/>
      <c r="C12" s="83"/>
      <c r="D12" s="179"/>
      <c r="E12" s="179">
        <v>5</v>
      </c>
      <c r="F12" s="179"/>
      <c r="G12" s="179"/>
      <c r="H12" s="93"/>
      <c r="I12" s="93"/>
      <c r="K12" s="100"/>
      <c r="L12" s="101"/>
      <c r="M12" s="101"/>
      <c r="N12" s="100"/>
      <c r="O12" s="100"/>
    </row>
    <row r="13" spans="1:15" s="4" customFormat="1">
      <c r="A13" s="81" t="s">
        <v>238</v>
      </c>
      <c r="B13" s="211"/>
      <c r="C13" s="81"/>
      <c r="D13" s="179">
        <v>3</v>
      </c>
      <c r="E13" s="179"/>
      <c r="F13" s="179"/>
      <c r="G13" s="230">
        <v>25</v>
      </c>
      <c r="H13" s="93"/>
      <c r="I13" s="93"/>
      <c r="J13" s="4" t="s">
        <v>106</v>
      </c>
      <c r="K13" s="100"/>
      <c r="L13" s="101"/>
      <c r="M13" s="101"/>
      <c r="N13" s="100"/>
      <c r="O13" s="100"/>
    </row>
    <row r="14" spans="1:15" s="4" customFormat="1">
      <c r="A14" s="81" t="s">
        <v>240</v>
      </c>
      <c r="B14" s="211"/>
      <c r="C14" s="81"/>
      <c r="D14" s="183">
        <v>0.95</v>
      </c>
      <c r="E14" s="179"/>
      <c r="F14" s="179"/>
      <c r="G14" s="179"/>
      <c r="H14" s="93"/>
      <c r="I14" s="93"/>
      <c r="K14" s="100"/>
      <c r="L14" s="101"/>
      <c r="M14" s="101"/>
      <c r="N14" s="100"/>
      <c r="O14" s="100"/>
    </row>
    <row r="15" spans="1:15" s="4" customFormat="1">
      <c r="A15" s="81" t="s">
        <v>243</v>
      </c>
      <c r="B15" s="211"/>
      <c r="C15" s="81"/>
      <c r="D15" s="179"/>
      <c r="E15" s="183">
        <v>0.65</v>
      </c>
      <c r="F15" s="179"/>
      <c r="G15" s="230"/>
      <c r="H15" s="93"/>
      <c r="I15" s="93"/>
      <c r="K15" s="100"/>
      <c r="L15" s="101"/>
      <c r="M15" s="101"/>
      <c r="N15" s="100"/>
      <c r="O15" s="100"/>
    </row>
    <row r="16" spans="1:15" s="4" customFormat="1">
      <c r="A16" s="81" t="s">
        <v>252</v>
      </c>
      <c r="B16" s="211"/>
      <c r="C16" s="81"/>
      <c r="D16" s="179"/>
      <c r="E16" s="183"/>
      <c r="F16" s="183">
        <v>0.75</v>
      </c>
      <c r="G16" s="230"/>
      <c r="H16" s="93"/>
      <c r="I16" s="93"/>
      <c r="K16" s="100"/>
      <c r="L16" s="101"/>
      <c r="M16" s="101"/>
      <c r="N16" s="100"/>
      <c r="O16" s="100"/>
    </row>
    <row r="17" spans="1:16" s="4" customFormat="1" ht="12.75" customHeight="1">
      <c r="A17" s="87" t="s">
        <v>32</v>
      </c>
      <c r="B17" s="206"/>
      <c r="C17" s="87"/>
      <c r="D17" s="189" t="s">
        <v>76</v>
      </c>
      <c r="E17" s="94" t="s">
        <v>199</v>
      </c>
      <c r="F17" s="94" t="s">
        <v>200</v>
      </c>
      <c r="G17" s="94" t="s">
        <v>96</v>
      </c>
      <c r="H17" s="94"/>
      <c r="I17" s="94"/>
      <c r="K17" s="101"/>
      <c r="L17" s="101"/>
      <c r="M17" s="101"/>
      <c r="N17" s="100"/>
      <c r="O17" s="100"/>
    </row>
    <row r="18" spans="1:16">
      <c r="A18" s="345" t="s">
        <v>230</v>
      </c>
      <c r="B18" s="346"/>
      <c r="C18" s="346"/>
      <c r="D18" s="346"/>
      <c r="E18" s="346"/>
      <c r="F18" s="346"/>
      <c r="G18" s="346"/>
      <c r="H18" s="346"/>
      <c r="I18" s="347"/>
      <c r="K18" s="100"/>
      <c r="L18" s="101"/>
      <c r="M18" s="101"/>
      <c r="N18" s="100"/>
      <c r="O18" s="100"/>
    </row>
    <row r="19" spans="1:16">
      <c r="A19" s="83" t="s">
        <v>228</v>
      </c>
      <c r="B19" s="204"/>
      <c r="C19" s="83"/>
      <c r="D19" s="179">
        <v>10</v>
      </c>
      <c r="E19" s="179"/>
      <c r="F19" s="179"/>
      <c r="G19" s="179"/>
      <c r="H19" s="93"/>
      <c r="I19" s="93"/>
      <c r="K19" s="100"/>
      <c r="L19" s="101"/>
      <c r="M19" s="101"/>
      <c r="N19" s="100"/>
      <c r="O19" s="100"/>
    </row>
    <row r="20" spans="1:16">
      <c r="A20" s="83" t="s">
        <v>229</v>
      </c>
      <c r="B20" s="204"/>
      <c r="C20" s="83"/>
      <c r="D20" s="179">
        <v>12</v>
      </c>
      <c r="E20" s="179"/>
      <c r="F20" s="179"/>
      <c r="G20" s="179"/>
      <c r="H20" s="93"/>
      <c r="I20" s="93"/>
      <c r="K20" s="101"/>
      <c r="L20" s="101"/>
      <c r="M20" s="101"/>
      <c r="N20" s="100"/>
      <c r="O20" s="100"/>
    </row>
    <row r="21" spans="1:16">
      <c r="A21" s="83" t="s">
        <v>251</v>
      </c>
      <c r="B21" s="204"/>
      <c r="C21" s="83"/>
      <c r="D21" s="179"/>
      <c r="E21" s="179">
        <v>10</v>
      </c>
      <c r="F21" s="179"/>
      <c r="G21" s="179"/>
      <c r="H21" s="93"/>
      <c r="I21" s="93"/>
      <c r="K21" s="101"/>
      <c r="L21" s="101"/>
      <c r="M21" s="101"/>
      <c r="N21" s="100"/>
      <c r="O21" s="100"/>
    </row>
    <row r="22" spans="1:16">
      <c r="A22" s="345" t="s">
        <v>231</v>
      </c>
      <c r="B22" s="346"/>
      <c r="C22" s="346"/>
      <c r="D22" s="346"/>
      <c r="E22" s="346"/>
      <c r="F22" s="346"/>
      <c r="G22" s="346"/>
      <c r="H22" s="346"/>
      <c r="I22" s="347"/>
      <c r="K22" s="101"/>
      <c r="L22" s="101"/>
      <c r="M22" s="101"/>
      <c r="N22" s="100"/>
      <c r="O22" s="100"/>
    </row>
    <row r="23" spans="1:16" s="4" customFormat="1">
      <c r="A23" s="84" t="s">
        <v>46</v>
      </c>
      <c r="B23" s="207"/>
      <c r="C23" s="167"/>
      <c r="D23" s="180">
        <v>12</v>
      </c>
      <c r="E23" s="225">
        <v>9</v>
      </c>
      <c r="F23" s="179">
        <v>12</v>
      </c>
      <c r="G23" s="179">
        <v>12</v>
      </c>
      <c r="H23" s="93"/>
      <c r="I23" s="93"/>
      <c r="K23" s="101"/>
      <c r="L23" s="101"/>
      <c r="M23" s="101"/>
      <c r="N23" s="100"/>
      <c r="O23" s="100"/>
    </row>
    <row r="24" spans="1:16" s="4" customFormat="1">
      <c r="A24" s="84" t="s">
        <v>234</v>
      </c>
      <c r="B24" s="207"/>
      <c r="C24" s="167"/>
      <c r="D24" s="180"/>
      <c r="E24" s="225"/>
      <c r="F24" s="179"/>
      <c r="G24" s="179">
        <v>50</v>
      </c>
      <c r="H24" s="93"/>
      <c r="I24" s="93"/>
      <c r="K24" s="101"/>
      <c r="L24" s="101"/>
      <c r="M24" s="101"/>
      <c r="N24" s="100"/>
      <c r="O24" s="100"/>
    </row>
    <row r="25" spans="1:16" s="4" customFormat="1">
      <c r="A25" s="83" t="s">
        <v>51</v>
      </c>
      <c r="B25" s="204"/>
      <c r="C25" s="199">
        <v>20</v>
      </c>
      <c r="D25" s="179"/>
      <c r="E25" s="179"/>
      <c r="F25" s="179"/>
      <c r="G25" s="179"/>
      <c r="H25" s="93"/>
      <c r="I25" s="93"/>
      <c r="K25" s="101"/>
      <c r="L25" s="101"/>
      <c r="M25" s="101"/>
      <c r="N25" s="100"/>
      <c r="O25" s="100"/>
      <c r="P25" s="226"/>
    </row>
    <row r="26" spans="1:16" s="4" customFormat="1">
      <c r="A26" s="85" t="s">
        <v>52</v>
      </c>
      <c r="B26" s="204"/>
      <c r="C26" s="199">
        <v>20</v>
      </c>
      <c r="D26" s="179"/>
      <c r="E26" s="179"/>
      <c r="F26" s="179"/>
      <c r="G26" s="179"/>
      <c r="H26" s="93"/>
      <c r="I26" s="93"/>
      <c r="K26" s="100"/>
      <c r="L26" s="101"/>
      <c r="M26" s="101"/>
      <c r="N26" s="100"/>
      <c r="O26" s="100"/>
    </row>
    <row r="27" spans="1:16" s="4" customFormat="1">
      <c r="A27" s="83" t="s">
        <v>227</v>
      </c>
      <c r="B27" s="204"/>
      <c r="C27" s="199">
        <v>8</v>
      </c>
      <c r="D27" s="179"/>
      <c r="E27" s="179"/>
      <c r="F27" s="179"/>
      <c r="G27" s="179"/>
      <c r="H27" s="93"/>
      <c r="I27" s="93"/>
      <c r="K27" s="100"/>
      <c r="L27" s="101"/>
      <c r="M27" s="101"/>
      <c r="N27" s="100"/>
      <c r="O27" s="100"/>
    </row>
    <row r="28" spans="1:16" s="4" customFormat="1">
      <c r="A28" s="83" t="s">
        <v>227</v>
      </c>
      <c r="B28" s="204"/>
      <c r="C28" s="199">
        <v>4</v>
      </c>
      <c r="D28" s="179"/>
      <c r="E28" s="179"/>
      <c r="F28" s="179"/>
      <c r="G28" s="179"/>
      <c r="H28" s="93"/>
      <c r="I28" s="93"/>
      <c r="K28" s="100"/>
      <c r="L28" s="101"/>
      <c r="M28" s="101"/>
      <c r="N28" s="100"/>
      <c r="O28" s="100"/>
    </row>
    <row r="29" spans="1:16" s="4" customFormat="1">
      <c r="A29" s="345" t="s">
        <v>232</v>
      </c>
      <c r="B29" s="346"/>
      <c r="C29" s="346"/>
      <c r="D29" s="346"/>
      <c r="E29" s="346"/>
      <c r="F29" s="346"/>
      <c r="G29" s="346"/>
      <c r="H29" s="346"/>
      <c r="I29" s="347"/>
      <c r="K29" s="100"/>
      <c r="L29" s="101"/>
      <c r="M29" s="101"/>
      <c r="N29" s="100"/>
      <c r="O29" s="100"/>
    </row>
    <row r="30" spans="1:16" s="4" customFormat="1">
      <c r="A30" s="83" t="s">
        <v>123</v>
      </c>
      <c r="B30" s="204" t="s">
        <v>209</v>
      </c>
      <c r="C30" s="83"/>
      <c r="D30" s="179">
        <v>11</v>
      </c>
      <c r="E30" s="179"/>
      <c r="F30" s="179"/>
      <c r="G30" s="179"/>
      <c r="H30" s="93"/>
      <c r="I30" s="93"/>
      <c r="K30" s="100"/>
      <c r="L30" s="101"/>
      <c r="M30" s="101"/>
      <c r="N30" s="100"/>
      <c r="O30" s="100"/>
    </row>
    <row r="31" spans="1:16" s="4" customFormat="1">
      <c r="A31" s="83" t="s">
        <v>124</v>
      </c>
      <c r="B31" s="204" t="s">
        <v>209</v>
      </c>
      <c r="C31" s="83"/>
      <c r="D31" s="179"/>
      <c r="E31" s="179">
        <v>3</v>
      </c>
      <c r="F31" s="179"/>
      <c r="G31" s="179"/>
      <c r="H31" s="93"/>
      <c r="I31" s="93"/>
      <c r="K31"/>
      <c r="L31" s="101"/>
      <c r="M31" s="101"/>
      <c r="N31" s="100"/>
    </row>
    <row r="32" spans="1:16" s="4" customFormat="1">
      <c r="A32" s="83" t="s">
        <v>160</v>
      </c>
      <c r="B32" s="204" t="s">
        <v>209</v>
      </c>
      <c r="C32" s="83"/>
      <c r="D32" s="179"/>
      <c r="E32" s="179">
        <v>3</v>
      </c>
      <c r="F32" s="179"/>
      <c r="G32" s="179"/>
      <c r="H32" s="93"/>
      <c r="I32" s="93"/>
      <c r="K32" s="100"/>
      <c r="L32" s="101"/>
      <c r="M32" s="101"/>
      <c r="N32" s="100"/>
    </row>
    <row r="33" spans="1:141" s="4" customFormat="1">
      <c r="A33" s="83" t="s">
        <v>122</v>
      </c>
      <c r="B33" s="204" t="s">
        <v>209</v>
      </c>
      <c r="C33" s="83"/>
      <c r="D33" s="179"/>
      <c r="E33" s="179"/>
      <c r="F33" s="179">
        <v>1</v>
      </c>
      <c r="G33" s="179"/>
      <c r="H33" s="93"/>
      <c r="I33" s="93"/>
      <c r="K33" s="100"/>
      <c r="L33" s="101"/>
      <c r="M33" s="101"/>
      <c r="N33" s="100"/>
    </row>
    <row r="34" spans="1:141" s="4" customFormat="1">
      <c r="A34" s="83" t="s">
        <v>121</v>
      </c>
      <c r="B34" s="204" t="s">
        <v>209</v>
      </c>
      <c r="C34" s="83"/>
      <c r="D34" s="179"/>
      <c r="E34" s="179"/>
      <c r="F34" s="179">
        <v>2</v>
      </c>
      <c r="G34" s="179"/>
      <c r="H34" s="93"/>
      <c r="I34" s="93"/>
      <c r="K34" s="101" t="s">
        <v>219</v>
      </c>
      <c r="L34" s="101"/>
      <c r="M34" s="101"/>
      <c r="N34" s="100"/>
    </row>
    <row r="35" spans="1:141" s="4" customFormat="1">
      <c r="A35" s="83" t="s">
        <v>125</v>
      </c>
      <c r="B35" s="204" t="s">
        <v>209</v>
      </c>
      <c r="C35" s="83"/>
      <c r="D35" s="179"/>
      <c r="E35" s="179"/>
      <c r="F35" s="179"/>
      <c r="G35" s="181">
        <v>1</v>
      </c>
      <c r="H35" s="93"/>
      <c r="I35" s="93"/>
      <c r="K35" s="101" t="s">
        <v>220</v>
      </c>
      <c r="L35" s="101"/>
      <c r="M35" s="101"/>
      <c r="N35" s="100"/>
    </row>
    <row r="36" spans="1:141" s="4" customFormat="1">
      <c r="A36" s="83" t="s">
        <v>126</v>
      </c>
      <c r="B36" s="204" t="s">
        <v>209</v>
      </c>
      <c r="C36" s="83"/>
      <c r="D36" s="179"/>
      <c r="E36" s="179"/>
      <c r="F36" s="179"/>
      <c r="G36" s="179"/>
      <c r="H36" s="93">
        <v>1</v>
      </c>
      <c r="I36" s="93"/>
      <c r="K36" s="100"/>
      <c r="L36" s="101"/>
      <c r="M36" s="101"/>
      <c r="N36" s="100"/>
    </row>
    <row r="37" spans="1:141" s="4" customFormat="1">
      <c r="A37" s="174" t="s">
        <v>127</v>
      </c>
      <c r="B37" s="204" t="s">
        <v>209</v>
      </c>
      <c r="C37" s="83"/>
      <c r="D37" s="179"/>
      <c r="E37" s="179"/>
      <c r="F37" s="179"/>
      <c r="G37" s="179"/>
      <c r="H37" s="93">
        <v>1</v>
      </c>
      <c r="I37" s="93"/>
      <c r="K37" s="101" t="s">
        <v>221</v>
      </c>
      <c r="L37" s="101"/>
      <c r="M37" s="101"/>
      <c r="N37" s="100"/>
    </row>
    <row r="38" spans="1:141" s="4" customFormat="1">
      <c r="A38" s="4" t="s">
        <v>128</v>
      </c>
      <c r="B38" s="204" t="s">
        <v>209</v>
      </c>
      <c r="C38" s="81"/>
      <c r="D38" s="179"/>
      <c r="E38" s="179"/>
      <c r="F38" s="179"/>
      <c r="G38" s="179"/>
      <c r="H38" s="93">
        <v>1</v>
      </c>
      <c r="I38" s="93"/>
      <c r="K38" s="101" t="s">
        <v>222</v>
      </c>
      <c r="L38" s="101"/>
      <c r="M38" s="101"/>
      <c r="N38" s="100"/>
    </row>
    <row r="39" spans="1:141" s="4" customFormat="1">
      <c r="A39" s="83" t="s">
        <v>129</v>
      </c>
      <c r="B39" s="204" t="s">
        <v>209</v>
      </c>
      <c r="C39" s="83"/>
      <c r="D39" s="179"/>
      <c r="E39" s="179"/>
      <c r="F39" s="179"/>
      <c r="G39" s="179"/>
      <c r="H39" s="93">
        <v>1</v>
      </c>
      <c r="I39" s="93"/>
      <c r="K39" s="101" t="s">
        <v>223</v>
      </c>
      <c r="L39" s="101"/>
      <c r="M39" s="101"/>
      <c r="N39" s="100"/>
    </row>
    <row r="40" spans="1:141" s="4" customFormat="1">
      <c r="A40" s="83" t="s">
        <v>130</v>
      </c>
      <c r="B40" s="204" t="s">
        <v>209</v>
      </c>
      <c r="C40" s="83"/>
      <c r="D40" s="179"/>
      <c r="E40" s="179"/>
      <c r="F40" s="179"/>
      <c r="G40" s="179"/>
      <c r="H40" s="93">
        <v>1</v>
      </c>
      <c r="I40" s="93"/>
      <c r="K40" s="101" t="s">
        <v>224</v>
      </c>
      <c r="L40" s="101"/>
      <c r="M40" s="101"/>
      <c r="N40" s="100"/>
    </row>
    <row r="41" spans="1:141" s="4" customFormat="1">
      <c r="A41" s="83" t="s">
        <v>131</v>
      </c>
      <c r="B41" s="204" t="s">
        <v>209</v>
      </c>
      <c r="C41" s="83"/>
      <c r="D41" s="179"/>
      <c r="E41" s="179"/>
      <c r="F41" s="179"/>
      <c r="G41" s="179"/>
      <c r="H41" s="93">
        <v>1</v>
      </c>
      <c r="I41" s="93"/>
      <c r="K41" s="101" t="s">
        <v>225</v>
      </c>
      <c r="L41" s="101"/>
      <c r="M41" s="101"/>
      <c r="N41" s="100"/>
    </row>
    <row r="42" spans="1:141" s="4" customFormat="1">
      <c r="A42" s="83" t="s">
        <v>132</v>
      </c>
      <c r="B42" s="204" t="s">
        <v>209</v>
      </c>
      <c r="C42" s="83"/>
      <c r="D42" s="179"/>
      <c r="E42" s="179"/>
      <c r="F42" s="179"/>
      <c r="G42" s="179"/>
      <c r="H42" s="93">
        <v>2</v>
      </c>
      <c r="I42" s="93"/>
      <c r="K42" s="101" t="s">
        <v>226</v>
      </c>
      <c r="L42" s="101"/>
      <c r="M42" s="101"/>
      <c r="N42" s="100"/>
    </row>
    <row r="43" spans="1:141" s="4" customFormat="1">
      <c r="A43" s="83" t="s">
        <v>248</v>
      </c>
      <c r="B43" s="204"/>
      <c r="C43" s="83"/>
      <c r="D43" s="179"/>
      <c r="E43" s="179"/>
      <c r="F43" s="179">
        <v>2</v>
      </c>
      <c r="G43" s="179"/>
      <c r="H43" s="93"/>
      <c r="I43" s="93"/>
      <c r="K43" s="101"/>
      <c r="L43" s="101"/>
      <c r="M43" s="101"/>
      <c r="N43" s="100"/>
    </row>
    <row r="44" spans="1:141" s="4" customFormat="1">
      <c r="A44" s="83" t="s">
        <v>233</v>
      </c>
      <c r="B44" s="204"/>
      <c r="C44" s="83"/>
      <c r="D44" s="179"/>
      <c r="E44" s="179"/>
      <c r="F44" s="179"/>
      <c r="G44" s="179">
        <v>1</v>
      </c>
      <c r="H44" s="93"/>
      <c r="I44" s="93"/>
      <c r="K44" s="101"/>
      <c r="L44" s="101"/>
      <c r="M44" s="101"/>
      <c r="N44" s="100"/>
    </row>
    <row r="45" spans="1:141" s="4" customFormat="1">
      <c r="A45" s="87" t="s">
        <v>33</v>
      </c>
      <c r="B45" s="206"/>
      <c r="C45" s="87"/>
      <c r="D45" s="189" t="s">
        <v>76</v>
      </c>
      <c r="E45" s="94" t="s">
        <v>199</v>
      </c>
      <c r="F45" s="94" t="s">
        <v>200</v>
      </c>
      <c r="G45" s="94" t="s">
        <v>96</v>
      </c>
      <c r="H45" s="94"/>
      <c r="I45" s="94"/>
      <c r="K45" s="100"/>
      <c r="N45" s="100"/>
    </row>
    <row r="46" spans="1:141" s="130" customFormat="1">
      <c r="A46" s="351" t="s">
        <v>165</v>
      </c>
      <c r="B46" s="352"/>
      <c r="C46" s="352"/>
      <c r="D46" s="352"/>
      <c r="E46" s="352"/>
      <c r="F46" s="352"/>
      <c r="G46" s="352"/>
      <c r="H46" s="352"/>
      <c r="I46" s="353"/>
      <c r="J46" s="4"/>
      <c r="K46" s="4"/>
      <c r="L46" s="4"/>
      <c r="M46" s="4"/>
      <c r="N46" s="100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</row>
    <row r="47" spans="1:141" s="130" customFormat="1">
      <c r="A47" s="83" t="s">
        <v>133</v>
      </c>
      <c r="B47" s="204"/>
      <c r="C47" s="83"/>
      <c r="D47" s="194">
        <v>65000</v>
      </c>
      <c r="E47" s="182"/>
      <c r="F47" s="182"/>
      <c r="G47" s="182"/>
      <c r="H47" s="129"/>
      <c r="I47" s="129"/>
      <c r="J47" s="4"/>
      <c r="K47" s="4"/>
      <c r="L47" s="4"/>
      <c r="M47" s="4"/>
      <c r="N47" s="100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</row>
    <row r="48" spans="1:141" s="130" customFormat="1">
      <c r="A48" s="83" t="s">
        <v>134</v>
      </c>
      <c r="B48" s="204"/>
      <c r="C48" s="83"/>
      <c r="D48" s="182"/>
      <c r="E48" s="195">
        <v>55000</v>
      </c>
      <c r="F48" s="182"/>
      <c r="G48" s="182"/>
      <c r="H48" s="129"/>
      <c r="I48" s="129"/>
      <c r="J48" s="4"/>
      <c r="K48" s="4"/>
      <c r="L48" s="4"/>
      <c r="M48" s="4"/>
      <c r="N48" s="100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</row>
    <row r="49" spans="1:141" s="130" customFormat="1">
      <c r="A49" s="83" t="s">
        <v>135</v>
      </c>
      <c r="B49" s="204"/>
      <c r="C49" s="83"/>
      <c r="D49" s="182"/>
      <c r="E49" s="195">
        <v>38000</v>
      </c>
      <c r="F49" s="182"/>
      <c r="G49" s="182"/>
      <c r="H49" s="129"/>
      <c r="I49" s="129"/>
      <c r="J49" s="4"/>
      <c r="K49" s="4"/>
      <c r="L49" s="4"/>
      <c r="M49" s="4"/>
      <c r="N49" s="100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</row>
    <row r="50" spans="1:141" s="130" customFormat="1">
      <c r="A50" s="83" t="s">
        <v>136</v>
      </c>
      <c r="B50" s="204"/>
      <c r="C50" s="83"/>
      <c r="D50" s="182"/>
      <c r="E50" s="182"/>
      <c r="F50" s="195">
        <v>95000</v>
      </c>
      <c r="G50" s="182"/>
      <c r="H50" s="129"/>
      <c r="I50" s="129"/>
      <c r="J50" s="4"/>
      <c r="K50" s="4"/>
      <c r="L50" s="4"/>
      <c r="M50" s="4"/>
      <c r="N50" s="10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</row>
    <row r="51" spans="1:141" s="130" customFormat="1">
      <c r="A51" s="83" t="s">
        <v>137</v>
      </c>
      <c r="B51" s="204"/>
      <c r="C51" s="83"/>
      <c r="D51" s="182"/>
      <c r="E51" s="182"/>
      <c r="F51" s="195">
        <v>75000</v>
      </c>
      <c r="G51" s="182"/>
      <c r="H51" s="129"/>
      <c r="I51" s="129"/>
      <c r="J51" s="4"/>
      <c r="K51" s="4"/>
      <c r="L51" s="4"/>
      <c r="M51" s="4"/>
      <c r="N51" s="100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</row>
    <row r="52" spans="1:141" s="130" customFormat="1">
      <c r="A52" s="83" t="s">
        <v>138</v>
      </c>
      <c r="B52" s="204"/>
      <c r="C52" s="83"/>
      <c r="D52" s="182"/>
      <c r="E52" s="182"/>
      <c r="F52" s="182"/>
      <c r="G52" s="195">
        <v>105000</v>
      </c>
      <c r="H52" s="129"/>
      <c r="I52" s="129"/>
      <c r="J52" s="4"/>
      <c r="K52" s="4"/>
      <c r="L52" s="4"/>
      <c r="M52" s="4"/>
      <c r="N52" s="100"/>
      <c r="O52" s="22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</row>
    <row r="53" spans="1:141" s="130" customFormat="1">
      <c r="A53" s="83" t="s">
        <v>139</v>
      </c>
      <c r="B53" s="204"/>
      <c r="C53" s="83"/>
      <c r="D53" s="182"/>
      <c r="E53" s="182"/>
      <c r="F53" s="182"/>
      <c r="G53" s="182"/>
      <c r="H53" s="196">
        <v>132500</v>
      </c>
      <c r="I53" s="129"/>
      <c r="J53" s="4"/>
      <c r="K53" s="4"/>
      <c r="L53" s="4"/>
      <c r="M53" s="4"/>
      <c r="N53" s="100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</row>
    <row r="54" spans="1:141" s="130" customFormat="1">
      <c r="A54" s="83" t="s">
        <v>140</v>
      </c>
      <c r="B54" s="204"/>
      <c r="D54" s="182"/>
      <c r="E54" s="182"/>
      <c r="F54" s="182"/>
      <c r="G54" s="182"/>
      <c r="H54" s="196">
        <v>97500</v>
      </c>
      <c r="I54" s="129"/>
      <c r="J54" s="4"/>
      <c r="K54" s="4"/>
      <c r="L54" s="4"/>
      <c r="M54" s="4"/>
      <c r="N54" s="100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</row>
    <row r="55" spans="1:141" s="130" customFormat="1">
      <c r="A55" s="4" t="s">
        <v>141</v>
      </c>
      <c r="B55" s="205"/>
      <c r="C55" s="83"/>
      <c r="D55" s="182"/>
      <c r="E55" s="182"/>
      <c r="F55" s="182"/>
      <c r="G55" s="182"/>
      <c r="H55" s="196">
        <v>67500</v>
      </c>
      <c r="I55" s="129"/>
      <c r="J55" s="4"/>
      <c r="K55" s="4"/>
      <c r="L55" s="4"/>
      <c r="M55" s="4"/>
      <c r="N55" s="100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</row>
    <row r="56" spans="1:141" s="130" customFormat="1">
      <c r="A56" s="83" t="s">
        <v>142</v>
      </c>
      <c r="B56" s="204"/>
      <c r="C56" s="83"/>
      <c r="D56" s="182"/>
      <c r="E56" s="182"/>
      <c r="F56" s="182"/>
      <c r="G56" s="182"/>
      <c r="H56" s="196">
        <v>87500</v>
      </c>
      <c r="I56" s="129"/>
      <c r="J56" s="4"/>
      <c r="K56" s="4"/>
      <c r="L56" s="4"/>
      <c r="M56" s="4"/>
      <c r="N56" s="100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</row>
    <row r="57" spans="1:141" s="130" customFormat="1">
      <c r="A57" s="83" t="s">
        <v>143</v>
      </c>
      <c r="B57" s="204"/>
      <c r="C57" s="83"/>
      <c r="D57" s="182"/>
      <c r="E57" s="182"/>
      <c r="F57" s="182"/>
      <c r="G57" s="182"/>
      <c r="H57" s="196">
        <v>105000</v>
      </c>
      <c r="I57" s="129"/>
      <c r="J57" s="4"/>
      <c r="K57" s="4"/>
      <c r="L57" s="4"/>
      <c r="M57" s="4"/>
      <c r="N57" s="100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</row>
    <row r="58" spans="1:141" s="130" customFormat="1">
      <c r="A58" s="83" t="s">
        <v>144</v>
      </c>
      <c r="B58" s="204"/>
      <c r="C58" s="83"/>
      <c r="D58" s="182"/>
      <c r="E58" s="182"/>
      <c r="F58" s="182"/>
      <c r="G58" s="182"/>
      <c r="H58" s="196">
        <v>45000</v>
      </c>
      <c r="I58" s="129"/>
      <c r="J58" s="4"/>
      <c r="K58" s="4"/>
      <c r="L58" s="4"/>
      <c r="M58" s="4"/>
      <c r="N58" s="100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</row>
    <row r="59" spans="1:141" s="130" customFormat="1">
      <c r="A59" s="83" t="s">
        <v>145</v>
      </c>
      <c r="B59" s="204"/>
      <c r="C59" s="83"/>
      <c r="D59" s="182"/>
      <c r="E59" s="182"/>
      <c r="F59" s="182"/>
      <c r="G59" s="182"/>
      <c r="H59" s="196">
        <v>45000</v>
      </c>
      <c r="I59" s="129"/>
      <c r="J59" s="4"/>
      <c r="K59" s="4"/>
      <c r="L59" s="4"/>
      <c r="M59" s="4"/>
      <c r="N59" s="100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</row>
    <row r="60" spans="1:141" s="130" customFormat="1">
      <c r="A60" s="83" t="s">
        <v>233</v>
      </c>
      <c r="B60" s="204"/>
      <c r="C60" s="83"/>
      <c r="D60" s="182"/>
      <c r="E60" s="182"/>
      <c r="F60" s="182"/>
      <c r="G60" s="229">
        <v>45000</v>
      </c>
      <c r="H60" s="196"/>
      <c r="I60" s="129"/>
      <c r="J60" s="4"/>
      <c r="K60" s="4"/>
      <c r="L60" s="4"/>
      <c r="M60" s="4"/>
      <c r="N60" s="100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</row>
    <row r="61" spans="1:141" s="4" customFormat="1" ht="11">
      <c r="A61" s="348" t="s">
        <v>34</v>
      </c>
      <c r="B61" s="349"/>
      <c r="C61" s="349"/>
      <c r="D61" s="349"/>
      <c r="E61" s="349"/>
      <c r="F61" s="349"/>
      <c r="G61" s="349"/>
      <c r="H61" s="349"/>
      <c r="I61" s="350"/>
    </row>
    <row r="62" spans="1:141" s="4" customFormat="1" ht="11">
      <c r="A62" s="83" t="s">
        <v>36</v>
      </c>
      <c r="B62" s="204" t="s">
        <v>209</v>
      </c>
      <c r="C62" s="160">
        <v>0.08</v>
      </c>
      <c r="D62" s="179"/>
      <c r="E62" s="179"/>
      <c r="F62" s="179"/>
      <c r="G62" s="179"/>
      <c r="H62" s="93"/>
      <c r="I62" s="93"/>
    </row>
    <row r="63" spans="1:141" s="4" customFormat="1" ht="11">
      <c r="A63" s="83" t="s">
        <v>35</v>
      </c>
      <c r="B63" s="204" t="s">
        <v>209</v>
      </c>
      <c r="C63" s="160">
        <v>6.2E-2</v>
      </c>
      <c r="D63" s="179"/>
      <c r="E63" s="179"/>
      <c r="F63" s="179"/>
      <c r="G63" s="179"/>
      <c r="H63" s="93"/>
      <c r="I63" s="93"/>
    </row>
    <row r="64" spans="1:141" s="4" customFormat="1" ht="11">
      <c r="A64" s="162" t="s">
        <v>161</v>
      </c>
      <c r="B64" s="204" t="s">
        <v>209</v>
      </c>
      <c r="C64" s="223">
        <v>425</v>
      </c>
      <c r="D64" s="179"/>
      <c r="E64" s="179"/>
      <c r="F64" s="179"/>
      <c r="G64" s="179"/>
      <c r="H64" s="93"/>
      <c r="I64" s="93"/>
    </row>
    <row r="65" spans="1:9" s="4" customFormat="1" ht="11">
      <c r="A65" s="162" t="s">
        <v>162</v>
      </c>
      <c r="B65" s="204" t="s">
        <v>209</v>
      </c>
      <c r="C65" s="224">
        <v>7.4999999999999997E-2</v>
      </c>
      <c r="D65" s="179"/>
      <c r="E65" s="179"/>
      <c r="F65" s="179"/>
      <c r="G65" s="179"/>
      <c r="H65" s="93"/>
      <c r="I65" s="93"/>
    </row>
    <row r="66" spans="1:9" s="4" customFormat="1" ht="12">
      <c r="A66" s="87" t="s">
        <v>37</v>
      </c>
      <c r="B66" s="206"/>
      <c r="C66" s="87"/>
      <c r="D66" s="189" t="s">
        <v>76</v>
      </c>
      <c r="E66" s="94" t="s">
        <v>199</v>
      </c>
      <c r="F66" s="94" t="s">
        <v>200</v>
      </c>
      <c r="G66" s="94" t="s">
        <v>96</v>
      </c>
      <c r="H66" s="94"/>
      <c r="I66" s="94"/>
    </row>
    <row r="67" spans="1:9" s="4" customFormat="1" ht="11">
      <c r="A67" s="177" t="s">
        <v>177</v>
      </c>
      <c r="B67" s="208"/>
      <c r="C67" s="83"/>
      <c r="D67" s="179"/>
      <c r="E67" s="179"/>
      <c r="F67" s="179"/>
      <c r="G67" s="179"/>
      <c r="H67" s="93"/>
      <c r="I67" s="93"/>
    </row>
    <row r="68" spans="1:9" s="4" customFormat="1" ht="11">
      <c r="A68" s="83" t="s">
        <v>175</v>
      </c>
      <c r="B68" s="204" t="s">
        <v>210</v>
      </c>
      <c r="C68" s="161"/>
      <c r="D68" s="179"/>
      <c r="E68" s="179"/>
      <c r="F68" s="179"/>
      <c r="G68" s="179"/>
      <c r="H68" s="93"/>
      <c r="I68" s="161">
        <v>15000</v>
      </c>
    </row>
    <row r="69" spans="1:9" s="4" customFormat="1" ht="11">
      <c r="A69" s="83" t="s">
        <v>176</v>
      </c>
      <c r="B69" s="204" t="s">
        <v>210</v>
      </c>
      <c r="C69" s="161"/>
      <c r="D69" s="179"/>
      <c r="E69" s="179"/>
      <c r="F69" s="179"/>
      <c r="G69" s="179"/>
      <c r="H69" s="93"/>
      <c r="I69" s="161">
        <v>3600</v>
      </c>
    </row>
    <row r="70" spans="1:9" s="4" customFormat="1" ht="11">
      <c r="A70" s="83" t="s">
        <v>178</v>
      </c>
      <c r="B70" s="204" t="s">
        <v>210</v>
      </c>
      <c r="C70" s="161"/>
      <c r="D70" s="179"/>
      <c r="E70" s="179"/>
      <c r="F70" s="179"/>
      <c r="G70" s="179"/>
      <c r="H70" s="93"/>
      <c r="I70" s="161">
        <v>37500</v>
      </c>
    </row>
    <row r="71" spans="1:9" s="4" customFormat="1" ht="11">
      <c r="A71" s="83" t="s">
        <v>179</v>
      </c>
      <c r="B71" s="204" t="s">
        <v>210</v>
      </c>
      <c r="C71" s="161"/>
      <c r="D71" s="179"/>
      <c r="E71" s="179"/>
      <c r="F71" s="179"/>
      <c r="G71" s="179"/>
      <c r="H71" s="93"/>
      <c r="I71" s="161">
        <v>15000</v>
      </c>
    </row>
    <row r="72" spans="1:9" s="4" customFormat="1" ht="11">
      <c r="A72" s="83" t="s">
        <v>180</v>
      </c>
      <c r="B72" s="204" t="s">
        <v>210</v>
      </c>
      <c r="C72" s="176"/>
      <c r="D72" s="179"/>
      <c r="E72" s="179"/>
      <c r="F72" s="179"/>
      <c r="G72" s="179"/>
      <c r="H72" s="93"/>
      <c r="I72" s="176">
        <v>25000</v>
      </c>
    </row>
    <row r="73" spans="1:9" s="4" customFormat="1" ht="11">
      <c r="A73" s="177" t="s">
        <v>192</v>
      </c>
      <c r="B73" s="208"/>
      <c r="C73" s="83"/>
      <c r="D73" s="179"/>
      <c r="E73" s="179"/>
      <c r="F73" s="179"/>
      <c r="G73" s="179"/>
      <c r="H73" s="93"/>
      <c r="I73" s="93"/>
    </row>
    <row r="74" spans="1:9" s="4" customFormat="1" ht="11">
      <c r="A74" s="83" t="s">
        <v>184</v>
      </c>
      <c r="B74" s="204" t="s">
        <v>211</v>
      </c>
      <c r="C74" s="161">
        <v>1250</v>
      </c>
      <c r="D74" s="179"/>
      <c r="E74" s="179"/>
      <c r="F74" s="179"/>
      <c r="G74" s="179"/>
      <c r="H74" s="93"/>
      <c r="I74" s="93"/>
    </row>
    <row r="75" spans="1:9" s="4" customFormat="1" ht="11">
      <c r="A75" s="83" t="s">
        <v>185</v>
      </c>
      <c r="B75" s="204" t="s">
        <v>211</v>
      </c>
      <c r="C75" s="161"/>
      <c r="D75" s="179"/>
      <c r="E75" s="184">
        <v>750</v>
      </c>
      <c r="F75" s="179"/>
      <c r="G75" s="179"/>
      <c r="H75" s="93"/>
      <c r="I75" s="93"/>
    </row>
    <row r="76" spans="1:9" s="4" customFormat="1" ht="11">
      <c r="A76" s="83" t="s">
        <v>186</v>
      </c>
      <c r="B76" s="204" t="s">
        <v>211</v>
      </c>
      <c r="D76" s="179"/>
      <c r="E76" s="179"/>
      <c r="F76" s="179"/>
      <c r="G76" s="193">
        <v>3000</v>
      </c>
      <c r="H76" s="93"/>
      <c r="I76" s="93"/>
    </row>
    <row r="77" spans="1:9" s="4" customFormat="1" ht="11">
      <c r="A77" s="177" t="s">
        <v>193</v>
      </c>
      <c r="B77" s="208"/>
      <c r="C77" s="161"/>
      <c r="D77" s="179"/>
      <c r="E77" s="179"/>
      <c r="F77" s="179"/>
      <c r="G77" s="179"/>
      <c r="H77" s="93"/>
      <c r="I77" s="93"/>
    </row>
    <row r="78" spans="1:9" s="4" customFormat="1" ht="11">
      <c r="A78" s="83" t="s">
        <v>187</v>
      </c>
      <c r="B78" s="204" t="s">
        <v>212</v>
      </c>
      <c r="C78" s="81"/>
      <c r="D78" s="179"/>
      <c r="E78" s="179"/>
      <c r="F78" s="179"/>
      <c r="G78" s="179"/>
      <c r="H78" s="161">
        <v>9600</v>
      </c>
      <c r="I78" s="93"/>
    </row>
    <row r="79" spans="1:9" s="4" customFormat="1" ht="11">
      <c r="A79" s="83" t="s">
        <v>188</v>
      </c>
      <c r="B79" s="204" t="s">
        <v>212</v>
      </c>
      <c r="C79" s="81"/>
      <c r="D79" s="179"/>
      <c r="E79" s="179"/>
      <c r="F79" s="179"/>
      <c r="G79" s="179"/>
      <c r="H79" s="161">
        <v>2500</v>
      </c>
      <c r="I79" s="93"/>
    </row>
    <row r="80" spans="1:9" s="4" customFormat="1" ht="11">
      <c r="A80" s="83" t="s">
        <v>189</v>
      </c>
      <c r="B80" s="204" t="s">
        <v>212</v>
      </c>
      <c r="C80" s="81"/>
      <c r="D80" s="179"/>
      <c r="E80" s="179"/>
      <c r="F80" s="179"/>
      <c r="G80" s="179"/>
      <c r="H80" s="161">
        <v>4250</v>
      </c>
      <c r="I80" s="93"/>
    </row>
    <row r="81" spans="1:9" s="4" customFormat="1" ht="11">
      <c r="A81" s="178" t="s">
        <v>194</v>
      </c>
      <c r="B81" s="210"/>
      <c r="C81" s="83"/>
      <c r="D81" s="179"/>
      <c r="E81" s="179"/>
      <c r="F81" s="179"/>
      <c r="G81" s="179"/>
      <c r="H81" s="93"/>
      <c r="I81" s="93"/>
    </row>
    <row r="82" spans="1:9" s="4" customFormat="1" ht="11">
      <c r="A82" s="83" t="s">
        <v>190</v>
      </c>
      <c r="B82" s="204" t="s">
        <v>149</v>
      </c>
      <c r="C82" s="161"/>
      <c r="D82" s="179"/>
      <c r="E82" s="179"/>
      <c r="F82" s="184">
        <v>3000</v>
      </c>
      <c r="G82" s="179"/>
      <c r="H82" s="93"/>
      <c r="I82" s="93"/>
    </row>
    <row r="83" spans="1:9" s="4" customFormat="1" ht="11">
      <c r="A83" s="83" t="s">
        <v>191</v>
      </c>
      <c r="B83" s="204" t="s">
        <v>213</v>
      </c>
      <c r="C83" s="161"/>
      <c r="D83" s="179"/>
      <c r="E83" s="179"/>
      <c r="F83" s="179"/>
      <c r="G83" s="184">
        <v>65000</v>
      </c>
      <c r="H83" s="93"/>
      <c r="I83" s="93"/>
    </row>
    <row r="84" spans="1:9" s="4" customFormat="1" ht="11">
      <c r="A84" s="83" t="s">
        <v>195</v>
      </c>
      <c r="B84" s="204" t="s">
        <v>149</v>
      </c>
      <c r="C84" s="161"/>
      <c r="D84" s="179"/>
      <c r="E84" s="184">
        <v>4000</v>
      </c>
      <c r="F84" s="179"/>
      <c r="G84" s="179"/>
      <c r="H84" s="93"/>
      <c r="I84" s="93"/>
    </row>
    <row r="85" spans="1:9" s="4" customFormat="1" ht="11">
      <c r="A85" s="83" t="s">
        <v>196</v>
      </c>
      <c r="B85" s="209" t="s">
        <v>212</v>
      </c>
      <c r="D85" s="179"/>
      <c r="E85" s="179"/>
      <c r="F85" s="179"/>
      <c r="G85" s="179"/>
      <c r="H85" s="93"/>
      <c r="I85" s="161">
        <v>13250</v>
      </c>
    </row>
    <row r="86" spans="1:9" s="4" customFormat="1" ht="11">
      <c r="A86" s="83" t="s">
        <v>255</v>
      </c>
      <c r="B86" s="204"/>
      <c r="C86" s="176"/>
      <c r="D86" s="179"/>
      <c r="E86" s="179"/>
      <c r="F86" s="179"/>
      <c r="G86" s="179"/>
      <c r="H86" s="93"/>
      <c r="I86" s="238">
        <v>42000</v>
      </c>
    </row>
    <row r="87" spans="1:9" s="4" customFormat="1" ht="12">
      <c r="A87" s="87" t="s">
        <v>163</v>
      </c>
      <c r="B87" s="206"/>
      <c r="C87" s="165"/>
      <c r="D87" s="189" t="s">
        <v>76</v>
      </c>
      <c r="E87" s="94" t="s">
        <v>199</v>
      </c>
      <c r="F87" s="94" t="s">
        <v>200</v>
      </c>
      <c r="G87" s="94" t="s">
        <v>96</v>
      </c>
      <c r="H87" s="166"/>
      <c r="I87" s="166"/>
    </row>
    <row r="88" spans="1:9" s="4" customFormat="1" ht="11">
      <c r="A88" s="82" t="s">
        <v>183</v>
      </c>
      <c r="B88" s="203"/>
      <c r="C88" s="163"/>
      <c r="D88" s="179"/>
      <c r="E88" s="179"/>
      <c r="F88" s="179"/>
      <c r="G88" s="179"/>
      <c r="H88" s="93"/>
      <c r="I88" s="93"/>
    </row>
    <row r="89" spans="1:9" s="4" customFormat="1" ht="11">
      <c r="A89" s="83" t="s">
        <v>206</v>
      </c>
      <c r="B89" s="204" t="s">
        <v>214</v>
      </c>
      <c r="C89" s="163"/>
      <c r="D89" s="183">
        <v>0.3</v>
      </c>
      <c r="E89" s="183">
        <v>0.3</v>
      </c>
      <c r="F89" s="183">
        <v>0.2</v>
      </c>
      <c r="G89" s="183">
        <v>0.1</v>
      </c>
      <c r="H89" s="164">
        <v>0.1</v>
      </c>
      <c r="I89" s="164"/>
    </row>
    <row r="90" spans="1:9" s="4" customFormat="1" ht="11">
      <c r="A90" s="83"/>
      <c r="B90" s="204"/>
      <c r="C90" s="163"/>
      <c r="D90" s="183"/>
      <c r="E90" s="183"/>
      <c r="F90" s="183"/>
      <c r="G90" s="183"/>
      <c r="H90" s="164"/>
      <c r="I90" s="164"/>
    </row>
    <row r="91" spans="1:9" s="4" customFormat="1" ht="11">
      <c r="A91" s="82" t="s">
        <v>182</v>
      </c>
      <c r="B91" s="203"/>
      <c r="C91" s="163"/>
      <c r="D91" s="183"/>
      <c r="E91" s="183"/>
      <c r="F91" s="183"/>
      <c r="G91" s="183"/>
      <c r="H91" s="164"/>
      <c r="I91" s="164"/>
    </row>
    <row r="92" spans="1:9" s="4" customFormat="1" ht="11">
      <c r="A92" s="83" t="s">
        <v>164</v>
      </c>
      <c r="B92" s="204" t="s">
        <v>214</v>
      </c>
      <c r="C92" s="83"/>
      <c r="D92" s="183">
        <v>0.25</v>
      </c>
      <c r="E92" s="183">
        <v>0.2</v>
      </c>
      <c r="F92" s="183">
        <v>0.55000000000000004</v>
      </c>
      <c r="G92" s="179">
        <v>0</v>
      </c>
      <c r="H92" s="93">
        <v>0</v>
      </c>
      <c r="I92" s="93"/>
    </row>
    <row r="93" spans="1:9" s="4" customFormat="1" ht="11">
      <c r="A93" s="83" t="s">
        <v>99</v>
      </c>
      <c r="B93" s="204" t="s">
        <v>215</v>
      </c>
      <c r="C93" s="83"/>
      <c r="D93" s="197">
        <v>0.25</v>
      </c>
      <c r="E93" s="197">
        <v>0.25</v>
      </c>
      <c r="F93" s="197">
        <v>0.25</v>
      </c>
      <c r="G93" s="197">
        <v>0.25</v>
      </c>
      <c r="H93" s="93"/>
      <c r="I93" s="93"/>
    </row>
    <row r="94" spans="1:9" s="4" customFormat="1" ht="11">
      <c r="A94" s="83" t="s">
        <v>173</v>
      </c>
      <c r="B94" s="204" t="s">
        <v>215</v>
      </c>
      <c r="C94" s="83"/>
      <c r="D94" s="197">
        <v>0.25</v>
      </c>
      <c r="E94" s="197">
        <v>0.25</v>
      </c>
      <c r="F94" s="197">
        <v>0.25</v>
      </c>
      <c r="G94" s="197">
        <v>0.25</v>
      </c>
      <c r="H94" s="93"/>
      <c r="I94" s="93"/>
    </row>
    <row r="95" spans="1:9" s="4" customFormat="1" ht="11">
      <c r="A95" s="83" t="s">
        <v>101</v>
      </c>
      <c r="B95" s="204" t="s">
        <v>215</v>
      </c>
      <c r="C95" s="83"/>
      <c r="D95" s="197">
        <v>0.25</v>
      </c>
      <c r="E95" s="197">
        <v>0.25</v>
      </c>
      <c r="F95" s="197">
        <v>0.25</v>
      </c>
      <c r="G95" s="197">
        <v>0.25</v>
      </c>
      <c r="H95" s="93"/>
      <c r="I95" s="93"/>
    </row>
    <row r="96" spans="1:9" s="4" customFormat="1" ht="11">
      <c r="A96" s="83" t="s">
        <v>102</v>
      </c>
      <c r="B96" s="204" t="s">
        <v>216</v>
      </c>
      <c r="C96" s="83"/>
      <c r="D96" s="183"/>
      <c r="E96" s="197">
        <v>0.5</v>
      </c>
      <c r="F96" s="197">
        <v>0.5</v>
      </c>
      <c r="G96" s="179"/>
      <c r="H96" s="93"/>
      <c r="I96" s="93"/>
    </row>
    <row r="97" spans="1:9" s="4" customFormat="1" ht="11">
      <c r="A97" s="83" t="s">
        <v>103</v>
      </c>
      <c r="B97" s="220" t="s">
        <v>217</v>
      </c>
      <c r="C97" s="83"/>
      <c r="D97" s="183"/>
      <c r="E97" s="183"/>
      <c r="F97" s="183"/>
      <c r="G97" s="179"/>
      <c r="H97" s="198">
        <v>1</v>
      </c>
      <c r="I97" s="93"/>
    </row>
    <row r="98" spans="1:9" s="4" customFormat="1" ht="11">
      <c r="A98" s="83" t="s">
        <v>104</v>
      </c>
      <c r="B98" s="220" t="s">
        <v>217</v>
      </c>
      <c r="C98" s="83"/>
      <c r="D98" s="183"/>
      <c r="E98" s="183"/>
      <c r="F98" s="183"/>
      <c r="G98" s="179"/>
      <c r="H98" s="198">
        <v>1</v>
      </c>
      <c r="I98" s="93"/>
    </row>
    <row r="99" spans="1:9" s="4" customFormat="1" ht="11">
      <c r="A99" s="81" t="s">
        <v>174</v>
      </c>
      <c r="B99" s="211" t="s">
        <v>215</v>
      </c>
      <c r="C99" s="83"/>
      <c r="D99" s="197">
        <v>0.25</v>
      </c>
      <c r="E99" s="197">
        <v>0.25</v>
      </c>
      <c r="F99" s="197">
        <v>0.25</v>
      </c>
      <c r="G99" s="197">
        <v>0.25</v>
      </c>
      <c r="H99" s="93"/>
      <c r="I99" s="93"/>
    </row>
    <row r="100" spans="1:9" s="4" customFormat="1" ht="11">
      <c r="A100" s="81"/>
      <c r="B100" s="211"/>
      <c r="C100" s="83"/>
      <c r="D100" s="183"/>
      <c r="E100" s="183"/>
      <c r="F100" s="183"/>
      <c r="G100" s="179"/>
      <c r="H100" s="93"/>
      <c r="I100" s="93"/>
    </row>
    <row r="101" spans="1:9" s="4" customFormat="1" ht="11">
      <c r="A101" s="87" t="s">
        <v>205</v>
      </c>
      <c r="B101" s="206"/>
      <c r="C101" s="168"/>
      <c r="D101" s="94"/>
      <c r="E101" s="95"/>
      <c r="F101" s="96"/>
      <c r="G101" s="96"/>
      <c r="H101" s="96"/>
      <c r="I101" s="96"/>
    </row>
    <row r="102" spans="1:9" s="4" customFormat="1" ht="12">
      <c r="A102" s="231" t="s">
        <v>237</v>
      </c>
      <c r="B102" s="232"/>
      <c r="C102" s="233"/>
      <c r="D102" s="236">
        <v>500</v>
      </c>
      <c r="E102" s="235"/>
      <c r="F102" s="235"/>
      <c r="G102" s="235"/>
      <c r="H102" s="235"/>
      <c r="I102" s="235"/>
    </row>
    <row r="103" spans="1:9" s="4" customFormat="1" ht="12">
      <c r="A103" s="231" t="s">
        <v>239</v>
      </c>
      <c r="B103" s="232"/>
      <c r="C103" s="233"/>
      <c r="D103" s="236">
        <v>250</v>
      </c>
      <c r="E103" s="235"/>
      <c r="F103" s="235"/>
      <c r="G103" s="235"/>
      <c r="H103" s="235"/>
      <c r="I103" s="235"/>
    </row>
    <row r="104" spans="1:9" s="4" customFormat="1" ht="24">
      <c r="A104" s="231" t="s">
        <v>241</v>
      </c>
      <c r="B104" s="232"/>
      <c r="C104" s="233"/>
      <c r="D104" s="234"/>
      <c r="E104" s="237">
        <v>2000</v>
      </c>
      <c r="F104" s="235"/>
      <c r="G104" s="235"/>
      <c r="H104" s="235"/>
      <c r="I104" s="235"/>
    </row>
    <row r="105" spans="1:9" s="4" customFormat="1" ht="24">
      <c r="A105" s="231" t="s">
        <v>242</v>
      </c>
      <c r="B105" s="232"/>
      <c r="C105" s="233"/>
      <c r="E105" s="237">
        <v>1500</v>
      </c>
      <c r="F105" s="235"/>
      <c r="G105" s="235"/>
      <c r="H105" s="235"/>
      <c r="I105" s="235"/>
    </row>
    <row r="106" spans="1:9" s="4" customFormat="1" ht="12">
      <c r="A106" s="231" t="s">
        <v>247</v>
      </c>
      <c r="B106" s="232"/>
      <c r="C106" s="233"/>
      <c r="D106" s="234"/>
      <c r="E106" s="235"/>
      <c r="F106" s="237">
        <v>165000</v>
      </c>
      <c r="G106" s="235"/>
      <c r="H106" s="235"/>
      <c r="I106" s="235"/>
    </row>
    <row r="107" spans="1:9" s="4" customFormat="1" ht="11">
      <c r="A107" s="81" t="s">
        <v>249</v>
      </c>
      <c r="B107" s="232"/>
      <c r="C107" s="233"/>
      <c r="D107" s="234"/>
      <c r="E107" s="235"/>
      <c r="F107" s="237">
        <v>330000</v>
      </c>
      <c r="G107" s="235"/>
      <c r="H107" s="235"/>
      <c r="I107" s="235"/>
    </row>
    <row r="108" spans="1:9" s="4" customFormat="1" ht="11">
      <c r="A108" s="81" t="s">
        <v>250</v>
      </c>
      <c r="B108" s="232"/>
      <c r="C108" s="233"/>
      <c r="D108" s="234"/>
      <c r="E108" s="235"/>
      <c r="F108" s="237"/>
      <c r="G108" s="237">
        <v>375</v>
      </c>
      <c r="H108" s="235"/>
      <c r="I108" s="235"/>
    </row>
    <row r="109" spans="1:9" s="4" customFormat="1" ht="11">
      <c r="A109" s="81" t="s">
        <v>253</v>
      </c>
      <c r="B109" s="232"/>
      <c r="C109" s="233"/>
      <c r="D109" s="234"/>
      <c r="E109" s="235"/>
      <c r="F109" s="237"/>
      <c r="G109" s="237">
        <v>100</v>
      </c>
      <c r="H109" s="235"/>
      <c r="I109" s="235"/>
    </row>
    <row r="110" spans="1:9" s="4" customFormat="1" ht="11">
      <c r="A110" s="81" t="s">
        <v>254</v>
      </c>
      <c r="B110" s="232"/>
      <c r="C110" s="233"/>
      <c r="D110" s="234"/>
      <c r="E110" s="235"/>
      <c r="F110" s="237"/>
      <c r="G110" s="237">
        <v>0</v>
      </c>
      <c r="H110" s="235"/>
      <c r="I110" s="235"/>
    </row>
    <row r="111" spans="1:9" s="4" customFormat="1" ht="36">
      <c r="A111" s="175" t="s">
        <v>166</v>
      </c>
      <c r="B111" s="212"/>
      <c r="C111" s="169">
        <v>450000</v>
      </c>
      <c r="D111" s="98"/>
      <c r="E111" s="99"/>
      <c r="F111" s="99"/>
      <c r="G111" s="99"/>
      <c r="H111" s="99"/>
      <c r="I111" s="99"/>
    </row>
    <row r="112" spans="1:9" s="4" customFormat="1" ht="24">
      <c r="A112" s="175" t="s">
        <v>168</v>
      </c>
      <c r="B112" s="212"/>
      <c r="C112" s="86"/>
      <c r="D112" s="98"/>
      <c r="E112" s="99"/>
      <c r="F112" s="99"/>
      <c r="G112" s="99">
        <v>130000</v>
      </c>
      <c r="H112" s="99"/>
      <c r="I112" s="99"/>
    </row>
    <row r="113" spans="1:11" s="4" customFormat="1" ht="11">
      <c r="A113" s="343" t="s">
        <v>169</v>
      </c>
      <c r="B113" s="344"/>
      <c r="C113" s="344"/>
      <c r="D113" s="344"/>
      <c r="E113" s="344"/>
      <c r="F113" s="344"/>
      <c r="G113" s="344"/>
      <c r="H113" s="344"/>
      <c r="I113" s="344"/>
    </row>
    <row r="114" spans="1:11" s="4" customFormat="1" ht="11">
      <c r="A114" s="86" t="s">
        <v>170</v>
      </c>
      <c r="B114" s="212"/>
      <c r="C114" s="173">
        <v>800000</v>
      </c>
      <c r="D114" s="170"/>
      <c r="E114" s="170"/>
      <c r="F114" s="170"/>
      <c r="G114" s="170"/>
      <c r="H114" s="170"/>
      <c r="I114" s="170"/>
    </row>
    <row r="115" spans="1:11" s="4" customFormat="1" ht="11">
      <c r="A115" s="86" t="s">
        <v>171</v>
      </c>
      <c r="B115" s="212"/>
      <c r="C115" s="173">
        <v>575000</v>
      </c>
      <c r="D115" s="170"/>
      <c r="E115" s="170"/>
      <c r="F115" s="170"/>
      <c r="G115" s="170"/>
      <c r="H115" s="170"/>
      <c r="I115" s="170"/>
    </row>
    <row r="116" spans="1:11" s="4" customFormat="1" ht="11">
      <c r="A116" s="86" t="s">
        <v>172</v>
      </c>
      <c r="B116" s="212"/>
      <c r="C116" s="173">
        <v>450000</v>
      </c>
      <c r="D116" s="98"/>
      <c r="E116" s="97"/>
      <c r="F116" s="97"/>
      <c r="G116" s="97"/>
      <c r="H116" s="97"/>
      <c r="I116" s="97"/>
    </row>
    <row r="117" spans="1:11" s="4" customFormat="1" ht="11">
      <c r="A117" s="188" t="s">
        <v>197</v>
      </c>
      <c r="B117" s="213"/>
      <c r="C117" s="185"/>
      <c r="D117" s="186"/>
      <c r="E117" s="187"/>
      <c r="F117" s="187"/>
      <c r="G117" s="187"/>
      <c r="H117" s="187"/>
      <c r="I117" s="187"/>
    </row>
    <row r="118" spans="1:11" s="4" customFormat="1" ht="11">
      <c r="A118" s="86" t="s">
        <v>198</v>
      </c>
      <c r="B118" s="212"/>
      <c r="C118" s="173">
        <v>154080</v>
      </c>
      <c r="D118" s="98"/>
      <c r="E118" s="97"/>
      <c r="F118" s="97"/>
      <c r="G118" s="97"/>
      <c r="H118" s="97"/>
      <c r="I118" s="97"/>
    </row>
    <row r="119" spans="1:11" s="4" customFormat="1" ht="11">
      <c r="A119" s="80"/>
      <c r="B119" s="214"/>
      <c r="C119" s="171"/>
      <c r="D119" s="172"/>
      <c r="E119" s="8"/>
      <c r="F119" s="8"/>
      <c r="G119" s="8"/>
      <c r="H119" s="8"/>
      <c r="I119" s="8"/>
    </row>
    <row r="120" spans="1:11" s="4" customFormat="1" ht="11">
      <c r="B120" s="205"/>
    </row>
    <row r="121" spans="1:11" ht="14">
      <c r="A121" s="5" t="s">
        <v>29</v>
      </c>
      <c r="B121" s="215"/>
      <c r="C121" s="5"/>
      <c r="D121" s="5"/>
      <c r="E121" s="5"/>
      <c r="F121" s="5"/>
      <c r="G121" s="5"/>
      <c r="H121" s="5"/>
      <c r="I121" s="5"/>
      <c r="J121" s="1"/>
      <c r="K121" s="4"/>
    </row>
    <row r="122" spans="1:11" s="4" customFormat="1">
      <c r="A122" s="6" t="s">
        <v>218</v>
      </c>
      <c r="B122" s="216"/>
      <c r="C122" s="6"/>
      <c r="D122" s="6"/>
      <c r="E122" s="7"/>
      <c r="F122" s="7"/>
      <c r="G122" s="7"/>
      <c r="H122" s="7"/>
      <c r="I122" s="7"/>
      <c r="J122" s="7"/>
      <c r="K122" s="2"/>
    </row>
    <row r="123" spans="1:11" s="4" customFormat="1" ht="11">
      <c r="A123" s="7" t="s">
        <v>30</v>
      </c>
      <c r="B123" s="217"/>
      <c r="C123" s="7"/>
      <c r="D123" s="7"/>
      <c r="E123" s="7"/>
      <c r="F123" s="7"/>
      <c r="G123" s="7"/>
      <c r="H123" s="7"/>
      <c r="I123" s="7"/>
      <c r="J123" s="7"/>
    </row>
    <row r="124" spans="1:11" s="4" customFormat="1" ht="11">
      <c r="A124" s="221" t="s">
        <v>54</v>
      </c>
      <c r="B124" s="217"/>
      <c r="C124" s="7"/>
      <c r="D124" s="7"/>
      <c r="E124" s="7"/>
      <c r="F124" s="7"/>
      <c r="G124" s="7"/>
      <c r="H124" s="7"/>
      <c r="I124" s="7"/>
      <c r="J124" s="7"/>
    </row>
    <row r="125" spans="1:11" s="4" customFormat="1" ht="11">
      <c r="A125" s="221" t="s">
        <v>53</v>
      </c>
      <c r="B125" s="217"/>
      <c r="C125" s="7"/>
      <c r="D125" s="7"/>
      <c r="E125" s="7"/>
      <c r="F125" s="7"/>
      <c r="G125" s="7"/>
      <c r="H125" s="7"/>
      <c r="I125" s="7"/>
      <c r="J125" s="7"/>
    </row>
    <row r="126" spans="1:11" s="4" customFormat="1" ht="11">
      <c r="A126" s="9" t="s">
        <v>58</v>
      </c>
      <c r="B126" s="218"/>
      <c r="C126" s="9"/>
      <c r="D126" s="9"/>
      <c r="E126" s="7"/>
      <c r="F126" s="7"/>
      <c r="G126" s="7"/>
      <c r="H126" s="7"/>
      <c r="I126" s="7"/>
      <c r="J126" s="7"/>
    </row>
    <row r="127" spans="1:11" s="4" customFormat="1" ht="11">
      <c r="A127" s="9" t="s">
        <v>69</v>
      </c>
      <c r="B127" s="218"/>
      <c r="C127" s="9"/>
      <c r="D127" s="9"/>
      <c r="E127" s="7"/>
      <c r="F127" s="7"/>
      <c r="G127" s="7"/>
      <c r="H127" s="7"/>
      <c r="I127" s="7"/>
      <c r="J127" s="7"/>
    </row>
    <row r="128" spans="1:11" s="4" customFormat="1" ht="11">
      <c r="A128" s="9" t="s">
        <v>60</v>
      </c>
      <c r="B128" s="218"/>
      <c r="C128" s="9"/>
      <c r="D128" s="9"/>
      <c r="E128" s="7"/>
      <c r="F128" s="7"/>
      <c r="G128" s="7"/>
      <c r="H128" s="7"/>
      <c r="I128" s="7"/>
      <c r="J128" s="7"/>
    </row>
    <row r="129" spans="1:11" s="4" customFormat="1" ht="11">
      <c r="A129" s="222" t="s">
        <v>59</v>
      </c>
      <c r="B129" s="218"/>
      <c r="C129" s="9"/>
      <c r="D129" s="9"/>
      <c r="E129" s="7"/>
      <c r="F129" s="7"/>
      <c r="G129" s="7"/>
      <c r="H129" s="7"/>
      <c r="I129" s="7"/>
      <c r="J129" s="7"/>
    </row>
    <row r="130" spans="1:11" s="4" customFormat="1">
      <c r="B130" s="219"/>
      <c r="C130" s="2"/>
      <c r="D130" s="2"/>
      <c r="E130" s="2"/>
      <c r="F130" s="2"/>
      <c r="G130" s="2"/>
      <c r="H130" s="2"/>
      <c r="I130" s="2"/>
    </row>
    <row r="131" spans="1:11" s="4" customFormat="1">
      <c r="A131" s="2"/>
      <c r="B131" s="219"/>
      <c r="C131" s="2"/>
      <c r="D131" s="2"/>
      <c r="E131" s="2"/>
      <c r="F131" s="2"/>
      <c r="G131" s="2"/>
      <c r="H131" s="2"/>
      <c r="I131" s="2"/>
    </row>
    <row r="132" spans="1:11" s="4" customFormat="1">
      <c r="A132" s="2" t="s">
        <v>167</v>
      </c>
      <c r="B132" s="219"/>
      <c r="C132" s="2"/>
      <c r="D132" s="2"/>
      <c r="E132" s="2"/>
      <c r="F132" s="2"/>
      <c r="G132" s="2"/>
      <c r="H132" s="2"/>
      <c r="I132" s="2"/>
    </row>
    <row r="133" spans="1:11" s="4" customFormat="1">
      <c r="A133" s="2">
        <f>1800000/4</f>
        <v>450000</v>
      </c>
      <c r="B133" s="219"/>
      <c r="C133" s="2"/>
      <c r="D133" s="2"/>
      <c r="E133" s="2"/>
      <c r="F133" s="2"/>
      <c r="G133" s="2"/>
      <c r="H133" s="2"/>
      <c r="I133" s="2"/>
    </row>
    <row r="134" spans="1:11" s="4" customFormat="1">
      <c r="A134" s="2"/>
      <c r="B134" s="219"/>
      <c r="C134" s="2"/>
      <c r="D134" s="2"/>
      <c r="E134" s="2"/>
      <c r="F134" s="2"/>
      <c r="G134" s="2"/>
      <c r="H134" s="2"/>
      <c r="I134" s="2"/>
    </row>
    <row r="135" spans="1:11" s="4" customFormat="1">
      <c r="A135" s="2"/>
      <c r="B135" s="219"/>
      <c r="C135" s="2"/>
      <c r="D135" s="2"/>
      <c r="E135" s="2"/>
      <c r="F135" s="2"/>
      <c r="G135" s="2"/>
      <c r="H135" s="2"/>
      <c r="I135" s="2"/>
    </row>
    <row r="136" spans="1:11" s="4" customFormat="1">
      <c r="A136" s="2"/>
      <c r="B136" s="219"/>
      <c r="C136" s="2"/>
      <c r="D136" s="2"/>
      <c r="E136" s="2"/>
      <c r="F136" s="2"/>
      <c r="G136" s="2"/>
      <c r="H136" s="2"/>
      <c r="I136" s="2"/>
    </row>
    <row r="137" spans="1:11" s="4" customFormat="1">
      <c r="A137" s="2"/>
      <c r="B137" s="219"/>
      <c r="C137" s="2"/>
      <c r="D137" s="2"/>
      <c r="E137" s="2"/>
      <c r="F137" s="2"/>
      <c r="G137" s="2"/>
      <c r="H137" s="2"/>
      <c r="I137" s="2"/>
    </row>
    <row r="138" spans="1:11" s="4" customFormat="1">
      <c r="A138" s="2"/>
      <c r="B138" s="219"/>
      <c r="C138" s="2"/>
      <c r="D138" s="2"/>
      <c r="E138" s="2"/>
      <c r="F138" s="2"/>
      <c r="G138" s="2"/>
      <c r="H138" s="2"/>
      <c r="I138" s="2"/>
    </row>
    <row r="139" spans="1:11" ht="12.75" customHeight="1">
      <c r="K139" s="4"/>
    </row>
  </sheetData>
  <mergeCells count="9">
    <mergeCell ref="A2:I2"/>
    <mergeCell ref="A3:I3"/>
    <mergeCell ref="A113:I113"/>
    <mergeCell ref="A29:I29"/>
    <mergeCell ref="A22:I22"/>
    <mergeCell ref="A18:I18"/>
    <mergeCell ref="A6:I6"/>
    <mergeCell ref="A46:I46"/>
    <mergeCell ref="A61:I61"/>
  </mergeCells>
  <phoneticPr fontId="3" type="noConversion"/>
  <pageMargins left="0.75" right="0.75" top="1" bottom="1" header="0.5" footer="0.5"/>
  <pageSetup scale="8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D593-B6B5-4446-A922-F6FD807C37BC}">
  <dimension ref="A1:Y153"/>
  <sheetViews>
    <sheetView topLeftCell="A117" zoomScale="125" workbookViewId="0">
      <selection activeCell="C149" sqref="C149"/>
    </sheetView>
  </sheetViews>
  <sheetFormatPr baseColWidth="10" defaultRowHeight="13"/>
  <cols>
    <col min="1" max="1" width="36.1640625" customWidth="1"/>
    <col min="7" max="7" width="36.6640625" customWidth="1"/>
    <col min="8" max="8" width="15" customWidth="1"/>
    <col min="11" max="11" width="12.6640625" bestFit="1" customWidth="1"/>
    <col min="18" max="18" width="18.33203125" bestFit="1" customWidth="1"/>
    <col min="20" max="21" width="12.6640625" bestFit="1" customWidth="1"/>
    <col min="23" max="23" width="12.83203125" bestFit="1" customWidth="1"/>
    <col min="25" max="25" width="12" bestFit="1" customWidth="1"/>
  </cols>
  <sheetData>
    <row r="1" spans="1:25">
      <c r="A1" s="246" t="s">
        <v>263</v>
      </c>
      <c r="B1" s="247"/>
      <c r="C1" s="247"/>
      <c r="D1" s="247"/>
      <c r="E1" s="247"/>
      <c r="F1" s="247"/>
      <c r="G1" s="248" t="s">
        <v>208</v>
      </c>
    </row>
    <row r="2" spans="1:25">
      <c r="A2" s="249" t="s">
        <v>268</v>
      </c>
      <c r="B2" s="250">
        <v>12</v>
      </c>
      <c r="C2" s="250"/>
      <c r="D2" s="250"/>
      <c r="E2" s="250"/>
      <c r="F2" s="250"/>
      <c r="G2" s="251"/>
    </row>
    <row r="3" spans="1:25">
      <c r="A3" s="249" t="s">
        <v>279</v>
      </c>
      <c r="B3" s="250">
        <v>102</v>
      </c>
      <c r="C3" s="250"/>
      <c r="D3" s="250"/>
      <c r="E3" s="250"/>
      <c r="F3" s="250"/>
      <c r="G3" s="251"/>
    </row>
    <row r="4" spans="1:25">
      <c r="A4" s="249" t="s">
        <v>269</v>
      </c>
      <c r="B4" s="250">
        <v>145</v>
      </c>
      <c r="C4" s="250"/>
      <c r="D4" s="250"/>
      <c r="E4" s="250"/>
      <c r="F4" s="250"/>
      <c r="G4" s="252" t="s">
        <v>275</v>
      </c>
    </row>
    <row r="5" spans="1:25">
      <c r="A5" s="253" t="s">
        <v>270</v>
      </c>
      <c r="B5" s="254" t="s">
        <v>332</v>
      </c>
      <c r="C5" s="254" t="s">
        <v>334</v>
      </c>
      <c r="D5" s="254"/>
      <c r="E5" s="254"/>
      <c r="F5" s="254"/>
      <c r="G5" s="255"/>
    </row>
    <row r="6" spans="1:25">
      <c r="A6" s="249" t="s">
        <v>271</v>
      </c>
      <c r="B6" s="250">
        <v>10</v>
      </c>
      <c r="C6" s="250"/>
      <c r="D6" s="250"/>
      <c r="E6" s="250"/>
      <c r="F6" s="250"/>
      <c r="G6" s="251"/>
    </row>
    <row r="7" spans="1:25">
      <c r="A7" s="249" t="s">
        <v>272</v>
      </c>
      <c r="B7" s="250">
        <v>8</v>
      </c>
      <c r="C7" s="250"/>
      <c r="D7" s="250"/>
      <c r="E7" s="250"/>
      <c r="F7" s="250"/>
      <c r="G7" s="251"/>
    </row>
    <row r="8" spans="1:25">
      <c r="A8" s="249" t="s">
        <v>273</v>
      </c>
      <c r="B8" s="250">
        <v>12</v>
      </c>
      <c r="C8" s="250"/>
      <c r="D8" s="263" t="s">
        <v>456</v>
      </c>
      <c r="E8" s="250"/>
      <c r="F8" s="250"/>
      <c r="G8" s="251"/>
      <c r="H8" s="92" t="s">
        <v>333</v>
      </c>
      <c r="N8" s="92" t="s">
        <v>373</v>
      </c>
      <c r="O8" s="92" t="s">
        <v>374</v>
      </c>
      <c r="P8" s="92" t="s">
        <v>375</v>
      </c>
      <c r="R8" s="92" t="s">
        <v>377</v>
      </c>
      <c r="W8" s="92" t="s">
        <v>380</v>
      </c>
      <c r="X8" s="92" t="s">
        <v>381</v>
      </c>
      <c r="Y8" s="92" t="s">
        <v>382</v>
      </c>
    </row>
    <row r="9" spans="1:25">
      <c r="A9" s="249" t="s">
        <v>274</v>
      </c>
      <c r="B9" s="250">
        <v>11</v>
      </c>
      <c r="C9" s="256">
        <v>65000</v>
      </c>
      <c r="D9" s="258">
        <v>13</v>
      </c>
      <c r="E9" s="256"/>
      <c r="F9" s="256"/>
      <c r="G9" s="251"/>
      <c r="H9" s="240">
        <f>$C$9*B9</f>
        <v>715000</v>
      </c>
      <c r="I9" s="240">
        <f>$C$127*H9</f>
        <v>57200</v>
      </c>
      <c r="J9" s="240">
        <f>$C$128*$H$9</f>
        <v>44330</v>
      </c>
      <c r="K9" s="240">
        <f>$C$131*B9</f>
        <v>4675</v>
      </c>
      <c r="L9" s="240">
        <f>$C$132*$H$9</f>
        <v>53625</v>
      </c>
      <c r="N9" s="288">
        <f>I20+SUM(K20:M20)</f>
        <v>962971.37931034481</v>
      </c>
      <c r="O9" s="240">
        <f>I15</f>
        <v>902700</v>
      </c>
      <c r="P9" s="240">
        <f>O9-N9</f>
        <v>-60271.379310344812</v>
      </c>
      <c r="R9" s="240">
        <f>$C$9*B23</f>
        <v>780000</v>
      </c>
      <c r="S9" s="240">
        <f>$C$127*R9</f>
        <v>62400</v>
      </c>
      <c r="T9" s="240">
        <f>$C$128*$R$9</f>
        <v>48360</v>
      </c>
      <c r="U9" s="240">
        <f>$C$131*B23</f>
        <v>5100</v>
      </c>
      <c r="V9" s="240">
        <f>$C$132*$R$9</f>
        <v>58500</v>
      </c>
      <c r="W9" s="243">
        <f>T12</f>
        <v>1043751.3793103448</v>
      </c>
      <c r="X9" s="240">
        <f>S16</f>
        <v>1283250</v>
      </c>
      <c r="Y9" s="289">
        <f>X9-W9</f>
        <v>239498.62068965519</v>
      </c>
    </row>
    <row r="10" spans="1:25">
      <c r="A10" s="253" t="s">
        <v>276</v>
      </c>
      <c r="B10" s="257"/>
      <c r="C10" s="257"/>
      <c r="D10" s="257"/>
      <c r="E10" s="257"/>
      <c r="F10" s="257"/>
      <c r="G10" s="255"/>
      <c r="H10" s="92" t="s">
        <v>372</v>
      </c>
      <c r="I10" s="240">
        <f>H9+(SUM(I9:L9))</f>
        <v>874830</v>
      </c>
      <c r="O10" s="92" t="s">
        <v>376</v>
      </c>
      <c r="R10" s="243">
        <f>R9+(SUM(S9:V9))</f>
        <v>954360</v>
      </c>
    </row>
    <row r="11" spans="1:25">
      <c r="A11" s="249" t="s">
        <v>238</v>
      </c>
      <c r="B11" s="258">
        <v>3</v>
      </c>
      <c r="C11" s="258"/>
      <c r="D11" s="258"/>
      <c r="E11" s="258"/>
      <c r="F11" s="258"/>
      <c r="G11" s="251"/>
      <c r="N11">
        <v>962971.37931034481</v>
      </c>
      <c r="O11" s="240">
        <f>I16</f>
        <v>918000</v>
      </c>
      <c r="P11" s="240">
        <f>O11-N11</f>
        <v>-44971.379310344812</v>
      </c>
      <c r="R11">
        <f>B20*B23</f>
        <v>15000</v>
      </c>
      <c r="W11" s="92" t="s">
        <v>383</v>
      </c>
    </row>
    <row r="12" spans="1:25">
      <c r="A12" s="253" t="s">
        <v>277</v>
      </c>
      <c r="B12" s="259"/>
      <c r="C12" s="259"/>
      <c r="D12" s="259"/>
      <c r="E12" s="259"/>
      <c r="F12" s="259"/>
      <c r="G12" s="255"/>
      <c r="R12" s="243">
        <f>R10+R11</f>
        <v>969360</v>
      </c>
      <c r="T12" s="243">
        <f>R12+SUM(K20:M20)</f>
        <v>1043751.3793103448</v>
      </c>
    </row>
    <row r="13" spans="1:25">
      <c r="A13" s="260" t="s">
        <v>278</v>
      </c>
      <c r="B13" s="256">
        <v>500</v>
      </c>
      <c r="C13" s="256"/>
      <c r="D13" s="256"/>
      <c r="E13" s="256"/>
      <c r="F13" s="256"/>
      <c r="G13" s="251"/>
    </row>
    <row r="14" spans="1:25">
      <c r="A14" s="260" t="s">
        <v>280</v>
      </c>
      <c r="B14" s="256">
        <v>250</v>
      </c>
      <c r="C14" s="256"/>
      <c r="D14" s="256"/>
      <c r="E14" s="256"/>
      <c r="F14" s="256"/>
      <c r="G14" s="251"/>
      <c r="H14" s="240">
        <f>B13*B3*B2</f>
        <v>612000</v>
      </c>
      <c r="R14" s="92" t="s">
        <v>277</v>
      </c>
    </row>
    <row r="15" spans="1:25">
      <c r="A15" s="260" t="s">
        <v>281</v>
      </c>
      <c r="B15" s="261">
        <v>0.95</v>
      </c>
      <c r="C15" s="261"/>
      <c r="D15" s="261"/>
      <c r="E15" s="261"/>
      <c r="F15" s="261"/>
      <c r="G15" s="251"/>
      <c r="H15" s="240">
        <f>$B$14*($B$3*B15)*$B$2</f>
        <v>290699.99999999994</v>
      </c>
      <c r="I15" s="240">
        <f>H14+H15</f>
        <v>902700</v>
      </c>
      <c r="R15" s="240">
        <f>B13*B22*B2</f>
        <v>870000</v>
      </c>
    </row>
    <row r="16" spans="1:25">
      <c r="A16" s="260" t="s">
        <v>282</v>
      </c>
      <c r="B16" s="256">
        <v>250</v>
      </c>
      <c r="C16" s="256"/>
      <c r="D16" s="256"/>
      <c r="E16" s="256"/>
      <c r="F16" s="256"/>
      <c r="G16" s="252" t="s">
        <v>284</v>
      </c>
      <c r="H16" s="240">
        <f>$B$14*($B$3)*$B$2</f>
        <v>306000</v>
      </c>
      <c r="I16" s="240">
        <f>H14+H16</f>
        <v>918000</v>
      </c>
      <c r="R16" s="240">
        <f>B22*(B14*B15)*B2</f>
        <v>413250</v>
      </c>
      <c r="S16" s="240">
        <f>R15+R16</f>
        <v>1283250</v>
      </c>
    </row>
    <row r="17" spans="1:19">
      <c r="A17" s="260" t="s">
        <v>283</v>
      </c>
      <c r="B17" s="261">
        <v>0.05</v>
      </c>
      <c r="C17" s="261"/>
      <c r="D17" s="261"/>
      <c r="E17" s="261"/>
      <c r="F17" s="261"/>
      <c r="G17" s="252" t="s">
        <v>284</v>
      </c>
      <c r="R17" s="240">
        <f>B22*B14*B2</f>
        <v>435000</v>
      </c>
      <c r="S17" s="240">
        <f>R15+R17</f>
        <v>1305000</v>
      </c>
    </row>
    <row r="18" spans="1:19">
      <c r="A18" s="260" t="s">
        <v>285</v>
      </c>
      <c r="B18" s="262" t="s">
        <v>286</v>
      </c>
      <c r="C18" s="262"/>
      <c r="D18" s="262"/>
      <c r="E18" s="262"/>
      <c r="F18" s="262"/>
      <c r="G18" s="252"/>
    </row>
    <row r="19" spans="1:19">
      <c r="A19" s="253" t="s">
        <v>159</v>
      </c>
      <c r="B19" s="259"/>
      <c r="C19" s="259"/>
      <c r="D19" s="259"/>
      <c r="E19" s="259"/>
      <c r="F19" s="259"/>
      <c r="G19" s="255"/>
      <c r="K19" s="92" t="s">
        <v>368</v>
      </c>
      <c r="L19" s="92" t="s">
        <v>371</v>
      </c>
      <c r="M19" s="92" t="s">
        <v>369</v>
      </c>
    </row>
    <row r="20" spans="1:19">
      <c r="A20" s="249" t="s">
        <v>346</v>
      </c>
      <c r="B20" s="250">
        <v>1250</v>
      </c>
      <c r="C20" s="263" t="s">
        <v>347</v>
      </c>
      <c r="D20" s="263"/>
      <c r="E20" s="263"/>
      <c r="F20" s="263"/>
      <c r="G20" s="251"/>
      <c r="H20">
        <f>B20*B9</f>
        <v>13750</v>
      </c>
      <c r="I20" s="240">
        <f>I10+H20</f>
        <v>888580</v>
      </c>
      <c r="K20" s="244">
        <f>B102*B137</f>
        <v>7500</v>
      </c>
      <c r="L20" s="240">
        <f>B141*C62</f>
        <v>23750</v>
      </c>
      <c r="M20" s="243">
        <f>((B103+B104+B105+B106+B102)*B137)+((B108+B107)*B140)</f>
        <v>43141.379310344826</v>
      </c>
    </row>
    <row r="21" spans="1:19">
      <c r="A21" s="253" t="s">
        <v>298</v>
      </c>
      <c r="B21" s="259"/>
      <c r="C21" s="259"/>
      <c r="D21" s="259"/>
      <c r="E21" s="259"/>
      <c r="F21" s="259"/>
      <c r="G21" s="255"/>
      <c r="I21" s="240"/>
      <c r="K21" s="244"/>
      <c r="L21" s="240"/>
      <c r="M21" s="243"/>
    </row>
    <row r="22" spans="1:19">
      <c r="A22" s="249" t="s">
        <v>378</v>
      </c>
      <c r="B22" s="250">
        <v>145</v>
      </c>
      <c r="C22" s="263"/>
      <c r="D22" s="263"/>
      <c r="E22" s="263"/>
      <c r="F22" s="263"/>
      <c r="G22" s="251"/>
      <c r="I22" s="240"/>
      <c r="K22" s="244"/>
      <c r="L22" s="240"/>
      <c r="M22" s="243"/>
    </row>
    <row r="23" spans="1:19">
      <c r="A23" s="249" t="s">
        <v>379</v>
      </c>
      <c r="B23" s="250">
        <v>12</v>
      </c>
      <c r="C23" s="263"/>
      <c r="D23" s="263"/>
      <c r="E23" s="263"/>
      <c r="F23" s="263"/>
      <c r="G23" s="251"/>
      <c r="I23" s="240"/>
      <c r="K23" s="244"/>
      <c r="L23" s="240"/>
      <c r="M23" s="243"/>
    </row>
    <row r="24" spans="1:19">
      <c r="A24" s="249"/>
      <c r="B24" s="250"/>
      <c r="C24" s="263"/>
      <c r="D24" s="263"/>
      <c r="E24" s="263"/>
      <c r="F24" s="263"/>
      <c r="G24" s="251"/>
      <c r="I24" s="240"/>
      <c r="K24" s="244"/>
      <c r="L24" s="240"/>
      <c r="M24" s="243"/>
    </row>
    <row r="25" spans="1:19">
      <c r="A25" s="264" t="s">
        <v>264</v>
      </c>
      <c r="B25" s="265"/>
      <c r="C25" s="265"/>
      <c r="D25" s="265"/>
      <c r="E25" s="265"/>
      <c r="F25" s="265"/>
      <c r="G25" s="266" t="s">
        <v>208</v>
      </c>
    </row>
    <row r="26" spans="1:19">
      <c r="A26" s="249" t="s">
        <v>268</v>
      </c>
      <c r="B26" s="250">
        <v>9</v>
      </c>
      <c r="C26" s="250"/>
      <c r="D26" s="250"/>
      <c r="E26" s="250"/>
      <c r="F26" s="250"/>
      <c r="G26" s="251"/>
    </row>
    <row r="27" spans="1:19">
      <c r="A27" s="249" t="s">
        <v>279</v>
      </c>
      <c r="B27" s="250">
        <v>60</v>
      </c>
      <c r="C27" s="250"/>
      <c r="D27" s="250"/>
      <c r="E27" s="250"/>
      <c r="F27" s="250"/>
      <c r="G27" s="251"/>
    </row>
    <row r="28" spans="1:19">
      <c r="A28" s="249" t="s">
        <v>288</v>
      </c>
      <c r="B28" s="250">
        <v>3</v>
      </c>
      <c r="C28" s="250"/>
      <c r="D28" s="250"/>
      <c r="E28" s="250"/>
      <c r="F28" s="250"/>
      <c r="G28" s="251"/>
    </row>
    <row r="29" spans="1:19">
      <c r="A29" s="249" t="s">
        <v>289</v>
      </c>
      <c r="B29" s="250">
        <v>3</v>
      </c>
      <c r="C29" s="250"/>
      <c r="D29" s="250"/>
      <c r="E29" s="250"/>
      <c r="F29" s="250"/>
      <c r="G29" s="251"/>
    </row>
    <row r="30" spans="1:19">
      <c r="A30" s="253" t="s">
        <v>270</v>
      </c>
      <c r="B30" s="267"/>
      <c r="C30" s="254" t="s">
        <v>335</v>
      </c>
      <c r="D30" s="254"/>
      <c r="E30" s="254"/>
      <c r="F30" s="254"/>
      <c r="G30" s="255"/>
    </row>
    <row r="31" spans="1:19">
      <c r="A31" s="249" t="s">
        <v>287</v>
      </c>
      <c r="B31" s="250">
        <v>10</v>
      </c>
      <c r="C31" s="250"/>
      <c r="D31" s="250"/>
      <c r="E31" s="250"/>
      <c r="F31" s="250"/>
      <c r="G31" s="251"/>
    </row>
    <row r="32" spans="1:19">
      <c r="A32" s="249" t="s">
        <v>102</v>
      </c>
      <c r="B32" s="250">
        <v>1</v>
      </c>
      <c r="C32" s="256">
        <v>87500</v>
      </c>
      <c r="D32" s="256"/>
      <c r="E32" s="256"/>
      <c r="F32" s="256"/>
      <c r="G32" s="252" t="s">
        <v>411</v>
      </c>
    </row>
    <row r="33" spans="1:7">
      <c r="A33" s="249" t="s">
        <v>290</v>
      </c>
      <c r="B33" s="250">
        <v>3</v>
      </c>
      <c r="C33" s="256">
        <v>38000</v>
      </c>
      <c r="D33" s="256"/>
      <c r="E33" s="256"/>
      <c r="F33" s="256"/>
      <c r="G33" s="252" t="s">
        <v>291</v>
      </c>
    </row>
    <row r="34" spans="1:7">
      <c r="A34" s="249" t="s">
        <v>292</v>
      </c>
      <c r="B34" s="250">
        <v>3</v>
      </c>
      <c r="C34" s="256">
        <v>55000</v>
      </c>
      <c r="D34" s="256"/>
      <c r="E34" s="256"/>
      <c r="F34" s="256"/>
      <c r="G34" s="251"/>
    </row>
    <row r="35" spans="1:7">
      <c r="A35" s="253" t="s">
        <v>277</v>
      </c>
      <c r="B35" s="267"/>
      <c r="C35" s="267"/>
      <c r="D35" s="267"/>
      <c r="E35" s="267"/>
      <c r="F35" s="267"/>
      <c r="G35" s="255"/>
    </row>
    <row r="36" spans="1:7">
      <c r="A36" s="268" t="s">
        <v>459</v>
      </c>
      <c r="B36" s="256">
        <v>1500</v>
      </c>
      <c r="C36" s="256"/>
      <c r="D36" s="256"/>
      <c r="E36" s="256"/>
      <c r="F36" s="256"/>
      <c r="G36" s="251"/>
    </row>
    <row r="37" spans="1:7">
      <c r="A37" s="268" t="s">
        <v>458</v>
      </c>
      <c r="B37" s="256">
        <v>1650</v>
      </c>
      <c r="C37" s="358" t="s">
        <v>462</v>
      </c>
      <c r="D37" s="256"/>
      <c r="E37" s="256"/>
      <c r="F37" s="256"/>
      <c r="G37" s="251"/>
    </row>
    <row r="38" spans="1:7">
      <c r="A38" s="249" t="s">
        <v>293</v>
      </c>
      <c r="B38" s="250">
        <v>5</v>
      </c>
      <c r="C38" s="250"/>
      <c r="D38" s="250"/>
      <c r="E38" s="250"/>
      <c r="F38" s="250"/>
      <c r="G38" s="252" t="s">
        <v>294</v>
      </c>
    </row>
    <row r="39" spans="1:7">
      <c r="A39" s="249" t="s">
        <v>395</v>
      </c>
      <c r="B39" s="315">
        <v>25</v>
      </c>
      <c r="C39" s="250"/>
      <c r="D39" s="250"/>
      <c r="E39" s="250"/>
      <c r="F39" s="250"/>
      <c r="G39" s="252"/>
    </row>
    <row r="40" spans="1:7">
      <c r="A40" s="249" t="s">
        <v>295</v>
      </c>
      <c r="B40" s="261">
        <v>0.65</v>
      </c>
      <c r="C40" s="261"/>
      <c r="D40" s="261"/>
      <c r="E40" s="261"/>
      <c r="F40" s="261"/>
      <c r="G40" s="252" t="s">
        <v>296</v>
      </c>
    </row>
    <row r="41" spans="1:7">
      <c r="A41" s="249" t="s">
        <v>405</v>
      </c>
      <c r="B41" s="261">
        <v>0.35</v>
      </c>
      <c r="C41" s="262" t="s">
        <v>464</v>
      </c>
      <c r="D41" s="261"/>
      <c r="E41" s="261"/>
      <c r="F41" s="261"/>
      <c r="G41" s="252"/>
    </row>
    <row r="42" spans="1:7">
      <c r="A42" s="249" t="s">
        <v>461</v>
      </c>
      <c r="B42" s="256">
        <v>2000</v>
      </c>
      <c r="C42" s="256"/>
      <c r="D42" s="256"/>
      <c r="E42" s="256"/>
      <c r="F42" s="256"/>
      <c r="G42" s="251"/>
    </row>
    <row r="43" spans="1:7">
      <c r="A43" s="249" t="s">
        <v>460</v>
      </c>
      <c r="B43" s="256">
        <v>2200</v>
      </c>
      <c r="C43" s="358" t="s">
        <v>462</v>
      </c>
      <c r="D43" s="358" t="s">
        <v>463</v>
      </c>
      <c r="E43" s="256"/>
      <c r="F43" s="256"/>
      <c r="G43" s="251"/>
    </row>
    <row r="44" spans="1:7">
      <c r="A44" s="249" t="s">
        <v>297</v>
      </c>
      <c r="B44" s="250">
        <v>5</v>
      </c>
      <c r="C44" s="250"/>
      <c r="D44" s="250"/>
      <c r="E44" s="250"/>
      <c r="F44" s="250"/>
      <c r="G44" s="252" t="s">
        <v>294</v>
      </c>
    </row>
    <row r="45" spans="1:7">
      <c r="A45" s="249" t="s">
        <v>396</v>
      </c>
      <c r="B45" s="315">
        <v>25</v>
      </c>
      <c r="C45" s="250"/>
      <c r="D45" s="250"/>
      <c r="E45" s="250"/>
      <c r="F45" s="250"/>
      <c r="G45" s="252"/>
    </row>
    <row r="46" spans="1:7">
      <c r="A46" s="249" t="s">
        <v>295</v>
      </c>
      <c r="B46" s="261">
        <v>0.65</v>
      </c>
      <c r="C46" s="261"/>
      <c r="D46" s="261"/>
      <c r="E46" s="261"/>
      <c r="F46" s="261"/>
      <c r="G46" s="252" t="s">
        <v>296</v>
      </c>
    </row>
    <row r="47" spans="1:7">
      <c r="A47" s="249" t="s">
        <v>405</v>
      </c>
      <c r="B47" s="261">
        <v>0.35</v>
      </c>
      <c r="C47" s="262" t="s">
        <v>464</v>
      </c>
      <c r="D47" s="261"/>
      <c r="E47" s="261"/>
      <c r="F47" s="261"/>
      <c r="G47" s="252" t="s">
        <v>296</v>
      </c>
    </row>
    <row r="48" spans="1:7">
      <c r="A48" s="249" t="s">
        <v>465</v>
      </c>
      <c r="B48" s="261">
        <v>0.75</v>
      </c>
      <c r="C48" s="262" t="s">
        <v>466</v>
      </c>
      <c r="D48" s="261"/>
      <c r="E48" s="261"/>
      <c r="F48" s="261"/>
      <c r="G48" s="252"/>
    </row>
    <row r="49" spans="1:9">
      <c r="A49" s="253" t="s">
        <v>159</v>
      </c>
      <c r="B49" s="269"/>
      <c r="C49" s="270"/>
      <c r="D49" s="270"/>
      <c r="E49" s="270"/>
      <c r="F49" s="270"/>
      <c r="G49" s="271"/>
    </row>
    <row r="50" spans="1:9">
      <c r="A50" s="249" t="s">
        <v>348</v>
      </c>
      <c r="B50" s="256">
        <v>750</v>
      </c>
      <c r="C50" s="263"/>
      <c r="D50" s="263"/>
      <c r="E50" s="263"/>
      <c r="F50" s="263"/>
      <c r="G50" s="251"/>
    </row>
    <row r="51" spans="1:9">
      <c r="A51" s="249" t="s">
        <v>195</v>
      </c>
      <c r="B51" s="256">
        <v>4000</v>
      </c>
      <c r="C51" s="263"/>
      <c r="D51" s="263"/>
      <c r="E51" s="263"/>
      <c r="F51" s="263"/>
      <c r="G51" s="251"/>
    </row>
    <row r="52" spans="1:9">
      <c r="A52" s="253" t="s">
        <v>298</v>
      </c>
      <c r="B52" s="267"/>
      <c r="C52" s="267"/>
      <c r="D52" s="267"/>
      <c r="E52" s="267"/>
      <c r="F52" s="267"/>
      <c r="G52" s="255"/>
    </row>
    <row r="53" spans="1:9">
      <c r="A53" s="260" t="s">
        <v>299</v>
      </c>
      <c r="B53" s="250">
        <v>30</v>
      </c>
      <c r="C53" s="250"/>
      <c r="D53" s="250"/>
      <c r="E53" s="250"/>
      <c r="F53" s="250"/>
      <c r="G53" s="251"/>
    </row>
    <row r="54" spans="1:9">
      <c r="A54" s="249" t="s">
        <v>300</v>
      </c>
      <c r="B54" s="250">
        <v>15</v>
      </c>
      <c r="C54" s="250"/>
      <c r="D54" s="250"/>
      <c r="E54" s="250"/>
      <c r="F54" s="250"/>
      <c r="G54" s="252" t="s">
        <v>302</v>
      </c>
    </row>
    <row r="55" spans="1:9">
      <c r="A55" s="249" t="s">
        <v>301</v>
      </c>
      <c r="B55" s="250">
        <v>5</v>
      </c>
      <c r="C55" s="250"/>
      <c r="D55" s="250"/>
      <c r="E55" s="250"/>
      <c r="F55" s="250"/>
      <c r="G55" s="251"/>
    </row>
    <row r="56" spans="1:9">
      <c r="A56" s="249" t="s">
        <v>303</v>
      </c>
      <c r="B56" s="250"/>
      <c r="C56" s="250"/>
      <c r="D56" s="250"/>
      <c r="E56" s="250"/>
      <c r="F56" s="250"/>
      <c r="G56" s="251"/>
    </row>
    <row r="57" spans="1:9">
      <c r="A57" s="249" t="s">
        <v>304</v>
      </c>
      <c r="B57" s="250"/>
      <c r="C57" s="250"/>
      <c r="D57" s="250"/>
      <c r="E57" s="250"/>
      <c r="F57" s="250"/>
      <c r="G57" s="251"/>
    </row>
    <row r="58" spans="1:9">
      <c r="A58" s="249"/>
      <c r="B58" s="250"/>
      <c r="C58" s="250"/>
      <c r="D58" s="250"/>
      <c r="E58" s="250"/>
      <c r="F58" s="250"/>
      <c r="G58" s="251"/>
    </row>
    <row r="59" spans="1:9">
      <c r="A59" s="272"/>
      <c r="B59" s="250"/>
      <c r="C59" s="250"/>
      <c r="D59" s="250"/>
      <c r="E59" s="250"/>
      <c r="F59" s="250"/>
      <c r="G59" s="251"/>
    </row>
    <row r="60" spans="1:9">
      <c r="A60" s="264" t="s">
        <v>265</v>
      </c>
      <c r="B60" s="265"/>
      <c r="C60" s="265"/>
      <c r="D60" s="265"/>
      <c r="E60" s="265"/>
      <c r="F60" s="265"/>
      <c r="G60" s="266" t="s">
        <v>208</v>
      </c>
    </row>
    <row r="61" spans="1:9">
      <c r="A61" s="253" t="s">
        <v>270</v>
      </c>
      <c r="B61" s="267"/>
      <c r="C61" s="254" t="s">
        <v>335</v>
      </c>
      <c r="D61" s="254"/>
      <c r="E61" s="254"/>
      <c r="F61" s="254"/>
      <c r="G61" s="255"/>
    </row>
    <row r="62" spans="1:9">
      <c r="A62" s="249" t="s">
        <v>305</v>
      </c>
      <c r="B62" s="250">
        <v>1</v>
      </c>
      <c r="C62" s="256">
        <v>95000</v>
      </c>
      <c r="D62" s="256"/>
      <c r="E62" s="256"/>
      <c r="F62" s="256"/>
      <c r="G62" s="252" t="s">
        <v>306</v>
      </c>
    </row>
    <row r="63" spans="1:9">
      <c r="A63" s="249" t="s">
        <v>307</v>
      </c>
      <c r="B63" s="250">
        <v>2</v>
      </c>
      <c r="C63" s="256">
        <v>75000</v>
      </c>
      <c r="D63" s="256"/>
      <c r="E63" s="256"/>
      <c r="F63" s="256"/>
      <c r="G63" s="251"/>
      <c r="H63" s="241" t="s">
        <v>312</v>
      </c>
      <c r="I63" s="241" t="s">
        <v>313</v>
      </c>
    </row>
    <row r="64" spans="1:9">
      <c r="A64" s="253" t="s">
        <v>277</v>
      </c>
      <c r="B64" s="267"/>
      <c r="C64" s="267"/>
      <c r="D64" s="267"/>
      <c r="E64" s="267"/>
      <c r="F64" s="267"/>
      <c r="G64" s="255"/>
      <c r="H64" s="242">
        <f>B63*C63+(C62*0.55)</f>
        <v>202250</v>
      </c>
      <c r="I64" s="241" t="s">
        <v>310</v>
      </c>
    </row>
    <row r="65" spans="1:9">
      <c r="A65" s="249" t="s">
        <v>308</v>
      </c>
      <c r="B65" s="256">
        <v>165000</v>
      </c>
      <c r="C65" s="256"/>
      <c r="D65" s="256"/>
      <c r="E65" s="256"/>
      <c r="F65" s="256"/>
      <c r="G65" s="251"/>
      <c r="H65" s="242">
        <f>(C62*0.55)+(B67*C63)</f>
        <v>352250</v>
      </c>
      <c r="I65" s="241" t="s">
        <v>311</v>
      </c>
    </row>
    <row r="66" spans="1:9">
      <c r="A66" s="253" t="s">
        <v>298</v>
      </c>
      <c r="B66" s="267"/>
      <c r="C66" s="267"/>
      <c r="D66" s="267"/>
      <c r="E66" s="267"/>
      <c r="F66" s="267"/>
      <c r="G66" s="255"/>
    </row>
    <row r="67" spans="1:9">
      <c r="A67" s="249" t="s">
        <v>307</v>
      </c>
      <c r="B67" s="250">
        <v>4</v>
      </c>
      <c r="C67" s="250"/>
      <c r="D67" s="250"/>
      <c r="E67" s="250"/>
      <c r="F67" s="250"/>
      <c r="G67" s="251"/>
    </row>
    <row r="68" spans="1:9">
      <c r="A68" s="273" t="s">
        <v>309</v>
      </c>
      <c r="B68" s="256">
        <v>330000</v>
      </c>
      <c r="C68" s="256"/>
      <c r="D68" s="256"/>
      <c r="E68" s="256"/>
      <c r="F68" s="256"/>
      <c r="G68" s="251"/>
    </row>
    <row r="69" spans="1:9">
      <c r="A69" s="253" t="s">
        <v>159</v>
      </c>
      <c r="B69" s="259"/>
      <c r="C69" s="259"/>
      <c r="D69" s="259"/>
      <c r="E69" s="259"/>
      <c r="F69" s="259"/>
      <c r="G69" s="255"/>
    </row>
    <row r="70" spans="1:9">
      <c r="A70" s="249" t="s">
        <v>346</v>
      </c>
      <c r="B70" s="274">
        <v>1250</v>
      </c>
      <c r="C70" s="263" t="s">
        <v>347</v>
      </c>
      <c r="D70" s="263"/>
      <c r="E70" s="263"/>
      <c r="F70" s="263"/>
      <c r="G70" s="251"/>
      <c r="H70" s="92" t="s">
        <v>324</v>
      </c>
    </row>
    <row r="71" spans="1:9">
      <c r="A71" s="249" t="s">
        <v>350</v>
      </c>
      <c r="B71" s="274">
        <v>3000</v>
      </c>
      <c r="C71" s="250"/>
      <c r="D71" s="250"/>
      <c r="E71" s="250"/>
      <c r="F71" s="250"/>
      <c r="G71" s="251"/>
      <c r="H71" s="92"/>
    </row>
    <row r="72" spans="1:9">
      <c r="A72" s="249"/>
      <c r="B72" s="250"/>
      <c r="C72" s="250"/>
      <c r="D72" s="274"/>
      <c r="E72" s="250"/>
      <c r="F72" s="250"/>
      <c r="G72" s="251"/>
    </row>
    <row r="73" spans="1:9">
      <c r="A73" s="275" t="s">
        <v>266</v>
      </c>
      <c r="B73" s="276"/>
      <c r="C73" s="276"/>
      <c r="D73" s="276"/>
      <c r="E73" s="276"/>
      <c r="F73" s="276"/>
      <c r="G73" s="277"/>
    </row>
    <row r="74" spans="1:9">
      <c r="A74" s="249" t="s">
        <v>314</v>
      </c>
      <c r="B74" s="250">
        <v>50</v>
      </c>
      <c r="C74" s="250"/>
      <c r="D74" s="250"/>
      <c r="E74" s="250"/>
      <c r="F74" s="250"/>
      <c r="G74" s="252" t="s">
        <v>315</v>
      </c>
    </row>
    <row r="75" spans="1:9">
      <c r="A75" s="249" t="s">
        <v>316</v>
      </c>
      <c r="B75" s="250">
        <v>25</v>
      </c>
      <c r="C75" s="250"/>
      <c r="D75" s="250"/>
      <c r="E75" s="250"/>
      <c r="F75" s="250"/>
      <c r="G75" s="252" t="s">
        <v>317</v>
      </c>
      <c r="H75" s="92" t="s">
        <v>331</v>
      </c>
    </row>
    <row r="76" spans="1:9">
      <c r="A76" s="249" t="s">
        <v>322</v>
      </c>
      <c r="B76" s="263">
        <f>B3+B27</f>
        <v>162</v>
      </c>
      <c r="C76" s="263"/>
      <c r="D76" s="263"/>
      <c r="E76" s="263"/>
      <c r="F76" s="263"/>
      <c r="G76" s="252" t="s">
        <v>323</v>
      </c>
    </row>
    <row r="77" spans="1:9">
      <c r="A77" s="253" t="s">
        <v>270</v>
      </c>
      <c r="B77" s="267"/>
      <c r="C77" s="267"/>
      <c r="D77" s="267"/>
      <c r="E77" s="267"/>
      <c r="F77" s="267"/>
      <c r="G77" s="255"/>
    </row>
    <row r="78" spans="1:9">
      <c r="A78" s="249" t="s">
        <v>318</v>
      </c>
      <c r="B78" s="250">
        <v>1</v>
      </c>
      <c r="C78" s="250"/>
      <c r="D78" s="250"/>
      <c r="E78" s="250"/>
      <c r="F78" s="250"/>
      <c r="G78" s="251"/>
    </row>
    <row r="79" spans="1:9">
      <c r="A79" s="249" t="s">
        <v>319</v>
      </c>
      <c r="B79" s="256">
        <v>105000</v>
      </c>
      <c r="C79" s="256"/>
      <c r="D79" s="256"/>
      <c r="E79" s="256"/>
      <c r="F79" s="256"/>
      <c r="G79" s="251"/>
    </row>
    <row r="80" spans="1:9">
      <c r="A80" s="253" t="s">
        <v>277</v>
      </c>
      <c r="B80" s="267"/>
      <c r="C80" s="267"/>
      <c r="D80" s="267"/>
      <c r="E80" s="267"/>
      <c r="F80" s="267"/>
      <c r="G80" s="255"/>
      <c r="H80" s="289"/>
    </row>
    <row r="81" spans="1:7">
      <c r="A81" s="249" t="s">
        <v>320</v>
      </c>
      <c r="B81" s="256">
        <v>375</v>
      </c>
      <c r="C81" s="256"/>
      <c r="D81" s="256"/>
      <c r="E81" s="256"/>
      <c r="F81" s="256"/>
      <c r="G81" s="251"/>
    </row>
    <row r="82" spans="1:7">
      <c r="A82" s="249" t="s">
        <v>321</v>
      </c>
      <c r="B82" s="261">
        <v>0.75</v>
      </c>
      <c r="C82" s="274">
        <f>B81*B82*B74*B75</f>
        <v>351562.5</v>
      </c>
      <c r="D82" s="261"/>
      <c r="E82" s="261"/>
      <c r="F82" s="261"/>
      <c r="G82" s="251"/>
    </row>
    <row r="83" spans="1:7">
      <c r="A83" s="249" t="s">
        <v>325</v>
      </c>
      <c r="B83" s="261">
        <v>0.25</v>
      </c>
      <c r="C83" s="274">
        <f>B84*B83*B75*B74</f>
        <v>31250</v>
      </c>
      <c r="D83" s="261"/>
      <c r="E83" s="261"/>
      <c r="F83" s="261"/>
      <c r="G83" s="251"/>
    </row>
    <row r="84" spans="1:7">
      <c r="A84" s="272" t="s">
        <v>326</v>
      </c>
      <c r="B84" s="256">
        <v>100</v>
      </c>
      <c r="C84" s="256"/>
      <c r="D84" s="256"/>
      <c r="E84" s="256"/>
      <c r="F84" s="256"/>
      <c r="G84" s="251"/>
    </row>
    <row r="85" spans="1:7">
      <c r="A85" s="272" t="s">
        <v>327</v>
      </c>
      <c r="B85" s="256">
        <v>0</v>
      </c>
      <c r="C85" s="256"/>
      <c r="D85" s="256"/>
      <c r="E85" s="256"/>
      <c r="F85" s="256"/>
      <c r="G85" s="251"/>
    </row>
    <row r="86" spans="1:7">
      <c r="A86" s="272" t="s">
        <v>328</v>
      </c>
      <c r="B86" s="250"/>
      <c r="C86" s="250"/>
      <c r="D86" s="250"/>
      <c r="E86" s="250"/>
      <c r="F86" s="250"/>
      <c r="G86" s="251"/>
    </row>
    <row r="87" spans="1:7">
      <c r="A87" s="253" t="s">
        <v>159</v>
      </c>
      <c r="B87" s="267"/>
      <c r="C87" s="267"/>
      <c r="D87" s="267"/>
      <c r="E87" s="267"/>
      <c r="F87" s="267"/>
      <c r="G87" s="255"/>
    </row>
    <row r="88" spans="1:7">
      <c r="A88" s="249" t="s">
        <v>349</v>
      </c>
      <c r="B88" s="274">
        <v>3000</v>
      </c>
      <c r="C88" s="263"/>
      <c r="D88" s="263"/>
      <c r="E88" s="263"/>
      <c r="F88" s="263"/>
      <c r="G88" s="251"/>
    </row>
    <row r="89" spans="1:7">
      <c r="A89" s="272" t="s">
        <v>351</v>
      </c>
      <c r="B89" s="274">
        <v>65000</v>
      </c>
      <c r="C89" s="263"/>
      <c r="D89" s="263"/>
      <c r="E89" s="263"/>
      <c r="F89" s="263"/>
      <c r="G89" s="251"/>
    </row>
    <row r="90" spans="1:7">
      <c r="A90" s="253" t="s">
        <v>298</v>
      </c>
      <c r="B90" s="267"/>
      <c r="C90" s="267"/>
      <c r="D90" s="267"/>
      <c r="E90" s="267"/>
      <c r="F90" s="267"/>
      <c r="G90" s="255"/>
    </row>
    <row r="91" spans="1:7">
      <c r="A91" s="249" t="s">
        <v>453</v>
      </c>
      <c r="B91" s="256">
        <v>130000</v>
      </c>
      <c r="C91" s="256"/>
      <c r="D91" s="256"/>
      <c r="E91" s="256"/>
      <c r="F91" s="256"/>
      <c r="G91" s="252" t="s">
        <v>329</v>
      </c>
    </row>
    <row r="92" spans="1:7">
      <c r="A92" s="249" t="s">
        <v>330</v>
      </c>
      <c r="B92" s="258">
        <v>1</v>
      </c>
      <c r="C92" s="256">
        <v>45000</v>
      </c>
      <c r="D92" s="256"/>
      <c r="E92" s="256"/>
      <c r="F92" s="256"/>
      <c r="G92" s="251"/>
    </row>
    <row r="93" spans="1:7">
      <c r="A93" s="278"/>
      <c r="B93" s="250"/>
      <c r="C93" s="250"/>
      <c r="D93" s="250"/>
      <c r="E93" s="250"/>
      <c r="F93" s="250"/>
      <c r="G93" s="251"/>
    </row>
    <row r="94" spans="1:7">
      <c r="A94" s="275" t="s">
        <v>259</v>
      </c>
      <c r="B94" s="276"/>
      <c r="C94" s="276"/>
      <c r="D94" s="276"/>
      <c r="E94" s="276"/>
      <c r="F94" s="276"/>
      <c r="G94" s="277"/>
    </row>
    <row r="95" spans="1:7">
      <c r="A95" s="253" t="s">
        <v>270</v>
      </c>
      <c r="B95" s="267"/>
      <c r="C95" s="267"/>
      <c r="D95" s="267"/>
      <c r="E95" s="267"/>
      <c r="F95" s="267"/>
      <c r="G95" s="255"/>
    </row>
    <row r="96" spans="1:7">
      <c r="A96" s="249" t="s">
        <v>99</v>
      </c>
      <c r="B96" s="250">
        <v>1</v>
      </c>
      <c r="C96" s="256">
        <v>132500</v>
      </c>
      <c r="D96" s="256"/>
      <c r="E96" s="256"/>
      <c r="F96" s="256"/>
      <c r="G96" s="252" t="s">
        <v>406</v>
      </c>
    </row>
    <row r="97" spans="1:7">
      <c r="A97" s="249" t="s">
        <v>100</v>
      </c>
      <c r="B97" s="250">
        <v>1</v>
      </c>
      <c r="C97" s="256">
        <v>97500</v>
      </c>
      <c r="D97" s="256"/>
      <c r="E97" s="256"/>
      <c r="F97" s="256"/>
      <c r="G97" s="252" t="s">
        <v>406</v>
      </c>
    </row>
    <row r="98" spans="1:7">
      <c r="A98" s="249" t="s">
        <v>101</v>
      </c>
      <c r="B98" s="250">
        <v>1</v>
      </c>
      <c r="C98" s="256">
        <v>67500</v>
      </c>
      <c r="D98" s="256"/>
      <c r="E98" s="256"/>
      <c r="F98" s="256"/>
      <c r="G98" s="252" t="s">
        <v>406</v>
      </c>
    </row>
    <row r="99" spans="1:7">
      <c r="A99" s="249" t="s">
        <v>105</v>
      </c>
      <c r="B99" s="263">
        <v>2</v>
      </c>
      <c r="C99" s="256">
        <v>45000</v>
      </c>
      <c r="D99" s="256"/>
      <c r="E99" s="256"/>
      <c r="F99" s="256"/>
      <c r="G99" s="252" t="s">
        <v>406</v>
      </c>
    </row>
    <row r="100" spans="1:7">
      <c r="A100" s="253" t="s">
        <v>337</v>
      </c>
      <c r="B100" s="267"/>
      <c r="C100" s="254" t="s">
        <v>342</v>
      </c>
      <c r="D100" s="254"/>
      <c r="E100" s="254"/>
      <c r="F100" s="254"/>
      <c r="G100" s="255"/>
    </row>
    <row r="101" spans="1:7">
      <c r="A101" s="272" t="s">
        <v>177</v>
      </c>
      <c r="B101" s="250"/>
      <c r="C101" s="250"/>
      <c r="D101" s="250"/>
      <c r="E101" s="250"/>
      <c r="F101" s="250"/>
      <c r="G101" s="251"/>
    </row>
    <row r="102" spans="1:7">
      <c r="A102" s="249" t="s">
        <v>353</v>
      </c>
      <c r="B102" s="274">
        <v>25000</v>
      </c>
      <c r="C102" s="263" t="s">
        <v>340</v>
      </c>
      <c r="D102" s="250"/>
      <c r="E102" s="250"/>
      <c r="F102" s="250"/>
      <c r="G102" s="251"/>
    </row>
    <row r="103" spans="1:7">
      <c r="A103" s="249" t="s">
        <v>338</v>
      </c>
      <c r="B103" s="274">
        <v>15000</v>
      </c>
      <c r="C103" s="263" t="s">
        <v>340</v>
      </c>
      <c r="D103" s="263"/>
      <c r="E103" s="263"/>
      <c r="F103" s="263"/>
      <c r="G103" s="251"/>
    </row>
    <row r="104" spans="1:7">
      <c r="A104" s="249" t="s">
        <v>343</v>
      </c>
      <c r="B104" s="274">
        <v>37500</v>
      </c>
      <c r="C104" s="263" t="s">
        <v>340</v>
      </c>
      <c r="D104" s="263"/>
      <c r="E104" s="263"/>
      <c r="F104" s="263"/>
      <c r="G104" s="251"/>
    </row>
    <row r="105" spans="1:7">
      <c r="A105" s="249" t="s">
        <v>344</v>
      </c>
      <c r="B105" s="274">
        <v>15000</v>
      </c>
      <c r="C105" s="263" t="s">
        <v>340</v>
      </c>
      <c r="D105" s="263"/>
      <c r="E105" s="263"/>
      <c r="F105" s="263"/>
      <c r="G105" s="251"/>
    </row>
    <row r="106" spans="1:7">
      <c r="A106" s="249" t="s">
        <v>345</v>
      </c>
      <c r="B106" s="274">
        <v>30000</v>
      </c>
      <c r="C106" s="263" t="s">
        <v>340</v>
      </c>
      <c r="D106" s="263"/>
      <c r="E106" s="263"/>
      <c r="F106" s="263"/>
      <c r="G106" s="251"/>
    </row>
    <row r="107" spans="1:7">
      <c r="A107" s="249" t="s">
        <v>352</v>
      </c>
      <c r="B107" s="274">
        <v>13250</v>
      </c>
      <c r="C107" s="263" t="s">
        <v>341</v>
      </c>
      <c r="D107" s="263"/>
      <c r="E107" s="263"/>
      <c r="F107" s="263"/>
      <c r="G107" s="251"/>
    </row>
    <row r="108" spans="1:7">
      <c r="A108" s="249" t="s">
        <v>339</v>
      </c>
      <c r="B108" s="274">
        <v>3600</v>
      </c>
      <c r="C108" s="263" t="s">
        <v>341</v>
      </c>
      <c r="D108" s="263"/>
      <c r="E108" s="263"/>
      <c r="F108" s="263"/>
      <c r="G108" s="251"/>
    </row>
    <row r="109" spans="1:7">
      <c r="A109" s="278"/>
      <c r="B109" s="250"/>
      <c r="C109" s="250"/>
      <c r="D109" s="250"/>
      <c r="E109" s="250"/>
      <c r="F109" s="250"/>
      <c r="G109" s="251"/>
    </row>
    <row r="110" spans="1:7">
      <c r="A110" s="275" t="s">
        <v>267</v>
      </c>
      <c r="B110" s="276"/>
      <c r="C110" s="276"/>
      <c r="D110" s="276"/>
      <c r="E110" s="276"/>
      <c r="F110" s="276"/>
      <c r="G110" s="277"/>
    </row>
    <row r="111" spans="1:7">
      <c r="A111" s="253" t="s">
        <v>270</v>
      </c>
      <c r="B111" s="267"/>
      <c r="C111" s="267"/>
      <c r="D111" s="267"/>
      <c r="E111" s="267"/>
      <c r="F111" s="267"/>
      <c r="G111" s="255"/>
    </row>
    <row r="112" spans="1:7">
      <c r="A112" s="249" t="s">
        <v>103</v>
      </c>
      <c r="B112" s="250">
        <v>1</v>
      </c>
      <c r="C112" s="256">
        <v>105000</v>
      </c>
      <c r="D112" s="256"/>
      <c r="E112" s="256"/>
      <c r="F112" s="256"/>
      <c r="G112" s="252" t="s">
        <v>336</v>
      </c>
    </row>
    <row r="113" spans="1:7">
      <c r="A113" s="249" t="s">
        <v>104</v>
      </c>
      <c r="B113" s="263">
        <v>1</v>
      </c>
      <c r="C113" s="256">
        <v>45000</v>
      </c>
      <c r="D113" s="256"/>
      <c r="E113" s="256"/>
      <c r="F113" s="256"/>
      <c r="G113" s="251"/>
    </row>
    <row r="114" spans="1:7">
      <c r="A114" s="253" t="s">
        <v>337</v>
      </c>
      <c r="B114" s="267"/>
      <c r="C114" s="254" t="s">
        <v>342</v>
      </c>
      <c r="D114" s="254"/>
      <c r="E114" s="254"/>
      <c r="F114" s="254"/>
      <c r="G114" s="255"/>
    </row>
    <row r="115" spans="1:7">
      <c r="A115" s="249" t="s">
        <v>187</v>
      </c>
      <c r="B115" s="274">
        <v>9600</v>
      </c>
      <c r="C115" s="250"/>
      <c r="D115" s="250"/>
      <c r="E115" s="250"/>
      <c r="F115" s="250"/>
      <c r="G115" s="251"/>
    </row>
    <row r="116" spans="1:7">
      <c r="A116" s="249" t="s">
        <v>188</v>
      </c>
      <c r="B116" s="274">
        <v>2500</v>
      </c>
      <c r="C116" s="250"/>
      <c r="D116" s="250"/>
      <c r="E116" s="250"/>
      <c r="F116" s="250"/>
      <c r="G116" s="251"/>
    </row>
    <row r="117" spans="1:7">
      <c r="A117" s="249" t="s">
        <v>189</v>
      </c>
      <c r="B117" s="274">
        <v>4250</v>
      </c>
      <c r="C117" s="274"/>
      <c r="D117" s="250"/>
      <c r="E117" s="250"/>
      <c r="F117" s="250"/>
      <c r="G117" s="251"/>
    </row>
    <row r="118" spans="1:7">
      <c r="A118" s="249" t="s">
        <v>255</v>
      </c>
      <c r="B118" s="256">
        <v>42000</v>
      </c>
      <c r="C118" s="250"/>
      <c r="D118" s="250"/>
      <c r="E118" s="250"/>
      <c r="F118" s="250"/>
      <c r="G118" s="251"/>
    </row>
    <row r="119" spans="1:7">
      <c r="A119" s="253" t="s">
        <v>277</v>
      </c>
      <c r="B119" s="267"/>
      <c r="C119" s="254"/>
      <c r="D119" s="254"/>
      <c r="E119" s="254"/>
      <c r="F119" s="254"/>
      <c r="G119" s="255"/>
    </row>
    <row r="120" spans="1:7">
      <c r="A120" s="249" t="s">
        <v>354</v>
      </c>
      <c r="B120" s="250"/>
      <c r="C120" s="250"/>
      <c r="D120" s="250"/>
      <c r="E120" s="250"/>
      <c r="F120" s="250"/>
      <c r="G120" s="251"/>
    </row>
    <row r="121" spans="1:7">
      <c r="A121" s="279" t="s">
        <v>170</v>
      </c>
      <c r="B121" s="173">
        <v>800000</v>
      </c>
      <c r="C121" s="250">
        <v>0.5</v>
      </c>
      <c r="D121" s="250"/>
      <c r="E121" s="250"/>
      <c r="F121" s="250"/>
      <c r="G121" s="251"/>
    </row>
    <row r="122" spans="1:7">
      <c r="A122" s="279" t="s">
        <v>171</v>
      </c>
      <c r="B122" s="173">
        <v>575000</v>
      </c>
      <c r="C122" s="250">
        <v>0.4</v>
      </c>
      <c r="D122" s="250"/>
      <c r="E122" s="250"/>
      <c r="F122" s="250"/>
      <c r="G122" s="251"/>
    </row>
    <row r="123" spans="1:7">
      <c r="A123" s="279" t="s">
        <v>172</v>
      </c>
      <c r="B123" s="173">
        <v>450000</v>
      </c>
      <c r="C123" s="250">
        <v>0.1</v>
      </c>
      <c r="D123" s="250"/>
      <c r="E123" s="250"/>
      <c r="F123" s="250"/>
      <c r="G123" s="251"/>
    </row>
    <row r="124" spans="1:7">
      <c r="A124" s="283" t="s">
        <v>445</v>
      </c>
      <c r="B124" s="331">
        <v>0.25</v>
      </c>
      <c r="C124" s="261">
        <v>0.3</v>
      </c>
      <c r="D124" s="261">
        <v>0.2</v>
      </c>
      <c r="E124" s="261">
        <f>1-(SUM(B124:D124))</f>
        <v>0.25</v>
      </c>
      <c r="F124" s="250"/>
      <c r="G124" s="251"/>
    </row>
    <row r="125" spans="1:7">
      <c r="A125" s="275" t="s">
        <v>355</v>
      </c>
      <c r="B125" s="276"/>
      <c r="C125" s="276"/>
      <c r="D125" s="276"/>
      <c r="E125" s="276"/>
      <c r="F125" s="276"/>
      <c r="G125" s="277"/>
    </row>
    <row r="126" spans="1:7">
      <c r="A126" s="249" t="s">
        <v>401</v>
      </c>
      <c r="B126" s="250"/>
      <c r="C126" s="250"/>
      <c r="D126" s="250"/>
      <c r="E126" s="250"/>
      <c r="F126" s="250"/>
      <c r="G126" s="251"/>
    </row>
    <row r="127" spans="1:7">
      <c r="A127" s="278" t="s">
        <v>36</v>
      </c>
      <c r="B127" s="250" t="s">
        <v>209</v>
      </c>
      <c r="C127" s="318">
        <v>0.08</v>
      </c>
      <c r="D127" s="250"/>
      <c r="E127" s="250"/>
      <c r="F127" s="250"/>
      <c r="G127" s="251"/>
    </row>
    <row r="128" spans="1:7">
      <c r="A128" s="249" t="s">
        <v>35</v>
      </c>
      <c r="B128" s="250" t="s">
        <v>209</v>
      </c>
      <c r="C128" s="318">
        <v>6.2E-2</v>
      </c>
      <c r="D128" s="250"/>
      <c r="E128" s="250"/>
      <c r="F128" s="250"/>
      <c r="G128" s="251"/>
    </row>
    <row r="129" spans="1:7">
      <c r="A129" s="249" t="s">
        <v>403</v>
      </c>
      <c r="B129" s="250"/>
      <c r="C129" s="318">
        <v>1.4500000000000001E-2</v>
      </c>
      <c r="D129" s="250"/>
      <c r="E129" s="250"/>
      <c r="F129" s="250"/>
      <c r="G129" s="251"/>
    </row>
    <row r="130" spans="1:7">
      <c r="A130" s="249" t="s">
        <v>402</v>
      </c>
      <c r="B130" s="250"/>
      <c r="C130" s="318"/>
      <c r="D130" s="250"/>
      <c r="E130" s="250"/>
      <c r="F130" s="250"/>
      <c r="G130" s="251"/>
    </row>
    <row r="131" spans="1:7">
      <c r="A131" s="278" t="s">
        <v>161</v>
      </c>
      <c r="B131" s="250" t="s">
        <v>209</v>
      </c>
      <c r="C131" s="250">
        <v>425</v>
      </c>
      <c r="D131" s="250"/>
      <c r="E131" s="250"/>
      <c r="F131" s="250"/>
      <c r="G131" s="251"/>
    </row>
    <row r="132" spans="1:7">
      <c r="A132" s="278" t="s">
        <v>162</v>
      </c>
      <c r="B132" s="250" t="s">
        <v>209</v>
      </c>
      <c r="C132" s="318">
        <v>7.4999999999999997E-2</v>
      </c>
      <c r="D132" s="250"/>
      <c r="E132" s="250"/>
      <c r="F132" s="250"/>
      <c r="G132" s="251"/>
    </row>
    <row r="133" spans="1:7">
      <c r="A133" s="290" t="s">
        <v>356</v>
      </c>
      <c r="B133" s="267"/>
      <c r="C133" s="254" t="s">
        <v>442</v>
      </c>
      <c r="D133" s="267"/>
      <c r="E133" s="267"/>
      <c r="F133" s="267"/>
      <c r="G133" s="255"/>
    </row>
    <row r="134" spans="1:7" ht="24">
      <c r="A134" s="280" t="s">
        <v>166</v>
      </c>
      <c r="B134" s="245">
        <v>450000</v>
      </c>
      <c r="C134" s="330">
        <v>4</v>
      </c>
      <c r="G134" s="251"/>
    </row>
    <row r="135" spans="1:7" ht="15">
      <c r="A135" s="249" t="s">
        <v>357</v>
      </c>
      <c r="B135" s="284">
        <v>154080</v>
      </c>
      <c r="C135" s="250"/>
      <c r="D135" s="250"/>
      <c r="E135" s="250"/>
      <c r="F135" s="250"/>
      <c r="G135" s="251"/>
    </row>
    <row r="136" spans="1:7" ht="15">
      <c r="A136" s="291" t="s">
        <v>358</v>
      </c>
      <c r="B136" s="292" t="s">
        <v>76</v>
      </c>
      <c r="C136" s="293" t="s">
        <v>88</v>
      </c>
      <c r="D136" s="293" t="s">
        <v>91</v>
      </c>
      <c r="E136" s="294" t="s">
        <v>96</v>
      </c>
      <c r="F136" s="293" t="s">
        <v>360</v>
      </c>
      <c r="G136" s="293" t="s">
        <v>361</v>
      </c>
    </row>
    <row r="137" spans="1:7" ht="15">
      <c r="A137" s="249" t="s">
        <v>359</v>
      </c>
      <c r="B137" s="285">
        <v>0.3</v>
      </c>
      <c r="C137" s="261">
        <v>0.3</v>
      </c>
      <c r="D137" s="261">
        <v>0.2</v>
      </c>
      <c r="E137" s="261">
        <v>0.1</v>
      </c>
      <c r="F137" s="261">
        <v>0.08</v>
      </c>
      <c r="G137" s="287">
        <v>0.02</v>
      </c>
    </row>
    <row r="138" spans="1:7" ht="15">
      <c r="A138" s="249"/>
      <c r="B138" s="292" t="s">
        <v>76</v>
      </c>
      <c r="C138" s="293" t="s">
        <v>88</v>
      </c>
      <c r="D138" s="294" t="s">
        <v>96</v>
      </c>
      <c r="E138" s="293" t="s">
        <v>360</v>
      </c>
      <c r="F138" s="293" t="s">
        <v>361</v>
      </c>
    </row>
    <row r="139" spans="1:7" ht="15">
      <c r="A139" s="249" t="s">
        <v>457</v>
      </c>
      <c r="B139" s="285">
        <v>0.4</v>
      </c>
      <c r="C139" s="261">
        <v>0.3</v>
      </c>
      <c r="D139" s="261">
        <v>0.2</v>
      </c>
      <c r="E139" s="261">
        <v>0.08</v>
      </c>
      <c r="F139" s="287">
        <v>0.02</v>
      </c>
    </row>
    <row r="140" spans="1:7" ht="15">
      <c r="A140" s="249" t="s">
        <v>362</v>
      </c>
      <c r="B140" s="285">
        <f>B9/B144</f>
        <v>0.37931034482758619</v>
      </c>
      <c r="C140" s="261">
        <f>(B33+B34)/B144</f>
        <v>0.20689655172413793</v>
      </c>
      <c r="D140" s="261">
        <f>(B62+B63)/B144</f>
        <v>0.10344827586206896</v>
      </c>
      <c r="E140" s="261">
        <f>B78/B144</f>
        <v>3.4482758620689655E-2</v>
      </c>
      <c r="F140" s="261">
        <f>SUM(B96:B99)/B144</f>
        <v>0.17241379310344829</v>
      </c>
      <c r="G140" s="287">
        <f>(2/B144)</f>
        <v>6.8965517241379309E-2</v>
      </c>
    </row>
    <row r="141" spans="1:7" ht="15">
      <c r="A141" s="249" t="s">
        <v>370</v>
      </c>
      <c r="B141" s="285">
        <v>0.25</v>
      </c>
      <c r="C141" s="261">
        <v>0.2</v>
      </c>
      <c r="D141" s="261">
        <v>0.55000000000000004</v>
      </c>
      <c r="E141" s="261">
        <v>0</v>
      </c>
      <c r="F141" s="261">
        <v>0</v>
      </c>
      <c r="G141" s="287"/>
    </row>
    <row r="142" spans="1:7" ht="15">
      <c r="A142" s="249" t="s">
        <v>452</v>
      </c>
      <c r="B142" s="285">
        <v>0.55000000000000004</v>
      </c>
      <c r="C142" s="261">
        <v>0.45</v>
      </c>
      <c r="D142" s="261"/>
      <c r="E142" s="261"/>
      <c r="F142" s="261"/>
      <c r="G142" s="287"/>
    </row>
    <row r="143" spans="1:7" ht="15">
      <c r="A143" s="249"/>
      <c r="B143" s="285" t="s">
        <v>364</v>
      </c>
      <c r="C143" s="262" t="s">
        <v>365</v>
      </c>
      <c r="D143" s="262" t="s">
        <v>366</v>
      </c>
      <c r="E143" s="262" t="s">
        <v>367</v>
      </c>
      <c r="F143" s="261"/>
      <c r="G143" s="287"/>
    </row>
    <row r="144" spans="1:7" ht="14" thickBot="1">
      <c r="A144" s="286" t="s">
        <v>363</v>
      </c>
      <c r="B144" s="281">
        <f>($B$9+$B$33+$B$34+$B$62+$B$63+$B$78+$B$96+$B$97+$B$98+$B$32+$B$99+$B$113+$B$112)</f>
        <v>29</v>
      </c>
      <c r="C144" s="281">
        <f>($B$9+$B$33+$B$34+$B$62+$B$63+$B$78+$B$96+$B$97+$B$98+$B$32+$B$99+$B$113+$B$112+E144+$B$92)</f>
        <v>58</v>
      </c>
      <c r="D144" s="281">
        <f>($B$9+$B$33+$B$34+$B$62+$B$78+$B$96+$B$97+$B$98+$B$32+$B$99+$B$113+$B$112)</f>
        <v>27</v>
      </c>
      <c r="E144" s="281">
        <f>($B$9+$B$33+$B$34+$B$62+$B$78+$B$96+$B$97+$B$98+$B$32+$B$99+$B$113+$B$112+$B$92)</f>
        <v>28</v>
      </c>
      <c r="F144" s="281"/>
      <c r="G144" s="282"/>
    </row>
    <row r="153" spans="1:1">
      <c r="A153" s="240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201F9-AEBA-4E49-8490-099B4A277492}">
  <dimension ref="A1:Q63"/>
  <sheetViews>
    <sheetView tabSelected="1" topLeftCell="A9" zoomScale="94" workbookViewId="0">
      <selection activeCell="I26" sqref="I26"/>
    </sheetView>
  </sheetViews>
  <sheetFormatPr baseColWidth="10" defaultRowHeight="13"/>
  <cols>
    <col min="1" max="1" width="27.33203125" customWidth="1"/>
    <col min="2" max="2" width="17.33203125" customWidth="1"/>
    <col min="3" max="4" width="19.33203125" customWidth="1"/>
    <col min="5" max="6" width="17.33203125" customWidth="1"/>
    <col min="7" max="7" width="15.83203125" customWidth="1"/>
    <col min="8" max="8" width="26" customWidth="1"/>
    <col min="9" max="9" width="20.1640625" customWidth="1"/>
    <col min="10" max="14" width="11.1640625" bestFit="1" customWidth="1"/>
    <col min="15" max="15" width="12.5" bestFit="1" customWidth="1"/>
    <col min="16" max="16" width="11" bestFit="1" customWidth="1"/>
    <col min="17" max="17" width="12" bestFit="1" customWidth="1"/>
  </cols>
  <sheetData>
    <row r="1" spans="1:10" ht="21">
      <c r="A1" s="334" t="s">
        <v>256</v>
      </c>
      <c r="B1" s="334"/>
      <c r="C1" s="334"/>
      <c r="D1" s="334"/>
      <c r="E1" s="334"/>
      <c r="F1" s="334"/>
      <c r="G1" s="334"/>
      <c r="H1" s="334"/>
    </row>
    <row r="2" spans="1:10" ht="21">
      <c r="A2" s="228"/>
      <c r="B2" s="228"/>
      <c r="C2" s="335" t="s">
        <v>262</v>
      </c>
      <c r="D2" s="335"/>
      <c r="E2" s="335"/>
      <c r="F2" s="335" t="s">
        <v>261</v>
      </c>
      <c r="G2" s="335"/>
      <c r="H2" s="228"/>
    </row>
    <row r="3" spans="1:10" ht="16">
      <c r="A3" s="132"/>
      <c r="B3" s="133"/>
      <c r="C3" s="134" t="s">
        <v>76</v>
      </c>
      <c r="D3" s="134" t="s">
        <v>88</v>
      </c>
      <c r="E3" s="134" t="s">
        <v>96</v>
      </c>
      <c r="F3" s="134" t="s">
        <v>259</v>
      </c>
      <c r="G3" s="134" t="s">
        <v>260</v>
      </c>
      <c r="H3" s="134" t="s">
        <v>416</v>
      </c>
    </row>
    <row r="4" spans="1:10" ht="16">
      <c r="A4" s="302" t="s">
        <v>384</v>
      </c>
      <c r="B4" s="133"/>
      <c r="C4" s="296">
        <f>Parameters!B4</f>
        <v>145</v>
      </c>
      <c r="D4" s="132">
        <f>Parameters!$B$27</f>
        <v>60</v>
      </c>
      <c r="E4" s="132">
        <f>SUM(C4:D4)</f>
        <v>205</v>
      </c>
      <c r="F4" s="303" t="s">
        <v>386</v>
      </c>
      <c r="G4" s="301" t="s">
        <v>386</v>
      </c>
      <c r="H4" s="135">
        <f>SUM(C4:D4)</f>
        <v>205</v>
      </c>
    </row>
    <row r="5" spans="1:10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301">
        <f>Parameters!B2</f>
        <v>12</v>
      </c>
      <c r="F5" s="140">
        <f>Parameters!$B$2</f>
        <v>12</v>
      </c>
      <c r="G5" s="140">
        <f>Parameters!$B$2</f>
        <v>12</v>
      </c>
      <c r="H5" s="135"/>
    </row>
    <row r="6" spans="1:10" ht="16">
      <c r="A6" s="135" t="s">
        <v>455</v>
      </c>
      <c r="B6" s="133"/>
      <c r="C6" s="305">
        <v>0</v>
      </c>
      <c r="D6" s="140">
        <v>0</v>
      </c>
      <c r="E6" s="301">
        <f>Parameters!B75*Parameters!B74</f>
        <v>1250</v>
      </c>
      <c r="F6" s="140">
        <v>0</v>
      </c>
      <c r="G6" s="140">
        <v>0</v>
      </c>
      <c r="H6" s="135">
        <f>SUM(C6:G6)</f>
        <v>1250</v>
      </c>
    </row>
    <row r="7" spans="1:10" ht="16">
      <c r="A7" s="135" t="s">
        <v>146</v>
      </c>
      <c r="B7" s="133"/>
      <c r="C7" s="299">
        <f>Parameters!D9</f>
        <v>13</v>
      </c>
      <c r="D7" s="299">
        <f>ROUNDUP(SUM(Parameters!B32:B33),0)</f>
        <v>4</v>
      </c>
      <c r="E7" s="299">
        <f>Parameters!B78+Parameters!B92</f>
        <v>2</v>
      </c>
      <c r="F7" s="299">
        <f>SUM(Parameters!B96:B99)</f>
        <v>5</v>
      </c>
      <c r="G7" s="299">
        <f>SUM(Parameters!B112:'Parameters'!B113)</f>
        <v>2</v>
      </c>
      <c r="H7" s="300">
        <f>SUM(C7:E7)</f>
        <v>19</v>
      </c>
    </row>
    <row r="8" spans="1:10" ht="16">
      <c r="A8" s="135" t="s">
        <v>257</v>
      </c>
      <c r="B8" s="133"/>
      <c r="C8" s="299">
        <v>0</v>
      </c>
      <c r="D8" s="299">
        <f>ROUNDUP('Assumptions and Parameters'!$E$32,0)</f>
        <v>3</v>
      </c>
      <c r="E8" s="299">
        <v>0</v>
      </c>
      <c r="F8" s="299">
        <v>0</v>
      </c>
      <c r="G8" s="299">
        <v>0</v>
      </c>
      <c r="H8" s="300">
        <f>SUM(C8:E8)</f>
        <v>3</v>
      </c>
    </row>
    <row r="9" spans="1:10" ht="16">
      <c r="A9" s="136"/>
      <c r="B9" s="137"/>
      <c r="C9" s="134" t="s">
        <v>76</v>
      </c>
      <c r="D9" s="134" t="s">
        <v>88</v>
      </c>
      <c r="E9" s="134" t="s">
        <v>96</v>
      </c>
      <c r="F9" s="134" t="s">
        <v>259</v>
      </c>
      <c r="G9" s="134" t="s">
        <v>260</v>
      </c>
      <c r="H9" s="134" t="s">
        <v>12</v>
      </c>
    </row>
    <row r="10" spans="1:10" ht="16">
      <c r="A10" s="138" t="s">
        <v>148</v>
      </c>
      <c r="B10" s="133"/>
      <c r="C10" s="139"/>
      <c r="D10" s="139"/>
      <c r="E10" s="139"/>
      <c r="F10" s="139"/>
      <c r="G10" s="139"/>
      <c r="H10" s="140"/>
    </row>
    <row r="11" spans="1:10">
      <c r="A11" s="326" t="s">
        <v>404</v>
      </c>
      <c r="B11" s="100"/>
      <c r="C11" s="100"/>
      <c r="D11" s="100"/>
      <c r="E11" s="100"/>
      <c r="F11" s="100"/>
      <c r="G11" s="100"/>
      <c r="H11" s="100"/>
    </row>
    <row r="12" spans="1:10" ht="16">
      <c r="A12" s="141" t="s">
        <v>258</v>
      </c>
      <c r="B12" s="133"/>
      <c r="C12" s="362">
        <f>(C7*Parameters!$C$9)+ (Parameters!$C$62*Parameters!B142)</f>
        <v>897250</v>
      </c>
      <c r="D12" s="362">
        <f>Parameters!$B$34*(Parameters!$C$34) +Parameters!$B$33*(Parameters!$C$33)+Parameters!$C$32 + (Parameters!$C$62*Parameters!C142)</f>
        <v>409250</v>
      </c>
      <c r="E12" s="362">
        <f>(Parameters!B78*Parameters!B79)+(Parameters!B92*Parameters!C92)</f>
        <v>150000</v>
      </c>
      <c r="F12" s="362">
        <f>ROUND(SUM(Parameters!C96:C98)+(Parameters!B99*Parameters!C99),2)</f>
        <v>387500</v>
      </c>
      <c r="G12" s="362">
        <f>(Parameters!$B$112*Parameters!$C$112)+(Parameters!$B$113*Parameters!$C$113)</f>
        <v>150000</v>
      </c>
      <c r="H12" s="363">
        <f>SUM(C12:G12)</f>
        <v>1994000</v>
      </c>
      <c r="I12" s="244"/>
    </row>
    <row r="13" spans="1:10" ht="16">
      <c r="A13" s="141" t="s">
        <v>426</v>
      </c>
      <c r="B13" s="133"/>
      <c r="C13" s="362">
        <f>ROUND(C12*Parameters!$C$128,1)</f>
        <v>55629.5</v>
      </c>
      <c r="D13" s="362">
        <f>ROUND(D12*Parameters!$C$128,1)</f>
        <v>25373.5</v>
      </c>
      <c r="E13" s="362">
        <f>ROUND(E12*Parameters!$C$128,1)</f>
        <v>9300</v>
      </c>
      <c r="F13" s="362">
        <f>ROUND(F12*Parameters!$C$128,1)</f>
        <v>24025</v>
      </c>
      <c r="G13" s="362">
        <f>ROUND(G12*Parameters!$C$128,1)</f>
        <v>9300</v>
      </c>
      <c r="H13" s="363">
        <f>SUM(C13:G13)</f>
        <v>123628</v>
      </c>
    </row>
    <row r="14" spans="1:10" ht="16">
      <c r="A14" s="141" t="s">
        <v>427</v>
      </c>
      <c r="B14" s="133"/>
      <c r="C14" s="362">
        <f>ROUND(C12*Parameters!$C$129,2)</f>
        <v>13010.13</v>
      </c>
      <c r="D14" s="362">
        <f>ROUND(D12*Parameters!$C$129,2)</f>
        <v>5934.13</v>
      </c>
      <c r="E14" s="362">
        <f>ROUND(E12*Parameters!$C$129,2)</f>
        <v>2175</v>
      </c>
      <c r="F14" s="362">
        <f>ROUND(F12*Parameters!$C$129,2)</f>
        <v>5618.75</v>
      </c>
      <c r="G14" s="362">
        <f>ROUND(G12*Parameters!$C$129,2)</f>
        <v>2175</v>
      </c>
      <c r="H14" s="363">
        <f>SUM(C14:G14)</f>
        <v>28913.01</v>
      </c>
    </row>
    <row r="15" spans="1:10" ht="16">
      <c r="A15" s="141" t="s">
        <v>428</v>
      </c>
      <c r="B15" s="133"/>
      <c r="C15" s="362">
        <f>ROUND(C12*Parameters!$C$127,0)</f>
        <v>71780</v>
      </c>
      <c r="D15" s="362">
        <f>ROUND(D12*Parameters!$C$127,0)</f>
        <v>32740</v>
      </c>
      <c r="E15" s="362">
        <f>ROUND(E12*Parameters!$C$127,0)</f>
        <v>12000</v>
      </c>
      <c r="F15" s="362">
        <f>ROUND(F12*Parameters!$C$127,0)</f>
        <v>31000</v>
      </c>
      <c r="G15" s="362">
        <f>ROUND(G12*Parameters!$C$127,0)</f>
        <v>12000</v>
      </c>
      <c r="H15" s="363">
        <f>SUM(C15:G15)</f>
        <v>159520</v>
      </c>
      <c r="J15" s="244"/>
    </row>
    <row r="16" spans="1:10" ht="16">
      <c r="A16" s="141" t="s">
        <v>429</v>
      </c>
      <c r="B16" s="133"/>
      <c r="C16" s="362">
        <f>Parameters!$C$132*Budget_AllStrat!C12</f>
        <v>67293.75</v>
      </c>
      <c r="D16" s="362">
        <f>(Parameters!$C$132*Budget_AllStrat!D12)</f>
        <v>30693.75</v>
      </c>
      <c r="E16" s="362">
        <f>Parameters!$C$132*Budget_AllStrat!E12</f>
        <v>11250</v>
      </c>
      <c r="F16" s="362">
        <f>ROUND(Parameters!$C$132*Budget_AllStrat!F12,2)</f>
        <v>29062.5</v>
      </c>
      <c r="G16" s="362">
        <f>Parameters!$C$132*Budget_AllStrat!G12</f>
        <v>11250</v>
      </c>
      <c r="H16" s="363">
        <f>SUM(C16:G16)</f>
        <v>149550</v>
      </c>
    </row>
    <row r="17" spans="1:17" ht="16">
      <c r="A17" s="141" t="s">
        <v>430</v>
      </c>
      <c r="B17" s="133"/>
      <c r="C17" s="362">
        <f>(Parameters!$C$131*Budget_AllStrat!C7*Budget_AllStrat!C5)+(Parameters!B142*Parameters!C131*Parameters!B2)</f>
        <v>69105</v>
      </c>
      <c r="D17" s="362">
        <f>(Parameters!$C$131*(Budget_AllStrat!D7+D8)*Budget_AllStrat!C5) + (Parameters!C142*Parameters!C131*Parameters!B2)</f>
        <v>37995</v>
      </c>
      <c r="E17" s="362">
        <f>Parameters!$C$131*Budget_AllStrat!E7*Budget_AllStrat!E5</f>
        <v>10200</v>
      </c>
      <c r="F17" s="362">
        <f>ROUND(Parameters!$C$131*Budget_AllStrat!F7*Budget_AllStrat!F5,2)</f>
        <v>25500</v>
      </c>
      <c r="G17" s="362">
        <f>Parameters!$C$131*Budget_AllStrat!G7*Budget_AllStrat!G5</f>
        <v>10200</v>
      </c>
      <c r="H17" s="363">
        <f>SUM(C17:G17)</f>
        <v>153000</v>
      </c>
      <c r="I17" s="141"/>
      <c r="J17" s="133"/>
      <c r="K17" s="297"/>
      <c r="L17" s="297"/>
      <c r="M17" s="297"/>
      <c r="N17" s="297"/>
      <c r="O17" s="321"/>
      <c r="P17" s="297"/>
      <c r="Q17" s="319"/>
    </row>
    <row r="18" spans="1:17" ht="16">
      <c r="A18" s="141" t="s">
        <v>431</v>
      </c>
      <c r="B18" s="133"/>
      <c r="C18" s="362">
        <f>Parameters!$B$20*Parameters!$B$9</f>
        <v>13750</v>
      </c>
      <c r="D18" s="362">
        <f>Parameters!$B$50*(Parameters!$B$33+Parameters!$B$34)</f>
        <v>4500</v>
      </c>
      <c r="E18" s="362">
        <f>Parameters!B88*Parameters!B78</f>
        <v>3000</v>
      </c>
      <c r="F18" s="362">
        <v>0</v>
      </c>
      <c r="G18" s="362">
        <v>0</v>
      </c>
      <c r="H18" s="363">
        <f>SUM(C18:G18)</f>
        <v>21250</v>
      </c>
    </row>
    <row r="19" spans="1:17" ht="16">
      <c r="A19" s="141"/>
      <c r="B19" s="133"/>
      <c r="C19" s="362"/>
      <c r="D19" s="362"/>
      <c r="E19" s="362"/>
      <c r="F19" s="362"/>
      <c r="G19" s="362"/>
      <c r="H19" s="363"/>
    </row>
    <row r="20" spans="1:17" ht="16">
      <c r="A20" s="306" t="s">
        <v>337</v>
      </c>
      <c r="B20" s="133"/>
      <c r="C20" s="362"/>
      <c r="D20" s="362"/>
      <c r="E20" s="362"/>
      <c r="F20" s="362"/>
      <c r="G20" s="362"/>
      <c r="H20" s="363"/>
    </row>
    <row r="21" spans="1:17" ht="16">
      <c r="A21" s="141" t="s">
        <v>425</v>
      </c>
      <c r="B21" s="142"/>
      <c r="C21" s="362"/>
      <c r="D21" s="362">
        <f>Parameters!$B$51*(Parameters!$B$28+Parameters!$B$29)</f>
        <v>24000</v>
      </c>
      <c r="E21" s="362">
        <f>Parameters!B89</f>
        <v>65000</v>
      </c>
      <c r="F21" s="362">
        <f>SUM(Parameters!B107:B108)</f>
        <v>16850</v>
      </c>
      <c r="G21" s="362">
        <f>SUM(Parameters!B115:B117)</f>
        <v>16350</v>
      </c>
      <c r="H21" s="363">
        <f>SUM(C21:G21)</f>
        <v>122200</v>
      </c>
    </row>
    <row r="22" spans="1:17" ht="16">
      <c r="A22" s="141" t="s">
        <v>432</v>
      </c>
      <c r="B22" s="133"/>
      <c r="C22" s="362">
        <f>(ROUND((Parameters!$B$102*Parameters!$B$2)+SUM(Parameters!$B$103:$B$106),0))*Parameters!B139</f>
        <v>159000</v>
      </c>
      <c r="D22" s="362">
        <f>(ROUND((Parameters!$B$102*Parameters!$B$2)+SUM(Parameters!$B$103:$B$106),0))*Parameters!C139</f>
        <v>119250</v>
      </c>
      <c r="E22" s="362">
        <f>(ROUND((Parameters!$B$102*Parameters!$B$2)+SUM(Parameters!$B$103:$B$106),0))*Parameters!D139</f>
        <v>79500</v>
      </c>
      <c r="F22" s="362">
        <f>(ROUND((Parameters!$B$102*Parameters!$B$2)+SUM(Parameters!$B$103:$B$106),0))*Parameters!E139</f>
        <v>31800</v>
      </c>
      <c r="G22" s="362">
        <f>(ROUND((Parameters!$B$102*Parameters!$B$2)+SUM(Parameters!$B$103:$B$106),0))*Parameters!F139</f>
        <v>7950</v>
      </c>
      <c r="H22" s="363">
        <f>SUM(C22:G22)</f>
        <v>397500</v>
      </c>
    </row>
    <row r="23" spans="1:17" ht="16">
      <c r="A23" s="141" t="s">
        <v>433</v>
      </c>
      <c r="B23" s="133"/>
      <c r="C23" s="362"/>
      <c r="D23" s="362"/>
      <c r="E23" s="362"/>
      <c r="F23" s="362"/>
      <c r="G23" s="362">
        <f>Parameters!B118</f>
        <v>42000</v>
      </c>
      <c r="H23" s="363">
        <f>SUM(C23:G23)</f>
        <v>42000</v>
      </c>
      <c r="I23" s="92"/>
    </row>
    <row r="24" spans="1:17">
      <c r="A24" s="100"/>
      <c r="B24" s="360" t="s">
        <v>468</v>
      </c>
      <c r="C24" s="364"/>
      <c r="D24" s="364"/>
      <c r="E24" s="364"/>
      <c r="F24" s="364"/>
      <c r="G24" s="364"/>
      <c r="H24" s="364"/>
    </row>
    <row r="25" spans="1:17" ht="16">
      <c r="A25" s="145" t="s">
        <v>151</v>
      </c>
      <c r="B25" s="146"/>
      <c r="C25" s="365">
        <f>SUM(C12:C17)+SUM(C18:C22)</f>
        <v>1346818.38</v>
      </c>
      <c r="D25" s="365">
        <f>SUM(D12:D17)+SUM(D18:D22)</f>
        <v>689736.38</v>
      </c>
      <c r="E25" s="365">
        <f>SUM(E12:E17)+SUM(E18:E22)</f>
        <v>342425</v>
      </c>
      <c r="F25" s="365">
        <f>SUM(F12:F22)</f>
        <v>551356.25</v>
      </c>
      <c r="G25" s="365">
        <f>SUM(G12:G22)</f>
        <v>219225</v>
      </c>
      <c r="H25" s="365">
        <f>SUM(H11:H23)</f>
        <v>3191561.01</v>
      </c>
    </row>
    <row r="26" spans="1:17" ht="16">
      <c r="A26" s="148" t="s">
        <v>385</v>
      </c>
      <c r="B26" s="149"/>
      <c r="C26" s="366">
        <f>C25/C4</f>
        <v>9288.4026206896542</v>
      </c>
      <c r="D26" s="366">
        <f>D25/D4</f>
        <v>11495.606333333333</v>
      </c>
      <c r="E26" s="366">
        <f>E25/H4</f>
        <v>1670.3658536585365</v>
      </c>
      <c r="F26" s="366">
        <f>F25/H4</f>
        <v>2689.5426829268295</v>
      </c>
      <c r="G26" s="366">
        <f>G25/H4</f>
        <v>1069.3902439024391</v>
      </c>
      <c r="H26" s="366">
        <f>H25/H$4</f>
        <v>15568.590292682926</v>
      </c>
      <c r="I26" s="92"/>
    </row>
    <row r="27" spans="1:17" ht="16">
      <c r="A27" s="132"/>
      <c r="B27" s="149"/>
      <c r="C27" s="367"/>
      <c r="D27" s="367"/>
      <c r="E27" s="367"/>
      <c r="F27" s="367"/>
      <c r="G27" s="367"/>
      <c r="H27" s="368"/>
    </row>
    <row r="28" spans="1:17" ht="16">
      <c r="A28" s="140" t="s">
        <v>152</v>
      </c>
      <c r="B28" s="133"/>
      <c r="C28" s="367"/>
      <c r="D28" s="367"/>
      <c r="E28" s="367"/>
      <c r="F28" s="367"/>
      <c r="G28" s="367"/>
      <c r="H28" s="368"/>
    </row>
    <row r="29" spans="1:17" ht="16">
      <c r="A29" s="141" t="s">
        <v>259</v>
      </c>
      <c r="B29" s="142" t="s">
        <v>423</v>
      </c>
      <c r="C29" s="362">
        <f>$F$25*C55</f>
        <v>325801.42045454547</v>
      </c>
      <c r="D29" s="362">
        <f>$F$25*D55</f>
        <v>175431.53409090909</v>
      </c>
      <c r="E29" s="362">
        <f>$F$25*E55</f>
        <v>50123.295454545456</v>
      </c>
      <c r="F29" s="362">
        <f>-F25</f>
        <v>-551356.25</v>
      </c>
      <c r="G29" s="363"/>
      <c r="H29" s="363">
        <f>SUM(C29:F29)</f>
        <v>0</v>
      </c>
    </row>
    <row r="30" spans="1:17" ht="16">
      <c r="A30" s="141" t="s">
        <v>420</v>
      </c>
      <c r="B30" s="142" t="s">
        <v>421</v>
      </c>
      <c r="C30" s="362">
        <f>$G$25*C56</f>
        <v>124110.4545401849</v>
      </c>
      <c r="D30" s="362">
        <f>$G$25*D56</f>
        <v>63559.79165854695</v>
      </c>
      <c r="E30" s="362">
        <f>$G$25*E56</f>
        <v>31554.753801268158</v>
      </c>
      <c r="F30" s="362"/>
      <c r="G30" s="362">
        <f>-G25</f>
        <v>-219225</v>
      </c>
      <c r="H30" s="363">
        <f>SUM(C30:G30)</f>
        <v>0</v>
      </c>
      <c r="I30" s="92"/>
    </row>
    <row r="31" spans="1:17" ht="16">
      <c r="A31" s="141"/>
      <c r="B31" s="142"/>
      <c r="C31" s="362"/>
      <c r="D31" s="362"/>
      <c r="E31" s="362"/>
      <c r="F31" s="362"/>
      <c r="G31" s="362"/>
      <c r="H31" s="363"/>
    </row>
    <row r="32" spans="1:17" ht="16">
      <c r="A32" s="145" t="s">
        <v>153</v>
      </c>
      <c r="B32" s="146"/>
      <c r="C32" s="365">
        <f t="shared" ref="C32:H32" si="0">SUM(C29:C30)</f>
        <v>449911.87499473034</v>
      </c>
      <c r="D32" s="365">
        <f t="shared" si="0"/>
        <v>238991.32574945604</v>
      </c>
      <c r="E32" s="365">
        <f t="shared" si="0"/>
        <v>81678.049255813617</v>
      </c>
      <c r="F32" s="365">
        <f t="shared" si="0"/>
        <v>-551356.25</v>
      </c>
      <c r="G32" s="365">
        <f t="shared" si="0"/>
        <v>-219225</v>
      </c>
      <c r="H32" s="365">
        <f t="shared" si="0"/>
        <v>0</v>
      </c>
    </row>
    <row r="33" spans="1:9" ht="16">
      <c r="A33" s="148" t="s">
        <v>388</v>
      </c>
      <c r="B33" s="149"/>
      <c r="C33" s="369">
        <f>C32/C$4</f>
        <v>3102.840517205037</v>
      </c>
      <c r="D33" s="369">
        <f>D32/D4</f>
        <v>3983.1887624909341</v>
      </c>
      <c r="E33" s="369">
        <f>E32/H4</f>
        <v>398.42950856494446</v>
      </c>
      <c r="F33" s="369">
        <f>F32/H4</f>
        <v>-2689.5426829268295</v>
      </c>
      <c r="G33" s="369">
        <f>G32/H4</f>
        <v>-1069.3902439024391</v>
      </c>
      <c r="H33" s="369">
        <f>H32/H$4</f>
        <v>0</v>
      </c>
    </row>
    <row r="34" spans="1:9" ht="16">
      <c r="A34" s="132"/>
      <c r="B34" s="133"/>
      <c r="C34" s="367"/>
      <c r="D34" s="367"/>
      <c r="E34" s="367"/>
      <c r="F34" s="367"/>
      <c r="G34" s="367"/>
      <c r="H34" s="368"/>
    </row>
    <row r="35" spans="1:9" ht="17" thickBot="1">
      <c r="A35" s="153" t="s">
        <v>154</v>
      </c>
      <c r="B35" s="154"/>
      <c r="C35" s="370">
        <f t="shared" ref="C35:H35" si="1">C32+C25</f>
        <v>1796730.2549947302</v>
      </c>
      <c r="D35" s="370">
        <f t="shared" si="1"/>
        <v>928727.70574945607</v>
      </c>
      <c r="E35" s="370">
        <f t="shared" si="1"/>
        <v>424103.04925581359</v>
      </c>
      <c r="F35" s="370">
        <f t="shared" si="1"/>
        <v>0</v>
      </c>
      <c r="G35" s="370">
        <f t="shared" si="1"/>
        <v>0</v>
      </c>
      <c r="H35" s="370">
        <f t="shared" si="1"/>
        <v>3191561.01</v>
      </c>
    </row>
    <row r="36" spans="1:9" ht="16">
      <c r="A36" s="148" t="s">
        <v>389</v>
      </c>
      <c r="B36" s="149"/>
      <c r="C36" s="366">
        <f>C35/C$4</f>
        <v>12391.243137894691</v>
      </c>
      <c r="D36" s="366">
        <f>D35/D4</f>
        <v>15478.795095824267</v>
      </c>
      <c r="E36" s="366">
        <f>E35/H4</f>
        <v>2068.7953622234809</v>
      </c>
      <c r="F36" s="366">
        <f>F35/H4</f>
        <v>0</v>
      </c>
      <c r="G36" s="366">
        <f>G35/H4</f>
        <v>0</v>
      </c>
      <c r="H36" s="371">
        <f>H35/H4</f>
        <v>15568.590292682926</v>
      </c>
    </row>
    <row r="37" spans="1:9" ht="16">
      <c r="A37" s="148"/>
      <c r="B37" s="149"/>
      <c r="C37" s="369"/>
      <c r="D37" s="369"/>
      <c r="E37" s="369"/>
      <c r="F37" s="369"/>
      <c r="G37" s="369"/>
      <c r="H37" s="372"/>
    </row>
    <row r="38" spans="1:9" ht="16">
      <c r="A38" s="145" t="s">
        <v>390</v>
      </c>
      <c r="B38" s="307"/>
      <c r="C38" s="373"/>
      <c r="D38" s="373"/>
      <c r="E38" s="373"/>
      <c r="F38" s="374"/>
      <c r="G38" s="374"/>
      <c r="H38" s="375"/>
    </row>
    <row r="39" spans="1:9" ht="16">
      <c r="A39" s="141" t="s">
        <v>391</v>
      </c>
      <c r="B39" s="149"/>
      <c r="C39" s="376"/>
      <c r="D39" s="376"/>
      <c r="E39" s="376">
        <f>Parameters!B91</f>
        <v>130000</v>
      </c>
      <c r="F39" s="377"/>
      <c r="G39" s="378">
        <f>Parameters!B134</f>
        <v>450000</v>
      </c>
      <c r="H39" s="379">
        <f>SUM(C39:G39)</f>
        <v>580000</v>
      </c>
    </row>
    <row r="40" spans="1:9" ht="16">
      <c r="A40" s="309" t="s">
        <v>392</v>
      </c>
      <c r="B40" s="149"/>
      <c r="C40" s="376"/>
      <c r="D40" s="376"/>
      <c r="E40" s="376"/>
      <c r="F40" s="377"/>
      <c r="G40" s="377">
        <f xml:space="preserve"> SUM(Parameters!B121*Parameters!C121, Parameters!B122*Parameters!C122, Parameters!B123*Parameters!C123)/SUM(Parameters!C121:C123)</f>
        <v>675000</v>
      </c>
      <c r="H40" s="379">
        <f xml:space="preserve"> SUM(C40:G40)</f>
        <v>675000</v>
      </c>
      <c r="I40" s="92" t="s">
        <v>393</v>
      </c>
    </row>
    <row r="41" spans="1:9" ht="16">
      <c r="A41" s="309" t="s">
        <v>236</v>
      </c>
      <c r="B41" s="149"/>
      <c r="C41" s="376">
        <f>Parameters!B13*Parameters!B4*Parameters!B2</f>
        <v>870000</v>
      </c>
      <c r="D41" s="376"/>
      <c r="E41" s="376"/>
      <c r="F41" s="377"/>
      <c r="G41" s="377"/>
      <c r="H41" s="379">
        <f>SUM(C41:G41)</f>
        <v>870000</v>
      </c>
    </row>
    <row r="42" spans="1:9" ht="16">
      <c r="A42" s="309" t="s">
        <v>394</v>
      </c>
      <c r="B42" s="149"/>
      <c r="C42" s="376">
        <f>Parameters!B14*Parameters!B2*(Parameters!B15*C4)</f>
        <v>413250</v>
      </c>
      <c r="D42" s="376"/>
      <c r="E42" s="376"/>
      <c r="F42" s="377"/>
      <c r="G42" s="377"/>
      <c r="H42" s="379">
        <f>SUM(C42:G42)</f>
        <v>413250</v>
      </c>
    </row>
    <row r="43" spans="1:9" ht="16">
      <c r="A43" s="309" t="s">
        <v>410</v>
      </c>
      <c r="B43" s="149"/>
      <c r="C43" s="376"/>
      <c r="D43" s="376">
        <f>Parameters!B26*((Parameters!B36*Parameters!B40*Parameters!B39)+(Parameters!B42*Parameters!B45*Parameters!B46))</f>
        <v>511875</v>
      </c>
      <c r="E43" s="376"/>
      <c r="F43" s="377"/>
      <c r="G43" s="377"/>
      <c r="H43" s="379">
        <f>SUM(C43:G43)</f>
        <v>511875</v>
      </c>
    </row>
    <row r="44" spans="1:9" ht="16">
      <c r="A44" s="309" t="s">
        <v>405</v>
      </c>
      <c r="B44" s="149"/>
      <c r="C44" s="376"/>
      <c r="D44" s="376">
        <f>Parameters!B26*((Parameters!B37*Parameters!B38)+(Parameters!B43*Parameters!B44)+(Parameters!B36*Parameters!B39*Parameters!B41*Parameters!B48)+(Parameters!B42*Parameters!B45*Parameters!B47*Parameters!B48))</f>
        <v>379968.75</v>
      </c>
      <c r="E44" s="376"/>
      <c r="F44" s="377"/>
      <c r="G44" s="377"/>
      <c r="H44" s="379">
        <f>SUM(C44:G44)</f>
        <v>379968.75</v>
      </c>
    </row>
    <row r="45" spans="1:9" ht="16">
      <c r="A45" s="309" t="s">
        <v>454</v>
      </c>
      <c r="B45" s="149"/>
      <c r="C45" s="376"/>
      <c r="D45" s="376"/>
      <c r="E45" s="376">
        <f>Parameters!B81*Parameters!B82*Budget_AllStrat!E6</f>
        <v>351562.5</v>
      </c>
      <c r="F45" s="377"/>
      <c r="G45" s="377"/>
      <c r="H45" s="379">
        <f>SUM(C45:G45)</f>
        <v>351562.5</v>
      </c>
      <c r="I45" s="92" t="s">
        <v>398</v>
      </c>
    </row>
    <row r="46" spans="1:9" ht="16">
      <c r="A46" s="309"/>
      <c r="B46" s="133"/>
      <c r="C46" s="376"/>
      <c r="D46" s="376"/>
      <c r="E46" s="377"/>
      <c r="F46" s="377"/>
      <c r="G46" s="377"/>
      <c r="H46" s="380"/>
    </row>
    <row r="47" spans="1:9" ht="17" thickBot="1">
      <c r="A47" s="153" t="s">
        <v>111</v>
      </c>
      <c r="B47" s="154"/>
      <c r="C47" s="370">
        <f>SUM(C39:C46)</f>
        <v>1283250</v>
      </c>
      <c r="D47" s="370">
        <f>SUM(D39:D46)</f>
        <v>891843.75</v>
      </c>
      <c r="E47" s="370">
        <f>SUM(E39:E45)</f>
        <v>481562.5</v>
      </c>
      <c r="F47" s="370">
        <f>SUM(F39:F45)</f>
        <v>0</v>
      </c>
      <c r="G47" s="370">
        <f>SUM(G39:G45)</f>
        <v>1125000</v>
      </c>
      <c r="H47" s="370">
        <f>SUM(H39:H45)</f>
        <v>3781656.25</v>
      </c>
    </row>
    <row r="48" spans="1:9" ht="16">
      <c r="A48" s="140"/>
      <c r="B48" s="133"/>
      <c r="C48" s="381"/>
      <c r="D48" s="381"/>
      <c r="E48" s="381"/>
      <c r="F48" s="381"/>
      <c r="G48" s="381"/>
      <c r="H48" s="368"/>
      <c r="I48">
        <v>-279499</v>
      </c>
    </row>
    <row r="49" spans="1:10" ht="17" thickBot="1">
      <c r="A49" s="153" t="s">
        <v>155</v>
      </c>
      <c r="B49" s="154"/>
      <c r="C49" s="370">
        <f>+C47-C35</f>
        <v>-513480.25499473023</v>
      </c>
      <c r="D49" s="370">
        <f>+D47-D35</f>
        <v>-36883.955749456072</v>
      </c>
      <c r="E49" s="370">
        <f>+E47-E35</f>
        <v>57459.450744186412</v>
      </c>
      <c r="F49" s="370">
        <f>+F47-F35</f>
        <v>0</v>
      </c>
      <c r="G49" s="370">
        <f>+G47-G35</f>
        <v>1125000</v>
      </c>
      <c r="H49" s="370">
        <f>+H47-H35</f>
        <v>590095.24000000022</v>
      </c>
      <c r="I49" s="317" t="s">
        <v>451</v>
      </c>
      <c r="J49" s="317" t="s">
        <v>415</v>
      </c>
    </row>
    <row r="50" spans="1:10" ht="16">
      <c r="A50" s="148" t="s">
        <v>156</v>
      </c>
      <c r="B50" s="149"/>
      <c r="C50" s="150">
        <f>+C49/C4</f>
        <v>-3541.2431378946912</v>
      </c>
      <c r="D50" s="150">
        <f>+D49/D4</f>
        <v>-614.73259582426783</v>
      </c>
      <c r="E50" s="150">
        <f>+E49/E4</f>
        <v>280.29000363017764</v>
      </c>
      <c r="F50" s="150"/>
      <c r="G50" s="150"/>
      <c r="H50" s="156">
        <f>+H49/H4</f>
        <v>2878.5133658536597</v>
      </c>
      <c r="I50" s="244">
        <f>I48-H49</f>
        <v>-869594.24000000022</v>
      </c>
    </row>
    <row r="51" spans="1:10" ht="16">
      <c r="A51" s="132" t="s">
        <v>157</v>
      </c>
      <c r="B51" s="133"/>
      <c r="C51" s="157">
        <f>+C49/C35</f>
        <v>-0.28578594564615722</v>
      </c>
      <c r="D51" s="157">
        <f>+D49/D35</f>
        <v>-3.9714499224174429E-2</v>
      </c>
      <c r="E51" s="157">
        <f>+E49/E35</f>
        <v>0.13548464422741652</v>
      </c>
      <c r="F51" s="157">
        <f>+F49/0.01</f>
        <v>0</v>
      </c>
      <c r="G51" s="157" t="s">
        <v>386</v>
      </c>
      <c r="H51" s="361">
        <f>+H49/H35</f>
        <v>0.1848923577368807</v>
      </c>
    </row>
    <row r="52" spans="1:10" ht="16">
      <c r="A52" s="132"/>
      <c r="B52" s="133"/>
      <c r="C52" s="132"/>
      <c r="D52" s="132"/>
      <c r="E52" s="132"/>
      <c r="F52" s="132"/>
      <c r="G52" s="132"/>
      <c r="H52" s="140"/>
      <c r="I52" s="244">
        <f>+H47-H35</f>
        <v>590095.24000000022</v>
      </c>
    </row>
    <row r="53" spans="1:10" ht="16">
      <c r="A53" s="140" t="s">
        <v>158</v>
      </c>
      <c r="B53" s="133"/>
      <c r="C53" s="132"/>
      <c r="D53" s="132"/>
      <c r="E53" s="132"/>
      <c r="F53" s="132"/>
      <c r="G53" s="132"/>
      <c r="H53" s="140"/>
    </row>
    <row r="54" spans="1:10" ht="17" thickBot="1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ROUND((Parameters!E137)+(SUM(Parameters!$F$137:$G$137)/4),4)</f>
        <v>0.125</v>
      </c>
      <c r="F54" s="158"/>
      <c r="G54" s="158"/>
      <c r="H54" s="140"/>
      <c r="I54" s="155">
        <v>590095</v>
      </c>
    </row>
    <row r="55" spans="1:10" ht="16">
      <c r="A55" s="132" t="s">
        <v>407</v>
      </c>
      <c r="B55" s="149"/>
      <c r="C55" s="328">
        <f>(C7+C8)/($H$7+$H$8)</f>
        <v>0.59090909090909094</v>
      </c>
      <c r="D55" s="328">
        <f>(D7+D8)/($H$7+$H$8)</f>
        <v>0.31818181818181818</v>
      </c>
      <c r="E55" s="328">
        <f>(E7+E8)/($H$7+$H$8)</f>
        <v>9.0909090909090912E-2</v>
      </c>
      <c r="F55" s="158"/>
      <c r="G55" s="158"/>
      <c r="H55" s="140"/>
    </row>
    <row r="56" spans="1:10" ht="16">
      <c r="A56" s="159" t="s">
        <v>422</v>
      </c>
      <c r="B56" s="149"/>
      <c r="C56" s="327">
        <f>C25/SUM($C$25:$E$25)</f>
        <v>0.56613276104543231</v>
      </c>
      <c r="D56" s="327">
        <f>D25/SUM($C$25:$E$25)</f>
        <v>0.28992948641143551</v>
      </c>
      <c r="E56" s="327">
        <f>E25/SUM($C$25:$E$25)</f>
        <v>0.14393775254313221</v>
      </c>
      <c r="F56" s="322"/>
      <c r="G56" s="322"/>
      <c r="H56" s="140"/>
    </row>
    <row r="58" spans="1:10">
      <c r="A58" s="92" t="s">
        <v>115</v>
      </c>
    </row>
    <row r="59" spans="1:10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0">
      <c r="A60" s="92" t="s">
        <v>413</v>
      </c>
    </row>
    <row r="61" spans="1:10">
      <c r="A61" s="92" t="s">
        <v>417</v>
      </c>
    </row>
    <row r="62" spans="1:10">
      <c r="A62" s="92" t="s">
        <v>418</v>
      </c>
    </row>
    <row r="63" spans="1:10">
      <c r="B63" s="92" t="s">
        <v>414</v>
      </c>
    </row>
  </sheetData>
  <mergeCells count="3">
    <mergeCell ref="A1:H1"/>
    <mergeCell ref="C2:E2"/>
    <mergeCell ref="F2:G2"/>
  </mergeCells>
  <pageMargins left="0.7" right="0.7" top="0.75" bottom="0.75" header="0.3" footer="0.3"/>
  <ignoredErrors>
    <ignoredError sqref="G40" formulaRange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0495-C5CD-174C-B7AA-542AA93E0543}">
  <dimension ref="A1:Q63"/>
  <sheetViews>
    <sheetView topLeftCell="A24" workbookViewId="0">
      <selection activeCell="D44" sqref="D44"/>
    </sheetView>
  </sheetViews>
  <sheetFormatPr baseColWidth="10" defaultRowHeight="13"/>
  <cols>
    <col min="1" max="1" width="27.33203125" customWidth="1"/>
    <col min="2" max="2" width="17.33203125" customWidth="1"/>
    <col min="3" max="4" width="19.33203125" customWidth="1"/>
    <col min="5" max="6" width="17.33203125" customWidth="1"/>
    <col min="7" max="7" width="15.83203125" customWidth="1"/>
    <col min="8" max="8" width="26" customWidth="1"/>
    <col min="9" max="9" width="20.1640625" customWidth="1"/>
    <col min="10" max="14" width="11.1640625" bestFit="1" customWidth="1"/>
    <col min="15" max="15" width="12.5" bestFit="1" customWidth="1"/>
    <col min="16" max="16" width="11" bestFit="1" customWidth="1"/>
    <col min="17" max="17" width="12" bestFit="1" customWidth="1"/>
  </cols>
  <sheetData>
    <row r="1" spans="1:10" ht="21">
      <c r="A1" s="334" t="s">
        <v>256</v>
      </c>
      <c r="B1" s="334"/>
      <c r="C1" s="334"/>
      <c r="D1" s="334"/>
      <c r="E1" s="334"/>
      <c r="F1" s="334"/>
      <c r="G1" s="334"/>
      <c r="H1" s="334"/>
    </row>
    <row r="2" spans="1:10" ht="21">
      <c r="A2" s="228"/>
      <c r="B2" s="228"/>
      <c r="C2" s="335" t="s">
        <v>262</v>
      </c>
      <c r="D2" s="335"/>
      <c r="E2" s="335"/>
      <c r="F2" s="335" t="s">
        <v>261</v>
      </c>
      <c r="G2" s="335"/>
      <c r="H2" s="228"/>
    </row>
    <row r="3" spans="1:10" ht="16">
      <c r="A3" s="132"/>
      <c r="B3" s="133"/>
      <c r="C3" s="134" t="s">
        <v>76</v>
      </c>
      <c r="D3" s="134" t="s">
        <v>88</v>
      </c>
      <c r="E3" s="134" t="s">
        <v>96</v>
      </c>
      <c r="F3" s="134" t="s">
        <v>259</v>
      </c>
      <c r="G3" s="134" t="s">
        <v>260</v>
      </c>
      <c r="H3" s="134" t="s">
        <v>416</v>
      </c>
    </row>
    <row r="4" spans="1:10" ht="16">
      <c r="A4" s="302" t="s">
        <v>384</v>
      </c>
      <c r="B4" s="133"/>
      <c r="C4" s="296">
        <f>Parameters!B4</f>
        <v>145</v>
      </c>
      <c r="D4" s="132">
        <f>Parameters!$B$27</f>
        <v>60</v>
      </c>
      <c r="E4" s="132">
        <f>SUM(C4:D4)</f>
        <v>205</v>
      </c>
      <c r="F4" s="303" t="s">
        <v>386</v>
      </c>
      <c r="G4" s="301" t="s">
        <v>386</v>
      </c>
      <c r="H4" s="135">
        <f>SUM(C4:D4)</f>
        <v>205</v>
      </c>
    </row>
    <row r="5" spans="1:10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301">
        <f>Parameters!B2</f>
        <v>12</v>
      </c>
      <c r="F5" s="140">
        <f>Parameters!$B$2</f>
        <v>12</v>
      </c>
      <c r="G5" s="140">
        <f>Parameters!$B$2</f>
        <v>12</v>
      </c>
      <c r="H5" s="135"/>
    </row>
    <row r="6" spans="1:10" ht="16">
      <c r="A6" s="135" t="s">
        <v>455</v>
      </c>
      <c r="B6" s="133"/>
      <c r="C6" s="305">
        <v>0</v>
      </c>
      <c r="D6" s="140">
        <v>0</v>
      </c>
      <c r="E6" s="301">
        <f>Parameters!B75*Parameters!B74</f>
        <v>1250</v>
      </c>
      <c r="F6" s="140">
        <v>0</v>
      </c>
      <c r="G6" s="140">
        <v>0</v>
      </c>
      <c r="H6" s="135">
        <f>SUM(C6:G6)</f>
        <v>1250</v>
      </c>
    </row>
    <row r="7" spans="1:10" ht="16">
      <c r="A7" s="135" t="s">
        <v>146</v>
      </c>
      <c r="B7" s="133"/>
      <c r="C7" s="299">
        <f>Parameters!D9</f>
        <v>13</v>
      </c>
      <c r="D7" s="299">
        <f>ROUNDUP(SUM(Parameters!B32:B33),0)</f>
        <v>4</v>
      </c>
      <c r="E7" s="299">
        <f>Parameters!B78+Parameters!B92</f>
        <v>2</v>
      </c>
      <c r="F7" s="299">
        <f>SUM(Parameters!B96:B99)</f>
        <v>5</v>
      </c>
      <c r="G7" s="299">
        <f>SUM(Parameters!B112:'Parameters'!B113)</f>
        <v>2</v>
      </c>
      <c r="H7" s="300">
        <f>SUM(C7:E7)</f>
        <v>19</v>
      </c>
    </row>
    <row r="8" spans="1:10" ht="16">
      <c r="A8" s="135" t="s">
        <v>257</v>
      </c>
      <c r="B8" s="133"/>
      <c r="C8" s="299">
        <v>0</v>
      </c>
      <c r="D8" s="299">
        <f>ROUNDUP('Assumptions and Parameters'!$E$32,0)</f>
        <v>3</v>
      </c>
      <c r="E8" s="299">
        <v>0</v>
      </c>
      <c r="F8" s="299">
        <v>0</v>
      </c>
      <c r="G8" s="299">
        <v>0</v>
      </c>
      <c r="H8" s="300">
        <f>SUM(C8:E8)</f>
        <v>3</v>
      </c>
    </row>
    <row r="9" spans="1:10" ht="16">
      <c r="A9" s="136"/>
      <c r="B9" s="137" t="s">
        <v>147</v>
      </c>
      <c r="C9" s="134" t="s">
        <v>76</v>
      </c>
      <c r="D9" s="134" t="s">
        <v>88</v>
      </c>
      <c r="E9" s="134" t="s">
        <v>96</v>
      </c>
      <c r="F9" s="134" t="s">
        <v>259</v>
      </c>
      <c r="G9" s="134" t="s">
        <v>260</v>
      </c>
      <c r="H9" s="134" t="s">
        <v>12</v>
      </c>
    </row>
    <row r="10" spans="1:10" ht="16">
      <c r="A10" s="138" t="s">
        <v>148</v>
      </c>
      <c r="B10" s="133"/>
      <c r="C10" s="139"/>
      <c r="D10" s="139"/>
      <c r="E10" s="139"/>
      <c r="F10" s="139"/>
      <c r="G10" s="139"/>
      <c r="H10" s="140"/>
    </row>
    <row r="11" spans="1:10">
      <c r="A11" s="326" t="s">
        <v>404</v>
      </c>
      <c r="B11" s="100"/>
      <c r="C11" s="100"/>
      <c r="D11" s="100"/>
      <c r="E11" s="100"/>
      <c r="F11" s="100"/>
      <c r="G11" s="100"/>
      <c r="H11" s="100"/>
    </row>
    <row r="12" spans="1:10" ht="16">
      <c r="A12" s="141" t="s">
        <v>258</v>
      </c>
      <c r="B12" s="133" t="s">
        <v>150</v>
      </c>
      <c r="C12" s="143">
        <f>(C7*Parameters!$C$9)+ (Parameters!$C$62*Parameters!B142)</f>
        <v>897250</v>
      </c>
      <c r="D12" s="143">
        <f>Parameters!$B$34*(Parameters!$C$34) +Parameters!$B$33*(Parameters!$C$33)+Parameters!$C$32 + (Parameters!$C$62*Parameters!C142)</f>
        <v>409250</v>
      </c>
      <c r="E12" s="143">
        <f>(Parameters!B78*Parameters!B79)+(Parameters!B92*Parameters!C92)</f>
        <v>150000</v>
      </c>
      <c r="F12" s="143">
        <f>ROUND(SUM(Parameters!C96:C98)+(Parameters!B99*Parameters!C99),2)</f>
        <v>387500</v>
      </c>
      <c r="G12" s="143">
        <f>(Parameters!$B$112*Parameters!$C$112)+(Parameters!$B$113*Parameters!$C$113)</f>
        <v>150000</v>
      </c>
      <c r="H12" s="144">
        <f>SUM(C12:G12)</f>
        <v>1994000</v>
      </c>
      <c r="I12" s="244"/>
    </row>
    <row r="13" spans="1:10" ht="16">
      <c r="A13" s="141" t="s">
        <v>426</v>
      </c>
      <c r="B13" s="133"/>
      <c r="C13" s="143">
        <f>ROUND(C12*Parameters!$C$128,1)</f>
        <v>55629.5</v>
      </c>
      <c r="D13" s="143">
        <f>ROUND(D12*Parameters!$C$128,1)</f>
        <v>25373.5</v>
      </c>
      <c r="E13" s="143">
        <f>ROUND(E12*Parameters!$C$128,1)</f>
        <v>9300</v>
      </c>
      <c r="F13" s="143">
        <f>ROUND(F12*Parameters!$C$128,1)</f>
        <v>24025</v>
      </c>
      <c r="G13" s="143">
        <f>ROUND(G12*Parameters!$C$128,1)</f>
        <v>9300</v>
      </c>
      <c r="H13" s="144">
        <f>SUM(C13:G13)</f>
        <v>123628</v>
      </c>
    </row>
    <row r="14" spans="1:10" ht="16">
      <c r="A14" s="141" t="s">
        <v>427</v>
      </c>
      <c r="B14" s="133"/>
      <c r="C14" s="143">
        <f>ROUND(C12*Parameters!$C$129,2)</f>
        <v>13010.13</v>
      </c>
      <c r="D14" s="143">
        <f>ROUND(D12*Parameters!$C$129,2)</f>
        <v>5934.13</v>
      </c>
      <c r="E14" s="143">
        <f>ROUND(E12*Parameters!$C$129,2)</f>
        <v>2175</v>
      </c>
      <c r="F14" s="143">
        <f>ROUND(F12*Parameters!$C$129,2)</f>
        <v>5618.75</v>
      </c>
      <c r="G14" s="143">
        <f>ROUND(G12*Parameters!$C$129,2)</f>
        <v>2175</v>
      </c>
      <c r="H14" s="144">
        <f>SUM(C14:G14)</f>
        <v>28913.01</v>
      </c>
    </row>
    <row r="15" spans="1:10" ht="16">
      <c r="A15" s="141" t="s">
        <v>428</v>
      </c>
      <c r="B15" s="133"/>
      <c r="C15" s="320">
        <f>ROUND(C12*Parameters!$C$127,0)</f>
        <v>71780</v>
      </c>
      <c r="D15" s="320">
        <f>ROUND(D12*Parameters!$C$127,0)</f>
        <v>32740</v>
      </c>
      <c r="E15" s="320">
        <f>ROUND(E12*Parameters!$C$127,0)</f>
        <v>12000</v>
      </c>
      <c r="F15" s="320">
        <f>ROUND(F12*Parameters!$C$127,0)</f>
        <v>31000</v>
      </c>
      <c r="G15" s="320">
        <f>ROUND(G12*Parameters!$C$127,0)</f>
        <v>12000</v>
      </c>
      <c r="H15" s="144">
        <f>SUM(C15:G15)</f>
        <v>159520</v>
      </c>
      <c r="I15">
        <v>218988</v>
      </c>
      <c r="J15" s="244"/>
    </row>
    <row r="16" spans="1:10" ht="16">
      <c r="A16" s="141" t="s">
        <v>429</v>
      </c>
      <c r="B16" s="133"/>
      <c r="C16" s="320">
        <f>Parameters!$C$132*Budget_AllStrat_fee_notuit!C12</f>
        <v>67293.75</v>
      </c>
      <c r="D16" s="320">
        <f>(Parameters!$C$132*Budget_AllStrat_fee_notuit!D12)</f>
        <v>30693.75</v>
      </c>
      <c r="E16" s="295">
        <f>Parameters!$C$132*Budget_AllStrat_fee_notuit!E12</f>
        <v>11250</v>
      </c>
      <c r="F16" s="320">
        <f>ROUND(Parameters!$C$132*Budget_AllStrat_fee_notuit!F12,2)</f>
        <v>29062.5</v>
      </c>
      <c r="G16" s="320">
        <f>Parameters!$C$132*Budget_AllStrat_fee_notuit!G12</f>
        <v>11250</v>
      </c>
      <c r="H16" s="144">
        <f>SUM(C16:G16)</f>
        <v>149550</v>
      </c>
    </row>
    <row r="17" spans="1:17" ht="16">
      <c r="A17" s="141" t="s">
        <v>430</v>
      </c>
      <c r="B17" s="133"/>
      <c r="C17" s="320">
        <f>(Parameters!$C$131*Budget_AllStrat_fee_notuit!C7*Budget_AllStrat_fee_notuit!C5)+(Parameters!B142*Parameters!C131*Parameters!B2)</f>
        <v>69105</v>
      </c>
      <c r="D17" s="320">
        <f>(Parameters!$C$131*(Budget_AllStrat_fee_notuit!D7+D8)*Budget_AllStrat_fee_notuit!C5) + (Parameters!C142*Parameters!C131*Parameters!B2)</f>
        <v>37995</v>
      </c>
      <c r="E17" s="320">
        <f>Parameters!$C$131*Budget_AllStrat_fee_notuit!E7*Budget_AllStrat_fee_notuit!E5</f>
        <v>10200</v>
      </c>
      <c r="F17" s="320">
        <f>ROUND(Parameters!$C$131*Budget_AllStrat_fee_notuit!F7*Budget_AllStrat_fee_notuit!F5,2)</f>
        <v>25500</v>
      </c>
      <c r="G17" s="320">
        <f>Parameters!$C$131*Budget_AllStrat_fee_notuit!G7*Budget_AllStrat_fee_notuit!G5</f>
        <v>10200</v>
      </c>
      <c r="H17" s="144">
        <f>SUM(C17:G17)</f>
        <v>153000</v>
      </c>
      <c r="I17" s="141" t="s">
        <v>408</v>
      </c>
      <c r="J17" s="133"/>
      <c r="K17" s="297">
        <f>SUM(C12:C17)</f>
        <v>1174068.3799999999</v>
      </c>
      <c r="L17" s="297">
        <f>SUM(D12:D17)</f>
        <v>541986.38</v>
      </c>
      <c r="M17" s="297" t="e">
        <f>SUM(#REF!)</f>
        <v>#REF!</v>
      </c>
      <c r="N17" s="297">
        <f>SUM(E12:E17)</f>
        <v>194925</v>
      </c>
      <c r="O17" s="321">
        <f>ROUND(SUM(F12:F17),2)</f>
        <v>502706.25</v>
      </c>
      <c r="P17" s="297">
        <f>SUM(G12:G17)</f>
        <v>194925</v>
      </c>
      <c r="Q17" s="319" t="e">
        <f>SUM(K17:P17)</f>
        <v>#REF!</v>
      </c>
    </row>
    <row r="18" spans="1:17" ht="16">
      <c r="A18" s="141" t="s">
        <v>431</v>
      </c>
      <c r="B18" s="133" t="s">
        <v>149</v>
      </c>
      <c r="C18" s="143">
        <f>Parameters!$B$20*Parameters!$B$9</f>
        <v>13750</v>
      </c>
      <c r="D18" s="143">
        <f>Parameters!$B$50*(Parameters!$B$33+Parameters!$B$34)</f>
        <v>4500</v>
      </c>
      <c r="E18" s="143">
        <f>Parameters!B88*Parameters!B78</f>
        <v>3000</v>
      </c>
      <c r="F18" s="143">
        <v>0</v>
      </c>
      <c r="G18" s="143">
        <v>0</v>
      </c>
      <c r="H18" s="144">
        <f>SUM(C18:G18)</f>
        <v>21250</v>
      </c>
    </row>
    <row r="19" spans="1:17" ht="16">
      <c r="A19" s="141"/>
      <c r="B19" s="133"/>
      <c r="C19" s="143"/>
      <c r="D19" s="143"/>
      <c r="E19" s="143"/>
      <c r="F19" s="143"/>
      <c r="G19" s="143"/>
      <c r="H19" s="144"/>
    </row>
    <row r="20" spans="1:17" ht="16">
      <c r="A20" s="306" t="s">
        <v>337</v>
      </c>
      <c r="B20" s="133"/>
      <c r="C20" s="143"/>
      <c r="D20" s="143"/>
      <c r="E20" s="143"/>
      <c r="F20" s="143"/>
      <c r="G20" s="143"/>
      <c r="H20" s="144"/>
    </row>
    <row r="21" spans="1:17" ht="16">
      <c r="A21" s="141" t="s">
        <v>425</v>
      </c>
      <c r="B21" s="142" t="s">
        <v>149</v>
      </c>
      <c r="C21" s="143"/>
      <c r="D21" s="143">
        <f>Parameters!$B$51*(Parameters!$B$28+Parameters!$B$29)</f>
        <v>24000</v>
      </c>
      <c r="E21" s="143">
        <f>Parameters!B89</f>
        <v>65000</v>
      </c>
      <c r="F21" s="143">
        <f>SUM(Parameters!B107:B108)</f>
        <v>16850</v>
      </c>
      <c r="G21" s="143">
        <f>SUM(Parameters!B115:B117)</f>
        <v>16350</v>
      </c>
      <c r="H21" s="144">
        <f>SUM(C21:G21)</f>
        <v>122200</v>
      </c>
    </row>
    <row r="22" spans="1:17" ht="16">
      <c r="A22" s="141" t="s">
        <v>432</v>
      </c>
      <c r="B22" s="133"/>
      <c r="C22" s="143">
        <f>(ROUND((Parameters!$B$102*Parameters!$B$2)+SUM(Parameters!$B$103:$B$106),0))*Parameters!B139</f>
        <v>159000</v>
      </c>
      <c r="D22" s="143">
        <f>(ROUND((Parameters!$B$102*Parameters!$B$2)+SUM(Parameters!$B$103:$B$106),0))*Parameters!C139</f>
        <v>119250</v>
      </c>
      <c r="E22" s="143">
        <f>(ROUND((Parameters!$B$102*Parameters!$B$2)+SUM(Parameters!$B$103:$B$106),0))*Parameters!D139</f>
        <v>79500</v>
      </c>
      <c r="F22" s="143">
        <f>(ROUND((Parameters!$B$102*Parameters!$B$2)+SUM(Parameters!$B$103:$B$106),0))*Parameters!E139</f>
        <v>31800</v>
      </c>
      <c r="G22" s="143">
        <f>(ROUND((Parameters!$B$102*Parameters!$B$2)+SUM(Parameters!$B$103:$B$106),0))*Parameters!F139</f>
        <v>7950</v>
      </c>
      <c r="H22" s="144">
        <f>SUM(C22:G22)</f>
        <v>397500</v>
      </c>
    </row>
    <row r="23" spans="1:17" ht="16">
      <c r="A23" s="141" t="s">
        <v>433</v>
      </c>
      <c r="B23" s="133"/>
      <c r="C23" s="143"/>
      <c r="D23" s="143"/>
      <c r="E23" s="143"/>
      <c r="F23" s="143"/>
      <c r="G23" s="143">
        <f>Parameters!B118</f>
        <v>42000</v>
      </c>
      <c r="H23" s="144">
        <f>SUM(C23:G23)</f>
        <v>42000</v>
      </c>
      <c r="I23" s="92">
        <v>401100</v>
      </c>
      <c r="J23">
        <f>ROUND((Parameters!B102*Parameters!B2)+SUM(Parameters!B103:B106),0)</f>
        <v>397500</v>
      </c>
      <c r="K23">
        <f>I23-J23</f>
        <v>3600</v>
      </c>
    </row>
    <row r="24" spans="1:17">
      <c r="A24" s="100"/>
      <c r="B24" s="100"/>
      <c r="C24" s="100"/>
      <c r="D24" s="100"/>
      <c r="E24" s="100"/>
      <c r="F24" s="100"/>
      <c r="G24" s="100"/>
      <c r="H24" s="100"/>
    </row>
    <row r="25" spans="1:17" ht="16">
      <c r="A25" s="145" t="s">
        <v>151</v>
      </c>
      <c r="B25" s="146"/>
      <c r="C25" s="147">
        <f>SUM(C12:C17)+SUM(C18:C22)</f>
        <v>1346818.38</v>
      </c>
      <c r="D25" s="147">
        <f>SUM(D12:D17)+SUM(D18:D22)</f>
        <v>689736.38</v>
      </c>
      <c r="E25" s="147">
        <f>SUM(E12:E17)+SUM(E18:E22)</f>
        <v>342425</v>
      </c>
      <c r="F25" s="147">
        <f>SUM(F12:F22)</f>
        <v>551356.25</v>
      </c>
      <c r="G25" s="147">
        <f>SUM(G12:G22)</f>
        <v>219225</v>
      </c>
      <c r="H25" s="147">
        <f>SUM(H11:H23)</f>
        <v>3191561.01</v>
      </c>
    </row>
    <row r="26" spans="1:17" ht="16">
      <c r="A26" s="148" t="s">
        <v>385</v>
      </c>
      <c r="B26" s="149"/>
      <c r="C26" s="298">
        <f>C25/C4</f>
        <v>9288.4026206896542</v>
      </c>
      <c r="D26" s="298">
        <f>D25/D4</f>
        <v>11495.606333333333</v>
      </c>
      <c r="E26" s="150">
        <f>E25/H4</f>
        <v>1670.3658536585365</v>
      </c>
      <c r="F26" s="150">
        <f>F25/H4</f>
        <v>2689.5426829268295</v>
      </c>
      <c r="G26" s="150">
        <f>G25/H4</f>
        <v>1069.3902439024391</v>
      </c>
      <c r="H26" s="150">
        <f>H25/H$4</f>
        <v>15568.590292682926</v>
      </c>
      <c r="I26" s="92" t="s">
        <v>387</v>
      </c>
    </row>
    <row r="27" spans="1:17" ht="16">
      <c r="A27" s="132"/>
      <c r="B27" s="149"/>
      <c r="C27" s="151"/>
      <c r="D27" s="151"/>
      <c r="E27" s="151"/>
      <c r="F27" s="151"/>
      <c r="G27" s="151"/>
      <c r="H27" s="140"/>
    </row>
    <row r="28" spans="1:17" ht="16">
      <c r="A28" s="140" t="s">
        <v>152</v>
      </c>
      <c r="B28" s="133"/>
      <c r="C28" s="152"/>
      <c r="D28" s="152"/>
      <c r="E28" s="152"/>
      <c r="F28" s="152"/>
      <c r="G28" s="152"/>
      <c r="H28" s="140"/>
    </row>
    <row r="29" spans="1:17" ht="16">
      <c r="A29" s="141" t="s">
        <v>259</v>
      </c>
      <c r="B29" s="142" t="s">
        <v>423</v>
      </c>
      <c r="C29" s="143">
        <f>$F$25*C55</f>
        <v>325801.42045454547</v>
      </c>
      <c r="D29" s="143">
        <f>$F$25*D55</f>
        <v>175431.53409090909</v>
      </c>
      <c r="E29" s="143">
        <f>$F$25*E55</f>
        <v>50123.295454545456</v>
      </c>
      <c r="F29" s="304">
        <f>-F25</f>
        <v>-551356.25</v>
      </c>
      <c r="G29" s="316"/>
      <c r="H29" s="144">
        <f>SUM(C29:F29)</f>
        <v>0</v>
      </c>
    </row>
    <row r="30" spans="1:17" ht="16">
      <c r="A30" s="141" t="s">
        <v>420</v>
      </c>
      <c r="B30" s="142" t="s">
        <v>421</v>
      </c>
      <c r="C30" s="143">
        <f>$G$25*C56</f>
        <v>124110.4545401849</v>
      </c>
      <c r="D30" s="143">
        <f>$G$25*D56</f>
        <v>63559.79165854695</v>
      </c>
      <c r="E30" s="143">
        <f>$G$25*E56</f>
        <v>31554.753801268158</v>
      </c>
      <c r="F30" s="304"/>
      <c r="G30" s="304">
        <f>-G25</f>
        <v>-219225</v>
      </c>
      <c r="H30" s="144">
        <f>SUM(C30:G30)</f>
        <v>0</v>
      </c>
      <c r="I30" s="92" t="s">
        <v>400</v>
      </c>
    </row>
    <row r="31" spans="1:17" ht="16">
      <c r="A31" s="141"/>
      <c r="B31" s="142"/>
      <c r="C31" s="143"/>
      <c r="D31" s="143"/>
      <c r="E31" s="143"/>
      <c r="F31" s="143"/>
      <c r="G31" s="143"/>
      <c r="H31" s="144"/>
    </row>
    <row r="32" spans="1:17" ht="16">
      <c r="A32" s="145" t="s">
        <v>153</v>
      </c>
      <c r="B32" s="146"/>
      <c r="C32" s="147">
        <f t="shared" ref="C32:H32" si="0">SUM(C29:C30)</f>
        <v>449911.87499473034</v>
      </c>
      <c r="D32" s="147">
        <f t="shared" si="0"/>
        <v>238991.32574945604</v>
      </c>
      <c r="E32" s="147">
        <f t="shared" si="0"/>
        <v>81678.049255813617</v>
      </c>
      <c r="F32" s="147">
        <f t="shared" si="0"/>
        <v>-551356.25</v>
      </c>
      <c r="G32" s="147">
        <f t="shared" si="0"/>
        <v>-219225</v>
      </c>
      <c r="H32" s="147">
        <f t="shared" si="0"/>
        <v>0</v>
      </c>
    </row>
    <row r="33" spans="1:9" ht="16">
      <c r="A33" s="148" t="s">
        <v>388</v>
      </c>
      <c r="B33" s="149"/>
      <c r="C33" s="150">
        <f>C32/C$4</f>
        <v>3102.840517205037</v>
      </c>
      <c r="D33" s="150">
        <f>D32/D4</f>
        <v>3983.1887624909341</v>
      </c>
      <c r="E33" s="150">
        <f>E32/H4</f>
        <v>398.42950856494446</v>
      </c>
      <c r="F33" s="150">
        <f>F32/H4</f>
        <v>-2689.5426829268295</v>
      </c>
      <c r="G33" s="150">
        <f>G32/H4</f>
        <v>-1069.3902439024391</v>
      </c>
      <c r="H33" s="150">
        <f>H32/H$4</f>
        <v>0</v>
      </c>
    </row>
    <row r="34" spans="1:9" ht="16">
      <c r="A34" s="132"/>
      <c r="B34" s="133"/>
      <c r="C34" s="152"/>
      <c r="D34" s="152"/>
      <c r="E34" s="152"/>
      <c r="F34" s="152"/>
      <c r="G34" s="152"/>
      <c r="H34" s="140"/>
    </row>
    <row r="35" spans="1:9" ht="17" thickBot="1">
      <c r="A35" s="153" t="s">
        <v>154</v>
      </c>
      <c r="B35" s="154"/>
      <c r="C35" s="155">
        <f t="shared" ref="C35:H35" si="1">C32+C25</f>
        <v>1796730.2549947302</v>
      </c>
      <c r="D35" s="155">
        <f t="shared" si="1"/>
        <v>928727.70574945607</v>
      </c>
      <c r="E35" s="155">
        <f t="shared" si="1"/>
        <v>424103.04925581359</v>
      </c>
      <c r="F35" s="155">
        <f t="shared" si="1"/>
        <v>0</v>
      </c>
      <c r="G35" s="155">
        <f t="shared" si="1"/>
        <v>0</v>
      </c>
      <c r="H35" s="155">
        <f t="shared" si="1"/>
        <v>3191561.01</v>
      </c>
    </row>
    <row r="36" spans="1:9" ht="16">
      <c r="A36" s="148" t="s">
        <v>389</v>
      </c>
      <c r="B36" s="149"/>
      <c r="C36" s="150">
        <f>C35/C$4</f>
        <v>12391.243137894691</v>
      </c>
      <c r="D36" s="150">
        <f>D35/D4</f>
        <v>15478.795095824267</v>
      </c>
      <c r="E36" s="150">
        <f>E35/H4</f>
        <v>2068.7953622234809</v>
      </c>
      <c r="F36" s="150">
        <f>F35/H4</f>
        <v>0</v>
      </c>
      <c r="G36" s="150">
        <f>G35/H4</f>
        <v>0</v>
      </c>
      <c r="H36" s="156">
        <f>H35/H4</f>
        <v>15568.590292682926</v>
      </c>
    </row>
    <row r="37" spans="1:9" ht="16">
      <c r="A37" s="148"/>
      <c r="B37" s="149"/>
      <c r="C37" s="150"/>
      <c r="D37" s="150"/>
      <c r="E37" s="150"/>
      <c r="F37" s="150"/>
      <c r="G37" s="150"/>
      <c r="H37" s="156"/>
    </row>
    <row r="38" spans="1:9" ht="16">
      <c r="A38" s="145" t="s">
        <v>390</v>
      </c>
      <c r="B38" s="307"/>
      <c r="C38" s="323"/>
      <c r="D38" s="323"/>
      <c r="E38" s="310"/>
      <c r="F38" s="310"/>
      <c r="G38" s="310"/>
      <c r="H38" s="311"/>
    </row>
    <row r="39" spans="1:9" ht="16">
      <c r="A39" s="141" t="s">
        <v>391</v>
      </c>
      <c r="B39" s="149"/>
      <c r="C39" s="324"/>
      <c r="D39" s="324"/>
      <c r="E39" s="313">
        <f>Parameters!B91</f>
        <v>130000</v>
      </c>
      <c r="F39" s="313"/>
      <c r="G39" s="308">
        <f>Parameters!B134</f>
        <v>450000</v>
      </c>
      <c r="H39" s="308">
        <f>SUM(C39:G39)</f>
        <v>580000</v>
      </c>
    </row>
    <row r="40" spans="1:9" ht="16">
      <c r="A40" s="309" t="s">
        <v>392</v>
      </c>
      <c r="B40" s="149"/>
      <c r="C40" s="324"/>
      <c r="D40" s="324"/>
      <c r="E40" s="313"/>
      <c r="F40" s="313"/>
      <c r="G40" s="313">
        <f xml:space="preserve"> SUM(Parameters!B121*Parameters!C121, Parameters!B122*Parameters!C122, Parameters!B123*Parameters!C123)/SUM(Parameters!C121:C123)</f>
        <v>675000</v>
      </c>
      <c r="H40" s="308">
        <f xml:space="preserve"> SUM(C40:G40)</f>
        <v>675000</v>
      </c>
      <c r="I40" s="92" t="s">
        <v>393</v>
      </c>
    </row>
    <row r="41" spans="1:9" ht="16">
      <c r="A41" s="309" t="s">
        <v>236</v>
      </c>
      <c r="B41" s="149"/>
      <c r="C41" s="324">
        <f>Parameters!B13*Parameters!B4*Parameters!B2</f>
        <v>870000</v>
      </c>
      <c r="D41" s="324"/>
      <c r="E41" s="313"/>
      <c r="F41" s="313"/>
      <c r="G41" s="313"/>
      <c r="H41" s="308">
        <f>SUM(C41:G41)</f>
        <v>870000</v>
      </c>
    </row>
    <row r="42" spans="1:9" ht="16">
      <c r="A42" s="309" t="s">
        <v>394</v>
      </c>
      <c r="B42" s="149"/>
      <c r="C42" s="324">
        <f>Parameters!B14*Parameters!B2*(Parameters!B15*C4)</f>
        <v>413250</v>
      </c>
      <c r="D42" s="324"/>
      <c r="E42" s="313"/>
      <c r="F42" s="313"/>
      <c r="G42" s="313"/>
      <c r="H42" s="308">
        <f>SUM(C42:G42)</f>
        <v>413250</v>
      </c>
    </row>
    <row r="43" spans="1:9" ht="16">
      <c r="A43" s="309" t="s">
        <v>410</v>
      </c>
      <c r="B43" s="149"/>
      <c r="C43" s="324"/>
      <c r="D43" s="324">
        <f>Parameters!B26*((Parameters!B36*Parameters!B40*Parameters!B39)+(Parameters!B42*Parameters!B45*Parameters!B46))</f>
        <v>511875</v>
      </c>
      <c r="E43" s="313"/>
      <c r="F43" s="313"/>
      <c r="G43" s="313"/>
      <c r="H43" s="308">
        <f>SUM(C43:G43)</f>
        <v>511875</v>
      </c>
    </row>
    <row r="44" spans="1:9" ht="16">
      <c r="A44" s="309" t="s">
        <v>405</v>
      </c>
      <c r="B44" s="149"/>
      <c r="C44" s="324"/>
      <c r="D44" s="324">
        <f>Parameters!B26*((Parameters!B37*Parameters!B38)+(Parameters!B43*Parameters!B44))</f>
        <v>173250</v>
      </c>
      <c r="E44" s="313"/>
      <c r="F44" s="313"/>
      <c r="G44" s="313"/>
      <c r="H44" s="308">
        <f>SUM(C44:G44)</f>
        <v>173250</v>
      </c>
    </row>
    <row r="45" spans="1:9" ht="16">
      <c r="A45" s="309" t="s">
        <v>454</v>
      </c>
      <c r="B45" s="149"/>
      <c r="C45" s="324"/>
      <c r="D45" s="324"/>
      <c r="E45" s="313">
        <f>(Parameters!B81*Parameters!B82*Budget_AllStrat_fee_notuit!E6)+(E6*Parameters!B83*Parameters!B81)</f>
        <v>468750</v>
      </c>
      <c r="F45" s="313"/>
      <c r="G45" s="313"/>
      <c r="H45" s="308">
        <f>SUM(C45:G45)</f>
        <v>468750</v>
      </c>
      <c r="I45" s="92" t="s">
        <v>398</v>
      </c>
    </row>
    <row r="46" spans="1:9" ht="16">
      <c r="A46" s="309"/>
      <c r="B46" s="133"/>
      <c r="C46" s="324"/>
      <c r="D46" s="324"/>
      <c r="E46" s="313"/>
      <c r="F46" s="313"/>
      <c r="G46" s="313"/>
      <c r="H46" s="314"/>
    </row>
    <row r="47" spans="1:9" ht="17" thickBot="1">
      <c r="A47" s="153" t="s">
        <v>111</v>
      </c>
      <c r="B47" s="154"/>
      <c r="C47" s="155">
        <f>SUM(C39:C46)</f>
        <v>1283250</v>
      </c>
      <c r="D47" s="155">
        <f>SUM(D39:D46)</f>
        <v>685125</v>
      </c>
      <c r="E47" s="155">
        <f>SUM(E39:E45)</f>
        <v>598750</v>
      </c>
      <c r="F47" s="155">
        <f>SUM(F39:F45)</f>
        <v>0</v>
      </c>
      <c r="G47" s="155">
        <f>SUM(G39:G45)</f>
        <v>1125000</v>
      </c>
      <c r="H47" s="155">
        <f>SUM(H39:H45)</f>
        <v>3692125</v>
      </c>
    </row>
    <row r="48" spans="1:9" ht="16">
      <c r="A48" s="140"/>
      <c r="B48" s="133"/>
      <c r="C48" s="132"/>
      <c r="D48" s="132"/>
      <c r="E48" s="132"/>
      <c r="F48" s="132"/>
      <c r="G48" s="132"/>
      <c r="H48" s="140"/>
      <c r="I48">
        <v>-279499</v>
      </c>
    </row>
    <row r="49" spans="1:10" ht="17" thickBot="1">
      <c r="A49" s="153" t="s">
        <v>155</v>
      </c>
      <c r="B49" s="154"/>
      <c r="C49" s="155">
        <f>+C47-C35</f>
        <v>-513480.25499473023</v>
      </c>
      <c r="D49" s="155">
        <f>+D47-D35</f>
        <v>-243602.70574945607</v>
      </c>
      <c r="E49" s="155">
        <f>+E47-E35</f>
        <v>174646.95074418641</v>
      </c>
      <c r="F49" s="155"/>
      <c r="G49" s="155">
        <f>+G47-G35</f>
        <v>1125000</v>
      </c>
      <c r="H49" s="155">
        <f>+H47-H35</f>
        <v>500563.99000000022</v>
      </c>
      <c r="I49" s="317" t="s">
        <v>451</v>
      </c>
      <c r="J49" s="317" t="s">
        <v>415</v>
      </c>
    </row>
    <row r="50" spans="1:10" ht="16">
      <c r="A50" s="148" t="s">
        <v>156</v>
      </c>
      <c r="B50" s="149"/>
      <c r="C50" s="150">
        <f>+C49/C4</f>
        <v>-3541.2431378946912</v>
      </c>
      <c r="D50" s="150">
        <f>+D49/D4</f>
        <v>-4060.0450958242677</v>
      </c>
      <c r="E50" s="150">
        <f>+E49/E4</f>
        <v>851.93634509359231</v>
      </c>
      <c r="F50" s="150"/>
      <c r="G50" s="150"/>
      <c r="H50" s="156">
        <f>+H49/H4</f>
        <v>2441.7755609756109</v>
      </c>
      <c r="I50" s="244">
        <f>I48-H49</f>
        <v>-780062.99000000022</v>
      </c>
    </row>
    <row r="51" spans="1:10" ht="16">
      <c r="A51" s="132" t="s">
        <v>157</v>
      </c>
      <c r="B51" s="133"/>
      <c r="C51" s="157">
        <f>+C49/C35</f>
        <v>-0.28578594564615722</v>
      </c>
      <c r="D51" s="157">
        <f>+D49/D35</f>
        <v>-0.26229723119208104</v>
      </c>
      <c r="E51" s="157">
        <f>+E49/E35</f>
        <v>0.41180310080449711</v>
      </c>
      <c r="F51" s="157">
        <f>+F49/0.01</f>
        <v>0</v>
      </c>
      <c r="G51" s="157" t="s">
        <v>386</v>
      </c>
      <c r="H51" s="157">
        <f>+H49/H35</f>
        <v>0.15683986250978804</v>
      </c>
    </row>
    <row r="52" spans="1:10" ht="16">
      <c r="A52" s="132"/>
      <c r="B52" s="133"/>
      <c r="C52" s="132"/>
      <c r="D52" s="132"/>
      <c r="E52" s="132"/>
      <c r="F52" s="132"/>
      <c r="G52" s="132"/>
      <c r="H52" s="140"/>
      <c r="I52" s="244">
        <f>+H47-H35</f>
        <v>500563.99000000022</v>
      </c>
    </row>
    <row r="53" spans="1:10" ht="16">
      <c r="A53" s="140" t="s">
        <v>158</v>
      </c>
      <c r="B53" s="133"/>
      <c r="C53" s="132"/>
      <c r="D53" s="132"/>
      <c r="E53" s="132"/>
      <c r="F53" s="132"/>
      <c r="G53" s="132"/>
      <c r="H53" s="140"/>
    </row>
    <row r="54" spans="1:10" ht="17" thickBot="1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ROUND((Parameters!E137)+(SUM(Parameters!$F$137:$G$137)/4),4)</f>
        <v>0.125</v>
      </c>
      <c r="F54" s="158"/>
      <c r="G54" s="158"/>
      <c r="H54" s="140"/>
      <c r="I54" s="155">
        <v>590095</v>
      </c>
    </row>
    <row r="55" spans="1:10" ht="16">
      <c r="A55" s="132" t="s">
        <v>407</v>
      </c>
      <c r="B55" s="149"/>
      <c r="C55" s="328">
        <f>(C7+C8)/($H$7+$H$8)</f>
        <v>0.59090909090909094</v>
      </c>
      <c r="D55" s="328">
        <f>(D7+D8)/($H$7+$H$8)</f>
        <v>0.31818181818181818</v>
      </c>
      <c r="E55" s="328">
        <f>(E7+E8)/($H$7+$H$8)</f>
        <v>9.0909090909090912E-2</v>
      </c>
      <c r="F55" s="158"/>
      <c r="G55" s="158"/>
      <c r="H55" s="140"/>
    </row>
    <row r="56" spans="1:10" ht="16">
      <c r="A56" s="159" t="s">
        <v>422</v>
      </c>
      <c r="B56" s="149"/>
      <c r="C56" s="327">
        <f>C25/SUM($C$25:$E$25)</f>
        <v>0.56613276104543231</v>
      </c>
      <c r="D56" s="327">
        <f>D25/SUM($C$25:$E$25)</f>
        <v>0.28992948641143551</v>
      </c>
      <c r="E56" s="327">
        <f>E25/SUM($C$25:$E$25)</f>
        <v>0.14393775254313221</v>
      </c>
      <c r="F56" s="322"/>
      <c r="G56" s="322"/>
      <c r="H56" s="140"/>
    </row>
    <row r="58" spans="1:10">
      <c r="A58" s="92" t="s">
        <v>115</v>
      </c>
    </row>
    <row r="59" spans="1:10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0">
      <c r="A60" s="92" t="s">
        <v>413</v>
      </c>
    </row>
    <row r="61" spans="1:10">
      <c r="A61" s="92" t="s">
        <v>417</v>
      </c>
    </row>
    <row r="62" spans="1:10">
      <c r="A62" s="92" t="s">
        <v>418</v>
      </c>
    </row>
    <row r="63" spans="1:10">
      <c r="B63" s="92" t="s">
        <v>414</v>
      </c>
    </row>
  </sheetData>
  <mergeCells count="3">
    <mergeCell ref="A1:H1"/>
    <mergeCell ref="C2:E2"/>
    <mergeCell ref="F2:G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5A9C-E249-D34F-AA7D-C59959DAD11D}">
  <dimension ref="A1:R64"/>
  <sheetViews>
    <sheetView topLeftCell="A25" zoomScale="99" workbookViewId="0">
      <selection activeCell="D44" sqref="D44"/>
    </sheetView>
  </sheetViews>
  <sheetFormatPr baseColWidth="10" defaultRowHeight="13"/>
  <cols>
    <col min="1" max="1" width="27.33203125" customWidth="1"/>
    <col min="2" max="2" width="17.33203125" customWidth="1"/>
    <col min="3" max="5" width="19.33203125" customWidth="1"/>
    <col min="6" max="7" width="17.33203125" customWidth="1"/>
    <col min="8" max="8" width="15.83203125" customWidth="1"/>
    <col min="9" max="9" width="26" customWidth="1"/>
    <col min="10" max="10" width="20.1640625" customWidth="1"/>
    <col min="11" max="15" width="11" bestFit="1" customWidth="1"/>
    <col min="16" max="16" width="12.33203125" bestFit="1" customWidth="1"/>
  </cols>
  <sheetData>
    <row r="1" spans="1:18" ht="21">
      <c r="A1" s="334" t="s">
        <v>256</v>
      </c>
      <c r="B1" s="334"/>
      <c r="C1" s="334"/>
      <c r="D1" s="334"/>
      <c r="E1" s="334"/>
      <c r="F1" s="334"/>
      <c r="G1" s="334"/>
      <c r="H1" s="334"/>
      <c r="I1" s="334"/>
    </row>
    <row r="2" spans="1:18" ht="21">
      <c r="A2" s="228"/>
      <c r="B2" s="228"/>
      <c r="C2" s="335" t="s">
        <v>262</v>
      </c>
      <c r="D2" s="335"/>
      <c r="E2" s="335"/>
      <c r="F2" s="335"/>
      <c r="G2" s="335" t="s">
        <v>261</v>
      </c>
      <c r="H2" s="335"/>
      <c r="I2" s="228"/>
    </row>
    <row r="3" spans="1:18" ht="16">
      <c r="A3" s="132"/>
      <c r="B3" s="133"/>
      <c r="C3" s="134" t="s">
        <v>76</v>
      </c>
      <c r="D3" s="134" t="s">
        <v>88</v>
      </c>
      <c r="E3" s="134" t="s">
        <v>91</v>
      </c>
      <c r="F3" s="134" t="s">
        <v>96</v>
      </c>
      <c r="G3" s="134" t="s">
        <v>259</v>
      </c>
      <c r="H3" s="134" t="s">
        <v>260</v>
      </c>
      <c r="I3" s="134" t="s">
        <v>416</v>
      </c>
    </row>
    <row r="4" spans="1:18" ht="16">
      <c r="A4" s="302" t="s">
        <v>384</v>
      </c>
      <c r="B4" s="133"/>
      <c r="C4" s="296">
        <f>Parameters!$B$3</f>
        <v>102</v>
      </c>
      <c r="D4" s="132">
        <f>Parameters!$B$27</f>
        <v>60</v>
      </c>
      <c r="E4" s="303" t="s">
        <v>386</v>
      </c>
      <c r="F4" s="132">
        <f>SUM(C4:D4)</f>
        <v>162</v>
      </c>
      <c r="G4" s="303" t="s">
        <v>386</v>
      </c>
      <c r="H4" s="301" t="s">
        <v>386</v>
      </c>
      <c r="I4" s="135">
        <f>SUM(C4:F4)</f>
        <v>324</v>
      </c>
    </row>
    <row r="5" spans="1:18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140">
        <f>Parameters!$B$2</f>
        <v>12</v>
      </c>
      <c r="F5" s="301">
        <f>Parameters!B2</f>
        <v>12</v>
      </c>
      <c r="G5" s="140">
        <f>Parameters!$B$2</f>
        <v>12</v>
      </c>
      <c r="H5" s="140">
        <f>Parameters!$B$2</f>
        <v>12</v>
      </c>
      <c r="I5" s="135"/>
    </row>
    <row r="6" spans="1:18" ht="16">
      <c r="A6" s="135" t="s">
        <v>146</v>
      </c>
      <c r="B6" s="133"/>
      <c r="C6" s="299">
        <f>ROUNDUP('Assumptions and Parameters'!$D$30,0)</f>
        <v>11</v>
      </c>
      <c r="D6" s="299">
        <f>ROUNDUP(SUM(Parameters!B32:B33),0)</f>
        <v>4</v>
      </c>
      <c r="E6" s="299">
        <f>ROUNDUP(SUM(Parameters!B62,Parameters!B63),0)</f>
        <v>3</v>
      </c>
      <c r="F6" s="299">
        <f>Parameters!B78</f>
        <v>1</v>
      </c>
      <c r="G6" s="299">
        <f>SUM(Parameters!B96:B99)</f>
        <v>5</v>
      </c>
      <c r="H6" s="299">
        <f>SUM(Parameters!B112:'Parameters'!B113)</f>
        <v>2</v>
      </c>
      <c r="I6" s="300">
        <f>SUM(C6:F6)</f>
        <v>19</v>
      </c>
    </row>
    <row r="7" spans="1:18" ht="16">
      <c r="A7" s="135" t="s">
        <v>257</v>
      </c>
      <c r="B7" s="133"/>
      <c r="C7" s="299">
        <v>0</v>
      </c>
      <c r="D7" s="299">
        <f>ROUNDUP('Assumptions and Parameters'!$E$32,0)</f>
        <v>3</v>
      </c>
      <c r="E7" s="299">
        <v>0</v>
      </c>
      <c r="F7" s="299">
        <v>0</v>
      </c>
      <c r="G7" s="299">
        <v>0</v>
      </c>
      <c r="H7" s="299">
        <v>0</v>
      </c>
      <c r="I7" s="300">
        <f>SUM(C7:F7)</f>
        <v>3</v>
      </c>
    </row>
    <row r="8" spans="1:18" ht="16">
      <c r="A8" s="136"/>
      <c r="B8" s="137" t="s">
        <v>147</v>
      </c>
      <c r="C8" s="134" t="s">
        <v>76</v>
      </c>
      <c r="D8" s="134" t="s">
        <v>88</v>
      </c>
      <c r="E8" s="134" t="s">
        <v>91</v>
      </c>
      <c r="F8" s="134" t="s">
        <v>96</v>
      </c>
      <c r="G8" s="134" t="s">
        <v>259</v>
      </c>
      <c r="H8" s="134" t="s">
        <v>260</v>
      </c>
      <c r="I8" s="134" t="s">
        <v>12</v>
      </c>
    </row>
    <row r="9" spans="1:18" ht="16">
      <c r="A9" s="138" t="s">
        <v>148</v>
      </c>
      <c r="B9" s="133"/>
      <c r="C9" s="139"/>
      <c r="D9" s="139"/>
      <c r="E9" s="139"/>
      <c r="F9" s="139"/>
      <c r="G9" s="139"/>
      <c r="H9" s="139"/>
      <c r="I9" s="140"/>
    </row>
    <row r="10" spans="1:18">
      <c r="A10" s="326" t="s">
        <v>404</v>
      </c>
      <c r="B10" s="100"/>
      <c r="C10" s="100"/>
      <c r="D10" s="100"/>
      <c r="E10" s="100"/>
      <c r="F10" s="100"/>
      <c r="G10" s="100"/>
      <c r="H10" s="100"/>
      <c r="I10" s="100"/>
    </row>
    <row r="11" spans="1:18" ht="16">
      <c r="A11" s="141" t="s">
        <v>258</v>
      </c>
      <c r="B11" s="133" t="s">
        <v>150</v>
      </c>
      <c r="C11" s="143">
        <f>Parameters!$B$9*Parameters!$C$9 + (Parameters!$C$62*Parameters!B141)</f>
        <v>738750</v>
      </c>
      <c r="D11" s="143">
        <f>Parameters!$B$34*(Parameters!$C$34) +Parameters!$B$33*(Parameters!$C$33)+Parameters!$C$32 + (Parameters!$C$62*Parameters!C141)</f>
        <v>385500</v>
      </c>
      <c r="E11" s="325">
        <f>Parameters!$B$63*Parameters!$C$63 + (Parameters!$C$62*Parameters!D141)</f>
        <v>202250</v>
      </c>
      <c r="F11" s="143">
        <f>(Parameters!B78*Parameters!B79)</f>
        <v>105000</v>
      </c>
      <c r="G11" s="143">
        <f>ROUND(SUM(Parameters!C96:C98)+(Parameters!B99*Parameters!C99),2)</f>
        <v>387500</v>
      </c>
      <c r="H11" s="143">
        <f>(Parameters!$B$112*Parameters!$C$112)+(Parameters!$B$113*Parameters!$C$113)</f>
        <v>150000</v>
      </c>
      <c r="I11" s="144">
        <f t="shared" ref="I11:I17" si="0">SUM(C11:H11)</f>
        <v>1969000</v>
      </c>
      <c r="J11" s="244"/>
    </row>
    <row r="12" spans="1:18" ht="16">
      <c r="A12" s="141" t="s">
        <v>426</v>
      </c>
      <c r="B12" s="133"/>
      <c r="C12" s="143">
        <f>ROUND(C11*Parameters!$C$128,1)</f>
        <v>45802.5</v>
      </c>
      <c r="D12" s="143">
        <f>ROUND(D11*Parameters!$C$128,1)</f>
        <v>23901</v>
      </c>
      <c r="E12" s="143">
        <f>ROUND(E11*Parameters!$C$128,1)</f>
        <v>12539.5</v>
      </c>
      <c r="F12" s="143">
        <f>ROUND(F11*Parameters!$C$128,1)</f>
        <v>6510</v>
      </c>
      <c r="G12" s="143">
        <f>ROUND(G11*Parameters!$C$128,1)</f>
        <v>24025</v>
      </c>
      <c r="H12" s="143">
        <f>ROUND(H11*Parameters!$C$128,1)</f>
        <v>9300</v>
      </c>
      <c r="I12" s="144">
        <f t="shared" si="0"/>
        <v>122078</v>
      </c>
    </row>
    <row r="13" spans="1:18" ht="16">
      <c r="A13" s="141" t="s">
        <v>427</v>
      </c>
      <c r="B13" s="133"/>
      <c r="C13" s="143">
        <f>ROUND(C11*Parameters!$C$129,2)</f>
        <v>10711.88</v>
      </c>
      <c r="D13" s="143">
        <f>ROUND(D11*Parameters!$C$129,2)</f>
        <v>5589.75</v>
      </c>
      <c r="E13" s="143">
        <f>ROUND(E11*Parameters!$C$129,2)</f>
        <v>2932.63</v>
      </c>
      <c r="F13" s="143">
        <f>ROUND(F11*Parameters!$C$129,2)</f>
        <v>1522.5</v>
      </c>
      <c r="G13" s="143">
        <f>ROUND(G11*Parameters!$C$129,2)</f>
        <v>5618.75</v>
      </c>
      <c r="H13" s="143">
        <f>ROUND(H11*Parameters!$C$129,2)</f>
        <v>2175</v>
      </c>
      <c r="I13" s="144">
        <f t="shared" si="0"/>
        <v>28550.51</v>
      </c>
    </row>
    <row r="14" spans="1:18" ht="16">
      <c r="A14" s="141" t="s">
        <v>428</v>
      </c>
      <c r="B14" s="133"/>
      <c r="C14" s="320">
        <f>ROUND(C11*Parameters!$C$127,0)</f>
        <v>59100</v>
      </c>
      <c r="D14" s="320">
        <f>ROUND(D11*Parameters!$C$127,0)</f>
        <v>30840</v>
      </c>
      <c r="E14" s="320">
        <f>ROUND(E11*Parameters!$C$127,0)</f>
        <v>16180</v>
      </c>
      <c r="F14" s="320">
        <f>ROUND(F11*Parameters!$C$127,0)</f>
        <v>8400</v>
      </c>
      <c r="G14" s="320">
        <f>ROUND(G11*Parameters!$C$127,0)</f>
        <v>31000</v>
      </c>
      <c r="H14" s="320">
        <f>ROUND(H11*Parameters!$C$127,0)</f>
        <v>12000</v>
      </c>
      <c r="I14" s="144">
        <f t="shared" si="0"/>
        <v>157520</v>
      </c>
      <c r="J14">
        <v>218988</v>
      </c>
      <c r="K14" s="244"/>
    </row>
    <row r="15" spans="1:18" ht="16">
      <c r="A15" s="141" t="s">
        <v>429</v>
      </c>
      <c r="B15" s="133"/>
      <c r="C15" s="295">
        <f>Parameters!$C$132*Budget_tuition_allben!C11</f>
        <v>55406.25</v>
      </c>
      <c r="D15" s="320">
        <f>(Parameters!$C$132*Budget_tuition_allben!D11)</f>
        <v>28912.5</v>
      </c>
      <c r="E15" s="295">
        <f>Parameters!$C$132*Budget_tuition_allben!E11</f>
        <v>15168.75</v>
      </c>
      <c r="F15" s="295">
        <f>Parameters!$C$132*Budget_tuition_allben!F11</f>
        <v>7875</v>
      </c>
      <c r="G15" s="320">
        <f>ROUND(Parameters!$C$132*Budget_tuition_allben!G11,2)</f>
        <v>29062.5</v>
      </c>
      <c r="H15" s="320">
        <f>Parameters!$C$132*Budget_tuition_allben!H11</f>
        <v>11250</v>
      </c>
      <c r="I15" s="144">
        <f t="shared" si="0"/>
        <v>147675</v>
      </c>
    </row>
    <row r="16" spans="1:18" ht="16">
      <c r="A16" s="141" t="s">
        <v>430</v>
      </c>
      <c r="B16" s="133"/>
      <c r="C16" s="320">
        <f>(Parameters!$C$131*Budget_tuition_allben!C6*Budget_tuition_allben!C5)+(Parameters!B141*Parameters!C131*Parameters!B2)</f>
        <v>57375</v>
      </c>
      <c r="D16" s="320">
        <f>(Parameters!$C$131*(Budget_tuition_allben!D6+D7)*Budget_tuition_allben!C5) + (Parameters!C141*Parameters!C131*Parameters!B2)</f>
        <v>36720</v>
      </c>
      <c r="E16" s="320">
        <f>Parameters!$C$131*Parameters!B63* E5 + (Parameters!D141*Parameters!C131*Parameters!B2)</f>
        <v>13005</v>
      </c>
      <c r="F16" s="320">
        <f>Parameters!$C$131*Budget_tuition_allben!F6*Budget_tuition_allben!F5</f>
        <v>5100</v>
      </c>
      <c r="G16" s="320">
        <f>ROUND(Parameters!$C$131*Budget_tuition_allben!G6*Budget_tuition_allben!G5,2)</f>
        <v>25500</v>
      </c>
      <c r="H16" s="320">
        <f>Parameters!$C$131*Budget_tuition_allben!H6*Budget_tuition_allben!H5</f>
        <v>10200</v>
      </c>
      <c r="I16" s="144">
        <f t="shared" si="0"/>
        <v>147900</v>
      </c>
      <c r="J16" s="141" t="s">
        <v>408</v>
      </c>
      <c r="K16" s="133"/>
      <c r="L16" s="297">
        <f>SUM(C11:C16)</f>
        <v>967145.63</v>
      </c>
      <c r="M16" s="297">
        <f>SUM(D11:D16)</f>
        <v>511463.25</v>
      </c>
      <c r="N16" s="297">
        <f>SUM(E11:E16)</f>
        <v>262075.88</v>
      </c>
      <c r="O16" s="297">
        <f>SUM(F11:F16)</f>
        <v>134407.5</v>
      </c>
      <c r="P16" s="321">
        <f>ROUND(SUM(G11:G16),2)</f>
        <v>502706.25</v>
      </c>
      <c r="Q16" s="297">
        <f>SUM(H11:H16)</f>
        <v>194925</v>
      </c>
      <c r="R16" s="319">
        <f>SUM(L16:Q16)</f>
        <v>2572723.5099999998</v>
      </c>
    </row>
    <row r="17" spans="1:10" ht="16">
      <c r="A17" s="141" t="s">
        <v>431</v>
      </c>
      <c r="B17" s="133" t="s">
        <v>149</v>
      </c>
      <c r="C17" s="143">
        <f>Parameters!$B$20*Parameters!$B$9</f>
        <v>13750</v>
      </c>
      <c r="D17" s="143">
        <f>Parameters!$B$50*(Parameters!$B$33+Parameters!$B$34)</f>
        <v>4500</v>
      </c>
      <c r="E17" s="143">
        <f>(Parameters!B71*Parameters!B63)+(Parameters!B70*(SUM(Parameters!B62:B63)))</f>
        <v>9750</v>
      </c>
      <c r="F17" s="143">
        <f>Parameters!B88*Parameters!B78</f>
        <v>3000</v>
      </c>
      <c r="G17" s="143">
        <v>0</v>
      </c>
      <c r="H17" s="143">
        <v>0</v>
      </c>
      <c r="I17" s="144">
        <f t="shared" si="0"/>
        <v>31000</v>
      </c>
    </row>
    <row r="18" spans="1:10" ht="16">
      <c r="A18" s="141"/>
      <c r="B18" s="133"/>
      <c r="C18" s="143"/>
      <c r="D18" s="143"/>
      <c r="E18" s="143"/>
      <c r="F18" s="143"/>
      <c r="G18" s="143"/>
      <c r="H18" s="143"/>
      <c r="I18" s="144"/>
    </row>
    <row r="19" spans="1:10" ht="16">
      <c r="A19" s="306" t="s">
        <v>337</v>
      </c>
      <c r="B19" s="133"/>
      <c r="C19" s="143"/>
      <c r="D19" s="143"/>
      <c r="E19" s="143"/>
      <c r="F19" s="143"/>
      <c r="G19" s="143"/>
      <c r="H19" s="143"/>
      <c r="I19" s="144"/>
    </row>
    <row r="20" spans="1:10" ht="16">
      <c r="A20" s="141" t="s">
        <v>425</v>
      </c>
      <c r="B20" s="142" t="s">
        <v>149</v>
      </c>
      <c r="C20" s="143"/>
      <c r="D20" s="143">
        <f>Parameters!$B$51*(Parameters!$B$28+Parameters!$B$29)</f>
        <v>24000</v>
      </c>
      <c r="E20" s="143"/>
      <c r="F20" s="143">
        <f>Parameters!B89</f>
        <v>65000</v>
      </c>
      <c r="G20" s="143">
        <f>SUM(Parameters!B107:B108)</f>
        <v>16850</v>
      </c>
      <c r="H20" s="143">
        <f>SUM(Parameters!B115:B117)</f>
        <v>16350</v>
      </c>
      <c r="I20" s="144">
        <f>SUM(C20:H20)</f>
        <v>122200</v>
      </c>
    </row>
    <row r="21" spans="1:10" ht="16">
      <c r="A21" s="141" t="s">
        <v>432</v>
      </c>
      <c r="B21" s="133"/>
      <c r="C21" s="143">
        <f>(ROUND((Parameters!$B$102*Parameters!$B$2)+SUM(Parameters!$B$103:$B$106),0))*Parameters!B137</f>
        <v>119250</v>
      </c>
      <c r="D21" s="143">
        <f>(ROUND((Parameters!$B$102*Parameters!$B$2)+SUM(Parameters!$B$103:$B$106),0))*Parameters!C137</f>
        <v>119250</v>
      </c>
      <c r="E21" s="143">
        <f>(ROUND((Parameters!$B$102*Parameters!$B$2)+SUM(Parameters!$B$103:$B$106),0))*Parameters!D137</f>
        <v>79500</v>
      </c>
      <c r="F21" s="143">
        <f>(ROUND((Parameters!$B$102*Parameters!$B$2)+SUM(Parameters!$B$103:$B$106),0))*Parameters!E137</f>
        <v>39750</v>
      </c>
      <c r="G21" s="143">
        <f>(ROUND((Parameters!$B$102*Parameters!$B$2)+SUM(Parameters!$B$103:$B$106),0))*Parameters!F137</f>
        <v>31800</v>
      </c>
      <c r="H21" s="143">
        <f>(ROUND((Parameters!$B$102*Parameters!$B$2)+SUM(Parameters!$B$103:$B$106),0))*Parameters!G137</f>
        <v>7950</v>
      </c>
      <c r="I21" s="144">
        <f>SUM(C21:H21)</f>
        <v>397500</v>
      </c>
    </row>
    <row r="22" spans="1:10" ht="16">
      <c r="A22" s="141" t="s">
        <v>433</v>
      </c>
      <c r="B22" s="133"/>
      <c r="C22" s="143"/>
      <c r="D22" s="143"/>
      <c r="E22" s="143"/>
      <c r="F22" s="143"/>
      <c r="G22" s="143"/>
      <c r="H22" s="143">
        <f>Parameters!B118</f>
        <v>42000</v>
      </c>
      <c r="I22" s="144">
        <f>SUM(C22:H22)</f>
        <v>42000</v>
      </c>
      <c r="J22" s="92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</row>
    <row r="24" spans="1:10" ht="16">
      <c r="A24" s="145" t="s">
        <v>151</v>
      </c>
      <c r="B24" s="146"/>
      <c r="C24" s="147">
        <f>SUM(C11:C16)+SUM(C17:C21)</f>
        <v>1100145.6299999999</v>
      </c>
      <c r="D24" s="147">
        <f>SUM(D11:D16)+SUM(D17:D21)</f>
        <v>659213.25</v>
      </c>
      <c r="E24" s="147">
        <f>SUM(E11:E16)+SUM(E17:E21)</f>
        <v>351325.88</v>
      </c>
      <c r="F24" s="147">
        <f>SUM(F11:F16)+SUM(F17:F21)</f>
        <v>242157.5</v>
      </c>
      <c r="G24" s="147">
        <f>SUM(G11:G21)</f>
        <v>551356.25</v>
      </c>
      <c r="H24" s="147">
        <f>SUM(H11:H21)</f>
        <v>219225</v>
      </c>
      <c r="I24" s="147">
        <f>SUM(I10:I22)</f>
        <v>3165423.51</v>
      </c>
    </row>
    <row r="25" spans="1:10" ht="16">
      <c r="A25" s="148" t="s">
        <v>385</v>
      </c>
      <c r="B25" s="149"/>
      <c r="C25" s="298">
        <f>C24/C4</f>
        <v>10785.741470588235</v>
      </c>
      <c r="D25" s="298">
        <f>D24/D4</f>
        <v>10986.887500000001</v>
      </c>
      <c r="E25" s="298">
        <f>E24/I4</f>
        <v>1084.3391358024692</v>
      </c>
      <c r="F25" s="150">
        <f>F24/I4</f>
        <v>747.39969135802471</v>
      </c>
      <c r="G25" s="150">
        <f>G24/I4</f>
        <v>1701.7168209876543</v>
      </c>
      <c r="H25" s="150">
        <f>H24/I4</f>
        <v>676.62037037037032</v>
      </c>
      <c r="I25" s="150">
        <f>I24/I$4</f>
        <v>9769.8256481481476</v>
      </c>
      <c r="J25" s="92" t="s">
        <v>387</v>
      </c>
    </row>
    <row r="26" spans="1:10" ht="16">
      <c r="A26" s="132"/>
      <c r="B26" s="149"/>
      <c r="C26" s="151"/>
      <c r="D26" s="151"/>
      <c r="E26" s="151"/>
      <c r="F26" s="151"/>
      <c r="G26" s="151"/>
      <c r="H26" s="151"/>
      <c r="I26" s="140"/>
    </row>
    <row r="27" spans="1:10" ht="16">
      <c r="A27" s="140" t="s">
        <v>152</v>
      </c>
      <c r="B27" s="133"/>
      <c r="C27" s="152"/>
      <c r="D27" s="152"/>
      <c r="E27" s="152"/>
      <c r="F27" s="152"/>
      <c r="G27" s="152"/>
      <c r="H27" s="152"/>
      <c r="I27" s="140"/>
    </row>
    <row r="28" spans="1:10" ht="16">
      <c r="A28" s="141" t="s">
        <v>259</v>
      </c>
      <c r="B28" s="142" t="s">
        <v>423</v>
      </c>
      <c r="C28" s="143">
        <f>$G$24*C55</f>
        <v>275678.125</v>
      </c>
      <c r="D28" s="143">
        <f>$G$24*D55</f>
        <v>175431.53409090909</v>
      </c>
      <c r="E28" s="143">
        <f>$G$24*E55</f>
        <v>75184.943181818177</v>
      </c>
      <c r="F28" s="143">
        <f>$G$24*F55</f>
        <v>25061.647727272728</v>
      </c>
      <c r="G28" s="304">
        <f>-G24</f>
        <v>-551356.25</v>
      </c>
      <c r="H28" s="316"/>
      <c r="I28" s="144">
        <f>SUM(C28:G28)</f>
        <v>0</v>
      </c>
    </row>
    <row r="29" spans="1:10" ht="16">
      <c r="A29" s="141" t="s">
        <v>420</v>
      </c>
      <c r="B29" s="142" t="s">
        <v>449</v>
      </c>
      <c r="C29" s="143">
        <f>$H$24*C56</f>
        <v>102505.56522082785</v>
      </c>
      <c r="D29" s="143">
        <f>$H$24*D56</f>
        <v>61421.892656437587</v>
      </c>
      <c r="E29" s="143">
        <f>$H$24*E56</f>
        <v>32734.627965667369</v>
      </c>
      <c r="F29" s="143">
        <f>$H$24*F56</f>
        <v>22562.914157067207</v>
      </c>
      <c r="G29" s="304"/>
      <c r="H29" s="304">
        <f>-H24</f>
        <v>-219225</v>
      </c>
      <c r="I29" s="144">
        <f>SUM(C29:H29)</f>
        <v>0</v>
      </c>
      <c r="J29" s="92"/>
    </row>
    <row r="30" spans="1:10" ht="16">
      <c r="A30" s="141"/>
      <c r="B30" s="142"/>
      <c r="C30" s="143"/>
      <c r="D30" s="143"/>
      <c r="E30" s="143"/>
      <c r="F30" s="143"/>
      <c r="G30" s="143"/>
      <c r="H30" s="143"/>
      <c r="I30" s="144"/>
    </row>
    <row r="31" spans="1:10" ht="16">
      <c r="A31" s="145" t="s">
        <v>153</v>
      </c>
      <c r="B31" s="146"/>
      <c r="C31" s="147">
        <f t="shared" ref="C31:I31" si="1">SUM(C28:C29)</f>
        <v>378183.69022082782</v>
      </c>
      <c r="D31" s="147">
        <f t="shared" si="1"/>
        <v>236853.42674734668</v>
      </c>
      <c r="E31" s="147">
        <f t="shared" si="1"/>
        <v>107919.57114748555</v>
      </c>
      <c r="F31" s="147">
        <f t="shared" si="1"/>
        <v>47624.561884339935</v>
      </c>
      <c r="G31" s="147">
        <f t="shared" si="1"/>
        <v>-551356.25</v>
      </c>
      <c r="H31" s="147">
        <f t="shared" si="1"/>
        <v>-219225</v>
      </c>
      <c r="I31" s="147">
        <f t="shared" si="1"/>
        <v>0</v>
      </c>
    </row>
    <row r="32" spans="1:10" ht="16">
      <c r="A32" s="148" t="s">
        <v>388</v>
      </c>
      <c r="B32" s="149"/>
      <c r="C32" s="150">
        <f>C31/C$4</f>
        <v>3707.6832374590963</v>
      </c>
      <c r="D32" s="150">
        <f>D31/D4</f>
        <v>3947.5571124557778</v>
      </c>
      <c r="E32" s="150">
        <f>E31/I4</f>
        <v>333.08509613421467</v>
      </c>
      <c r="F32" s="150">
        <f>F31/I4</f>
        <v>146.98938853191339</v>
      </c>
      <c r="G32" s="150">
        <f>G31/I4</f>
        <v>-1701.7168209876543</v>
      </c>
      <c r="H32" s="150">
        <f>H31/I4</f>
        <v>-676.62037037037032</v>
      </c>
      <c r="I32" s="150">
        <f>I31/I$4</f>
        <v>0</v>
      </c>
    </row>
    <row r="33" spans="1:10" ht="16">
      <c r="A33" s="132"/>
      <c r="B33" s="133"/>
      <c r="C33" s="152"/>
      <c r="D33" s="152"/>
      <c r="E33" s="152"/>
      <c r="F33" s="152"/>
      <c r="G33" s="152"/>
      <c r="H33" s="152"/>
      <c r="I33" s="140"/>
    </row>
    <row r="34" spans="1:10" ht="17" thickBot="1">
      <c r="A34" s="153" t="s">
        <v>154</v>
      </c>
      <c r="B34" s="154"/>
      <c r="C34" s="155">
        <f t="shared" ref="C34:I34" si="2">C31+C24</f>
        <v>1478329.3202208276</v>
      </c>
      <c r="D34" s="155">
        <f t="shared" si="2"/>
        <v>896066.67674734665</v>
      </c>
      <c r="E34" s="155">
        <f t="shared" si="2"/>
        <v>459245.45114748552</v>
      </c>
      <c r="F34" s="155">
        <f t="shared" si="2"/>
        <v>289782.06188433996</v>
      </c>
      <c r="G34" s="155">
        <f t="shared" si="2"/>
        <v>0</v>
      </c>
      <c r="H34" s="155">
        <f t="shared" si="2"/>
        <v>0</v>
      </c>
      <c r="I34" s="155">
        <f t="shared" si="2"/>
        <v>3165423.51</v>
      </c>
    </row>
    <row r="35" spans="1:10" ht="16">
      <c r="A35" s="148" t="s">
        <v>389</v>
      </c>
      <c r="B35" s="149"/>
      <c r="C35" s="150">
        <f>C34/C$4</f>
        <v>14493.424708047329</v>
      </c>
      <c r="D35" s="150">
        <f>D34/D4</f>
        <v>14934.444612455778</v>
      </c>
      <c r="E35" s="150">
        <f>E34/I4</f>
        <v>1417.4242319366838</v>
      </c>
      <c r="F35" s="150">
        <f>F34/I4</f>
        <v>894.3890798899381</v>
      </c>
      <c r="G35" s="150">
        <f>G34/I4</f>
        <v>0</v>
      </c>
      <c r="H35" s="150">
        <f>H34/I4</f>
        <v>0</v>
      </c>
      <c r="I35" s="156">
        <f>I34/I4</f>
        <v>9769.8256481481476</v>
      </c>
    </row>
    <row r="36" spans="1:10" ht="16">
      <c r="A36" s="148"/>
      <c r="B36" s="149"/>
      <c r="C36" s="150"/>
      <c r="D36" s="150"/>
      <c r="E36" s="150"/>
      <c r="F36" s="150"/>
      <c r="G36" s="150"/>
      <c r="H36" s="150"/>
      <c r="I36" s="156"/>
    </row>
    <row r="37" spans="1:10" ht="16">
      <c r="A37" s="145" t="s">
        <v>390</v>
      </c>
      <c r="B37" s="307"/>
      <c r="C37" s="323"/>
      <c r="D37" s="323"/>
      <c r="E37" s="323"/>
      <c r="F37" s="310"/>
      <c r="G37" s="310"/>
      <c r="H37" s="310"/>
      <c r="I37" s="311"/>
    </row>
    <row r="38" spans="1:10" ht="16">
      <c r="A38" s="141" t="s">
        <v>391</v>
      </c>
      <c r="B38" s="149"/>
      <c r="C38" s="324"/>
      <c r="D38" s="324"/>
      <c r="E38" s="324"/>
      <c r="F38" s="313"/>
      <c r="G38" s="313"/>
      <c r="H38" s="308">
        <f>Parameters!B134</f>
        <v>450000</v>
      </c>
      <c r="I38" s="308">
        <f>SUM(C38:H38)</f>
        <v>450000</v>
      </c>
    </row>
    <row r="39" spans="1:10" ht="16">
      <c r="A39" s="309" t="s">
        <v>392</v>
      </c>
      <c r="B39" s="149"/>
      <c r="C39" s="324"/>
      <c r="D39" s="324"/>
      <c r="E39" s="324"/>
      <c r="F39" s="313"/>
      <c r="G39" s="313"/>
      <c r="H39" s="313">
        <f xml:space="preserve"> SUM(Parameters!B121*Parameters!C121, Parameters!B122*Parameters!C122, Parameters!B123*Parameters!C123)/SUM(Parameters!C121:C123)</f>
        <v>675000</v>
      </c>
      <c r="I39" s="308">
        <f xml:space="preserve"> SUM(C39:H39)</f>
        <v>675000</v>
      </c>
      <c r="J39" s="92"/>
    </row>
    <row r="40" spans="1:10" ht="16">
      <c r="A40" s="309" t="s">
        <v>236</v>
      </c>
      <c r="B40" s="149"/>
      <c r="C40" s="324">
        <f>Parameters!B13*Parameters!B3*Parameters!B2</f>
        <v>612000</v>
      </c>
      <c r="D40" s="324"/>
      <c r="E40" s="324"/>
      <c r="F40" s="313"/>
      <c r="G40" s="313"/>
      <c r="H40" s="313"/>
      <c r="I40" s="308">
        <f>SUM(C40:H40)</f>
        <v>612000</v>
      </c>
    </row>
    <row r="41" spans="1:10" ht="16">
      <c r="A41" s="309" t="s">
        <v>394</v>
      </c>
      <c r="B41" s="149"/>
      <c r="C41" s="324">
        <f>Parameters!B14*Parameters!B2*(Parameters!B15*Parameters!B3)</f>
        <v>290700</v>
      </c>
      <c r="D41" s="324"/>
      <c r="E41" s="324"/>
      <c r="F41" s="313"/>
      <c r="G41" s="313"/>
      <c r="H41" s="313"/>
      <c r="I41" s="308">
        <f>SUM(C41:H41)</f>
        <v>290700</v>
      </c>
    </row>
    <row r="42" spans="1:10" ht="16">
      <c r="A42" s="309" t="s">
        <v>410</v>
      </c>
      <c r="B42" s="149"/>
      <c r="C42" s="324"/>
      <c r="D42" s="324">
        <f>Parameters!B26*((Parameters!B36*Parameters!B40*Parameters!B39)+(Parameters!B42*Parameters!B45*Parameters!B46))</f>
        <v>511875</v>
      </c>
      <c r="E42" s="324"/>
      <c r="F42" s="313"/>
      <c r="G42" s="313"/>
      <c r="H42" s="313"/>
      <c r="I42" s="308">
        <f>SUM(C42:H42)</f>
        <v>511875</v>
      </c>
    </row>
    <row r="43" spans="1:10" ht="16">
      <c r="A43" s="355" t="s">
        <v>450</v>
      </c>
      <c r="B43" s="149"/>
      <c r="C43" s="324"/>
      <c r="D43" s="354">
        <f>Parameters!B26*((Parameters!B37*Parameters!B38)+(Parameters!B43*Parameters!B44)+(Parameters!B36*Parameters!B39*Parameters!B41*Parameters!B48)+(Parameters!B42*Parameters!B45*Parameters!B47*Parameters!B48))</f>
        <v>379968.75</v>
      </c>
      <c r="E43" s="324"/>
      <c r="F43" s="313"/>
      <c r="G43" s="313"/>
      <c r="H43" s="313"/>
      <c r="I43" s="308">
        <f>SUM(C43:H43)</f>
        <v>379968.75</v>
      </c>
    </row>
    <row r="44" spans="1:10" ht="16">
      <c r="A44" s="309" t="s">
        <v>397</v>
      </c>
      <c r="B44" s="149"/>
      <c r="C44" s="324"/>
      <c r="D44" s="324"/>
      <c r="E44" s="324">
        <f>Parameters!B65</f>
        <v>165000</v>
      </c>
      <c r="F44" s="313"/>
      <c r="G44" s="313"/>
      <c r="H44" s="313"/>
      <c r="I44" s="308">
        <f>SUM(C44:H44)</f>
        <v>165000</v>
      </c>
    </row>
    <row r="45" spans="1:10" ht="16">
      <c r="A45" s="309" t="s">
        <v>399</v>
      </c>
      <c r="B45" s="149"/>
      <c r="C45" s="324"/>
      <c r="D45" s="324"/>
      <c r="E45" s="324"/>
      <c r="F45" s="312"/>
      <c r="G45" s="313"/>
      <c r="H45" s="313"/>
      <c r="I45" s="308">
        <f>SUM(C45:H45)</f>
        <v>0</v>
      </c>
      <c r="J45" s="92" t="s">
        <v>398</v>
      </c>
    </row>
    <row r="46" spans="1:10" ht="16">
      <c r="A46" s="309"/>
      <c r="B46" s="133"/>
      <c r="C46" s="324"/>
      <c r="D46" s="324"/>
      <c r="E46" s="324"/>
      <c r="F46" s="313"/>
      <c r="G46" s="313"/>
      <c r="H46" s="313"/>
      <c r="I46" s="314"/>
    </row>
    <row r="47" spans="1:10" ht="17" thickBot="1">
      <c r="A47" s="153" t="s">
        <v>111</v>
      </c>
      <c r="B47" s="154"/>
      <c r="C47" s="155">
        <f>SUM(C38:C46)</f>
        <v>902700</v>
      </c>
      <c r="D47" s="155">
        <f>SUM(D38:D46)</f>
        <v>891843.75</v>
      </c>
      <c r="E47" s="155">
        <f>SUM(E38:E45)</f>
        <v>165000</v>
      </c>
      <c r="F47" s="155">
        <f>SUM(F38:F45)</f>
        <v>0</v>
      </c>
      <c r="G47" s="155">
        <f>SUM(G38:G45)</f>
        <v>0</v>
      </c>
      <c r="H47" s="155">
        <f>SUM(H38:H45)</f>
        <v>1125000</v>
      </c>
      <c r="I47" s="155">
        <f>SUM(I38:I45)</f>
        <v>3084543.75</v>
      </c>
    </row>
    <row r="48" spans="1:10" ht="16">
      <c r="A48" s="140"/>
      <c r="B48" s="133"/>
      <c r="C48" s="132"/>
      <c r="D48" s="132"/>
      <c r="E48" s="132"/>
      <c r="F48" s="132"/>
      <c r="G48" s="132"/>
      <c r="H48" s="132"/>
      <c r="I48" s="140"/>
    </row>
    <row r="49" spans="1:11" ht="17" thickBot="1">
      <c r="A49" s="153" t="s">
        <v>155</v>
      </c>
      <c r="B49" s="154"/>
      <c r="C49" s="155">
        <f>+C47-C34</f>
        <v>-575629.32022082759</v>
      </c>
      <c r="D49" s="155">
        <f>+D47-D34</f>
        <v>-4222.9267473466462</v>
      </c>
      <c r="E49" s="155">
        <f>+E47-E34</f>
        <v>-294245.45114748552</v>
      </c>
      <c r="F49" s="155">
        <f>+F47-F34</f>
        <v>-289782.06188433996</v>
      </c>
      <c r="G49" s="155"/>
      <c r="H49" s="155">
        <f>+H47-H34</f>
        <v>1125000</v>
      </c>
      <c r="I49" s="155">
        <f>+I47-I34</f>
        <v>-80879.759999999776</v>
      </c>
      <c r="J49" s="356"/>
      <c r="K49" s="356"/>
    </row>
    <row r="50" spans="1:11" ht="16">
      <c r="A50" s="148" t="s">
        <v>156</v>
      </c>
      <c r="B50" s="149"/>
      <c r="C50" s="150">
        <f>+C49/C4</f>
        <v>-5643.4247080473297</v>
      </c>
      <c r="D50" s="150"/>
      <c r="E50" s="150"/>
      <c r="F50" s="150">
        <f>+F49/F4</f>
        <v>-1788.7781597798762</v>
      </c>
      <c r="G50" s="150"/>
      <c r="H50" s="150"/>
      <c r="I50" s="156">
        <f>+I49/I4</f>
        <v>-249.62888888888821</v>
      </c>
      <c r="J50" s="244"/>
    </row>
    <row r="51" spans="1:11" ht="16">
      <c r="A51" s="132" t="s">
        <v>157</v>
      </c>
      <c r="B51" s="133"/>
      <c r="C51" s="157">
        <f t="shared" ref="C51:I51" si="3">+C49/C34</f>
        <v>-0.38937827475060977</v>
      </c>
      <c r="D51" s="359">
        <f>+D49/D34</f>
        <v>-4.7127371845536612E-3</v>
      </c>
      <c r="E51" s="157">
        <f t="shared" si="3"/>
        <v>-0.64071500417102523</v>
      </c>
      <c r="F51" s="157">
        <f t="shared" si="3"/>
        <v>-1</v>
      </c>
      <c r="G51" s="157" t="e">
        <f t="shared" si="3"/>
        <v>#DIV/0!</v>
      </c>
      <c r="H51" s="157" t="e">
        <f t="shared" si="3"/>
        <v>#DIV/0!</v>
      </c>
      <c r="I51" s="157">
        <f t="shared" si="3"/>
        <v>-2.5551007549065616E-2</v>
      </c>
    </row>
    <row r="52" spans="1:11" ht="16">
      <c r="A52" s="132"/>
      <c r="B52" s="133"/>
      <c r="C52" s="132"/>
      <c r="D52" s="132"/>
      <c r="E52" s="132"/>
      <c r="F52" s="132"/>
      <c r="G52" s="132"/>
      <c r="H52" s="132"/>
      <c r="I52" s="140"/>
    </row>
    <row r="53" spans="1:11" ht="16">
      <c r="A53" s="140" t="s">
        <v>158</v>
      </c>
      <c r="B53" s="133"/>
      <c r="C53" s="132"/>
      <c r="D53" s="132"/>
      <c r="E53" s="132"/>
      <c r="F53" s="132"/>
      <c r="G53" s="132"/>
      <c r="H53" s="132"/>
      <c r="I53" s="140"/>
    </row>
    <row r="54" spans="1:11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ROUND((Parameters!D137)+(SUM(Parameters!$F$137:$G$137)/4),4)</f>
        <v>0.22500000000000001</v>
      </c>
      <c r="F54" s="328">
        <f>ROUND((Parameters!E137)+(SUM(Parameters!$F$137:$G$137)/4),4)</f>
        <v>0.125</v>
      </c>
      <c r="G54" s="158"/>
      <c r="H54" s="158"/>
      <c r="I54" s="140"/>
    </row>
    <row r="55" spans="1:11" ht="16">
      <c r="A55" s="132" t="s">
        <v>407</v>
      </c>
      <c r="B55" s="149"/>
      <c r="C55" s="328">
        <f>(C6+C7)/($I$6+$I$7)</f>
        <v>0.5</v>
      </c>
      <c r="D55" s="328">
        <f>(D6+D7)/($I$6+$I$7)</f>
        <v>0.31818181818181818</v>
      </c>
      <c r="E55" s="328">
        <f>(E6+E7)/($I$6+$I$7)</f>
        <v>0.13636363636363635</v>
      </c>
      <c r="F55" s="328">
        <f>(F6+F7)/($I$6+$I$7)</f>
        <v>4.5454545454545456E-2</v>
      </c>
      <c r="G55" s="158"/>
      <c r="H55" s="158"/>
      <c r="I55" s="140"/>
    </row>
    <row r="56" spans="1:11" ht="16">
      <c r="A56" s="159" t="s">
        <v>422</v>
      </c>
      <c r="B56" s="149"/>
      <c r="C56" s="327">
        <f>C24/SUM($C$24:$F$24)</f>
        <v>0.46758154964455628</v>
      </c>
      <c r="D56" s="327">
        <f>D24/SUM($C$24:$F$24)</f>
        <v>0.28017740976821798</v>
      </c>
      <c r="E56" s="327">
        <f>E24/SUM($C$24:$F$24)</f>
        <v>0.149319776328737</v>
      </c>
      <c r="F56" s="327">
        <f>F24/SUM($C$24:$F$24)</f>
        <v>0.1029212642584888</v>
      </c>
      <c r="G56" s="322"/>
      <c r="H56" s="322"/>
      <c r="I56" s="140"/>
    </row>
    <row r="58" spans="1:11">
      <c r="A58" s="92" t="s">
        <v>115</v>
      </c>
    </row>
    <row r="59" spans="1:11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1">
      <c r="A60" s="92" t="s">
        <v>413</v>
      </c>
    </row>
    <row r="61" spans="1:11">
      <c r="A61" s="92" t="s">
        <v>417</v>
      </c>
    </row>
    <row r="62" spans="1:11">
      <c r="A62" s="92" t="s">
        <v>418</v>
      </c>
    </row>
    <row r="63" spans="1:11">
      <c r="B63" s="92" t="s">
        <v>414</v>
      </c>
    </row>
    <row r="64" spans="1:11">
      <c r="A64" s="92" t="s">
        <v>467</v>
      </c>
    </row>
  </sheetData>
  <mergeCells count="3">
    <mergeCell ref="A1:I1"/>
    <mergeCell ref="C2:F2"/>
    <mergeCell ref="G2:H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0D14-1A6D-C847-83B6-B8FAB3DA9FBF}">
  <dimension ref="A1:Q63"/>
  <sheetViews>
    <sheetView topLeftCell="A21" workbookViewId="0">
      <selection activeCell="C21" sqref="C21"/>
    </sheetView>
  </sheetViews>
  <sheetFormatPr baseColWidth="10" defaultRowHeight="13"/>
  <cols>
    <col min="1" max="1" width="27.33203125" customWidth="1"/>
    <col min="2" max="2" width="17.33203125" customWidth="1"/>
    <col min="3" max="4" width="19.33203125" customWidth="1"/>
    <col min="5" max="6" width="17.33203125" customWidth="1"/>
    <col min="7" max="7" width="15.83203125" customWidth="1"/>
    <col min="8" max="8" width="26" customWidth="1"/>
    <col min="9" max="9" width="20.1640625" customWidth="1"/>
    <col min="10" max="14" width="11.1640625" bestFit="1" customWidth="1"/>
    <col min="15" max="15" width="12.5" bestFit="1" customWidth="1"/>
    <col min="16" max="16" width="11" bestFit="1" customWidth="1"/>
    <col min="17" max="17" width="12" bestFit="1" customWidth="1"/>
  </cols>
  <sheetData>
    <row r="1" spans="1:10" ht="21">
      <c r="A1" s="334" t="s">
        <v>256</v>
      </c>
      <c r="B1" s="334"/>
      <c r="C1" s="334"/>
      <c r="D1" s="334"/>
      <c r="E1" s="334"/>
      <c r="F1" s="334"/>
      <c r="G1" s="334"/>
      <c r="H1" s="334"/>
    </row>
    <row r="2" spans="1:10" ht="21">
      <c r="A2" s="228"/>
      <c r="B2" s="228"/>
      <c r="C2" s="335" t="s">
        <v>262</v>
      </c>
      <c r="D2" s="335"/>
      <c r="E2" s="335"/>
      <c r="F2" s="335" t="s">
        <v>261</v>
      </c>
      <c r="G2" s="335"/>
      <c r="H2" s="228"/>
    </row>
    <row r="3" spans="1:10" ht="16">
      <c r="A3" s="132"/>
      <c r="B3" s="133"/>
      <c r="C3" s="134" t="s">
        <v>76</v>
      </c>
      <c r="D3" s="134" t="s">
        <v>88</v>
      </c>
      <c r="E3" s="134" t="s">
        <v>96</v>
      </c>
      <c r="F3" s="134" t="s">
        <v>259</v>
      </c>
      <c r="G3" s="134" t="s">
        <v>260</v>
      </c>
      <c r="H3" s="134" t="s">
        <v>416</v>
      </c>
    </row>
    <row r="4" spans="1:10" ht="16">
      <c r="A4" s="302" t="s">
        <v>384</v>
      </c>
      <c r="B4" s="133"/>
      <c r="C4" s="296">
        <f>Parameters!B4</f>
        <v>145</v>
      </c>
      <c r="D4" s="132">
        <f>Parameters!$B$27</f>
        <v>60</v>
      </c>
      <c r="E4" s="132">
        <f>SUM(C4:D4)</f>
        <v>205</v>
      </c>
      <c r="F4" s="303" t="s">
        <v>386</v>
      </c>
      <c r="G4" s="301" t="s">
        <v>386</v>
      </c>
      <c r="H4" s="135">
        <f>SUM(C4:D4)</f>
        <v>205</v>
      </c>
    </row>
    <row r="5" spans="1:10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301">
        <f>Parameters!B2</f>
        <v>12</v>
      </c>
      <c r="F5" s="140">
        <f>Parameters!$B$2</f>
        <v>12</v>
      </c>
      <c r="G5" s="140">
        <f>Parameters!$B$2</f>
        <v>12</v>
      </c>
      <c r="H5" s="135"/>
    </row>
    <row r="6" spans="1:10" ht="16">
      <c r="A6" s="135" t="s">
        <v>455</v>
      </c>
      <c r="B6" s="133"/>
      <c r="C6" s="305">
        <v>0</v>
      </c>
      <c r="D6" s="140">
        <v>0</v>
      </c>
      <c r="E6" s="301">
        <f>Parameters!B75*Parameters!B74</f>
        <v>1250</v>
      </c>
      <c r="F6" s="140">
        <v>0</v>
      </c>
      <c r="G6" s="140">
        <v>0</v>
      </c>
      <c r="H6" s="135">
        <f>SUM(C6:G6)</f>
        <v>1250</v>
      </c>
    </row>
    <row r="7" spans="1:10" ht="16">
      <c r="A7" s="135" t="s">
        <v>146</v>
      </c>
      <c r="B7" s="133"/>
      <c r="C7" s="299">
        <f>Parameters!D9</f>
        <v>13</v>
      </c>
      <c r="D7" s="299">
        <f>ROUNDUP(SUM(Parameters!B32:B33),0)</f>
        <v>4</v>
      </c>
      <c r="E7" s="299">
        <f>Parameters!B78+Parameters!B92</f>
        <v>2</v>
      </c>
      <c r="F7" s="299">
        <f>SUM(Parameters!B96:B99)</f>
        <v>5</v>
      </c>
      <c r="G7" s="299">
        <f>SUM(Parameters!B112:'Parameters'!B113)</f>
        <v>2</v>
      </c>
      <c r="H7" s="300">
        <f>SUM(C7:E7)</f>
        <v>19</v>
      </c>
    </row>
    <row r="8" spans="1:10" ht="16">
      <c r="A8" s="135" t="s">
        <v>257</v>
      </c>
      <c r="B8" s="133"/>
      <c r="C8" s="299">
        <v>0</v>
      </c>
      <c r="D8" s="299">
        <f>ROUNDUP('Assumptions and Parameters'!$E$32,0)</f>
        <v>3</v>
      </c>
      <c r="E8" s="299">
        <v>0</v>
      </c>
      <c r="F8" s="299">
        <v>0</v>
      </c>
      <c r="G8" s="299">
        <v>0</v>
      </c>
      <c r="H8" s="300">
        <f>SUM(C8:E8)</f>
        <v>3</v>
      </c>
    </row>
    <row r="9" spans="1:10" ht="16">
      <c r="A9" s="136"/>
      <c r="B9" s="137" t="s">
        <v>147</v>
      </c>
      <c r="C9" s="134" t="s">
        <v>76</v>
      </c>
      <c r="D9" s="134" t="s">
        <v>88</v>
      </c>
      <c r="E9" s="134" t="s">
        <v>96</v>
      </c>
      <c r="F9" s="134" t="s">
        <v>259</v>
      </c>
      <c r="G9" s="134" t="s">
        <v>260</v>
      </c>
      <c r="H9" s="134" t="s">
        <v>12</v>
      </c>
    </row>
    <row r="10" spans="1:10" ht="16">
      <c r="A10" s="138" t="s">
        <v>148</v>
      </c>
      <c r="B10" s="133"/>
      <c r="C10" s="139"/>
      <c r="D10" s="139"/>
      <c r="E10" s="139"/>
      <c r="F10" s="139"/>
      <c r="G10" s="139"/>
      <c r="H10" s="140"/>
    </row>
    <row r="11" spans="1:10">
      <c r="A11" s="326" t="s">
        <v>404</v>
      </c>
      <c r="B11" s="100"/>
      <c r="C11" s="100"/>
      <c r="D11" s="100"/>
      <c r="E11" s="100"/>
      <c r="F11" s="100"/>
      <c r="G11" s="100"/>
      <c r="H11" s="100"/>
    </row>
    <row r="12" spans="1:10" ht="16">
      <c r="A12" s="141" t="s">
        <v>258</v>
      </c>
      <c r="B12" s="133" t="s">
        <v>150</v>
      </c>
      <c r="C12" s="143">
        <f>(C7*Parameters!$C$9)+ (Parameters!$C$62*Parameters!B142)</f>
        <v>897250</v>
      </c>
      <c r="D12" s="143">
        <f>Parameters!$B$34*(Parameters!$C$34) +Parameters!$B$33*(Parameters!$C$33)+Parameters!$C$32 + (Parameters!$C$62*Parameters!C142)</f>
        <v>409250</v>
      </c>
      <c r="E12" s="143">
        <f>(Parameters!B78*Parameters!B79)+(Parameters!B92*Parameters!C92)</f>
        <v>150000</v>
      </c>
      <c r="F12" s="143">
        <f>ROUND(SUM(Parameters!C96:C98)+(Parameters!B99*Parameters!C99),2)</f>
        <v>387500</v>
      </c>
      <c r="G12" s="143">
        <f>(Parameters!$B$112*Parameters!$C$112)+(Parameters!$B$113*Parameters!$C$113)</f>
        <v>150000</v>
      </c>
      <c r="H12" s="144">
        <f>SUM(C12:G12)</f>
        <v>1994000</v>
      </c>
      <c r="I12" s="244"/>
    </row>
    <row r="13" spans="1:10" ht="16">
      <c r="A13" s="141" t="s">
        <v>426</v>
      </c>
      <c r="B13" s="133"/>
      <c r="C13" s="143">
        <f>ROUND(C12*Parameters!$C$128,1)</f>
        <v>55629.5</v>
      </c>
      <c r="D13" s="143">
        <f>ROUND(D12*Parameters!$C$128,1)</f>
        <v>25373.5</v>
      </c>
      <c r="E13" s="143">
        <f>ROUND(E12*Parameters!$C$128,1)</f>
        <v>9300</v>
      </c>
      <c r="F13" s="143">
        <f>ROUND(F12*Parameters!$C$128,1)</f>
        <v>24025</v>
      </c>
      <c r="G13" s="143">
        <f>ROUND(G12*Parameters!$C$128,1)</f>
        <v>9300</v>
      </c>
      <c r="H13" s="144">
        <f>SUM(C13:G13)</f>
        <v>123628</v>
      </c>
    </row>
    <row r="14" spans="1:10" ht="16">
      <c r="A14" s="141" t="s">
        <v>427</v>
      </c>
      <c r="B14" s="133"/>
      <c r="C14" s="143">
        <f>ROUND(C12*Parameters!$C$129,2)</f>
        <v>13010.13</v>
      </c>
      <c r="D14" s="143">
        <f>ROUND(D12*Parameters!$C$129,2)</f>
        <v>5934.13</v>
      </c>
      <c r="E14" s="143">
        <f>ROUND(E12*Parameters!$C$129,2)</f>
        <v>2175</v>
      </c>
      <c r="F14" s="143">
        <f>ROUND(F12*Parameters!$C$129,2)</f>
        <v>5618.75</v>
      </c>
      <c r="G14" s="143">
        <f>ROUND(G12*Parameters!$C$129,2)</f>
        <v>2175</v>
      </c>
      <c r="H14" s="144">
        <f>SUM(C14:G14)</f>
        <v>28913.01</v>
      </c>
    </row>
    <row r="15" spans="1:10" ht="16">
      <c r="A15" s="141" t="s">
        <v>428</v>
      </c>
      <c r="B15" s="133"/>
      <c r="C15" s="320">
        <f>ROUND(C12*Parameters!$C$127,0)</f>
        <v>71780</v>
      </c>
      <c r="D15" s="320">
        <f>ROUND(D12*Parameters!$C$127,0)</f>
        <v>32740</v>
      </c>
      <c r="E15" s="320">
        <f>ROUND(E12*Parameters!$C$127,0)</f>
        <v>12000</v>
      </c>
      <c r="F15" s="320">
        <f>ROUND(F12*Parameters!$C$127,0)</f>
        <v>31000</v>
      </c>
      <c r="G15" s="320">
        <f>ROUND(G12*Parameters!$C$127,0)</f>
        <v>12000</v>
      </c>
      <c r="H15" s="144">
        <f>SUM(C15:G15)</f>
        <v>159520</v>
      </c>
      <c r="I15">
        <v>218988</v>
      </c>
      <c r="J15" s="244"/>
    </row>
    <row r="16" spans="1:10" ht="16">
      <c r="A16" s="141" t="s">
        <v>429</v>
      </c>
      <c r="B16" s="133"/>
      <c r="C16" s="295">
        <f>Parameters!$C$132*Budget_NoOut_Aud_EI!C12</f>
        <v>67293.75</v>
      </c>
      <c r="D16" s="320">
        <f>(Parameters!$C$132*Budget_NoOut_Aud_EI!D12)-(D8*Parameters!C33*Parameters!C132)</f>
        <v>22143.75</v>
      </c>
      <c r="E16" s="295">
        <f>Parameters!$C$132*Budget_NoOut_Aud_EI!E12</f>
        <v>11250</v>
      </c>
      <c r="F16" s="320">
        <f>ROUND(Parameters!$C$132*Budget_NoOut_Aud_EI!F12,2)</f>
        <v>29062.5</v>
      </c>
      <c r="G16" s="320">
        <f>Parameters!$C$132*Budget_NoOut_Aud_EI!G12</f>
        <v>11250</v>
      </c>
      <c r="H16" s="144">
        <f>SUM(C16:G16)</f>
        <v>141000</v>
      </c>
    </row>
    <row r="17" spans="1:17" ht="16">
      <c r="A17" s="141" t="s">
        <v>430</v>
      </c>
      <c r="B17" s="133"/>
      <c r="C17" s="320">
        <f>(Parameters!$C$131*Budget_NoOut_Aud_EI!C7*Budget_NoOut_Aud_EI!C5)+(Parameters!B142*Parameters!C131*Parameters!B2)</f>
        <v>69105</v>
      </c>
      <c r="D17" s="320">
        <f>(Parameters!$C$131*Budget_NoOut_Aud_EI!D7*Budget_NoOut_Aud_EI!C5) + (Parameters!C142*Parameters!C131*Parameters!B2)</f>
        <v>22695</v>
      </c>
      <c r="E17" s="320">
        <f>Parameters!$C$131*Budget_NoOut_Aud_EI!E7*Budget_NoOut_Aud_EI!E5</f>
        <v>10200</v>
      </c>
      <c r="F17" s="320">
        <f>ROUND(Parameters!$C$131*Budget_NoOut_Aud_EI!F7*Budget_NoOut_Aud_EI!F5,2)</f>
        <v>25500</v>
      </c>
      <c r="G17" s="320">
        <f>Parameters!$C$131*Budget_NoOut_Aud_EI!G7*Budget_NoOut_Aud_EI!G5</f>
        <v>10200</v>
      </c>
      <c r="H17" s="144">
        <f>SUM(C17:G17)</f>
        <v>137700</v>
      </c>
      <c r="I17" s="141" t="s">
        <v>408</v>
      </c>
      <c r="J17" s="133"/>
      <c r="K17" s="297">
        <f>SUM(C12:C17)</f>
        <v>1174068.3799999999</v>
      </c>
      <c r="L17" s="297">
        <f>SUM(D12:D17)</f>
        <v>518136.38</v>
      </c>
      <c r="M17" s="297" t="e">
        <f>SUM(#REF!)</f>
        <v>#REF!</v>
      </c>
      <c r="N17" s="297">
        <f>SUM(E12:E17)</f>
        <v>194925</v>
      </c>
      <c r="O17" s="321">
        <f>ROUND(SUM(F12:F17),2)</f>
        <v>502706.25</v>
      </c>
      <c r="P17" s="297">
        <f>SUM(G12:G17)</f>
        <v>194925</v>
      </c>
      <c r="Q17" s="319" t="e">
        <f>SUM(K17:P17)</f>
        <v>#REF!</v>
      </c>
    </row>
    <row r="18" spans="1:17" ht="16">
      <c r="A18" s="141" t="s">
        <v>431</v>
      </c>
      <c r="B18" s="133" t="s">
        <v>149</v>
      </c>
      <c r="C18" s="143">
        <f>Parameters!$B$20*Parameters!$B$9</f>
        <v>13750</v>
      </c>
      <c r="D18" s="143">
        <f>Parameters!$B$50*(Parameters!$B$33+Parameters!$B$34)</f>
        <v>4500</v>
      </c>
      <c r="E18" s="143">
        <f>Parameters!B88*Parameters!B78</f>
        <v>3000</v>
      </c>
      <c r="F18" s="143">
        <v>0</v>
      </c>
      <c r="G18" s="143">
        <v>0</v>
      </c>
      <c r="H18" s="144">
        <f>SUM(C18:G18)</f>
        <v>21250</v>
      </c>
    </row>
    <row r="19" spans="1:17" ht="16">
      <c r="A19" s="141"/>
      <c r="B19" s="133"/>
      <c r="C19" s="143"/>
      <c r="D19" s="143"/>
      <c r="E19" s="143"/>
      <c r="F19" s="143"/>
      <c r="G19" s="143"/>
      <c r="H19" s="144"/>
    </row>
    <row r="20" spans="1:17" ht="16">
      <c r="A20" s="306" t="s">
        <v>337</v>
      </c>
      <c r="B20" s="133"/>
      <c r="C20" s="143"/>
      <c r="D20" s="143"/>
      <c r="E20" s="143"/>
      <c r="F20" s="143"/>
      <c r="G20" s="143"/>
      <c r="H20" s="144"/>
    </row>
    <row r="21" spans="1:17" ht="16">
      <c r="A21" s="141" t="s">
        <v>425</v>
      </c>
      <c r="B21" s="142" t="s">
        <v>149</v>
      </c>
      <c r="C21" s="143"/>
      <c r="D21" s="143">
        <f>Parameters!$B$51*(Parameters!$B$28+Parameters!$B$29)</f>
        <v>24000</v>
      </c>
      <c r="E21" s="143">
        <f>Parameters!B89</f>
        <v>65000</v>
      </c>
      <c r="F21" s="143">
        <f>SUM(Parameters!B107:B108)</f>
        <v>16850</v>
      </c>
      <c r="G21" s="143">
        <f>SUM(Parameters!B115:B117)</f>
        <v>16350</v>
      </c>
      <c r="H21" s="144">
        <f>SUM(C21:G21)</f>
        <v>122200</v>
      </c>
    </row>
    <row r="22" spans="1:17" ht="16">
      <c r="A22" s="141" t="s">
        <v>432</v>
      </c>
      <c r="B22" s="133"/>
      <c r="C22" s="143">
        <f>(ROUND((Parameters!$B$102*Parameters!$B$2)+SUM(Parameters!$B$103:$B$106),0))*Parameters!B139</f>
        <v>159000</v>
      </c>
      <c r="D22" s="143">
        <f>(ROUND((Parameters!$B$102*Parameters!$B$2)+SUM(Parameters!$B$103:$B$106),0))*Parameters!C139</f>
        <v>119250</v>
      </c>
      <c r="E22" s="143">
        <f>(ROUND((Parameters!$B$102*Parameters!$B$2)+SUM(Parameters!$B$103:$B$106),0))*Parameters!D139</f>
        <v>79500</v>
      </c>
      <c r="F22" s="143">
        <f>(ROUND((Parameters!$B$102*Parameters!$B$2)+SUM(Parameters!$B$103:$B$106),0))*Parameters!E139</f>
        <v>31800</v>
      </c>
      <c r="G22" s="143">
        <f>(ROUND((Parameters!$B$102*Parameters!$B$2)+SUM(Parameters!$B$103:$B$106),0))*Parameters!F139</f>
        <v>7950</v>
      </c>
      <c r="H22" s="144">
        <f>SUM(C22:G22)</f>
        <v>397500</v>
      </c>
    </row>
    <row r="23" spans="1:17" ht="16">
      <c r="A23" s="141" t="s">
        <v>433</v>
      </c>
      <c r="B23" s="133"/>
      <c r="C23" s="143"/>
      <c r="D23" s="143"/>
      <c r="E23" s="143"/>
      <c r="F23" s="143"/>
      <c r="G23" s="143">
        <f>Parameters!B118</f>
        <v>42000</v>
      </c>
      <c r="H23" s="144">
        <f>SUM(C23:G23)</f>
        <v>42000</v>
      </c>
      <c r="I23" s="92">
        <v>401100</v>
      </c>
      <c r="J23">
        <f>ROUND((Parameters!B102*Parameters!B2)+SUM(Parameters!B103:B106),0)</f>
        <v>397500</v>
      </c>
      <c r="K23">
        <f>I23-J23</f>
        <v>3600</v>
      </c>
    </row>
    <row r="24" spans="1:17">
      <c r="A24" s="100"/>
      <c r="B24" s="100"/>
      <c r="C24" s="100"/>
      <c r="D24" s="100"/>
      <c r="E24" s="100"/>
      <c r="F24" s="100"/>
      <c r="G24" s="100"/>
      <c r="H24" s="100"/>
    </row>
    <row r="25" spans="1:17" ht="16">
      <c r="A25" s="145" t="s">
        <v>151</v>
      </c>
      <c r="B25" s="146"/>
      <c r="C25" s="147">
        <f>SUM(C12:C17)+SUM(C18:C22)</f>
        <v>1346818.38</v>
      </c>
      <c r="D25" s="147">
        <f>SUM(D12:D17)+SUM(D18:D22)</f>
        <v>665886.38</v>
      </c>
      <c r="E25" s="147">
        <f>SUM(E12:E17)+SUM(E18:E22)</f>
        <v>342425</v>
      </c>
      <c r="F25" s="147">
        <f>SUM(F12:F22)</f>
        <v>551356.25</v>
      </c>
      <c r="G25" s="147">
        <f>SUM(G12:G22)</f>
        <v>219225</v>
      </c>
      <c r="H25" s="147">
        <f>SUM(H11:H23)</f>
        <v>3167711.01</v>
      </c>
    </row>
    <row r="26" spans="1:17" ht="16">
      <c r="A26" s="148" t="s">
        <v>385</v>
      </c>
      <c r="B26" s="149"/>
      <c r="C26" s="298">
        <f>C25/C4</f>
        <v>9288.4026206896542</v>
      </c>
      <c r="D26" s="298">
        <f>D25/D4</f>
        <v>11098.106333333333</v>
      </c>
      <c r="E26" s="150">
        <f>E25/H4</f>
        <v>1670.3658536585365</v>
      </c>
      <c r="F26" s="150">
        <f>F25/H4</f>
        <v>2689.5426829268295</v>
      </c>
      <c r="G26" s="150">
        <f>G25/H4</f>
        <v>1069.3902439024391</v>
      </c>
      <c r="H26" s="150">
        <f>H25/H$4</f>
        <v>15452.248829268292</v>
      </c>
      <c r="I26" s="92" t="s">
        <v>387</v>
      </c>
    </row>
    <row r="27" spans="1:17" ht="16">
      <c r="A27" s="132"/>
      <c r="B27" s="149"/>
      <c r="C27" s="151"/>
      <c r="D27" s="151"/>
      <c r="E27" s="151"/>
      <c r="F27" s="151"/>
      <c r="G27" s="151"/>
      <c r="H27" s="140"/>
    </row>
    <row r="28" spans="1:17" ht="16">
      <c r="A28" s="140" t="s">
        <v>152</v>
      </c>
      <c r="B28" s="133"/>
      <c r="C28" s="152"/>
      <c r="D28" s="152"/>
      <c r="E28" s="152"/>
      <c r="F28" s="152"/>
      <c r="G28" s="152"/>
      <c r="H28" s="140"/>
    </row>
    <row r="29" spans="1:17" ht="16">
      <c r="A29" s="141" t="s">
        <v>259</v>
      </c>
      <c r="B29" s="142" t="s">
        <v>423</v>
      </c>
      <c r="C29" s="143">
        <f>$F$25*C55</f>
        <v>325801.42045454547</v>
      </c>
      <c r="D29" s="143">
        <f>$F$25*D55</f>
        <v>175431.53409090909</v>
      </c>
      <c r="E29" s="143">
        <f>$F$25*E55</f>
        <v>50123.295454545456</v>
      </c>
      <c r="F29" s="304">
        <f>-F25</f>
        <v>-551356.25</v>
      </c>
      <c r="G29" s="316"/>
      <c r="H29" s="144">
        <f>SUM(C29:F29)</f>
        <v>0</v>
      </c>
    </row>
    <row r="30" spans="1:17" ht="16">
      <c r="A30" s="141" t="s">
        <v>420</v>
      </c>
      <c r="B30" s="142" t="s">
        <v>421</v>
      </c>
      <c r="C30" s="143">
        <f>$G$25*C56</f>
        <v>125367.30008265021</v>
      </c>
      <c r="D30" s="143">
        <f>$G$25*D56</f>
        <v>61983.396471326501</v>
      </c>
      <c r="E30" s="143">
        <f>$G$25*E56</f>
        <v>31874.303446023292</v>
      </c>
      <c r="F30" s="304"/>
      <c r="G30" s="304">
        <f>-G25</f>
        <v>-219225</v>
      </c>
      <c r="H30" s="144">
        <f>SUM(C30:G30)</f>
        <v>0</v>
      </c>
      <c r="I30" s="92" t="s">
        <v>400</v>
      </c>
    </row>
    <row r="31" spans="1:17" ht="16">
      <c r="A31" s="141"/>
      <c r="B31" s="142"/>
      <c r="C31" s="143"/>
      <c r="D31" s="143"/>
      <c r="E31" s="143"/>
      <c r="F31" s="143"/>
      <c r="G31" s="143"/>
      <c r="H31" s="144"/>
    </row>
    <row r="32" spans="1:17" ht="16">
      <c r="A32" s="145" t="s">
        <v>153</v>
      </c>
      <c r="B32" s="146"/>
      <c r="C32" s="147">
        <f t="shared" ref="C32:H32" si="0">SUM(C29:C30)</f>
        <v>451168.72053719568</v>
      </c>
      <c r="D32" s="147">
        <f t="shared" si="0"/>
        <v>237414.93056223559</v>
      </c>
      <c r="E32" s="147">
        <f t="shared" si="0"/>
        <v>81997.598900568744</v>
      </c>
      <c r="F32" s="147">
        <f t="shared" si="0"/>
        <v>-551356.25</v>
      </c>
      <c r="G32" s="147">
        <f t="shared" si="0"/>
        <v>-219225</v>
      </c>
      <c r="H32" s="147">
        <f t="shared" si="0"/>
        <v>0</v>
      </c>
    </row>
    <row r="33" spans="1:9" ht="16">
      <c r="A33" s="148" t="s">
        <v>388</v>
      </c>
      <c r="B33" s="149"/>
      <c r="C33" s="150">
        <f>C32/C$4</f>
        <v>3111.5084174979011</v>
      </c>
      <c r="D33" s="150">
        <f>D32/D4</f>
        <v>3956.9155093705931</v>
      </c>
      <c r="E33" s="150">
        <f>E32/H4</f>
        <v>399.98828731984753</v>
      </c>
      <c r="F33" s="150">
        <f>F32/H4</f>
        <v>-2689.5426829268295</v>
      </c>
      <c r="G33" s="150">
        <f>G32/H4</f>
        <v>-1069.3902439024391</v>
      </c>
      <c r="H33" s="150">
        <f>H32/H$4</f>
        <v>0</v>
      </c>
    </row>
    <row r="34" spans="1:9" ht="16">
      <c r="A34" s="132"/>
      <c r="B34" s="133"/>
      <c r="C34" s="152"/>
      <c r="D34" s="152"/>
      <c r="E34" s="152"/>
      <c r="F34" s="152"/>
      <c r="G34" s="152"/>
      <c r="H34" s="140"/>
    </row>
    <row r="35" spans="1:9" ht="17" thickBot="1">
      <c r="A35" s="153" t="s">
        <v>154</v>
      </c>
      <c r="B35" s="154"/>
      <c r="C35" s="155">
        <f t="shared" ref="C35:H35" si="1">C32+C25</f>
        <v>1797987.1005371956</v>
      </c>
      <c r="D35" s="155">
        <f t="shared" si="1"/>
        <v>903301.31056223554</v>
      </c>
      <c r="E35" s="155">
        <f t="shared" si="1"/>
        <v>424422.59890056873</v>
      </c>
      <c r="F35" s="155">
        <f t="shared" si="1"/>
        <v>0</v>
      </c>
      <c r="G35" s="155">
        <f t="shared" si="1"/>
        <v>0</v>
      </c>
      <c r="H35" s="155">
        <f t="shared" si="1"/>
        <v>3167711.01</v>
      </c>
    </row>
    <row r="36" spans="1:9" ht="16">
      <c r="A36" s="148" t="s">
        <v>389</v>
      </c>
      <c r="B36" s="149"/>
      <c r="C36" s="150">
        <f>C35/C$4</f>
        <v>12399.911038187556</v>
      </c>
      <c r="D36" s="150">
        <f>D35/D4</f>
        <v>15055.021842703925</v>
      </c>
      <c r="E36" s="150">
        <f>E35/H4</f>
        <v>2070.3541409783838</v>
      </c>
      <c r="F36" s="150">
        <f>F35/H4</f>
        <v>0</v>
      </c>
      <c r="G36" s="150">
        <f>G35/H4</f>
        <v>0</v>
      </c>
      <c r="H36" s="156">
        <f>H35/H4</f>
        <v>15452.248829268292</v>
      </c>
    </row>
    <row r="37" spans="1:9" ht="16">
      <c r="A37" s="148"/>
      <c r="B37" s="149"/>
      <c r="C37" s="150"/>
      <c r="D37" s="150"/>
      <c r="E37" s="150"/>
      <c r="F37" s="150"/>
      <c r="G37" s="150"/>
      <c r="H37" s="156"/>
    </row>
    <row r="38" spans="1:9" ht="16">
      <c r="A38" s="145" t="s">
        <v>390</v>
      </c>
      <c r="B38" s="307"/>
      <c r="C38" s="323"/>
      <c r="D38" s="323"/>
      <c r="E38" s="310"/>
      <c r="F38" s="310"/>
      <c r="G38" s="310"/>
      <c r="H38" s="311"/>
    </row>
    <row r="39" spans="1:9" ht="16">
      <c r="A39" s="141" t="s">
        <v>391</v>
      </c>
      <c r="B39" s="149"/>
      <c r="C39" s="324"/>
      <c r="D39" s="324"/>
      <c r="E39" s="313">
        <f>Parameters!B91</f>
        <v>130000</v>
      </c>
      <c r="F39" s="313"/>
      <c r="G39" s="308">
        <f>Parameters!B134</f>
        <v>450000</v>
      </c>
      <c r="H39" s="308">
        <f>SUM(C39:G39)</f>
        <v>580000</v>
      </c>
    </row>
    <row r="40" spans="1:9" ht="16">
      <c r="A40" s="309" t="s">
        <v>392</v>
      </c>
      <c r="B40" s="149"/>
      <c r="C40" s="324"/>
      <c r="D40" s="324"/>
      <c r="E40" s="313"/>
      <c r="F40" s="313"/>
      <c r="G40" s="313">
        <f xml:space="preserve"> SUM(Parameters!B121*Parameters!C121, Parameters!B122*Parameters!C122, Parameters!B123*Parameters!C123)/SUM(Parameters!C121:C123)</f>
        <v>675000</v>
      </c>
      <c r="H40" s="308">
        <f xml:space="preserve"> SUM(C40:G40)</f>
        <v>675000</v>
      </c>
      <c r="I40" s="92" t="s">
        <v>393</v>
      </c>
    </row>
    <row r="41" spans="1:9" ht="16">
      <c r="A41" s="309" t="s">
        <v>236</v>
      </c>
      <c r="B41" s="149"/>
      <c r="C41" s="324">
        <f>Parameters!B13*Parameters!B4*Parameters!B2</f>
        <v>870000</v>
      </c>
      <c r="D41" s="324"/>
      <c r="E41" s="313"/>
      <c r="F41" s="313"/>
      <c r="G41" s="313"/>
      <c r="H41" s="308">
        <f>SUM(C41:G41)</f>
        <v>870000</v>
      </c>
    </row>
    <row r="42" spans="1:9" ht="16">
      <c r="A42" s="309" t="s">
        <v>394</v>
      </c>
      <c r="B42" s="149"/>
      <c r="C42" s="324">
        <f>Parameters!B14*Parameters!B2*(Parameters!B15*C4)</f>
        <v>413250</v>
      </c>
      <c r="D42" s="324"/>
      <c r="E42" s="313"/>
      <c r="F42" s="313"/>
      <c r="G42" s="313"/>
      <c r="H42" s="308">
        <f>SUM(C42:G42)</f>
        <v>413250</v>
      </c>
    </row>
    <row r="43" spans="1:9" ht="16">
      <c r="A43" s="309" t="s">
        <v>410</v>
      </c>
      <c r="B43" s="149"/>
      <c r="C43" s="324"/>
      <c r="D43" s="324">
        <f>Parameters!B26*((Parameters!B36*Parameters!B40*Parameters!B39)+(Parameters!B42*Parameters!B45*Parameters!B46))</f>
        <v>511875</v>
      </c>
      <c r="E43" s="313"/>
      <c r="F43" s="313"/>
      <c r="G43" s="313"/>
      <c r="H43" s="308">
        <f>SUM(C43:G43)</f>
        <v>511875</v>
      </c>
    </row>
    <row r="44" spans="1:9" ht="16">
      <c r="A44" s="309" t="s">
        <v>405</v>
      </c>
      <c r="B44" s="149"/>
      <c r="C44" s="324"/>
      <c r="D44" s="324">
        <f>Parameters!B26*((Parameters!B36*Parameters!B38)+(Parameters!B42*Parameters!B44))</f>
        <v>157500</v>
      </c>
      <c r="E44" s="313"/>
      <c r="F44" s="313"/>
      <c r="G44" s="313"/>
      <c r="H44" s="308">
        <f>SUM(C44:G44)</f>
        <v>157500</v>
      </c>
    </row>
    <row r="45" spans="1:9" ht="16">
      <c r="A45" s="309" t="s">
        <v>454</v>
      </c>
      <c r="B45" s="149"/>
      <c r="C45" s="324"/>
      <c r="D45" s="324"/>
      <c r="E45" s="313">
        <f>Parameters!B81*Parameters!B82*Budget_NoOut_Aud_EI!E6</f>
        <v>351562.5</v>
      </c>
      <c r="F45" s="313"/>
      <c r="G45" s="313"/>
      <c r="H45" s="308">
        <f>SUM(C45:G45)</f>
        <v>351562.5</v>
      </c>
      <c r="I45" s="92" t="s">
        <v>398</v>
      </c>
    </row>
    <row r="46" spans="1:9" ht="16">
      <c r="A46" s="309"/>
      <c r="B46" s="133"/>
      <c r="C46" s="324"/>
      <c r="D46" s="324"/>
      <c r="E46" s="313"/>
      <c r="F46" s="313"/>
      <c r="G46" s="313"/>
      <c r="H46" s="314"/>
    </row>
    <row r="47" spans="1:9" ht="17" thickBot="1">
      <c r="A47" s="153" t="s">
        <v>111</v>
      </c>
      <c r="B47" s="154"/>
      <c r="C47" s="155">
        <f>SUM(C39:C46)</f>
        <v>1283250</v>
      </c>
      <c r="D47" s="155">
        <f>SUM(D39:D46)</f>
        <v>669375</v>
      </c>
      <c r="E47" s="155">
        <f>SUM(E39:E45)</f>
        <v>481562.5</v>
      </c>
      <c r="F47" s="155">
        <f>SUM(F39:F45)</f>
        <v>0</v>
      </c>
      <c r="G47" s="155">
        <f>SUM(G39:G45)</f>
        <v>1125000</v>
      </c>
      <c r="H47" s="155">
        <f>SUM(H39:H45)</f>
        <v>3559187.5</v>
      </c>
    </row>
    <row r="48" spans="1:9" ht="16">
      <c r="A48" s="140"/>
      <c r="B48" s="133"/>
      <c r="C48" s="132"/>
      <c r="D48" s="132"/>
      <c r="E48" s="132"/>
      <c r="F48" s="132"/>
      <c r="G48" s="132"/>
      <c r="H48" s="140"/>
      <c r="I48">
        <v>-279499</v>
      </c>
    </row>
    <row r="49" spans="1:10" ht="17" thickBot="1">
      <c r="A49" s="153" t="s">
        <v>155</v>
      </c>
      <c r="B49" s="154"/>
      <c r="C49" s="155">
        <f>+C47-C35</f>
        <v>-514737.10053719557</v>
      </c>
      <c r="D49" s="155">
        <f>+D47-D35</f>
        <v>-233926.31056223554</v>
      </c>
      <c r="E49" s="155">
        <f>+E47-E35</f>
        <v>57139.90109943127</v>
      </c>
      <c r="F49" s="155"/>
      <c r="G49" s="155">
        <f>+G47-G35</f>
        <v>1125000</v>
      </c>
      <c r="H49" s="155">
        <f>+H47-H35</f>
        <v>391476.49000000022</v>
      </c>
      <c r="I49" s="317" t="s">
        <v>451</v>
      </c>
      <c r="J49" s="317" t="s">
        <v>415</v>
      </c>
    </row>
    <row r="50" spans="1:10" ht="16">
      <c r="A50" s="148" t="s">
        <v>156</v>
      </c>
      <c r="B50" s="149"/>
      <c r="C50" s="150">
        <f>+C49/C4</f>
        <v>-3549.9110381875557</v>
      </c>
      <c r="D50" s="150"/>
      <c r="E50" s="150">
        <f>+E49/E4</f>
        <v>278.73122487527451</v>
      </c>
      <c r="F50" s="150"/>
      <c r="G50" s="150"/>
      <c r="H50" s="156">
        <f>+H49/H4</f>
        <v>1909.6414146341474</v>
      </c>
      <c r="I50" s="244">
        <f>I48-H49</f>
        <v>-670975.49000000022</v>
      </c>
    </row>
    <row r="51" spans="1:10" ht="16">
      <c r="A51" s="132" t="s">
        <v>157</v>
      </c>
      <c r="B51" s="133"/>
      <c r="C51" s="157">
        <f>+C49/C35</f>
        <v>-0.286285202148227</v>
      </c>
      <c r="D51" s="157">
        <f>+D49/D35</f>
        <v>-0.25896819569168389</v>
      </c>
      <c r="E51" s="157">
        <f>+E49/E35</f>
        <v>0.13462973283573357</v>
      </c>
      <c r="F51" s="157" t="e">
        <f>+F49/F35</f>
        <v>#DIV/0!</v>
      </c>
      <c r="G51" s="157" t="e">
        <f>+G49/G35</f>
        <v>#DIV/0!</v>
      </c>
      <c r="H51" s="157">
        <f>+H49/H35</f>
        <v>0.12358339784284812</v>
      </c>
    </row>
    <row r="52" spans="1:10" ht="16">
      <c r="A52" s="132"/>
      <c r="B52" s="133"/>
      <c r="C52" s="132"/>
      <c r="D52" s="132"/>
      <c r="E52" s="132"/>
      <c r="F52" s="132"/>
      <c r="G52" s="132"/>
      <c r="H52" s="140"/>
    </row>
    <row r="53" spans="1:10" ht="16">
      <c r="A53" s="140" t="s">
        <v>158</v>
      </c>
      <c r="B53" s="133"/>
      <c r="C53" s="132"/>
      <c r="D53" s="132"/>
      <c r="E53" s="132"/>
      <c r="F53" s="132"/>
      <c r="G53" s="132"/>
      <c r="H53" s="140"/>
    </row>
    <row r="54" spans="1:10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ROUND((Parameters!E137)+(SUM(Parameters!$F$137:$G$137)/4),4)</f>
        <v>0.125</v>
      </c>
      <c r="F54" s="158"/>
      <c r="G54" s="158"/>
      <c r="H54" s="140"/>
    </row>
    <row r="55" spans="1:10" ht="16">
      <c r="A55" s="132" t="s">
        <v>407</v>
      </c>
      <c r="B55" s="149"/>
      <c r="C55" s="328">
        <f>(C7+C8)/($H$7+$H$8)</f>
        <v>0.59090909090909094</v>
      </c>
      <c r="D55" s="328">
        <f>(D7+D8)/($H$7+$H$8)</f>
        <v>0.31818181818181818</v>
      </c>
      <c r="E55" s="328">
        <f>(E7+E8)/($H$7+$H$8)</f>
        <v>9.0909090909090912E-2</v>
      </c>
      <c r="F55" s="158"/>
      <c r="G55" s="158"/>
      <c r="H55" s="140"/>
    </row>
    <row r="56" spans="1:10" ht="16">
      <c r="A56" s="159" t="s">
        <v>422</v>
      </c>
      <c r="B56" s="149"/>
      <c r="C56" s="327">
        <f>C25/SUM($C$25:$E$25)</f>
        <v>0.57186589158467427</v>
      </c>
      <c r="D56" s="327">
        <f>D25/SUM($C$25:$E$25)</f>
        <v>0.28273872264261146</v>
      </c>
      <c r="E56" s="327">
        <f>E25/SUM($C$25:$E$25)</f>
        <v>0.1453953857727143</v>
      </c>
      <c r="F56" s="322"/>
      <c r="G56" s="322"/>
      <c r="H56" s="140"/>
    </row>
    <row r="58" spans="1:10">
      <c r="A58" s="92" t="s">
        <v>115</v>
      </c>
    </row>
    <row r="59" spans="1:10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0">
      <c r="A60" s="92" t="s">
        <v>413</v>
      </c>
    </row>
    <row r="61" spans="1:10">
      <c r="A61" s="92" t="s">
        <v>417</v>
      </c>
    </row>
    <row r="62" spans="1:10">
      <c r="A62" s="92" t="s">
        <v>418</v>
      </c>
    </row>
    <row r="63" spans="1:10">
      <c r="B63" s="92" t="s">
        <v>414</v>
      </c>
    </row>
  </sheetData>
  <mergeCells count="3">
    <mergeCell ref="A1:H1"/>
    <mergeCell ref="C2:E2"/>
    <mergeCell ref="F2:G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A521-2CA9-A942-A6D6-7F4BA8113F2C}">
  <dimension ref="A1:R63"/>
  <sheetViews>
    <sheetView topLeftCell="A22" zoomScale="87" workbookViewId="0">
      <selection activeCell="C16" sqref="C16"/>
    </sheetView>
  </sheetViews>
  <sheetFormatPr baseColWidth="10" defaultRowHeight="13"/>
  <cols>
    <col min="1" max="1" width="27.33203125" customWidth="1"/>
    <col min="2" max="2" width="17.33203125" customWidth="1"/>
    <col min="3" max="5" width="19.33203125" customWidth="1"/>
    <col min="6" max="7" width="17.33203125" customWidth="1"/>
    <col min="8" max="8" width="15.83203125" customWidth="1"/>
    <col min="9" max="9" width="26" customWidth="1"/>
    <col min="10" max="10" width="20.1640625" customWidth="1"/>
    <col min="11" max="15" width="11" bestFit="1" customWidth="1"/>
    <col min="16" max="16" width="12.33203125" bestFit="1" customWidth="1"/>
  </cols>
  <sheetData>
    <row r="1" spans="1:18" ht="21">
      <c r="A1" s="334" t="s">
        <v>256</v>
      </c>
      <c r="B1" s="334"/>
      <c r="C1" s="334"/>
      <c r="D1" s="334"/>
      <c r="E1" s="334"/>
      <c r="F1" s="334"/>
      <c r="G1" s="334"/>
      <c r="H1" s="334"/>
      <c r="I1" s="334"/>
    </row>
    <row r="2" spans="1:18" ht="21">
      <c r="A2" s="228"/>
      <c r="B2" s="228"/>
      <c r="C2" s="335" t="s">
        <v>262</v>
      </c>
      <c r="D2" s="335"/>
      <c r="E2" s="335"/>
      <c r="F2" s="335"/>
      <c r="G2" s="335" t="s">
        <v>261</v>
      </c>
      <c r="H2" s="335"/>
      <c r="I2" s="228"/>
    </row>
    <row r="3" spans="1:18" ht="16">
      <c r="A3" s="132"/>
      <c r="B3" s="133"/>
      <c r="C3" s="134" t="s">
        <v>76</v>
      </c>
      <c r="D3" s="134" t="s">
        <v>88</v>
      </c>
      <c r="E3" s="134" t="s">
        <v>91</v>
      </c>
      <c r="F3" s="134" t="s">
        <v>96</v>
      </c>
      <c r="G3" s="134" t="s">
        <v>259</v>
      </c>
      <c r="H3" s="134" t="s">
        <v>260</v>
      </c>
      <c r="I3" s="134" t="s">
        <v>416</v>
      </c>
    </row>
    <row r="4" spans="1:18" ht="16">
      <c r="A4" s="302" t="s">
        <v>384</v>
      </c>
      <c r="B4" s="133"/>
      <c r="C4" s="296">
        <f>Parameters!B4</f>
        <v>145</v>
      </c>
      <c r="D4" s="132">
        <f>Parameters!$B$27</f>
        <v>60</v>
      </c>
      <c r="E4" s="303" t="s">
        <v>386</v>
      </c>
      <c r="F4" s="132">
        <f>SUM(C4:D4)</f>
        <v>205</v>
      </c>
      <c r="G4" s="303" t="s">
        <v>386</v>
      </c>
      <c r="H4" s="301" t="s">
        <v>386</v>
      </c>
      <c r="I4" s="135">
        <f>SUM(C4:F4)</f>
        <v>410</v>
      </c>
    </row>
    <row r="5" spans="1:18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140">
        <f>Parameters!$B$2</f>
        <v>12</v>
      </c>
      <c r="F5" s="301">
        <f>Parameters!B2</f>
        <v>12</v>
      </c>
      <c r="G5" s="140">
        <f>Parameters!$B$2</f>
        <v>12</v>
      </c>
      <c r="H5" s="140">
        <f>Parameters!$B$2</f>
        <v>12</v>
      </c>
      <c r="I5" s="135"/>
    </row>
    <row r="6" spans="1:18" ht="16">
      <c r="A6" s="135" t="s">
        <v>146</v>
      </c>
      <c r="B6" s="133"/>
      <c r="C6" s="299">
        <f>Parameters!D9</f>
        <v>13</v>
      </c>
      <c r="D6" s="299">
        <f>ROUNDUP(SUM(Parameters!B32:B33),0)</f>
        <v>4</v>
      </c>
      <c r="E6" s="299">
        <f>ROUNDUP(SUM(Parameters!B62,Parameters!B63),0)</f>
        <v>3</v>
      </c>
      <c r="F6" s="299">
        <f>Parameters!B78</f>
        <v>1</v>
      </c>
      <c r="G6" s="299">
        <f>SUM(Parameters!B96:B99)</f>
        <v>5</v>
      </c>
      <c r="H6" s="299">
        <f>SUM(Parameters!B112:'Parameters'!B113)</f>
        <v>2</v>
      </c>
      <c r="I6" s="300">
        <f>SUM(C6:F6)</f>
        <v>21</v>
      </c>
    </row>
    <row r="7" spans="1:18" ht="16">
      <c r="A7" s="135" t="s">
        <v>257</v>
      </c>
      <c r="B7" s="133"/>
      <c r="C7" s="299">
        <v>0</v>
      </c>
      <c r="D7" s="299">
        <f>ROUNDUP('Assumptions and Parameters'!$E$32,0)</f>
        <v>3</v>
      </c>
      <c r="E7" s="299">
        <v>0</v>
      </c>
      <c r="F7" s="299">
        <v>0</v>
      </c>
      <c r="G7" s="299">
        <v>0</v>
      </c>
      <c r="H7" s="299">
        <v>0</v>
      </c>
      <c r="I7" s="300">
        <f>SUM(C7:F7)</f>
        <v>3</v>
      </c>
    </row>
    <row r="8" spans="1:18" ht="16">
      <c r="A8" s="136"/>
      <c r="B8" s="137" t="s">
        <v>147</v>
      </c>
      <c r="C8" s="134" t="s">
        <v>76</v>
      </c>
      <c r="D8" s="134" t="s">
        <v>88</v>
      </c>
      <c r="E8" s="134" t="s">
        <v>91</v>
      </c>
      <c r="F8" s="134" t="s">
        <v>96</v>
      </c>
      <c r="G8" s="134" t="s">
        <v>259</v>
      </c>
      <c r="H8" s="134" t="s">
        <v>260</v>
      </c>
      <c r="I8" s="134" t="s">
        <v>12</v>
      </c>
    </row>
    <row r="9" spans="1:18" ht="16">
      <c r="A9" s="138" t="s">
        <v>148</v>
      </c>
      <c r="B9" s="133"/>
      <c r="C9" s="139"/>
      <c r="D9" s="139"/>
      <c r="E9" s="139"/>
      <c r="F9" s="139"/>
      <c r="G9" s="139"/>
      <c r="H9" s="139"/>
      <c r="I9" s="140"/>
    </row>
    <row r="10" spans="1:18">
      <c r="A10" s="326" t="s">
        <v>404</v>
      </c>
      <c r="B10" s="100"/>
      <c r="C10" s="100"/>
      <c r="D10" s="100"/>
      <c r="E10" s="100"/>
      <c r="F10" s="100"/>
      <c r="G10" s="100"/>
      <c r="H10" s="100"/>
      <c r="I10" s="100"/>
    </row>
    <row r="11" spans="1:18" ht="16">
      <c r="A11" s="141" t="s">
        <v>258</v>
      </c>
      <c r="B11" s="133" t="s">
        <v>150</v>
      </c>
      <c r="C11" s="143">
        <f>Parameters!$D$9*Parameters!$C$9 + (Parameters!$C$62*Parameters!B141)</f>
        <v>868750</v>
      </c>
      <c r="D11" s="143">
        <f>Parameters!$B$34*(Parameters!$C$34) +Parameters!$B$33*(Parameters!$C$33)+Parameters!$C$32 + (Parameters!$C$62*Parameters!C141)</f>
        <v>385500</v>
      </c>
      <c r="E11" s="325">
        <f>Parameters!$B$63*Parameters!$C$63 + (Parameters!$C$62*Parameters!D141)</f>
        <v>202250</v>
      </c>
      <c r="F11" s="143">
        <f>(Parameters!B78*Parameters!B79)</f>
        <v>105000</v>
      </c>
      <c r="G11" s="143">
        <f>ROUND(SUM(Parameters!C96:C98)+(Parameters!B99*Parameters!C99),2)</f>
        <v>387500</v>
      </c>
      <c r="H11" s="143">
        <f>(Parameters!$B$112*Parameters!$C$112)+(Parameters!$B$113*Parameters!$C$113)</f>
        <v>150000</v>
      </c>
      <c r="I11" s="144">
        <f t="shared" ref="I11:I17" si="0">SUM(C11:H11)</f>
        <v>2099000</v>
      </c>
      <c r="J11" s="244"/>
    </row>
    <row r="12" spans="1:18" ht="16">
      <c r="A12" s="141" t="s">
        <v>426</v>
      </c>
      <c r="B12" s="133"/>
      <c r="C12" s="143">
        <f>ROUND(C11*Parameters!$C$128,1)</f>
        <v>53862.5</v>
      </c>
      <c r="D12" s="143">
        <f>ROUND(D11*Parameters!$C$128,1)</f>
        <v>23901</v>
      </c>
      <c r="E12" s="143">
        <f>ROUND(E11*Parameters!$C$128,1)</f>
        <v>12539.5</v>
      </c>
      <c r="F12" s="143">
        <f>ROUND(F11*Parameters!$C$128,1)</f>
        <v>6510</v>
      </c>
      <c r="G12" s="143">
        <f>ROUND(G11*Parameters!$C$128,1)</f>
        <v>24025</v>
      </c>
      <c r="H12" s="143">
        <f>ROUND(H11*Parameters!$C$128,1)</f>
        <v>9300</v>
      </c>
      <c r="I12" s="144">
        <f t="shared" si="0"/>
        <v>130138</v>
      </c>
    </row>
    <row r="13" spans="1:18" ht="16">
      <c r="A13" s="141" t="s">
        <v>427</v>
      </c>
      <c r="B13" s="133"/>
      <c r="C13" s="143">
        <f>ROUND(C11*Parameters!$C$129,2)</f>
        <v>12596.88</v>
      </c>
      <c r="D13" s="143">
        <f>ROUND(D11*Parameters!$C$129,2)</f>
        <v>5589.75</v>
      </c>
      <c r="E13" s="143">
        <f>ROUND(E11*Parameters!$C$129,2)</f>
        <v>2932.63</v>
      </c>
      <c r="F13" s="143">
        <f>ROUND(F11*Parameters!$C$129,2)</f>
        <v>1522.5</v>
      </c>
      <c r="G13" s="143">
        <f>ROUND(G11*Parameters!$C$129,2)</f>
        <v>5618.75</v>
      </c>
      <c r="H13" s="143">
        <f>ROUND(H11*Parameters!$C$129,2)</f>
        <v>2175</v>
      </c>
      <c r="I13" s="144">
        <f t="shared" si="0"/>
        <v>30435.51</v>
      </c>
    </row>
    <row r="14" spans="1:18" ht="16">
      <c r="A14" s="141" t="s">
        <v>428</v>
      </c>
      <c r="B14" s="133"/>
      <c r="C14" s="320">
        <f>ROUND(C11*Parameters!$C$127,0)</f>
        <v>69500</v>
      </c>
      <c r="D14" s="320">
        <f>ROUND(D11*Parameters!$C$127,0)</f>
        <v>30840</v>
      </c>
      <c r="E14" s="320">
        <f>ROUND(E11*Parameters!$C$127,0)</f>
        <v>16180</v>
      </c>
      <c r="F14" s="320">
        <f>ROUND(F11*Parameters!$C$127,0)</f>
        <v>8400</v>
      </c>
      <c r="G14" s="320">
        <f>ROUND(G11*Parameters!$C$127,0)</f>
        <v>31000</v>
      </c>
      <c r="H14" s="320">
        <f>ROUND(H11*Parameters!$C$127,0)</f>
        <v>12000</v>
      </c>
      <c r="I14" s="144">
        <f t="shared" si="0"/>
        <v>167920</v>
      </c>
      <c r="J14">
        <v>218988</v>
      </c>
      <c r="K14" s="244"/>
    </row>
    <row r="15" spans="1:18" ht="16">
      <c r="A15" s="141" t="s">
        <v>429</v>
      </c>
      <c r="B15" s="133"/>
      <c r="C15" s="295">
        <f>Parameters!$C$132*'Program Budget_exp EI'!C11</f>
        <v>65156.25</v>
      </c>
      <c r="D15" s="320">
        <f>(Parameters!$C$132*'Program Budget_exp EI'!D11)-(D7*Parameters!C33*Parameters!C132)</f>
        <v>20362.5</v>
      </c>
      <c r="E15" s="295">
        <f>Parameters!$C$132*'Program Budget_exp EI'!E11</f>
        <v>15168.75</v>
      </c>
      <c r="F15" s="295">
        <f>Parameters!$C$132*'Program Budget_exp EI'!F11</f>
        <v>7875</v>
      </c>
      <c r="G15" s="320">
        <f>ROUND(Parameters!$C$132*'Program Budget_exp EI'!G11,2)</f>
        <v>29062.5</v>
      </c>
      <c r="H15" s="320">
        <f>Parameters!$C$132*'Program Budget_exp EI'!H11</f>
        <v>11250</v>
      </c>
      <c r="I15" s="144">
        <f t="shared" si="0"/>
        <v>148875</v>
      </c>
    </row>
    <row r="16" spans="1:18" ht="16">
      <c r="A16" s="141" t="s">
        <v>430</v>
      </c>
      <c r="B16" s="133"/>
      <c r="C16" s="320">
        <f>(Parameters!$C$131*'Program Budget_exp EI'!C6*'Program Budget_exp EI'!C5)+(Parameters!B141*Parameters!C131*Parameters!B2)</f>
        <v>67575</v>
      </c>
      <c r="D16" s="320">
        <f>(Parameters!$C$131*'Program Budget_exp EI'!D6*'Program Budget_exp EI'!C5) + (Parameters!C141*Parameters!C131*Parameters!B2)</f>
        <v>21420</v>
      </c>
      <c r="E16" s="320">
        <f>Parameters!$C$131*Parameters!B63* E5 + (Parameters!D141*Parameters!C131*Parameters!B2)</f>
        <v>13005</v>
      </c>
      <c r="F16" s="320">
        <f>Parameters!$C$131*'Program Budget_exp EI'!F6*'Program Budget_exp EI'!F5</f>
        <v>5100</v>
      </c>
      <c r="G16" s="320">
        <f>ROUND(Parameters!$C$131*'Program Budget_exp EI'!G6*'Program Budget_exp EI'!G5,2)</f>
        <v>25500</v>
      </c>
      <c r="H16" s="320">
        <f>Parameters!$C$131*'Program Budget_exp EI'!H6*'Program Budget_exp EI'!H5</f>
        <v>10200</v>
      </c>
      <c r="I16" s="144">
        <f t="shared" si="0"/>
        <v>142800</v>
      </c>
      <c r="J16" s="141" t="s">
        <v>408</v>
      </c>
      <c r="K16" s="133"/>
      <c r="L16" s="297">
        <f>SUM(C11:C16)</f>
        <v>1137440.6299999999</v>
      </c>
      <c r="M16" s="297">
        <f>SUM(D11:D16)</f>
        <v>487613.25</v>
      </c>
      <c r="N16" s="297">
        <f>SUM(E11:E16)</f>
        <v>262075.88</v>
      </c>
      <c r="O16" s="297">
        <f>SUM(F11:F16)</f>
        <v>134407.5</v>
      </c>
      <c r="P16" s="321">
        <f>ROUND(SUM(G11:G16),2)</f>
        <v>502706.25</v>
      </c>
      <c r="Q16" s="297">
        <f>SUM(H11:H16)</f>
        <v>194925</v>
      </c>
      <c r="R16" s="319">
        <f>SUM(L16:Q16)</f>
        <v>2719168.51</v>
      </c>
    </row>
    <row r="17" spans="1:10" ht="16">
      <c r="A17" s="141" t="s">
        <v>431</v>
      </c>
      <c r="B17" s="133" t="s">
        <v>149</v>
      </c>
      <c r="C17" s="143">
        <f>Parameters!$B$20*Parameters!$D$9</f>
        <v>16250</v>
      </c>
      <c r="D17" s="143">
        <f>Parameters!$B$50*(Parameters!$B$33+Parameters!$B$34)</f>
        <v>4500</v>
      </c>
      <c r="E17" s="143">
        <f>(Parameters!B71*Parameters!B63)+(Parameters!B70*(SUM(Parameters!B62:B63)))</f>
        <v>9750</v>
      </c>
      <c r="F17" s="143">
        <f>Parameters!B88*Parameters!B78</f>
        <v>3000</v>
      </c>
      <c r="G17" s="143">
        <v>0</v>
      </c>
      <c r="H17" s="143">
        <v>0</v>
      </c>
      <c r="I17" s="144">
        <f t="shared" si="0"/>
        <v>33500</v>
      </c>
    </row>
    <row r="18" spans="1:10" ht="16">
      <c r="A18" s="141"/>
      <c r="B18" s="133"/>
      <c r="C18" s="143"/>
      <c r="D18" s="143"/>
      <c r="E18" s="143"/>
      <c r="F18" s="143"/>
      <c r="G18" s="143"/>
      <c r="H18" s="143"/>
      <c r="I18" s="144"/>
    </row>
    <row r="19" spans="1:10" ht="16">
      <c r="A19" s="306" t="s">
        <v>337</v>
      </c>
      <c r="B19" s="133"/>
      <c r="C19" s="143"/>
      <c r="D19" s="143"/>
      <c r="E19" s="143"/>
      <c r="F19" s="143"/>
      <c r="G19" s="143"/>
      <c r="H19" s="143"/>
      <c r="I19" s="144"/>
    </row>
    <row r="20" spans="1:10" ht="16">
      <c r="A20" s="141" t="s">
        <v>425</v>
      </c>
      <c r="B20" s="142" t="s">
        <v>149</v>
      </c>
      <c r="C20" s="143"/>
      <c r="D20" s="143">
        <f>Parameters!$B$51*(Parameters!$B$28+Parameters!$B$29)</f>
        <v>24000</v>
      </c>
      <c r="E20" s="143"/>
      <c r="F20" s="143">
        <f>Parameters!B89</f>
        <v>65000</v>
      </c>
      <c r="G20" s="143">
        <f>SUM(Parameters!B107:B108)</f>
        <v>16850</v>
      </c>
      <c r="H20" s="143">
        <f>SUM(Parameters!B115:B117)</f>
        <v>16350</v>
      </c>
      <c r="I20" s="144">
        <f>SUM(C20:H20)</f>
        <v>122200</v>
      </c>
    </row>
    <row r="21" spans="1:10" ht="16">
      <c r="A21" s="141" t="s">
        <v>432</v>
      </c>
      <c r="B21" s="133"/>
      <c r="C21" s="143">
        <f>(ROUND((Parameters!$B$102*Parameters!$B$2)+SUM(Parameters!$B$103:$B$106),0))*Parameters!B137</f>
        <v>119250</v>
      </c>
      <c r="D21" s="143">
        <f>(ROUND((Parameters!$B$102*Parameters!$B$2)+SUM(Parameters!$B$103:$B$106),0))*Parameters!C137</f>
        <v>119250</v>
      </c>
      <c r="E21" s="143">
        <f>(ROUND((Parameters!$B$102*Parameters!$B$2)+SUM(Parameters!$B$103:$B$106),0))*Parameters!D137</f>
        <v>79500</v>
      </c>
      <c r="F21" s="143">
        <f>(ROUND((Parameters!$B$102*Parameters!$B$2)+SUM(Parameters!$B$103:$B$106),0))*Parameters!E137</f>
        <v>39750</v>
      </c>
      <c r="G21" s="143">
        <f>(ROUND((Parameters!$B$102*Parameters!$B$2)+SUM(Parameters!$B$103:$B$106),0))*Parameters!F137</f>
        <v>31800</v>
      </c>
      <c r="H21" s="143">
        <f>(ROUND((Parameters!$B$102*Parameters!$B$2)+SUM(Parameters!$B$103:$B$106),0))*Parameters!G137</f>
        <v>7950</v>
      </c>
      <c r="I21" s="144">
        <f>SUM(C21:H21)</f>
        <v>397500</v>
      </c>
    </row>
    <row r="22" spans="1:10" ht="16">
      <c r="A22" s="141" t="s">
        <v>433</v>
      </c>
      <c r="B22" s="133"/>
      <c r="C22" s="143"/>
      <c r="D22" s="143"/>
      <c r="E22" s="143"/>
      <c r="F22" s="143"/>
      <c r="G22" s="143"/>
      <c r="H22" s="143">
        <f>Parameters!B118</f>
        <v>42000</v>
      </c>
      <c r="I22" s="144">
        <f>SUM(C22:H22)</f>
        <v>42000</v>
      </c>
      <c r="J22" s="92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</row>
    <row r="24" spans="1:10" ht="16">
      <c r="A24" s="145" t="s">
        <v>151</v>
      </c>
      <c r="B24" s="146"/>
      <c r="C24" s="147">
        <f>SUM(C11:C16)+SUM(C17:C21)</f>
        <v>1272940.6299999999</v>
      </c>
      <c r="D24" s="147">
        <f>SUM(D11:D16)+SUM(D17:D21)</f>
        <v>635363.25</v>
      </c>
      <c r="E24" s="147">
        <f>SUM(E11:E16)+SUM(E17:E21)</f>
        <v>351325.88</v>
      </c>
      <c r="F24" s="147">
        <f>SUM(F11:F16)+SUM(F17:F21)</f>
        <v>242157.5</v>
      </c>
      <c r="G24" s="147">
        <f>SUM(G11:G21)</f>
        <v>551356.25</v>
      </c>
      <c r="H24" s="147">
        <f>SUM(H11:H21)</f>
        <v>219225</v>
      </c>
      <c r="I24" s="147">
        <f>SUM(I10:I22)</f>
        <v>3314368.51</v>
      </c>
    </row>
    <row r="25" spans="1:10" ht="16">
      <c r="A25" s="148" t="s">
        <v>385</v>
      </c>
      <c r="B25" s="149"/>
      <c r="C25" s="298">
        <f>C24/C4</f>
        <v>8778.9008965517241</v>
      </c>
      <c r="D25" s="298">
        <f>D24/D4</f>
        <v>10589.387500000001</v>
      </c>
      <c r="E25" s="298">
        <f>E24/I4</f>
        <v>856.89239024390247</v>
      </c>
      <c r="F25" s="150">
        <f>F24/I4</f>
        <v>590.6280487804878</v>
      </c>
      <c r="G25" s="150">
        <f>G24/I4</f>
        <v>1344.7713414634147</v>
      </c>
      <c r="H25" s="150">
        <f>H24/I4</f>
        <v>534.69512195121956</v>
      </c>
      <c r="I25" s="150">
        <f>I24/I$4</f>
        <v>8083.8256341463411</v>
      </c>
      <c r="J25" s="92" t="s">
        <v>387</v>
      </c>
    </row>
    <row r="26" spans="1:10" ht="16">
      <c r="A26" s="132"/>
      <c r="B26" s="149"/>
      <c r="C26" s="151"/>
      <c r="D26" s="151"/>
      <c r="E26" s="151"/>
      <c r="F26" s="151"/>
      <c r="G26" s="151"/>
      <c r="H26" s="151"/>
      <c r="I26" s="140"/>
    </row>
    <row r="27" spans="1:10" ht="16">
      <c r="A27" s="140" t="s">
        <v>152</v>
      </c>
      <c r="B27" s="133"/>
      <c r="C27" s="152"/>
      <c r="D27" s="152"/>
      <c r="E27" s="152"/>
      <c r="F27" s="152"/>
      <c r="G27" s="152"/>
      <c r="H27" s="152"/>
      <c r="I27" s="140"/>
    </row>
    <row r="28" spans="1:10" ht="16">
      <c r="A28" s="141" t="s">
        <v>259</v>
      </c>
      <c r="B28" s="142" t="s">
        <v>423</v>
      </c>
      <c r="C28" s="143">
        <f>$G$24*C55</f>
        <v>298651.30208333331</v>
      </c>
      <c r="D28" s="143">
        <f>$G$24*D55</f>
        <v>160812.23958333334</v>
      </c>
      <c r="E28" s="143">
        <f>$G$24*E55</f>
        <v>68919.53125</v>
      </c>
      <c r="F28" s="143">
        <f>$G$24*F55</f>
        <v>22973.177083333332</v>
      </c>
      <c r="G28" s="304">
        <f>-G24</f>
        <v>-551356.25</v>
      </c>
      <c r="H28" s="316"/>
      <c r="I28" s="144">
        <f>SUM(C28:G28)</f>
        <v>0</v>
      </c>
    </row>
    <row r="29" spans="1:10" ht="16">
      <c r="A29" s="141" t="s">
        <v>420</v>
      </c>
      <c r="B29" s="142" t="s">
        <v>449</v>
      </c>
      <c r="C29" s="143">
        <f>$H$24*C56</f>
        <v>111544.42029245524</v>
      </c>
      <c r="D29" s="143">
        <f>$H$24*D56</f>
        <v>55675.200968626734</v>
      </c>
      <c r="E29" s="143">
        <f>$H$24*E56</f>
        <v>30785.757555980203</v>
      </c>
      <c r="F29" s="143">
        <f>$H$24*F56</f>
        <v>21219.621182937837</v>
      </c>
      <c r="G29" s="304"/>
      <c r="H29" s="304">
        <f>-H24</f>
        <v>-219225</v>
      </c>
      <c r="I29" s="144">
        <f>SUM(C29:H29)</f>
        <v>0</v>
      </c>
      <c r="J29" s="92"/>
    </row>
    <row r="30" spans="1:10" ht="16">
      <c r="A30" s="141"/>
      <c r="B30" s="142"/>
      <c r="C30" s="143"/>
      <c r="D30" s="143"/>
      <c r="E30" s="143"/>
      <c r="F30" s="143"/>
      <c r="G30" s="143"/>
      <c r="H30" s="143"/>
      <c r="I30" s="144"/>
    </row>
    <row r="31" spans="1:10" ht="16">
      <c r="A31" s="145" t="s">
        <v>153</v>
      </c>
      <c r="B31" s="146"/>
      <c r="C31" s="147">
        <f t="shared" ref="C31:I31" si="1">SUM(C28:C29)</f>
        <v>410195.72237578855</v>
      </c>
      <c r="D31" s="147">
        <f t="shared" si="1"/>
        <v>216487.44055196008</v>
      </c>
      <c r="E31" s="147">
        <f t="shared" si="1"/>
        <v>99705.288805980206</v>
      </c>
      <c r="F31" s="147">
        <f t="shared" si="1"/>
        <v>44192.798266271173</v>
      </c>
      <c r="G31" s="147">
        <f t="shared" si="1"/>
        <v>-551356.25</v>
      </c>
      <c r="H31" s="147">
        <f t="shared" si="1"/>
        <v>-219225</v>
      </c>
      <c r="I31" s="147">
        <f t="shared" si="1"/>
        <v>0</v>
      </c>
    </row>
    <row r="32" spans="1:10" ht="16">
      <c r="A32" s="148" t="s">
        <v>388</v>
      </c>
      <c r="B32" s="149"/>
      <c r="C32" s="150">
        <f>C31/C$4</f>
        <v>2828.9360163847487</v>
      </c>
      <c r="D32" s="150">
        <f>D31/D4</f>
        <v>3608.1240091993345</v>
      </c>
      <c r="E32" s="150">
        <f>E31/I4</f>
        <v>243.18363123409807</v>
      </c>
      <c r="F32" s="150">
        <f>F31/I4</f>
        <v>107.78731284456384</v>
      </c>
      <c r="G32" s="150">
        <f>G31/I4</f>
        <v>-1344.7713414634147</v>
      </c>
      <c r="H32" s="150">
        <f>H31/I4</f>
        <v>-534.69512195121956</v>
      </c>
      <c r="I32" s="150">
        <f>I31/I$4</f>
        <v>0</v>
      </c>
    </row>
    <row r="33" spans="1:10" ht="16">
      <c r="A33" s="132"/>
      <c r="B33" s="133"/>
      <c r="C33" s="152"/>
      <c r="D33" s="152"/>
      <c r="E33" s="152"/>
      <c r="F33" s="152"/>
      <c r="G33" s="152"/>
      <c r="H33" s="152"/>
      <c r="I33" s="140"/>
    </row>
    <row r="34" spans="1:10" ht="17" thickBot="1">
      <c r="A34" s="153" t="s">
        <v>154</v>
      </c>
      <c r="B34" s="154"/>
      <c r="C34" s="155">
        <f t="shared" ref="C34:I34" si="2">C31+C24</f>
        <v>1683136.3523757884</v>
      </c>
      <c r="D34" s="155">
        <f t="shared" si="2"/>
        <v>851850.69055196014</v>
      </c>
      <c r="E34" s="155">
        <f t="shared" si="2"/>
        <v>451031.16880598024</v>
      </c>
      <c r="F34" s="155">
        <f t="shared" si="2"/>
        <v>286350.29826627119</v>
      </c>
      <c r="G34" s="155">
        <f t="shared" si="2"/>
        <v>0</v>
      </c>
      <c r="H34" s="155">
        <f t="shared" si="2"/>
        <v>0</v>
      </c>
      <c r="I34" s="155">
        <f t="shared" si="2"/>
        <v>3314368.51</v>
      </c>
    </row>
    <row r="35" spans="1:10" ht="16">
      <c r="A35" s="148" t="s">
        <v>389</v>
      </c>
      <c r="B35" s="149"/>
      <c r="C35" s="150">
        <f>C34/C$4</f>
        <v>11607.836912936471</v>
      </c>
      <c r="D35" s="150">
        <f>D34/D4</f>
        <v>14197.511509199336</v>
      </c>
      <c r="E35" s="150">
        <f>E34/I4</f>
        <v>1100.0760214780005</v>
      </c>
      <c r="F35" s="150">
        <f>F34/I4</f>
        <v>698.41536162505167</v>
      </c>
      <c r="G35" s="150">
        <f>G34/I4</f>
        <v>0</v>
      </c>
      <c r="H35" s="150">
        <f>H34/I4</f>
        <v>0</v>
      </c>
      <c r="I35" s="156">
        <f>I34/I4</f>
        <v>8083.8256341463411</v>
      </c>
    </row>
    <row r="36" spans="1:10" ht="16">
      <c r="A36" s="148"/>
      <c r="B36" s="149"/>
      <c r="C36" s="150"/>
      <c r="D36" s="150"/>
      <c r="E36" s="150"/>
      <c r="F36" s="150"/>
      <c r="G36" s="150"/>
      <c r="H36" s="150"/>
      <c r="I36" s="156"/>
    </row>
    <row r="37" spans="1:10" ht="16">
      <c r="A37" s="145" t="s">
        <v>390</v>
      </c>
      <c r="B37" s="307"/>
      <c r="C37" s="323"/>
      <c r="D37" s="323"/>
      <c r="E37" s="323"/>
      <c r="F37" s="310"/>
      <c r="G37" s="310"/>
      <c r="H37" s="310"/>
      <c r="I37" s="311"/>
    </row>
    <row r="38" spans="1:10" ht="16">
      <c r="A38" s="141" t="s">
        <v>391</v>
      </c>
      <c r="B38" s="149"/>
      <c r="C38" s="324"/>
      <c r="D38" s="324"/>
      <c r="E38" s="324"/>
      <c r="F38" s="313"/>
      <c r="G38" s="313"/>
      <c r="H38" s="308">
        <f>Parameters!B134</f>
        <v>450000</v>
      </c>
      <c r="I38" s="308">
        <f>SUM(C38:H38)</f>
        <v>450000</v>
      </c>
    </row>
    <row r="39" spans="1:10" ht="16">
      <c r="A39" s="309" t="s">
        <v>392</v>
      </c>
      <c r="B39" s="149"/>
      <c r="C39" s="324"/>
      <c r="D39" s="324"/>
      <c r="E39" s="324"/>
      <c r="F39" s="313"/>
      <c r="G39" s="313"/>
      <c r="H39" s="313">
        <f xml:space="preserve"> SUM(Parameters!B121*Parameters!C121, Parameters!B122*Parameters!C122, Parameters!B123*Parameters!C123)/SUM(Parameters!C121:C123)</f>
        <v>675000</v>
      </c>
      <c r="I39" s="308">
        <f xml:space="preserve"> SUM(C39:H39)</f>
        <v>675000</v>
      </c>
      <c r="J39" s="92"/>
    </row>
    <row r="40" spans="1:10" ht="16">
      <c r="A40" s="309" t="s">
        <v>236</v>
      </c>
      <c r="B40" s="149"/>
      <c r="C40" s="324">
        <f>Parameters!B13*C4*Parameters!B2</f>
        <v>870000</v>
      </c>
      <c r="D40" s="324"/>
      <c r="E40" s="324"/>
      <c r="F40" s="313"/>
      <c r="G40" s="313"/>
      <c r="H40" s="313"/>
      <c r="I40" s="308">
        <f>SUM(C40:H40)</f>
        <v>870000</v>
      </c>
    </row>
    <row r="41" spans="1:10" ht="16">
      <c r="A41" s="309" t="s">
        <v>394</v>
      </c>
      <c r="B41" s="149"/>
      <c r="C41" s="324">
        <f>Parameters!B14*Parameters!B2*(Parameters!B15*C4)</f>
        <v>413250</v>
      </c>
      <c r="D41" s="324"/>
      <c r="E41" s="324"/>
      <c r="F41" s="313"/>
      <c r="G41" s="313"/>
      <c r="H41" s="313"/>
      <c r="I41" s="308">
        <f>SUM(C41:H41)</f>
        <v>413250</v>
      </c>
    </row>
    <row r="42" spans="1:10" ht="16">
      <c r="A42" s="309" t="s">
        <v>410</v>
      </c>
      <c r="B42" s="149"/>
      <c r="C42" s="324"/>
      <c r="D42" s="324">
        <f>Parameters!B26*((Parameters!B36*Parameters!B40*Parameters!B39)+(Parameters!B42*Parameters!B45*Parameters!B46))</f>
        <v>511875</v>
      </c>
      <c r="E42" s="324"/>
      <c r="F42" s="313"/>
      <c r="G42" s="313"/>
      <c r="H42" s="313"/>
      <c r="I42" s="308">
        <f>SUM(C42:H42)</f>
        <v>511875</v>
      </c>
    </row>
    <row r="43" spans="1:10" ht="16">
      <c r="A43" s="355" t="s">
        <v>450</v>
      </c>
      <c r="B43" s="149"/>
      <c r="C43" s="324"/>
      <c r="D43" s="354">
        <f>Parameters!B26*((Parameters!B36*Parameters!B38)+(Parameters!B42*Parameters!B44))</f>
        <v>157500</v>
      </c>
      <c r="E43" s="324"/>
      <c r="F43" s="313"/>
      <c r="G43" s="313"/>
      <c r="H43" s="313"/>
      <c r="I43" s="308">
        <f>SUM(C43:H43)</f>
        <v>157500</v>
      </c>
    </row>
    <row r="44" spans="1:10" ht="16">
      <c r="A44" s="309" t="s">
        <v>397</v>
      </c>
      <c r="B44" s="149"/>
      <c r="C44" s="324"/>
      <c r="D44" s="324"/>
      <c r="E44" s="324">
        <f>Parameters!B65</f>
        <v>165000</v>
      </c>
      <c r="F44" s="313"/>
      <c r="G44" s="313"/>
      <c r="H44" s="313"/>
      <c r="I44" s="308">
        <f>SUM(C44:H44)</f>
        <v>165000</v>
      </c>
    </row>
    <row r="45" spans="1:10" ht="16">
      <c r="A45" s="309" t="s">
        <v>399</v>
      </c>
      <c r="B45" s="149"/>
      <c r="C45" s="324"/>
      <c r="D45" s="324"/>
      <c r="E45" s="324"/>
      <c r="F45" s="312"/>
      <c r="G45" s="313"/>
      <c r="H45" s="313"/>
      <c r="I45" s="308">
        <f>SUM(C45:H45)</f>
        <v>0</v>
      </c>
      <c r="J45" s="92" t="s">
        <v>398</v>
      </c>
    </row>
    <row r="46" spans="1:10" ht="16">
      <c r="A46" s="309"/>
      <c r="B46" s="133"/>
      <c r="C46" s="324"/>
      <c r="D46" s="324"/>
      <c r="E46" s="324"/>
      <c r="F46" s="313"/>
      <c r="G46" s="313"/>
      <c r="H46" s="313"/>
      <c r="I46" s="314"/>
    </row>
    <row r="47" spans="1:10" ht="17" thickBot="1">
      <c r="A47" s="153" t="s">
        <v>111</v>
      </c>
      <c r="B47" s="154"/>
      <c r="C47" s="155">
        <f>SUM(C38:C46)</f>
        <v>1283250</v>
      </c>
      <c r="D47" s="155">
        <f>SUM(D38:D46)</f>
        <v>669375</v>
      </c>
      <c r="E47" s="155">
        <f>SUM(E38:E45)</f>
        <v>165000</v>
      </c>
      <c r="F47" s="155">
        <f>SUM(F38:F45)</f>
        <v>0</v>
      </c>
      <c r="G47" s="155">
        <f>SUM(G38:G45)</f>
        <v>0</v>
      </c>
      <c r="H47" s="155">
        <f>SUM(H38:H45)</f>
        <v>1125000</v>
      </c>
      <c r="I47" s="155">
        <f>SUM(I38:I45)</f>
        <v>3242625</v>
      </c>
    </row>
    <row r="48" spans="1:10" ht="16">
      <c r="A48" s="140"/>
      <c r="B48" s="133"/>
      <c r="C48" s="132"/>
      <c r="D48" s="132"/>
      <c r="E48" s="132"/>
      <c r="F48" s="132"/>
      <c r="G48" s="132"/>
      <c r="H48" s="132"/>
      <c r="I48" s="140"/>
      <c r="J48">
        <f>'Program Budget_No Outreach+Aud'!I48</f>
        <v>-279499</v>
      </c>
    </row>
    <row r="49" spans="1:11" ht="17" thickBot="1">
      <c r="A49" s="153" t="s">
        <v>155</v>
      </c>
      <c r="B49" s="154"/>
      <c r="C49" s="155">
        <f>+C47-C34</f>
        <v>-399886.35237578838</v>
      </c>
      <c r="D49" s="155">
        <f>+D47-D34</f>
        <v>-182475.69055196014</v>
      </c>
      <c r="E49" s="155">
        <f>+E47-E34</f>
        <v>-286031.16880598024</v>
      </c>
      <c r="F49" s="155">
        <f>+F47-F34</f>
        <v>-286350.29826627119</v>
      </c>
      <c r="G49" s="155"/>
      <c r="H49" s="155">
        <f>+H47-H34</f>
        <v>1125000</v>
      </c>
      <c r="I49" s="155">
        <f>+I47-I34</f>
        <v>-71743.509999999776</v>
      </c>
      <c r="J49" s="357">
        <f>J48-I49</f>
        <v>-207755.49000000022</v>
      </c>
      <c r="K49" s="356"/>
    </row>
    <row r="50" spans="1:11" ht="16">
      <c r="A50" s="148" t="s">
        <v>156</v>
      </c>
      <c r="B50" s="149"/>
      <c r="C50" s="150">
        <f>+C49/C4</f>
        <v>-2757.8369129364714</v>
      </c>
      <c r="D50" s="150"/>
      <c r="E50" s="150"/>
      <c r="F50" s="150">
        <f>+F49/F4</f>
        <v>-1396.8307232501033</v>
      </c>
      <c r="G50" s="150"/>
      <c r="H50" s="150"/>
      <c r="I50" s="156">
        <f>+I49/I4</f>
        <v>-174.98417073170677</v>
      </c>
      <c r="J50" s="244"/>
    </row>
    <row r="51" spans="1:11" ht="16">
      <c r="A51" s="132" t="s">
        <v>157</v>
      </c>
      <c r="B51" s="133"/>
      <c r="C51" s="157">
        <f t="shared" ref="C51:I51" si="3">+C49/C34</f>
        <v>-0.23758405063935489</v>
      </c>
      <c r="D51" s="157">
        <f t="shared" si="3"/>
        <v>-0.21421088528287072</v>
      </c>
      <c r="E51" s="157">
        <f t="shared" si="3"/>
        <v>-0.63417162402144778</v>
      </c>
      <c r="F51" s="157">
        <f t="shared" si="3"/>
        <v>-1</v>
      </c>
      <c r="G51" s="157" t="e">
        <f t="shared" si="3"/>
        <v>#DIV/0!</v>
      </c>
      <c r="H51" s="157" t="e">
        <f t="shared" si="3"/>
        <v>#DIV/0!</v>
      </c>
      <c r="I51" s="157">
        <f t="shared" si="3"/>
        <v>-2.1646207952898931E-2</v>
      </c>
    </row>
    <row r="52" spans="1:11" ht="16">
      <c r="A52" s="132"/>
      <c r="B52" s="133"/>
      <c r="C52" s="132"/>
      <c r="D52" s="132"/>
      <c r="E52" s="132"/>
      <c r="F52" s="132"/>
      <c r="G52" s="132"/>
      <c r="H52" s="132"/>
      <c r="I52" s="140"/>
    </row>
    <row r="53" spans="1:11" ht="16">
      <c r="A53" s="140" t="s">
        <v>158</v>
      </c>
      <c r="B53" s="133"/>
      <c r="C53" s="132"/>
      <c r="D53" s="132"/>
      <c r="E53" s="132"/>
      <c r="F53" s="132"/>
      <c r="G53" s="132"/>
      <c r="H53" s="132"/>
      <c r="I53" s="140"/>
    </row>
    <row r="54" spans="1:11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ROUND((Parameters!D137)+(SUM(Parameters!$F$137:$G$137)/4),4)</f>
        <v>0.22500000000000001</v>
      </c>
      <c r="F54" s="328">
        <f>ROUND((Parameters!E137)+(SUM(Parameters!$F$137:$G$137)/4),4)</f>
        <v>0.125</v>
      </c>
      <c r="G54" s="158"/>
      <c r="H54" s="158"/>
      <c r="I54" s="140"/>
    </row>
    <row r="55" spans="1:11" ht="16">
      <c r="A55" s="132" t="s">
        <v>407</v>
      </c>
      <c r="B55" s="149"/>
      <c r="C55" s="328">
        <f>(C6+C7)/($I$6+$I$7)</f>
        <v>0.54166666666666663</v>
      </c>
      <c r="D55" s="328">
        <f>(D6+D7)/($I$6+$I$7)</f>
        <v>0.29166666666666669</v>
      </c>
      <c r="E55" s="328">
        <f>(E6+E7)/($I$6+$I$7)</f>
        <v>0.125</v>
      </c>
      <c r="F55" s="328">
        <f>(F6+F7)/($I$6+$I$7)</f>
        <v>4.1666666666666664E-2</v>
      </c>
      <c r="G55" s="158"/>
      <c r="H55" s="158"/>
      <c r="I55" s="140"/>
    </row>
    <row r="56" spans="1:11" ht="16">
      <c r="A56" s="159" t="s">
        <v>422</v>
      </c>
      <c r="B56" s="149"/>
      <c r="C56" s="327">
        <f>C24/SUM($C$24:$F$24)</f>
        <v>0.50881249990856536</v>
      </c>
      <c r="D56" s="327">
        <f>D24/SUM($C$24:$F$24)</f>
        <v>0.25396374030620017</v>
      </c>
      <c r="E56" s="327">
        <f>E24/SUM($C$24:$F$24)</f>
        <v>0.14042995806126218</v>
      </c>
      <c r="F56" s="327">
        <f>F24/SUM($C$24:$F$24)</f>
        <v>9.6793801723972339E-2</v>
      </c>
      <c r="G56" s="322"/>
      <c r="H56" s="322"/>
      <c r="I56" s="140"/>
    </row>
    <row r="58" spans="1:11">
      <c r="A58" s="92" t="s">
        <v>115</v>
      </c>
    </row>
    <row r="59" spans="1:11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1">
      <c r="A60" s="92" t="s">
        <v>413</v>
      </c>
    </row>
    <row r="61" spans="1:11">
      <c r="A61" s="92" t="s">
        <v>417</v>
      </c>
    </row>
    <row r="62" spans="1:11">
      <c r="A62" s="92" t="s">
        <v>418</v>
      </c>
    </row>
    <row r="63" spans="1:11">
      <c r="B63" s="92" t="s">
        <v>414</v>
      </c>
    </row>
  </sheetData>
  <mergeCells count="3">
    <mergeCell ref="A1:I1"/>
    <mergeCell ref="C2:F2"/>
    <mergeCell ref="G2:H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901D-2414-4F46-B984-73031A30B4B8}">
  <dimension ref="A1:Q63"/>
  <sheetViews>
    <sheetView topLeftCell="A24" zoomScale="80" workbookViewId="0">
      <selection activeCell="E6" sqref="E6"/>
    </sheetView>
  </sheetViews>
  <sheetFormatPr baseColWidth="10" defaultRowHeight="13"/>
  <cols>
    <col min="1" max="1" width="27.33203125" customWidth="1"/>
    <col min="2" max="2" width="17.33203125" customWidth="1"/>
    <col min="3" max="4" width="19.33203125" customWidth="1"/>
    <col min="5" max="6" width="17.33203125" customWidth="1"/>
    <col min="7" max="7" width="15.83203125" customWidth="1"/>
    <col min="8" max="8" width="26" customWidth="1"/>
    <col min="9" max="9" width="20.1640625" customWidth="1"/>
    <col min="10" max="14" width="11.1640625" bestFit="1" customWidth="1"/>
    <col min="15" max="15" width="12.5" bestFit="1" customWidth="1"/>
    <col min="16" max="16" width="11" bestFit="1" customWidth="1"/>
    <col min="17" max="17" width="12" bestFit="1" customWidth="1"/>
  </cols>
  <sheetData>
    <row r="1" spans="1:12" ht="21">
      <c r="A1" s="334" t="s">
        <v>256</v>
      </c>
      <c r="B1" s="334"/>
      <c r="C1" s="334"/>
      <c r="D1" s="334"/>
      <c r="E1" s="334"/>
      <c r="F1" s="334"/>
      <c r="G1" s="334"/>
      <c r="H1" s="334"/>
    </row>
    <row r="2" spans="1:12" ht="21">
      <c r="A2" s="228"/>
      <c r="B2" s="228"/>
      <c r="C2" s="335" t="s">
        <v>262</v>
      </c>
      <c r="D2" s="335"/>
      <c r="E2" s="335"/>
      <c r="F2" s="335" t="s">
        <v>261</v>
      </c>
      <c r="G2" s="335"/>
      <c r="H2" s="228"/>
    </row>
    <row r="3" spans="1:12" ht="16">
      <c r="A3" s="132"/>
      <c r="B3" s="133"/>
      <c r="C3" s="134" t="s">
        <v>76</v>
      </c>
      <c r="D3" s="134" t="s">
        <v>88</v>
      </c>
      <c r="E3" s="134" t="s">
        <v>96</v>
      </c>
      <c r="F3" s="134" t="s">
        <v>259</v>
      </c>
      <c r="G3" s="134" t="s">
        <v>260</v>
      </c>
      <c r="H3" s="134" t="s">
        <v>416</v>
      </c>
    </row>
    <row r="4" spans="1:12" ht="16">
      <c r="A4" s="302" t="s">
        <v>384</v>
      </c>
      <c r="B4" s="133"/>
      <c r="C4" s="296">
        <f>Parameters!$B$3</f>
        <v>102</v>
      </c>
      <c r="D4" s="132">
        <f>Parameters!$B$27</f>
        <v>60</v>
      </c>
      <c r="E4" s="132">
        <f>SUM(C4:D4)</f>
        <v>162</v>
      </c>
      <c r="F4" s="303" t="s">
        <v>386</v>
      </c>
      <c r="G4" s="301" t="s">
        <v>386</v>
      </c>
      <c r="H4" s="135">
        <f>SUM(C4:D4)</f>
        <v>162</v>
      </c>
      <c r="L4" s="92"/>
    </row>
    <row r="5" spans="1:12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301">
        <f>Parameters!B2</f>
        <v>12</v>
      </c>
      <c r="F5" s="140">
        <f>Parameters!$B$2</f>
        <v>12</v>
      </c>
      <c r="G5" s="140">
        <f>Parameters!$B$2</f>
        <v>12</v>
      </c>
      <c r="H5" s="135"/>
    </row>
    <row r="6" spans="1:12" ht="16">
      <c r="A6" s="135" t="s">
        <v>455</v>
      </c>
      <c r="B6" s="133"/>
      <c r="C6" s="305"/>
      <c r="D6" s="140"/>
      <c r="E6" s="301">
        <f>Parameters!B75*Parameters!B74</f>
        <v>1250</v>
      </c>
      <c r="F6" s="140"/>
      <c r="G6" s="140"/>
      <c r="H6" s="135"/>
    </row>
    <row r="7" spans="1:12" ht="16">
      <c r="A7" s="135" t="s">
        <v>146</v>
      </c>
      <c r="B7" s="133"/>
      <c r="C7" s="299">
        <f>ROUNDUP('Assumptions and Parameters'!$D$30+Parameters!B62,0)</f>
        <v>12</v>
      </c>
      <c r="D7" s="299">
        <f>ROUNDUP(SUM(Parameters!B32:B33),0)</f>
        <v>4</v>
      </c>
      <c r="E7" s="299">
        <f>Parameters!B78+Parameters!B92</f>
        <v>2</v>
      </c>
      <c r="F7" s="299">
        <f>SUM(Parameters!B96:B99)</f>
        <v>5</v>
      </c>
      <c r="G7" s="299">
        <f>SUM(Parameters!B112:'Parameters'!B113)</f>
        <v>2</v>
      </c>
      <c r="H7" s="300">
        <f>SUM(C7:E7)</f>
        <v>18</v>
      </c>
    </row>
    <row r="8" spans="1:12" ht="16">
      <c r="A8" s="135" t="s">
        <v>257</v>
      </c>
      <c r="B8" s="133"/>
      <c r="C8" s="299">
        <v>0</v>
      </c>
      <c r="D8" s="299">
        <f>ROUNDUP('Assumptions and Parameters'!$E$32,0)</f>
        <v>3</v>
      </c>
      <c r="E8" s="299">
        <v>0</v>
      </c>
      <c r="F8" s="299">
        <v>0</v>
      </c>
      <c r="G8" s="299">
        <v>0</v>
      </c>
      <c r="H8" s="300">
        <f>SUM(C8:E8)</f>
        <v>3</v>
      </c>
    </row>
    <row r="9" spans="1:12" ht="16">
      <c r="A9" s="136"/>
      <c r="B9" s="137" t="s">
        <v>147</v>
      </c>
      <c r="C9" s="134" t="s">
        <v>76</v>
      </c>
      <c r="D9" s="134" t="s">
        <v>88</v>
      </c>
      <c r="E9" s="134" t="s">
        <v>96</v>
      </c>
      <c r="F9" s="134" t="s">
        <v>259</v>
      </c>
      <c r="G9" s="134" t="s">
        <v>260</v>
      </c>
      <c r="H9" s="134" t="s">
        <v>12</v>
      </c>
    </row>
    <row r="10" spans="1:12" ht="16">
      <c r="A10" s="138" t="s">
        <v>148</v>
      </c>
      <c r="B10" s="133"/>
      <c r="C10" s="139"/>
      <c r="D10" s="139"/>
      <c r="E10" s="139"/>
      <c r="F10" s="139"/>
      <c r="G10" s="139"/>
      <c r="H10" s="140"/>
    </row>
    <row r="11" spans="1:12">
      <c r="A11" s="326" t="s">
        <v>404</v>
      </c>
      <c r="B11" s="100"/>
      <c r="C11" s="100"/>
      <c r="D11" s="100"/>
      <c r="E11" s="100"/>
      <c r="F11" s="100"/>
      <c r="G11" s="100"/>
      <c r="H11" s="100"/>
    </row>
    <row r="12" spans="1:12" ht="16">
      <c r="A12" s="141" t="s">
        <v>258</v>
      </c>
      <c r="B12" s="133" t="s">
        <v>150</v>
      </c>
      <c r="C12" s="143">
        <f>Parameters!$B$9*Parameters!$C$9 + (Parameters!$C$62*Parameters!B142)</f>
        <v>767250</v>
      </c>
      <c r="D12" s="143">
        <f>Parameters!$B$34*(Parameters!$C$34) +Parameters!$B$33*(Parameters!$C$33)+Parameters!$C$32 + (Parameters!$C$62*Parameters!C142)</f>
        <v>409250</v>
      </c>
      <c r="E12" s="143">
        <f>(Parameters!B78*Parameters!B79)+(Parameters!B92*Parameters!C92)</f>
        <v>150000</v>
      </c>
      <c r="F12" s="143">
        <f>ROUND(SUM(Parameters!C96:C98)+(Parameters!B99*Parameters!C99),2)</f>
        <v>387500</v>
      </c>
      <c r="G12" s="143">
        <f>(Parameters!$B$112*Parameters!$C$112)+(Parameters!$B$113*Parameters!$C$113)</f>
        <v>150000</v>
      </c>
      <c r="H12" s="144">
        <f>SUM(C12:G12)</f>
        <v>1864000</v>
      </c>
      <c r="I12" s="244"/>
    </row>
    <row r="13" spans="1:12" ht="16">
      <c r="A13" s="141" t="s">
        <v>426</v>
      </c>
      <c r="B13" s="133"/>
      <c r="C13" s="143">
        <f>ROUND(C12*Parameters!$C$128,1)</f>
        <v>47569.5</v>
      </c>
      <c r="D13" s="143">
        <f>ROUND(D12*Parameters!$C$128,1)</f>
        <v>25373.5</v>
      </c>
      <c r="E13" s="143">
        <f>ROUND(E12*Parameters!$C$128,1)</f>
        <v>9300</v>
      </c>
      <c r="F13" s="143">
        <f>ROUND(F12*Parameters!$C$128,1)</f>
        <v>24025</v>
      </c>
      <c r="G13" s="143">
        <f>ROUND(G12*Parameters!$C$128,1)</f>
        <v>9300</v>
      </c>
      <c r="H13" s="144">
        <f>SUM(C13:G13)</f>
        <v>115568</v>
      </c>
    </row>
    <row r="14" spans="1:12" ht="16">
      <c r="A14" s="141" t="s">
        <v>427</v>
      </c>
      <c r="B14" s="133"/>
      <c r="C14" s="143">
        <f>ROUND(C12*Parameters!$C$129,2)</f>
        <v>11125.13</v>
      </c>
      <c r="D14" s="143">
        <f>ROUND(D12*Parameters!$C$129,2)</f>
        <v>5934.13</v>
      </c>
      <c r="E14" s="143">
        <f>ROUND(E12*Parameters!$C$129,2)</f>
        <v>2175</v>
      </c>
      <c r="F14" s="143">
        <f>ROUND(F12*Parameters!$C$129,2)</f>
        <v>5618.75</v>
      </c>
      <c r="G14" s="143">
        <f>ROUND(G12*Parameters!$C$129,2)</f>
        <v>2175</v>
      </c>
      <c r="H14" s="144">
        <f>SUM(C14:G14)</f>
        <v>27028.01</v>
      </c>
    </row>
    <row r="15" spans="1:12" ht="16">
      <c r="A15" s="141" t="s">
        <v>428</v>
      </c>
      <c r="B15" s="133"/>
      <c r="C15" s="320">
        <f>ROUND(C12*Parameters!$C$127,0)</f>
        <v>61380</v>
      </c>
      <c r="D15" s="320">
        <f>ROUND(D12*Parameters!$C$127,0)</f>
        <v>32740</v>
      </c>
      <c r="E15" s="320">
        <f>ROUND(E12*Parameters!$C$127,0)</f>
        <v>12000</v>
      </c>
      <c r="F15" s="320">
        <f>ROUND(F12*Parameters!$C$127,0)</f>
        <v>31000</v>
      </c>
      <c r="G15" s="320">
        <f>ROUND(G12*Parameters!$C$127,0)</f>
        <v>12000</v>
      </c>
      <c r="H15" s="144">
        <f>SUM(C15:G15)</f>
        <v>149120</v>
      </c>
      <c r="I15">
        <v>218988</v>
      </c>
      <c r="J15" s="244"/>
    </row>
    <row r="16" spans="1:12" ht="16">
      <c r="A16" s="141" t="s">
        <v>429</v>
      </c>
      <c r="B16" s="133"/>
      <c r="C16" s="295">
        <f>Parameters!$C$132*'Program Budget_No Outreach+Aud'!C12</f>
        <v>57543.75</v>
      </c>
      <c r="D16" s="320">
        <f>(Parameters!$C$132*'Program Budget_No Outreach+Aud'!D12)-(D8*Parameters!C33*Parameters!C132)</f>
        <v>22143.75</v>
      </c>
      <c r="E16" s="295">
        <f>Parameters!$C$132*'Program Budget_No Outreach+Aud'!E12</f>
        <v>11250</v>
      </c>
      <c r="F16" s="320">
        <f>ROUND(Parameters!$C$132*'Program Budget_No Outreach+Aud'!F12,2)</f>
        <v>29062.5</v>
      </c>
      <c r="G16" s="320">
        <f>Parameters!$C$132*'Program Budget_No Outreach+Aud'!G12</f>
        <v>11250</v>
      </c>
      <c r="H16" s="144">
        <f>SUM(C16:G16)</f>
        <v>131250</v>
      </c>
    </row>
    <row r="17" spans="1:17" ht="16">
      <c r="A17" s="141" t="s">
        <v>430</v>
      </c>
      <c r="B17" s="133"/>
      <c r="C17" s="320">
        <f>(Parameters!$C$131*'Program Budget_No Outreach+Aud'!C7*'Program Budget_No Outreach+Aud'!C5)+(Parameters!B142*Parameters!C131*Parameters!B2)</f>
        <v>64005</v>
      </c>
      <c r="D17" s="320">
        <f>(Parameters!$C$131*'Program Budget_No Outreach+Aud'!D7*'Program Budget_No Outreach+Aud'!C5) + (Parameters!C142*Parameters!C131*Parameters!B2)</f>
        <v>22695</v>
      </c>
      <c r="E17" s="320">
        <f>Parameters!$C$131*'Program Budget_No Outreach+Aud'!E7*'Program Budget_No Outreach+Aud'!E5</f>
        <v>10200</v>
      </c>
      <c r="F17" s="320">
        <f>ROUND(Parameters!$C$131*'Program Budget_No Outreach+Aud'!F7*'Program Budget_No Outreach+Aud'!F5,2)</f>
        <v>25500</v>
      </c>
      <c r="G17" s="320">
        <f>Parameters!$C$131*'Program Budget_No Outreach+Aud'!G7*'Program Budget_No Outreach+Aud'!G5</f>
        <v>10200</v>
      </c>
      <c r="H17" s="144">
        <f>SUM(C17:G17)</f>
        <v>132600</v>
      </c>
      <c r="I17" s="141" t="s">
        <v>408</v>
      </c>
      <c r="J17" s="133"/>
      <c r="K17" s="297">
        <f>SUM(C12:C17)</f>
        <v>1008873.38</v>
      </c>
      <c r="L17" s="297">
        <f>SUM(D12:D17)</f>
        <v>518136.38</v>
      </c>
      <c r="M17" s="297" t="e">
        <f>SUM(#REF!)</f>
        <v>#REF!</v>
      </c>
      <c r="N17" s="297">
        <f>SUM(E12:E17)</f>
        <v>194925</v>
      </c>
      <c r="O17" s="321">
        <f>ROUND(SUM(F12:F17),2)</f>
        <v>502706.25</v>
      </c>
      <c r="P17" s="297">
        <f>SUM(G12:G17)</f>
        <v>194925</v>
      </c>
      <c r="Q17" s="319" t="e">
        <f>SUM(K17:P17)</f>
        <v>#REF!</v>
      </c>
    </row>
    <row r="18" spans="1:17" ht="16">
      <c r="A18" s="141" t="s">
        <v>431</v>
      </c>
      <c r="B18" s="133" t="s">
        <v>149</v>
      </c>
      <c r="C18" s="143">
        <f>Parameters!$B$20*Parameters!$B$9</f>
        <v>13750</v>
      </c>
      <c r="D18" s="143">
        <f>Parameters!$B$50*(Parameters!$B$33+Parameters!$B$34)</f>
        <v>4500</v>
      </c>
      <c r="E18" s="143">
        <f>Parameters!B88*Parameters!B78</f>
        <v>3000</v>
      </c>
      <c r="F18" s="143">
        <v>0</v>
      </c>
      <c r="G18" s="143">
        <v>0</v>
      </c>
      <c r="H18" s="144">
        <f>SUM(C18:G18)</f>
        <v>21250</v>
      </c>
    </row>
    <row r="19" spans="1:17" ht="16">
      <c r="A19" s="141"/>
      <c r="B19" s="133"/>
      <c r="C19" s="143"/>
      <c r="D19" s="143"/>
      <c r="E19" s="143"/>
      <c r="F19" s="143"/>
      <c r="G19" s="143"/>
      <c r="H19" s="144"/>
    </row>
    <row r="20" spans="1:17" ht="16">
      <c r="A20" s="306" t="s">
        <v>337</v>
      </c>
      <c r="B20" s="133"/>
      <c r="C20" s="143"/>
      <c r="D20" s="143"/>
      <c r="E20" s="143"/>
      <c r="F20" s="143"/>
      <c r="G20" s="143"/>
      <c r="H20" s="144"/>
    </row>
    <row r="21" spans="1:17" ht="16">
      <c r="A21" s="141" t="s">
        <v>425</v>
      </c>
      <c r="B21" s="142" t="s">
        <v>149</v>
      </c>
      <c r="C21" s="143"/>
      <c r="D21" s="143">
        <f>Parameters!$B$51*(Parameters!$B$28+Parameters!$B$29)</f>
        <v>24000</v>
      </c>
      <c r="E21" s="143">
        <f>Parameters!B89</f>
        <v>65000</v>
      </c>
      <c r="F21" s="143">
        <f>SUM(Parameters!B107:B108)</f>
        <v>16850</v>
      </c>
      <c r="G21" s="143">
        <f>SUM(Parameters!B115:B117)</f>
        <v>16350</v>
      </c>
      <c r="H21" s="144">
        <f>SUM(C21:G21)</f>
        <v>122200</v>
      </c>
    </row>
    <row r="22" spans="1:17" ht="16">
      <c r="A22" s="141" t="s">
        <v>432</v>
      </c>
      <c r="B22" s="133"/>
      <c r="C22" s="143">
        <f>(ROUND((Parameters!$B$102*Parameters!$B$2)+SUM(Parameters!$B$103:$B$106),0))*Parameters!B137</f>
        <v>119250</v>
      </c>
      <c r="D22" s="143">
        <f>(ROUND((Parameters!$B$102*Parameters!$B$2)+SUM(Parameters!$B$103:$B$106),0))*Parameters!C137</f>
        <v>119250</v>
      </c>
      <c r="E22" s="143">
        <f>(ROUND((Parameters!$B$102*Parameters!$B$2)+SUM(Parameters!$B$103:$B$106),0))*Parameters!E137</f>
        <v>39750</v>
      </c>
      <c r="F22" s="143">
        <f>(ROUND((Parameters!$B$102*Parameters!$B$2)+SUM(Parameters!$B$103:$B$106),0))*Parameters!F137</f>
        <v>31800</v>
      </c>
      <c r="G22" s="143">
        <f>(ROUND((Parameters!$B$102*Parameters!$B$2)+SUM(Parameters!$B$103:$B$106),0))*Parameters!G137</f>
        <v>7950</v>
      </c>
      <c r="H22" s="144">
        <f>SUM(C22:G22)</f>
        <v>318000</v>
      </c>
    </row>
    <row r="23" spans="1:17" ht="16">
      <c r="A23" s="141" t="s">
        <v>433</v>
      </c>
      <c r="B23" s="133"/>
      <c r="C23" s="143"/>
      <c r="D23" s="143"/>
      <c r="E23" s="143"/>
      <c r="F23" s="143"/>
      <c r="G23" s="143">
        <f>Parameters!B118</f>
        <v>42000</v>
      </c>
      <c r="H23" s="144">
        <f>SUM(C23:G23)</f>
        <v>42000</v>
      </c>
      <c r="I23" s="92">
        <v>401100</v>
      </c>
      <c r="J23">
        <f>ROUND((Parameters!B102*Parameters!B2)+SUM(Parameters!B103:B106),0)</f>
        <v>397500</v>
      </c>
      <c r="K23">
        <f>I23-J23</f>
        <v>3600</v>
      </c>
    </row>
    <row r="24" spans="1:17">
      <c r="A24" s="100"/>
      <c r="B24" s="100"/>
      <c r="C24" s="100"/>
      <c r="D24" s="100"/>
      <c r="E24" s="100"/>
      <c r="F24" s="100"/>
      <c r="G24" s="100"/>
      <c r="H24" s="100"/>
    </row>
    <row r="25" spans="1:17" ht="16">
      <c r="A25" s="145" t="s">
        <v>151</v>
      </c>
      <c r="B25" s="146"/>
      <c r="C25" s="147">
        <f>SUM(C12:C17)+SUM(C18:C22)</f>
        <v>1141873.3799999999</v>
      </c>
      <c r="D25" s="147">
        <f>SUM(D12:D17)+SUM(D18:D22)</f>
        <v>665886.38</v>
      </c>
      <c r="E25" s="147">
        <f>SUM(E12:E17)+SUM(E18:E22)</f>
        <v>302675</v>
      </c>
      <c r="F25" s="147">
        <f>SUM(F12:F22)</f>
        <v>551356.25</v>
      </c>
      <c r="G25" s="147">
        <f>SUM(G12:G22)</f>
        <v>219225</v>
      </c>
      <c r="H25" s="147">
        <f>SUM(H11:H23)</f>
        <v>2923016.01</v>
      </c>
    </row>
    <row r="26" spans="1:17" ht="16">
      <c r="A26" s="148" t="s">
        <v>385</v>
      </c>
      <c r="B26" s="149"/>
      <c r="C26" s="298">
        <f>C25/C4</f>
        <v>11194.837058823528</v>
      </c>
      <c r="D26" s="298">
        <f>D25/D4</f>
        <v>11098.106333333333</v>
      </c>
      <c r="E26" s="150">
        <f>E25/H4</f>
        <v>1868.3641975308642</v>
      </c>
      <c r="F26" s="150">
        <f>F25/H4</f>
        <v>3403.4336419753085</v>
      </c>
      <c r="G26" s="150">
        <f>G25/H4</f>
        <v>1353.2407407407406</v>
      </c>
      <c r="H26" s="150">
        <f>H25/H$4</f>
        <v>18043.308703703704</v>
      </c>
      <c r="I26" s="92" t="s">
        <v>387</v>
      </c>
    </row>
    <row r="27" spans="1:17" ht="16">
      <c r="A27" s="132"/>
      <c r="B27" s="149"/>
      <c r="C27" s="151"/>
      <c r="D27" s="151"/>
      <c r="E27" s="151"/>
      <c r="F27" s="151"/>
      <c r="G27" s="151"/>
      <c r="H27" s="140"/>
    </row>
    <row r="28" spans="1:17" ht="16">
      <c r="A28" s="140" t="s">
        <v>152</v>
      </c>
      <c r="B28" s="133"/>
      <c r="C28" s="152"/>
      <c r="D28" s="152"/>
      <c r="E28" s="152"/>
      <c r="F28" s="152"/>
      <c r="G28" s="152"/>
      <c r="H28" s="140"/>
    </row>
    <row r="29" spans="1:17" ht="16">
      <c r="A29" s="141" t="s">
        <v>259</v>
      </c>
      <c r="B29" s="142" t="s">
        <v>423</v>
      </c>
      <c r="C29" s="143">
        <f>$F$25*C55</f>
        <v>315060.71428571426</v>
      </c>
      <c r="D29" s="143">
        <f>$F$25*D55</f>
        <v>183785.41666666666</v>
      </c>
      <c r="E29" s="143">
        <f>$F$25*E55</f>
        <v>52510.119047619046</v>
      </c>
      <c r="F29" s="304">
        <f>-F25</f>
        <v>-551356.25</v>
      </c>
      <c r="G29" s="316"/>
      <c r="H29" s="144">
        <f>SUM(C29:F29)</f>
        <v>0</v>
      </c>
    </row>
    <row r="30" spans="1:17" ht="16">
      <c r="A30" s="141" t="s">
        <v>420</v>
      </c>
      <c r="B30" s="142" t="s">
        <v>421</v>
      </c>
      <c r="C30" s="143">
        <f>$G$25*C56</f>
        <v>118614.03937949734</v>
      </c>
      <c r="D30" s="143">
        <f>$G$25*D56</f>
        <v>69170.080223422789</v>
      </c>
      <c r="E30" s="143">
        <f>$G$25*E56</f>
        <v>31440.880397079894</v>
      </c>
      <c r="F30" s="304"/>
      <c r="G30" s="304">
        <f>-G25</f>
        <v>-219225</v>
      </c>
      <c r="H30" s="144">
        <f>SUM(C30:G30)</f>
        <v>0</v>
      </c>
      <c r="I30" s="92" t="s">
        <v>400</v>
      </c>
    </row>
    <row r="31" spans="1:17" ht="16">
      <c r="A31" s="141"/>
      <c r="B31" s="142"/>
      <c r="C31" s="143"/>
      <c r="D31" s="143"/>
      <c r="E31" s="143"/>
      <c r="F31" s="143"/>
      <c r="G31" s="143"/>
      <c r="H31" s="144"/>
    </row>
    <row r="32" spans="1:17" ht="16">
      <c r="A32" s="145" t="s">
        <v>153</v>
      </c>
      <c r="B32" s="146"/>
      <c r="C32" s="147">
        <f t="shared" ref="C32:H32" si="0">SUM(C29:C30)</f>
        <v>433674.75366521161</v>
      </c>
      <c r="D32" s="147">
        <f t="shared" si="0"/>
        <v>252955.49689008945</v>
      </c>
      <c r="E32" s="147">
        <f t="shared" si="0"/>
        <v>83950.999444698944</v>
      </c>
      <c r="F32" s="147">
        <f t="shared" si="0"/>
        <v>-551356.25</v>
      </c>
      <c r="G32" s="147">
        <f t="shared" si="0"/>
        <v>-219225</v>
      </c>
      <c r="H32" s="147">
        <f t="shared" si="0"/>
        <v>0</v>
      </c>
    </row>
    <row r="33" spans="1:9" ht="16">
      <c r="A33" s="148" t="s">
        <v>388</v>
      </c>
      <c r="B33" s="149"/>
      <c r="C33" s="150">
        <f>C32/C$4</f>
        <v>4251.7132712275652</v>
      </c>
      <c r="D33" s="150">
        <f>D32/D4</f>
        <v>4215.9249481681572</v>
      </c>
      <c r="E33" s="150">
        <f>E32/H4</f>
        <v>518.2160459549317</v>
      </c>
      <c r="F33" s="150">
        <f>F32/H4</f>
        <v>-3403.4336419753085</v>
      </c>
      <c r="G33" s="150">
        <f>G32/H4</f>
        <v>-1353.2407407407406</v>
      </c>
      <c r="H33" s="150">
        <f>H32/H$4</f>
        <v>0</v>
      </c>
    </row>
    <row r="34" spans="1:9" ht="16">
      <c r="A34" s="132"/>
      <c r="B34" s="133"/>
      <c r="C34" s="152"/>
      <c r="D34" s="152"/>
      <c r="E34" s="152"/>
      <c r="F34" s="152"/>
      <c r="G34" s="152"/>
      <c r="H34" s="140"/>
    </row>
    <row r="35" spans="1:9" ht="17" thickBot="1">
      <c r="A35" s="153" t="s">
        <v>154</v>
      </c>
      <c r="B35" s="154"/>
      <c r="C35" s="155">
        <f t="shared" ref="C35:H35" si="1">C32+C25</f>
        <v>1575548.1336652115</v>
      </c>
      <c r="D35" s="155">
        <f t="shared" si="1"/>
        <v>918841.87689008948</v>
      </c>
      <c r="E35" s="155">
        <f t="shared" si="1"/>
        <v>386625.99944469891</v>
      </c>
      <c r="F35" s="155">
        <f t="shared" si="1"/>
        <v>0</v>
      </c>
      <c r="G35" s="155">
        <f t="shared" si="1"/>
        <v>0</v>
      </c>
      <c r="H35" s="155">
        <f t="shared" si="1"/>
        <v>2923016.01</v>
      </c>
    </row>
    <row r="36" spans="1:9" ht="16">
      <c r="A36" s="148" t="s">
        <v>389</v>
      </c>
      <c r="B36" s="149"/>
      <c r="C36" s="150">
        <f>C35/C$4</f>
        <v>15446.550330051094</v>
      </c>
      <c r="D36" s="150">
        <f>D35/D4</f>
        <v>15314.031281501491</v>
      </c>
      <c r="E36" s="150">
        <f>E35/H4</f>
        <v>2386.5802434857956</v>
      </c>
      <c r="F36" s="150">
        <f>F35/H4</f>
        <v>0</v>
      </c>
      <c r="G36" s="150">
        <f>G35/H4</f>
        <v>0</v>
      </c>
      <c r="H36" s="156">
        <f>H35/H4</f>
        <v>18043.308703703704</v>
      </c>
    </row>
    <row r="37" spans="1:9" ht="16">
      <c r="A37" s="148"/>
      <c r="B37" s="149"/>
      <c r="C37" s="150"/>
      <c r="D37" s="150"/>
      <c r="E37" s="150"/>
      <c r="F37" s="150"/>
      <c r="G37" s="150"/>
      <c r="H37" s="156"/>
    </row>
    <row r="38" spans="1:9" ht="16">
      <c r="A38" s="145" t="s">
        <v>390</v>
      </c>
      <c r="B38" s="307"/>
      <c r="C38" s="323"/>
      <c r="D38" s="323"/>
      <c r="E38" s="310"/>
      <c r="F38" s="310"/>
      <c r="G38" s="310"/>
      <c r="H38" s="311"/>
    </row>
    <row r="39" spans="1:9" ht="16">
      <c r="A39" s="141" t="s">
        <v>391</v>
      </c>
      <c r="B39" s="149"/>
      <c r="C39" s="324"/>
      <c r="D39" s="324"/>
      <c r="E39" s="313">
        <f>Parameters!B91</f>
        <v>130000</v>
      </c>
      <c r="F39" s="313"/>
      <c r="G39" s="308">
        <f>Parameters!B134</f>
        <v>450000</v>
      </c>
      <c r="H39" s="308">
        <f>SUM(C39:G39)</f>
        <v>580000</v>
      </c>
    </row>
    <row r="40" spans="1:9" ht="16">
      <c r="A40" s="309" t="s">
        <v>392</v>
      </c>
      <c r="B40" s="149"/>
      <c r="C40" s="324"/>
      <c r="D40" s="324"/>
      <c r="E40" s="313"/>
      <c r="F40" s="313"/>
      <c r="G40" s="313">
        <f xml:space="preserve"> SUM(Parameters!B121*Parameters!C121, Parameters!B122*Parameters!C122, Parameters!B123*Parameters!C123)/SUM(Parameters!C121:C123)</f>
        <v>675000</v>
      </c>
      <c r="H40" s="308">
        <f xml:space="preserve"> SUM(C40:G40)</f>
        <v>675000</v>
      </c>
      <c r="I40" s="92" t="s">
        <v>393</v>
      </c>
    </row>
    <row r="41" spans="1:9" ht="16">
      <c r="A41" s="309" t="s">
        <v>236</v>
      </c>
      <c r="B41" s="149"/>
      <c r="C41" s="324">
        <f>Parameters!B13*Parameters!B3*Parameters!B2</f>
        <v>612000</v>
      </c>
      <c r="D41" s="324"/>
      <c r="E41" s="313"/>
      <c r="F41" s="313"/>
      <c r="G41" s="313"/>
      <c r="H41" s="308">
        <f>SUM(C41:G41)</f>
        <v>612000</v>
      </c>
    </row>
    <row r="42" spans="1:9" ht="16">
      <c r="A42" s="309" t="s">
        <v>394</v>
      </c>
      <c r="B42" s="149"/>
      <c r="C42" s="324">
        <f>Parameters!B14*Parameters!B2*(Parameters!B15*Parameters!B3)</f>
        <v>290700</v>
      </c>
      <c r="D42" s="324"/>
      <c r="E42" s="313"/>
      <c r="F42" s="313"/>
      <c r="G42" s="313"/>
      <c r="H42" s="308">
        <f>SUM(C42:G42)</f>
        <v>290700</v>
      </c>
    </row>
    <row r="43" spans="1:9" ht="16">
      <c r="A43" s="309" t="s">
        <v>410</v>
      </c>
      <c r="B43" s="149"/>
      <c r="C43" s="324"/>
      <c r="D43" s="324">
        <f>Parameters!B26*((Parameters!B36*Parameters!B40*Parameters!B39)+(Parameters!B36*Parameters!B38)+(Parameters!B42*Parameters!B45*Parameters!B46)+(Parameters!B42*Parameters!B44))</f>
        <v>669375</v>
      </c>
      <c r="E43" s="313"/>
      <c r="F43" s="313"/>
      <c r="G43" s="313"/>
      <c r="H43" s="308">
        <f>SUM(C43:G43)</f>
        <v>669375</v>
      </c>
    </row>
    <row r="44" spans="1:9" ht="16">
      <c r="A44" s="309" t="s">
        <v>405</v>
      </c>
      <c r="B44" s="149"/>
      <c r="C44" s="324"/>
      <c r="D44" s="324"/>
      <c r="E44" s="313"/>
      <c r="F44" s="313"/>
      <c r="G44" s="313"/>
      <c r="H44" s="308">
        <f>SUM(C44:G44)</f>
        <v>0</v>
      </c>
    </row>
    <row r="45" spans="1:9" ht="16">
      <c r="A45" s="309" t="s">
        <v>454</v>
      </c>
      <c r="B45" s="149"/>
      <c r="C45" s="324"/>
      <c r="D45" s="324"/>
      <c r="E45" s="313">
        <f>Parameters!B81*Parameters!B82*'Program Budget_No Outreach+Aud'!E6</f>
        <v>351562.5</v>
      </c>
      <c r="F45" s="313"/>
      <c r="G45" s="313"/>
      <c r="H45" s="308">
        <f>SUM(C45:G45)</f>
        <v>351562.5</v>
      </c>
      <c r="I45" s="92" t="s">
        <v>398</v>
      </c>
    </row>
    <row r="46" spans="1:9" ht="16">
      <c r="A46" s="309"/>
      <c r="B46" s="133"/>
      <c r="C46" s="324"/>
      <c r="D46" s="324"/>
      <c r="E46" s="313"/>
      <c r="F46" s="313"/>
      <c r="G46" s="313"/>
      <c r="H46" s="314"/>
    </row>
    <row r="47" spans="1:9" ht="17" thickBot="1">
      <c r="A47" s="153" t="s">
        <v>111</v>
      </c>
      <c r="B47" s="154"/>
      <c r="C47" s="155">
        <f>SUM(C39:C46)</f>
        <v>902700</v>
      </c>
      <c r="D47" s="155">
        <f>SUM(D39:D46)</f>
        <v>669375</v>
      </c>
      <c r="E47" s="155">
        <f>SUM(E39:E45)</f>
        <v>481562.5</v>
      </c>
      <c r="F47" s="155">
        <f>SUM(F39:F45)</f>
        <v>0</v>
      </c>
      <c r="G47" s="155">
        <f>SUM(G39:G45)</f>
        <v>1125000</v>
      </c>
      <c r="H47" s="155">
        <f>SUM(H39:H45)</f>
        <v>3178637.5</v>
      </c>
    </row>
    <row r="48" spans="1:9" ht="16">
      <c r="A48" s="140"/>
      <c r="B48" s="133"/>
      <c r="C48" s="132"/>
      <c r="D48" s="132"/>
      <c r="E48" s="132"/>
      <c r="F48" s="132"/>
      <c r="G48" s="132"/>
      <c r="H48" s="140"/>
      <c r="I48">
        <v>-279499</v>
      </c>
    </row>
    <row r="49" spans="1:10" ht="17" thickBot="1">
      <c r="A49" s="153" t="s">
        <v>155</v>
      </c>
      <c r="B49" s="154"/>
      <c r="C49" s="155">
        <f>+C47-C35</f>
        <v>-672848.1336652115</v>
      </c>
      <c r="D49" s="155">
        <f>+D47-D35</f>
        <v>-249466.87689008948</v>
      </c>
      <c r="E49" s="155">
        <f>+E47-E35</f>
        <v>94936.500555301085</v>
      </c>
      <c r="F49" s="155"/>
      <c r="G49" s="155">
        <f>+G47-G35</f>
        <v>1125000</v>
      </c>
      <c r="H49" s="155">
        <f>+H47-H35</f>
        <v>255621.49000000022</v>
      </c>
      <c r="I49" s="317" t="s">
        <v>451</v>
      </c>
      <c r="J49" s="317" t="s">
        <v>415</v>
      </c>
    </row>
    <row r="50" spans="1:10" ht="16">
      <c r="A50" s="148" t="s">
        <v>156</v>
      </c>
      <c r="B50" s="149"/>
      <c r="C50" s="150">
        <f>+C49/C4</f>
        <v>-6596.5503300510927</v>
      </c>
      <c r="D50" s="150"/>
      <c r="E50" s="150">
        <f>+E49/E4</f>
        <v>586.02778120556229</v>
      </c>
      <c r="F50" s="150"/>
      <c r="G50" s="150"/>
      <c r="H50" s="156">
        <f>+H49/H4</f>
        <v>1577.9104320987667</v>
      </c>
      <c r="I50" s="244">
        <f>I48-H49</f>
        <v>-535120.49000000022</v>
      </c>
    </row>
    <row r="51" spans="1:10" ht="16">
      <c r="A51" s="132" t="s">
        <v>157</v>
      </c>
      <c r="B51" s="133"/>
      <c r="C51" s="157">
        <f>+C49/C35</f>
        <v>-0.42705653942793798</v>
      </c>
      <c r="D51" s="157">
        <f>+D49/D35</f>
        <v>-0.27150142278498951</v>
      </c>
      <c r="E51" s="157">
        <f>+E49/E35</f>
        <v>0.24555125804176636</v>
      </c>
      <c r="F51" s="157" t="e">
        <f>+F49/F35</f>
        <v>#DIV/0!</v>
      </c>
      <c r="G51" s="157" t="e">
        <f>+G49/G35</f>
        <v>#DIV/0!</v>
      </c>
      <c r="H51" s="157">
        <f>+H49/H35</f>
        <v>8.7451279474860019E-2</v>
      </c>
    </row>
    <row r="52" spans="1:10" ht="16">
      <c r="A52" s="132"/>
      <c r="B52" s="133"/>
      <c r="C52" s="132"/>
      <c r="D52" s="132"/>
      <c r="E52" s="132"/>
      <c r="F52" s="132"/>
      <c r="G52" s="132"/>
      <c r="H52" s="140"/>
    </row>
    <row r="53" spans="1:10" ht="16">
      <c r="A53" s="140" t="s">
        <v>158</v>
      </c>
      <c r="B53" s="133"/>
      <c r="C53" s="132"/>
      <c r="D53" s="132"/>
      <c r="E53" s="132"/>
      <c r="F53" s="132"/>
      <c r="G53" s="132"/>
      <c r="H53" s="140"/>
    </row>
    <row r="54" spans="1:10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ROUND((Parameters!E137)+(SUM(Parameters!$F$137:$G$137)/4),4)</f>
        <v>0.125</v>
      </c>
      <c r="F54" s="158"/>
      <c r="G54" s="158"/>
      <c r="H54" s="140"/>
    </row>
    <row r="55" spans="1:10" ht="16">
      <c r="A55" s="132" t="s">
        <v>407</v>
      </c>
      <c r="B55" s="149"/>
      <c r="C55" s="328">
        <f>(C7+C8)/($H$7+$H$8)</f>
        <v>0.5714285714285714</v>
      </c>
      <c r="D55" s="328">
        <f>(D7+D8)/($H$7+$H$8)</f>
        <v>0.33333333333333331</v>
      </c>
      <c r="E55" s="328">
        <f>(E7+E8)/($H$7+$H$8)</f>
        <v>9.5238095238095233E-2</v>
      </c>
      <c r="F55" s="158"/>
      <c r="G55" s="158"/>
      <c r="H55" s="140"/>
    </row>
    <row r="56" spans="1:10" ht="16">
      <c r="A56" s="159" t="s">
        <v>422</v>
      </c>
      <c r="B56" s="149"/>
      <c r="C56" s="327">
        <f>C25/SUM($C$25:$E$25)</f>
        <v>0.54106073385561559</v>
      </c>
      <c r="D56" s="327">
        <f>D25/SUM($C$25:$E$25)</f>
        <v>0.31552094981604645</v>
      </c>
      <c r="E56" s="327">
        <f>E25/SUM($C$25:$E$25)</f>
        <v>0.14341831632833799</v>
      </c>
      <c r="F56" s="322"/>
      <c r="G56" s="322"/>
      <c r="H56" s="140"/>
    </row>
    <row r="58" spans="1:10">
      <c r="A58" s="92" t="s">
        <v>115</v>
      </c>
    </row>
    <row r="59" spans="1:10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0">
      <c r="A60" s="92" t="s">
        <v>413</v>
      </c>
    </row>
    <row r="61" spans="1:10">
      <c r="A61" s="92" t="s">
        <v>417</v>
      </c>
    </row>
    <row r="62" spans="1:10">
      <c r="A62" s="92" t="s">
        <v>418</v>
      </c>
    </row>
    <row r="63" spans="1:10">
      <c r="B63" s="92" t="s">
        <v>414</v>
      </c>
    </row>
  </sheetData>
  <mergeCells count="3">
    <mergeCell ref="A1:H1"/>
    <mergeCell ref="C2:E2"/>
    <mergeCell ref="F2:G2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3AD07-AB29-914F-A1C5-7315BF900E5B}">
  <dimension ref="A1:Q63"/>
  <sheetViews>
    <sheetView topLeftCell="A17" zoomScale="80" workbookViewId="0">
      <selection activeCell="C17" sqref="C17"/>
    </sheetView>
  </sheetViews>
  <sheetFormatPr baseColWidth="10" defaultRowHeight="13"/>
  <cols>
    <col min="1" max="1" width="27.33203125" customWidth="1"/>
    <col min="2" max="2" width="17.33203125" customWidth="1"/>
    <col min="3" max="4" width="19.33203125" customWidth="1"/>
    <col min="5" max="6" width="17.33203125" customWidth="1"/>
    <col min="7" max="7" width="15.83203125" customWidth="1"/>
    <col min="8" max="8" width="26" customWidth="1"/>
    <col min="9" max="9" width="20.1640625" customWidth="1"/>
    <col min="10" max="14" width="11.1640625" bestFit="1" customWidth="1"/>
    <col min="15" max="15" width="12.5" bestFit="1" customWidth="1"/>
    <col min="16" max="16" width="11" bestFit="1" customWidth="1"/>
    <col min="17" max="17" width="12" bestFit="1" customWidth="1"/>
  </cols>
  <sheetData>
    <row r="1" spans="1:17" ht="21">
      <c r="A1" s="334" t="s">
        <v>256</v>
      </c>
      <c r="B1" s="334"/>
      <c r="C1" s="334"/>
      <c r="D1" s="334"/>
      <c r="E1" s="334"/>
      <c r="F1" s="334"/>
      <c r="G1" s="334"/>
      <c r="H1" s="334"/>
    </row>
    <row r="2" spans="1:17" ht="21">
      <c r="A2" s="131"/>
      <c r="B2" s="131"/>
      <c r="C2" s="335" t="s">
        <v>262</v>
      </c>
      <c r="D2" s="335"/>
      <c r="E2" s="335"/>
      <c r="F2" s="335" t="s">
        <v>261</v>
      </c>
      <c r="G2" s="335"/>
      <c r="H2" s="131"/>
    </row>
    <row r="3" spans="1:17" ht="16">
      <c r="A3" s="132"/>
      <c r="B3" s="133"/>
      <c r="C3" s="134" t="s">
        <v>76</v>
      </c>
      <c r="D3" s="134" t="s">
        <v>88</v>
      </c>
      <c r="E3" s="134" t="s">
        <v>96</v>
      </c>
      <c r="F3" s="134" t="s">
        <v>259</v>
      </c>
      <c r="G3" s="134" t="s">
        <v>260</v>
      </c>
      <c r="H3" s="134" t="s">
        <v>416</v>
      </c>
    </row>
    <row r="4" spans="1:17" ht="16">
      <c r="A4" s="302" t="s">
        <v>384</v>
      </c>
      <c r="B4" s="133"/>
      <c r="C4" s="296">
        <f>Parameters!$B$3</f>
        <v>102</v>
      </c>
      <c r="D4" s="132">
        <f>Parameters!$B$27</f>
        <v>60</v>
      </c>
      <c r="E4" s="132">
        <f>SUM(C4:D4)</f>
        <v>162</v>
      </c>
      <c r="F4" s="303" t="s">
        <v>386</v>
      </c>
      <c r="G4" s="301" t="s">
        <v>386</v>
      </c>
      <c r="H4" s="135">
        <f>SUM(C4:D4)</f>
        <v>162</v>
      </c>
    </row>
    <row r="5" spans="1:17" ht="16">
      <c r="A5" s="135" t="s">
        <v>268</v>
      </c>
      <c r="B5" s="133"/>
      <c r="C5" s="305">
        <f>Parameters!$B$2</f>
        <v>12</v>
      </c>
      <c r="D5" s="140">
        <f>Parameters!$B$26</f>
        <v>9</v>
      </c>
      <c r="E5" s="301">
        <f>Parameters!B2</f>
        <v>12</v>
      </c>
      <c r="F5" s="140">
        <f>Parameters!$B$2</f>
        <v>12</v>
      </c>
      <c r="G5" s="140">
        <f>Parameters!$B$2</f>
        <v>12</v>
      </c>
      <c r="H5" s="135"/>
    </row>
    <row r="6" spans="1:17" ht="16">
      <c r="A6" s="135" t="s">
        <v>146</v>
      </c>
      <c r="B6" s="133"/>
      <c r="C6" s="299">
        <f>ROUNDUP('Assumptions and Parameters'!$D$30+Parameters!B62,0)</f>
        <v>12</v>
      </c>
      <c r="D6" s="299">
        <f>ROUNDUP(SUM(Parameters!B32:B33),0)</f>
        <v>4</v>
      </c>
      <c r="E6" s="299">
        <f>Parameters!B78</f>
        <v>1</v>
      </c>
      <c r="F6" s="299">
        <f>SUM(Parameters!B96:B99)</f>
        <v>5</v>
      </c>
      <c r="G6" s="299">
        <f>SUM(Parameters!B112:'Parameters'!B113)</f>
        <v>2</v>
      </c>
      <c r="H6" s="300">
        <f>SUM(C6:E6)</f>
        <v>17</v>
      </c>
    </row>
    <row r="7" spans="1:17" ht="16">
      <c r="A7" s="135" t="s">
        <v>257</v>
      </c>
      <c r="B7" s="133"/>
      <c r="C7" s="299">
        <v>0</v>
      </c>
      <c r="D7" s="299">
        <f>ROUNDUP('Assumptions and Parameters'!$E$32,0)</f>
        <v>3</v>
      </c>
      <c r="E7" s="299">
        <v>0</v>
      </c>
      <c r="F7" s="299">
        <v>0</v>
      </c>
      <c r="G7" s="299">
        <v>0</v>
      </c>
      <c r="H7" s="300">
        <f>SUM(C7:E7)</f>
        <v>3</v>
      </c>
    </row>
    <row r="8" spans="1:17" ht="16">
      <c r="A8" s="136"/>
      <c r="B8" s="137" t="s">
        <v>147</v>
      </c>
      <c r="C8" s="134" t="s">
        <v>76</v>
      </c>
      <c r="D8" s="134" t="s">
        <v>88</v>
      </c>
      <c r="E8" s="134" t="s">
        <v>96</v>
      </c>
      <c r="F8" s="134" t="s">
        <v>259</v>
      </c>
      <c r="G8" s="134" t="s">
        <v>260</v>
      </c>
      <c r="H8" s="134" t="s">
        <v>12</v>
      </c>
    </row>
    <row r="9" spans="1:17" ht="16">
      <c r="A9" s="138" t="s">
        <v>148</v>
      </c>
      <c r="B9" s="133"/>
      <c r="C9" s="139"/>
      <c r="D9" s="139"/>
      <c r="E9" s="139"/>
      <c r="F9" s="139"/>
      <c r="G9" s="139"/>
      <c r="H9" s="140"/>
    </row>
    <row r="10" spans="1:17">
      <c r="A10" s="326" t="s">
        <v>404</v>
      </c>
      <c r="B10" s="100"/>
      <c r="C10" s="100"/>
      <c r="D10" s="100"/>
      <c r="E10" s="100"/>
      <c r="F10" s="100"/>
      <c r="G10" s="100"/>
      <c r="H10" s="100"/>
    </row>
    <row r="11" spans="1:17" ht="16">
      <c r="A11" s="141" t="s">
        <v>258</v>
      </c>
      <c r="B11" s="133" t="s">
        <v>150</v>
      </c>
      <c r="C11" s="143">
        <f>Parameters!$B$9*Parameters!$C$9 + (Parameters!$C$62*Parameters!B142)</f>
        <v>767250</v>
      </c>
      <c r="D11" s="143">
        <f>Parameters!$B$34*(Parameters!$C$34) +Parameters!$B$33*(Parameters!$C$33)+Parameters!$C$32 + (Parameters!$C$62*Parameters!C142)</f>
        <v>409250</v>
      </c>
      <c r="E11" s="143">
        <f>(Parameters!B78*Parameters!B79)</f>
        <v>105000</v>
      </c>
      <c r="F11" s="143">
        <f>ROUND(SUM(Parameters!C96:C98)+(Parameters!B99*Parameters!C99),2)</f>
        <v>387500</v>
      </c>
      <c r="G11" s="143">
        <f>(Parameters!$B$112*Parameters!$C$112)+(Parameters!$B$113*Parameters!$C$113)</f>
        <v>150000</v>
      </c>
      <c r="H11" s="144">
        <f>SUM(C11:G11)</f>
        <v>1819000</v>
      </c>
      <c r="I11" s="244"/>
    </row>
    <row r="12" spans="1:17" ht="16">
      <c r="A12" s="141" t="s">
        <v>426</v>
      </c>
      <c r="B12" s="133"/>
      <c r="C12" s="143">
        <f>ROUND(C11*Parameters!$C$128,1)</f>
        <v>47569.5</v>
      </c>
      <c r="D12" s="143">
        <f>ROUND(D11*Parameters!$C$128,1)</f>
        <v>25373.5</v>
      </c>
      <c r="E12" s="143">
        <f>ROUND(E11*Parameters!$C$128,1)</f>
        <v>6510</v>
      </c>
      <c r="F12" s="143">
        <f>ROUND(F11*Parameters!$C$128,1)</f>
        <v>24025</v>
      </c>
      <c r="G12" s="143">
        <f>ROUND(G11*Parameters!$C$128,1)</f>
        <v>9300</v>
      </c>
      <c r="H12" s="144">
        <f>SUM(C12:G12)</f>
        <v>112778</v>
      </c>
    </row>
    <row r="13" spans="1:17" ht="16">
      <c r="A13" s="141" t="s">
        <v>427</v>
      </c>
      <c r="B13" s="133"/>
      <c r="C13" s="143">
        <f>ROUND(C11*Parameters!$C$129,2)</f>
        <v>11125.13</v>
      </c>
      <c r="D13" s="143">
        <f>ROUND(D11*Parameters!$C$129,2)</f>
        <v>5934.13</v>
      </c>
      <c r="E13" s="143">
        <f>ROUND(E11*Parameters!$C$129,2)</f>
        <v>1522.5</v>
      </c>
      <c r="F13" s="143">
        <f>ROUND(F11*Parameters!$C$129,2)</f>
        <v>5618.75</v>
      </c>
      <c r="G13" s="143">
        <f>ROUND(G11*Parameters!$C$129,2)</f>
        <v>2175</v>
      </c>
      <c r="H13" s="144">
        <f>SUM(C13:G13)</f>
        <v>26375.51</v>
      </c>
    </row>
    <row r="14" spans="1:17" ht="16">
      <c r="A14" s="141" t="s">
        <v>428</v>
      </c>
      <c r="B14" s="133"/>
      <c r="C14" s="320">
        <f>ROUND(C11*Parameters!$C$127,0)</f>
        <v>61380</v>
      </c>
      <c r="D14" s="320">
        <f>ROUND(D11*Parameters!$C$127,0)</f>
        <v>32740</v>
      </c>
      <c r="E14" s="320">
        <f>ROUND(E11*Parameters!$C$127,0)</f>
        <v>8400</v>
      </c>
      <c r="F14" s="320">
        <f>ROUND(F11*Parameters!$C$127,0)</f>
        <v>31000</v>
      </c>
      <c r="G14" s="320">
        <f>ROUND(G11*Parameters!$C$127,0)</f>
        <v>12000</v>
      </c>
      <c r="H14" s="144">
        <f>SUM(C14:G14)</f>
        <v>145520</v>
      </c>
      <c r="I14">
        <v>218988</v>
      </c>
      <c r="J14" s="244"/>
    </row>
    <row r="15" spans="1:17" ht="16">
      <c r="A15" s="141" t="s">
        <v>429</v>
      </c>
      <c r="B15" s="133"/>
      <c r="C15" s="295">
        <f>Parameters!$C$132*'Program Budget_No Outreach'!C11</f>
        <v>57543.75</v>
      </c>
      <c r="D15" s="320">
        <f>(Parameters!$C$132*'Program Budget_No Outreach'!D11)-(D7*Parameters!C33*Parameters!C132)</f>
        <v>22143.75</v>
      </c>
      <c r="E15" s="295">
        <f>Parameters!$C$132*'Program Budget_No Outreach'!E11</f>
        <v>7875</v>
      </c>
      <c r="F15" s="320">
        <f>ROUND(Parameters!$C$132*'Program Budget_No Outreach'!F11,2)</f>
        <v>29062.5</v>
      </c>
      <c r="G15" s="320">
        <f>Parameters!$C$132*'Program Budget_No Outreach'!G11</f>
        <v>11250</v>
      </c>
      <c r="H15" s="144">
        <f>SUM(C15:G15)</f>
        <v>127875</v>
      </c>
    </row>
    <row r="16" spans="1:17" ht="16">
      <c r="A16" s="141" t="s">
        <v>430</v>
      </c>
      <c r="B16" s="133"/>
      <c r="C16" s="320">
        <f>(Parameters!$C$131*'Program Budget_No Outreach'!C6*'Program Budget_No Outreach'!C5)+(Parameters!B142*Parameters!C131*Parameters!B2)</f>
        <v>64005</v>
      </c>
      <c r="D16" s="320">
        <f>(Parameters!$C$131*'Program Budget_No Outreach'!D6*'Program Budget_No Outreach'!C5) + (Parameters!C142*Parameters!C131*Parameters!B2)</f>
        <v>22695</v>
      </c>
      <c r="E16" s="320">
        <f>Parameters!$C$131*'Program Budget_No Outreach'!E6*'Program Budget_No Outreach'!E5</f>
        <v>5100</v>
      </c>
      <c r="F16" s="320">
        <f>ROUND(Parameters!$C$131*'Program Budget_No Outreach'!F6*'Program Budget_No Outreach'!F5,2)</f>
        <v>25500</v>
      </c>
      <c r="G16" s="320">
        <f>Parameters!$C$131*'Program Budget_No Outreach'!G6*'Program Budget_No Outreach'!G5</f>
        <v>10200</v>
      </c>
      <c r="H16" s="144">
        <f>SUM(C16:G16)</f>
        <v>127500</v>
      </c>
      <c r="I16" s="141" t="s">
        <v>408</v>
      </c>
      <c r="J16" s="133"/>
      <c r="K16" s="297">
        <f>SUM(C11:C16)</f>
        <v>1008873.38</v>
      </c>
      <c r="L16" s="297">
        <f>SUM(D11:D16)</f>
        <v>518136.38</v>
      </c>
      <c r="M16" s="297" t="e">
        <f>SUM(#REF!)</f>
        <v>#REF!</v>
      </c>
      <c r="N16" s="297">
        <f>SUM(E11:E16)</f>
        <v>134407.5</v>
      </c>
      <c r="O16" s="321">
        <f>ROUND(SUM(F11:F16),2)</f>
        <v>502706.25</v>
      </c>
      <c r="P16" s="297">
        <f>SUM(G11:G16)</f>
        <v>194925</v>
      </c>
      <c r="Q16" s="319" t="e">
        <f>SUM(K16:P16)</f>
        <v>#REF!</v>
      </c>
    </row>
    <row r="17" spans="1:11" ht="16">
      <c r="A17" s="141" t="s">
        <v>431</v>
      </c>
      <c r="B17" s="133" t="s">
        <v>149</v>
      </c>
      <c r="C17" s="143">
        <f>Parameters!$B$20*Parameters!$B$9</f>
        <v>13750</v>
      </c>
      <c r="D17" s="143">
        <f>Parameters!$B$50*(Parameters!$B$33+Parameters!$B$34)</f>
        <v>4500</v>
      </c>
      <c r="E17" s="143">
        <f>Parameters!B88*Parameters!B78</f>
        <v>3000</v>
      </c>
      <c r="F17" s="143">
        <v>0</v>
      </c>
      <c r="G17" s="143">
        <v>0</v>
      </c>
      <c r="H17" s="144">
        <f>SUM(C17:G17)</f>
        <v>21250</v>
      </c>
    </row>
    <row r="18" spans="1:11" ht="16">
      <c r="A18" s="141"/>
      <c r="B18" s="133"/>
      <c r="C18" s="143"/>
      <c r="D18" s="143"/>
      <c r="E18" s="143"/>
      <c r="F18" s="143"/>
      <c r="G18" s="143"/>
      <c r="H18" s="144"/>
    </row>
    <row r="19" spans="1:11" ht="16">
      <c r="A19" s="306" t="s">
        <v>337</v>
      </c>
      <c r="B19" s="133"/>
      <c r="C19" s="143"/>
      <c r="D19" s="143"/>
      <c r="E19" s="143"/>
      <c r="F19" s="143"/>
      <c r="G19" s="143"/>
      <c r="H19" s="144"/>
    </row>
    <row r="20" spans="1:11" ht="16">
      <c r="A20" s="141" t="s">
        <v>425</v>
      </c>
      <c r="B20" s="142" t="s">
        <v>149</v>
      </c>
      <c r="C20" s="143"/>
      <c r="D20" s="143">
        <f>Parameters!$B$51*(Parameters!$B$28+Parameters!$B$29)</f>
        <v>24000</v>
      </c>
      <c r="E20" s="143">
        <f>Parameters!B89</f>
        <v>65000</v>
      </c>
      <c r="F20" s="143">
        <f>SUM(Parameters!B107:B108)</f>
        <v>16850</v>
      </c>
      <c r="G20" s="143">
        <f>SUM(Parameters!B115:B117)</f>
        <v>16350</v>
      </c>
      <c r="H20" s="144">
        <f>SUM(C20:G20)</f>
        <v>122200</v>
      </c>
    </row>
    <row r="21" spans="1:11" ht="16">
      <c r="A21" s="141" t="s">
        <v>432</v>
      </c>
      <c r="B21" s="133"/>
      <c r="C21" s="143">
        <f>(ROUND((Parameters!$B$102*Parameters!$B$2)+SUM(Parameters!$B$103:$B$106),0))*Parameters!B137</f>
        <v>119250</v>
      </c>
      <c r="D21" s="143">
        <f>(ROUND((Parameters!$B$102*Parameters!$B$2)+SUM(Parameters!$B$103:$B$106),0))*Parameters!C137</f>
        <v>119250</v>
      </c>
      <c r="E21" s="143">
        <f>(ROUND((Parameters!$B$102*Parameters!$B$2)+SUM(Parameters!$B$103:$B$106),0))*Parameters!E137</f>
        <v>39750</v>
      </c>
      <c r="F21" s="143">
        <f>(ROUND((Parameters!$B$102*Parameters!$B$2)+SUM(Parameters!$B$103:$B$106),0))*Parameters!F137</f>
        <v>31800</v>
      </c>
      <c r="G21" s="143">
        <f>(ROUND((Parameters!$B$102*Parameters!$B$2)+SUM(Parameters!$B$103:$B$106),0))*Parameters!G137</f>
        <v>7950</v>
      </c>
      <c r="H21" s="144">
        <f>SUM(C21:G21)</f>
        <v>318000</v>
      </c>
    </row>
    <row r="22" spans="1:11" ht="16">
      <c r="A22" s="141" t="s">
        <v>433</v>
      </c>
      <c r="B22" s="133"/>
      <c r="C22" s="143"/>
      <c r="D22" s="143"/>
      <c r="E22" s="143"/>
      <c r="F22" s="143"/>
      <c r="G22" s="143">
        <f>Parameters!B118</f>
        <v>42000</v>
      </c>
      <c r="H22" s="144">
        <f>SUM(C22:G22)</f>
        <v>42000</v>
      </c>
      <c r="I22" s="92">
        <v>401100</v>
      </c>
      <c r="J22">
        <f>ROUND((Parameters!B102*Parameters!B2)+SUM(Parameters!B103:B106),0)</f>
        <v>397500</v>
      </c>
      <c r="K22">
        <f>I22-J22</f>
        <v>3600</v>
      </c>
    </row>
    <row r="23" spans="1:11">
      <c r="A23" s="100"/>
      <c r="B23" s="100"/>
      <c r="C23" s="100"/>
      <c r="D23" s="100"/>
      <c r="E23" s="100"/>
      <c r="F23" s="100"/>
      <c r="G23" s="100"/>
      <c r="H23" s="100"/>
    </row>
    <row r="24" spans="1:11" ht="16">
      <c r="A24" s="145" t="s">
        <v>151</v>
      </c>
      <c r="B24" s="146"/>
      <c r="C24" s="147">
        <f>SUM(C11:C16)+SUM(C17:C21)</f>
        <v>1141873.3799999999</v>
      </c>
      <c r="D24" s="147">
        <f>SUM(D11:D16)+SUM(D17:D21)</f>
        <v>665886.38</v>
      </c>
      <c r="E24" s="147">
        <f>SUM(E11:E16)+SUM(E17:E21)</f>
        <v>242157.5</v>
      </c>
      <c r="F24" s="147">
        <f>SUM(F11:F21)</f>
        <v>551356.25</v>
      </c>
      <c r="G24" s="147">
        <f>SUM(G11:G21)</f>
        <v>219225</v>
      </c>
      <c r="H24" s="147">
        <f>SUM(H10:H22)</f>
        <v>2862498.51</v>
      </c>
    </row>
    <row r="25" spans="1:11" ht="16">
      <c r="A25" s="148" t="s">
        <v>385</v>
      </c>
      <c r="B25" s="149"/>
      <c r="C25" s="298">
        <f>C24/C4</f>
        <v>11194.837058823528</v>
      </c>
      <c r="D25" s="298">
        <f>D24/D4</f>
        <v>11098.106333333333</v>
      </c>
      <c r="E25" s="150">
        <f>E24/H4</f>
        <v>1494.7993827160494</v>
      </c>
      <c r="F25" s="150">
        <f>F24/H4</f>
        <v>3403.4336419753085</v>
      </c>
      <c r="G25" s="150">
        <f>G24/H4</f>
        <v>1353.2407407407406</v>
      </c>
      <c r="H25" s="150">
        <f>H24/H$4</f>
        <v>17669.743888888886</v>
      </c>
      <c r="I25" s="92" t="s">
        <v>387</v>
      </c>
    </row>
    <row r="26" spans="1:11" ht="16">
      <c r="A26" s="132"/>
      <c r="B26" s="149"/>
      <c r="C26" s="151"/>
      <c r="D26" s="151"/>
      <c r="E26" s="151"/>
      <c r="F26" s="151"/>
      <c r="G26" s="151"/>
      <c r="H26" s="140"/>
    </row>
    <row r="27" spans="1:11" ht="16">
      <c r="A27" s="140" t="s">
        <v>152</v>
      </c>
      <c r="B27" s="133"/>
      <c r="C27" s="152"/>
      <c r="D27" s="152"/>
      <c r="E27" s="152"/>
      <c r="F27" s="152"/>
      <c r="G27" s="152"/>
      <c r="H27" s="140"/>
    </row>
    <row r="28" spans="1:11" ht="16">
      <c r="A28" s="141" t="s">
        <v>259</v>
      </c>
      <c r="B28" s="142" t="s">
        <v>423</v>
      </c>
      <c r="C28" s="143">
        <f>$F$24*C55</f>
        <v>330813.75</v>
      </c>
      <c r="D28" s="143">
        <f>$F$24*D55</f>
        <v>192974.6875</v>
      </c>
      <c r="E28" s="143">
        <f>$F$24*E55</f>
        <v>27567.8125</v>
      </c>
      <c r="F28" s="304">
        <f>-F24</f>
        <v>-551356.25</v>
      </c>
      <c r="G28" s="316"/>
      <c r="H28" s="144">
        <f>SUM(C28:F28)</f>
        <v>0</v>
      </c>
    </row>
    <row r="29" spans="1:11" ht="16">
      <c r="A29" s="141" t="s">
        <v>420</v>
      </c>
      <c r="B29" s="142" t="s">
        <v>421</v>
      </c>
      <c r="C29" s="143">
        <f>$G$24*C56</f>
        <v>122115.75394535679</v>
      </c>
      <c r="D29" s="143">
        <f>$G$24*D56</f>
        <v>71212.114022348411</v>
      </c>
      <c r="E29" s="143">
        <f>$G$24*E56</f>
        <v>25897.132032294809</v>
      </c>
      <c r="F29" s="304"/>
      <c r="G29" s="304">
        <f>-G24</f>
        <v>-219225</v>
      </c>
      <c r="H29" s="144">
        <f>SUM(C29:G29)</f>
        <v>0</v>
      </c>
      <c r="I29" s="92" t="s">
        <v>400</v>
      </c>
    </row>
    <row r="30" spans="1:11" ht="16">
      <c r="A30" s="141"/>
      <c r="B30" s="142"/>
      <c r="C30" s="143"/>
      <c r="D30" s="143"/>
      <c r="E30" s="143"/>
      <c r="F30" s="143"/>
      <c r="G30" s="143"/>
      <c r="H30" s="144"/>
    </row>
    <row r="31" spans="1:11" ht="16">
      <c r="A31" s="145" t="s">
        <v>153</v>
      </c>
      <c r="B31" s="146"/>
      <c r="C31" s="147">
        <f t="shared" ref="C31:H31" si="0">SUM(C28:C29)</f>
        <v>452929.50394535682</v>
      </c>
      <c r="D31" s="147">
        <f t="shared" si="0"/>
        <v>264186.80152234843</v>
      </c>
      <c r="E31" s="147">
        <f t="shared" si="0"/>
        <v>53464.944532294809</v>
      </c>
      <c r="F31" s="147">
        <f t="shared" si="0"/>
        <v>-551356.25</v>
      </c>
      <c r="G31" s="147">
        <f t="shared" si="0"/>
        <v>-219225</v>
      </c>
      <c r="H31" s="147">
        <f t="shared" si="0"/>
        <v>0</v>
      </c>
    </row>
    <row r="32" spans="1:11" ht="16">
      <c r="A32" s="148" t="s">
        <v>388</v>
      </c>
      <c r="B32" s="149"/>
      <c r="C32" s="150">
        <f>C31/C$4</f>
        <v>4440.4853327976161</v>
      </c>
      <c r="D32" s="150">
        <f>D31/D4</f>
        <v>4403.1133587058075</v>
      </c>
      <c r="E32" s="150">
        <f>E31/H4</f>
        <v>330.03052180428892</v>
      </c>
      <c r="F32" s="150">
        <f>F31/H4</f>
        <v>-3403.4336419753085</v>
      </c>
      <c r="G32" s="150">
        <f>G31/H4</f>
        <v>-1353.2407407407406</v>
      </c>
      <c r="H32" s="150">
        <f>H31/H$4</f>
        <v>0</v>
      </c>
    </row>
    <row r="33" spans="1:9" ht="16">
      <c r="A33" s="132"/>
      <c r="B33" s="133"/>
      <c r="C33" s="152"/>
      <c r="D33" s="152"/>
      <c r="E33" s="152"/>
      <c r="F33" s="152"/>
      <c r="G33" s="152"/>
      <c r="H33" s="140"/>
    </row>
    <row r="34" spans="1:9" ht="17" thickBot="1">
      <c r="A34" s="153" t="s">
        <v>154</v>
      </c>
      <c r="B34" s="154"/>
      <c r="C34" s="155">
        <f t="shared" ref="C34:H34" si="1">C31+C24</f>
        <v>1594802.8839453566</v>
      </c>
      <c r="D34" s="155">
        <f t="shared" si="1"/>
        <v>930073.18152234843</v>
      </c>
      <c r="E34" s="155">
        <f t="shared" si="1"/>
        <v>295622.44453229482</v>
      </c>
      <c r="F34" s="155">
        <f t="shared" si="1"/>
        <v>0</v>
      </c>
      <c r="G34" s="155">
        <f t="shared" si="1"/>
        <v>0</v>
      </c>
      <c r="H34" s="155">
        <f t="shared" si="1"/>
        <v>2862498.51</v>
      </c>
    </row>
    <row r="35" spans="1:9" ht="16">
      <c r="A35" s="148" t="s">
        <v>389</v>
      </c>
      <c r="B35" s="149"/>
      <c r="C35" s="150">
        <f>C34/C$4</f>
        <v>15635.322391621143</v>
      </c>
      <c r="D35" s="150">
        <f>D34/D4</f>
        <v>15501.21969203914</v>
      </c>
      <c r="E35" s="150">
        <f>E34/H4</f>
        <v>1824.8299045203385</v>
      </c>
      <c r="F35" s="150">
        <f>F34/H4</f>
        <v>0</v>
      </c>
      <c r="G35" s="150">
        <f>G34/H4</f>
        <v>0</v>
      </c>
      <c r="H35" s="156">
        <f>H34/H4</f>
        <v>17669.743888888886</v>
      </c>
    </row>
    <row r="36" spans="1:9" ht="16">
      <c r="A36" s="148"/>
      <c r="B36" s="149"/>
      <c r="C36" s="150"/>
      <c r="D36" s="150"/>
      <c r="E36" s="150"/>
      <c r="F36" s="150"/>
      <c r="G36" s="150"/>
      <c r="H36" s="156"/>
    </row>
    <row r="37" spans="1:9" ht="16">
      <c r="A37" s="145" t="s">
        <v>390</v>
      </c>
      <c r="B37" s="307"/>
      <c r="C37" s="323"/>
      <c r="D37" s="323"/>
      <c r="E37" s="310"/>
      <c r="F37" s="310"/>
      <c r="G37" s="310"/>
      <c r="H37" s="311"/>
    </row>
    <row r="38" spans="1:9" ht="16">
      <c r="A38" s="141" t="s">
        <v>391</v>
      </c>
      <c r="B38" s="149"/>
      <c r="C38" s="324"/>
      <c r="D38" s="324"/>
      <c r="E38" s="313"/>
      <c r="F38" s="313"/>
      <c r="G38" s="308">
        <f>Parameters!B134</f>
        <v>450000</v>
      </c>
      <c r="H38" s="308">
        <f>SUM(C38:G38)</f>
        <v>450000</v>
      </c>
    </row>
    <row r="39" spans="1:9" ht="16">
      <c r="A39" s="309" t="s">
        <v>392</v>
      </c>
      <c r="B39" s="149"/>
      <c r="C39" s="324"/>
      <c r="D39" s="324"/>
      <c r="E39" s="313"/>
      <c r="F39" s="313"/>
      <c r="G39" s="313">
        <f xml:space="preserve"> SUM(Parameters!B121*Parameters!C121, Parameters!B122*Parameters!C122, Parameters!B123*Parameters!C123)/SUM(Parameters!C121:C123)</f>
        <v>675000</v>
      </c>
      <c r="H39" s="308">
        <f xml:space="preserve"> SUM(C39:G39)</f>
        <v>675000</v>
      </c>
      <c r="I39" s="92" t="s">
        <v>393</v>
      </c>
    </row>
    <row r="40" spans="1:9" ht="16">
      <c r="A40" s="309" t="s">
        <v>236</v>
      </c>
      <c r="B40" s="149"/>
      <c r="C40" s="324">
        <f>Parameters!B13*Parameters!B3*Parameters!B2</f>
        <v>612000</v>
      </c>
      <c r="D40" s="324"/>
      <c r="E40" s="313"/>
      <c r="F40" s="313"/>
      <c r="G40" s="313"/>
      <c r="H40" s="308">
        <f>SUM(C40:G40)</f>
        <v>612000</v>
      </c>
    </row>
    <row r="41" spans="1:9" ht="16">
      <c r="A41" s="309" t="s">
        <v>394</v>
      </c>
      <c r="B41" s="149"/>
      <c r="C41" s="324">
        <f>Parameters!B14*Parameters!B2*(Parameters!B15*Parameters!B3)</f>
        <v>290700</v>
      </c>
      <c r="D41" s="324"/>
      <c r="E41" s="313"/>
      <c r="F41" s="313"/>
      <c r="G41" s="313"/>
      <c r="H41" s="308">
        <f>SUM(C41:G41)</f>
        <v>290700</v>
      </c>
    </row>
    <row r="42" spans="1:9" ht="16">
      <c r="A42" s="309" t="s">
        <v>410</v>
      </c>
      <c r="B42" s="149"/>
      <c r="C42" s="324"/>
      <c r="D42" s="324">
        <f>Parameters!B26*((Parameters!B36*Parameters!B40*Parameters!B39)+(Parameters!B36*Parameters!B38)+(Parameters!B42*Parameters!B45*Parameters!B46)+(Parameters!B42*Parameters!B44))</f>
        <v>669375</v>
      </c>
      <c r="E42" s="313"/>
      <c r="F42" s="313"/>
      <c r="G42" s="313"/>
      <c r="H42" s="308">
        <f>SUM(C42:G42)</f>
        <v>669375</v>
      </c>
    </row>
    <row r="43" spans="1:9" ht="16">
      <c r="A43" s="309" t="s">
        <v>405</v>
      </c>
      <c r="B43" s="149"/>
      <c r="C43" s="324"/>
      <c r="D43" s="324"/>
      <c r="E43" s="313"/>
      <c r="F43" s="313"/>
      <c r="G43" s="313"/>
      <c r="H43" s="308">
        <f>SUM(C43:G43)</f>
        <v>0</v>
      </c>
    </row>
    <row r="44" spans="1:9" ht="16">
      <c r="A44" s="309" t="s">
        <v>397</v>
      </c>
      <c r="B44" s="149"/>
      <c r="C44" s="324"/>
      <c r="D44" s="324"/>
      <c r="E44" s="313"/>
      <c r="F44" s="313"/>
      <c r="G44" s="313"/>
      <c r="H44" s="308">
        <f>SUM(C44:G44)</f>
        <v>0</v>
      </c>
    </row>
    <row r="45" spans="1:9" ht="16">
      <c r="A45" s="309" t="s">
        <v>399</v>
      </c>
      <c r="B45" s="149"/>
      <c r="C45" s="324"/>
      <c r="D45" s="324"/>
      <c r="E45" s="312"/>
      <c r="F45" s="313"/>
      <c r="G45" s="313"/>
      <c r="H45" s="308">
        <f>SUM(C45:G45)</f>
        <v>0</v>
      </c>
      <c r="I45" s="92" t="s">
        <v>398</v>
      </c>
    </row>
    <row r="46" spans="1:9" ht="16">
      <c r="A46" s="309"/>
      <c r="B46" s="133"/>
      <c r="C46" s="324"/>
      <c r="D46" s="324"/>
      <c r="E46" s="313"/>
      <c r="F46" s="313"/>
      <c r="G46" s="313"/>
      <c r="H46" s="314"/>
    </row>
    <row r="47" spans="1:9" ht="17" thickBot="1">
      <c r="A47" s="153" t="s">
        <v>111</v>
      </c>
      <c r="B47" s="154"/>
      <c r="C47" s="155">
        <f>SUM(C38:C46)</f>
        <v>902700</v>
      </c>
      <c r="D47" s="155">
        <f>SUM(D38:D46)</f>
        <v>669375</v>
      </c>
      <c r="E47" s="155">
        <f>SUM(E38:E45)</f>
        <v>0</v>
      </c>
      <c r="F47" s="155">
        <f>SUM(F38:F45)</f>
        <v>0</v>
      </c>
      <c r="G47" s="155">
        <f>SUM(G38:G45)</f>
        <v>1125000</v>
      </c>
      <c r="H47" s="155">
        <f>SUM(H38:H45)</f>
        <v>2697075</v>
      </c>
    </row>
    <row r="48" spans="1:9" ht="16">
      <c r="A48" s="140"/>
      <c r="B48" s="133"/>
      <c r="C48" s="132"/>
      <c r="D48" s="132"/>
      <c r="E48" s="132"/>
      <c r="F48" s="132"/>
      <c r="G48" s="132"/>
      <c r="H48" s="140"/>
      <c r="I48">
        <v>-279499</v>
      </c>
    </row>
    <row r="49" spans="1:10" ht="17" thickBot="1">
      <c r="A49" s="153" t="s">
        <v>155</v>
      </c>
      <c r="B49" s="154"/>
      <c r="C49" s="155">
        <f>+C47-C34</f>
        <v>-692102.88394535659</v>
      </c>
      <c r="D49" s="155">
        <f>+D47-D34</f>
        <v>-260698.18152234843</v>
      </c>
      <c r="E49" s="155">
        <f>+E47-E34</f>
        <v>-295622.44453229482</v>
      </c>
      <c r="F49" s="155"/>
      <c r="G49" s="155">
        <f>+G47-G34</f>
        <v>1125000</v>
      </c>
      <c r="H49" s="155">
        <f>+H47-H34</f>
        <v>-165423.50999999978</v>
      </c>
      <c r="I49" s="317" t="s">
        <v>451</v>
      </c>
      <c r="J49" s="317" t="s">
        <v>415</v>
      </c>
    </row>
    <row r="50" spans="1:10" ht="16">
      <c r="A50" s="148" t="s">
        <v>156</v>
      </c>
      <c r="B50" s="149"/>
      <c r="C50" s="150">
        <f>+C49/C4</f>
        <v>-6785.3223916211427</v>
      </c>
      <c r="D50" s="150"/>
      <c r="E50" s="150">
        <f>+E49/E4</f>
        <v>-1824.8299045203385</v>
      </c>
      <c r="F50" s="150"/>
      <c r="G50" s="150"/>
      <c r="H50" s="156">
        <f>+H49/H4</f>
        <v>-1021.1327777777764</v>
      </c>
      <c r="I50" s="244">
        <f>I48-H49</f>
        <v>-114075.49000000022</v>
      </c>
    </row>
    <row r="51" spans="1:10" ht="16">
      <c r="A51" s="132" t="s">
        <v>157</v>
      </c>
      <c r="B51" s="133"/>
      <c r="C51" s="157">
        <f t="shared" ref="C51:H51" si="2">+C49/C34</f>
        <v>-0.4339739355331329</v>
      </c>
      <c r="D51" s="157">
        <f t="shared" si="2"/>
        <v>-0.28029856865202407</v>
      </c>
      <c r="E51" s="157">
        <f t="shared" si="2"/>
        <v>-1</v>
      </c>
      <c r="F51" s="157" t="e">
        <f t="shared" si="2"/>
        <v>#DIV/0!</v>
      </c>
      <c r="G51" s="157" t="e">
        <f t="shared" si="2"/>
        <v>#DIV/0!</v>
      </c>
      <c r="H51" s="157">
        <f t="shared" si="2"/>
        <v>-5.7789902570115154E-2</v>
      </c>
    </row>
    <row r="52" spans="1:10" ht="16">
      <c r="A52" s="132"/>
      <c r="B52" s="133"/>
      <c r="C52" s="132"/>
      <c r="D52" s="132"/>
      <c r="E52" s="132"/>
      <c r="F52" s="132"/>
      <c r="G52" s="132"/>
      <c r="H52" s="140"/>
    </row>
    <row r="53" spans="1:10" ht="16">
      <c r="A53" s="140" t="s">
        <v>158</v>
      </c>
      <c r="B53" s="133"/>
      <c r="C53" s="132"/>
      <c r="D53" s="132"/>
      <c r="E53" s="132"/>
      <c r="F53" s="132"/>
      <c r="G53" s="132"/>
      <c r="H53" s="140"/>
    </row>
    <row r="54" spans="1:10" ht="16">
      <c r="A54" s="132" t="s">
        <v>409</v>
      </c>
      <c r="B54" s="149"/>
      <c r="C54" s="328">
        <f>ROUND((Parameters!B137)+(SUM(Parameters!$F$137:$G$137)/4),4)</f>
        <v>0.32500000000000001</v>
      </c>
      <c r="D54" s="328">
        <f>ROUND((Parameters!C137)+(SUM(Parameters!$F$137:$G$137)/4),4)</f>
        <v>0.32500000000000001</v>
      </c>
      <c r="E54" s="328">
        <f>ROUND((Parameters!E137)+(SUM(Parameters!$F$137:$G$137)/4),4)</f>
        <v>0.125</v>
      </c>
      <c r="F54" s="158"/>
      <c r="G54" s="158"/>
      <c r="H54" s="140"/>
    </row>
    <row r="55" spans="1:10" ht="16">
      <c r="A55" s="132" t="s">
        <v>407</v>
      </c>
      <c r="B55" s="149"/>
      <c r="C55" s="328">
        <f>(C6+C7)/($H$6+$H$7)</f>
        <v>0.6</v>
      </c>
      <c r="D55" s="328">
        <f>(D6+D7)/($H$6+$H$7)</f>
        <v>0.35</v>
      </c>
      <c r="E55" s="328">
        <f>(E6+E7)/($H$6+$H$7)</f>
        <v>0.05</v>
      </c>
      <c r="F55" s="158"/>
      <c r="G55" s="158"/>
      <c r="H55" s="140"/>
    </row>
    <row r="56" spans="1:10" ht="16">
      <c r="A56" s="159" t="s">
        <v>422</v>
      </c>
      <c r="B56" s="149"/>
      <c r="C56" s="327">
        <f>C24/SUM($C$24:$E$24)</f>
        <v>0.55703388730918824</v>
      </c>
      <c r="D56" s="327">
        <f>D24/SUM($C$24:$E$24)</f>
        <v>0.32483573507742458</v>
      </c>
      <c r="E56" s="327">
        <f>E24/SUM($C$24:$E$24)</f>
        <v>0.1181303776133872</v>
      </c>
      <c r="F56" s="322"/>
      <c r="G56" s="322"/>
      <c r="H56" s="140"/>
    </row>
    <row r="58" spans="1:10">
      <c r="A58" s="92" t="s">
        <v>115</v>
      </c>
    </row>
    <row r="59" spans="1:10">
      <c r="A59" s="92" t="s">
        <v>412</v>
      </c>
      <c r="B59" s="240">
        <f>Parameters!B26*((Parameters!B39*Parameters!B36*Parameters!B41)+(Parameters!B45*Parameters!B47*Parameters!B42))</f>
        <v>275625</v>
      </c>
    </row>
    <row r="60" spans="1:10">
      <c r="A60" s="92" t="s">
        <v>413</v>
      </c>
    </row>
    <row r="61" spans="1:10">
      <c r="A61" s="92" t="s">
        <v>417</v>
      </c>
    </row>
    <row r="62" spans="1:10">
      <c r="A62" s="92" t="s">
        <v>418</v>
      </c>
    </row>
    <row r="63" spans="1:10">
      <c r="B63" s="92" t="s">
        <v>414</v>
      </c>
    </row>
  </sheetData>
  <mergeCells count="3">
    <mergeCell ref="A1:H1"/>
    <mergeCell ref="C2:E2"/>
    <mergeCell ref="F2:G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Baseline Program Budget</vt:lpstr>
      <vt:lpstr>Parameters</vt:lpstr>
      <vt:lpstr>Budget_AllStrat</vt:lpstr>
      <vt:lpstr>Budget_AllStrat_fee_notuit</vt:lpstr>
      <vt:lpstr>Budget_tuition_allben</vt:lpstr>
      <vt:lpstr>Budget_NoOut_Aud_EI</vt:lpstr>
      <vt:lpstr>Program Budget_exp EI</vt:lpstr>
      <vt:lpstr>Program Budget_No Outreach+Aud</vt:lpstr>
      <vt:lpstr>Program Budget_No Outreach</vt:lpstr>
      <vt:lpstr>BaselineMonthly Cash Flow Sheet</vt:lpstr>
      <vt:lpstr>Operating Budget  </vt:lpstr>
      <vt:lpstr>Staff</vt:lpstr>
      <vt:lpstr>Assumptions and Parameters</vt:lpstr>
    </vt:vector>
  </TitlesOfParts>
  <Company>University of Kansas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Marlowe</dc:creator>
  <cp:lastModifiedBy>Rebecca Hsu</cp:lastModifiedBy>
  <cp:lastPrinted>2020-10-10T19:06:02Z</cp:lastPrinted>
  <dcterms:created xsi:type="dcterms:W3CDTF">2007-06-13T16:48:32Z</dcterms:created>
  <dcterms:modified xsi:type="dcterms:W3CDTF">2020-12-13T07:01:31Z</dcterms:modified>
</cp:coreProperties>
</file>