
<file path=[Content_Types].xml><?xml version="1.0" encoding="utf-8"?>
<Types xmlns="http://schemas.openxmlformats.org/package/2006/content-types">
  <Default Extension="bin" ContentType="application/vnd.openxmlformats-officedocument.oleObject"/>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E:\3-2\NAME 338\Misc\"/>
    </mc:Choice>
  </mc:AlternateContent>
  <bookViews>
    <workbookView xWindow="0" yWindow="0" windowWidth="23040" windowHeight="8796" tabRatio="710"/>
  </bookViews>
  <sheets>
    <sheet name="Resistance &amp; Power" sheetId="2" r:id="rId1"/>
    <sheet name="Yface &amp;yback" sheetId="6" state="hidden" r:id="rId2"/>
    <sheet name="rudder calculation" sheetId="5" state="hidden" r:id="rId3"/>
  </sheets>
  <definedNames>
    <definedName name="fuck">'rudder calculation'!$E$85</definedName>
    <definedName name="h">'rudder calculation'!$E$84</definedName>
  </definedNames>
  <calcPr calcId="152511"/>
</workbook>
</file>

<file path=xl/calcChain.xml><?xml version="1.0" encoding="utf-8"?>
<calcChain xmlns="http://schemas.openxmlformats.org/spreadsheetml/2006/main">
  <c r="E22" i="2" l="1"/>
  <c r="J12" i="6" l="1"/>
  <c r="J13" i="6"/>
  <c r="J14" i="6"/>
  <c r="J15" i="6"/>
  <c r="J16" i="6"/>
  <c r="J17" i="6"/>
  <c r="J18" i="6"/>
  <c r="J19" i="6"/>
  <c r="K39" i="2" l="1"/>
  <c r="H42" i="2" l="1"/>
  <c r="E42" i="2" s="1"/>
  <c r="H45" i="2"/>
  <c r="E45" i="2" s="1"/>
  <c r="H47" i="2"/>
  <c r="E31" i="2"/>
  <c r="H32" i="2"/>
  <c r="E32" i="2" s="1"/>
  <c r="H229" i="5"/>
  <c r="E203" i="5"/>
  <c r="N19" i="6"/>
  <c r="E91" i="6" s="1"/>
  <c r="L19" i="6"/>
  <c r="N18" i="6"/>
  <c r="Y74" i="6" s="1"/>
  <c r="L18" i="6"/>
  <c r="N17" i="6"/>
  <c r="I74" i="6" s="1"/>
  <c r="I78" i="6" s="1"/>
  <c r="L17" i="6"/>
  <c r="N16" i="6"/>
  <c r="X64" i="6" s="1"/>
  <c r="L16" i="6"/>
  <c r="K16" i="6"/>
  <c r="N15" i="6"/>
  <c r="I64" i="6" s="1"/>
  <c r="K15" i="6"/>
  <c r="N14" i="6"/>
  <c r="S48" i="6" s="1"/>
  <c r="L14" i="6"/>
  <c r="N13" i="6"/>
  <c r="L48" i="6" s="1"/>
  <c r="N12" i="6"/>
  <c r="Y25" i="6" s="1"/>
  <c r="L12" i="6"/>
  <c r="N11" i="6"/>
  <c r="D25" i="6" s="1"/>
  <c r="D29" i="6" s="1"/>
  <c r="J11" i="6"/>
  <c r="K11" i="6" s="1"/>
  <c r="B7" i="6"/>
  <c r="M17" i="6" s="1"/>
  <c r="B3" i="6"/>
  <c r="D48" i="6"/>
  <c r="D52" i="6" s="1"/>
  <c r="D41" i="6"/>
  <c r="D45" i="6" s="1"/>
  <c r="L13" i="6"/>
  <c r="K13" i="6"/>
  <c r="K14" i="6"/>
  <c r="O14" i="6" s="1"/>
  <c r="Y81" i="6"/>
  <c r="Y84" i="6" s="1"/>
  <c r="U74" i="6"/>
  <c r="U77" i="6" s="1"/>
  <c r="W74" i="6"/>
  <c r="W77" i="6" s="1"/>
  <c r="V74" i="6"/>
  <c r="V77" i="6" s="1"/>
  <c r="T74" i="6"/>
  <c r="T78" i="6" s="1"/>
  <c r="P81" i="6"/>
  <c r="P84" i="6" s="1"/>
  <c r="J25" i="6"/>
  <c r="J29" i="6" s="1"/>
  <c r="F74" i="6"/>
  <c r="F77" i="6" s="1"/>
  <c r="L74" i="6"/>
  <c r="L77" i="6" s="1"/>
  <c r="G81" i="6"/>
  <c r="G84" i="6" s="1"/>
  <c r="C74" i="6"/>
  <c r="C77" i="6" s="1"/>
  <c r="F25" i="6"/>
  <c r="F28" i="6" s="1"/>
  <c r="T81" i="6"/>
  <c r="T85" i="6" s="1"/>
  <c r="J57" i="6"/>
  <c r="J61" i="6" s="1"/>
  <c r="D64" i="6"/>
  <c r="D67" i="6" s="1"/>
  <c r="F98" i="6"/>
  <c r="F102" i="6" s="1"/>
  <c r="D351" i="5"/>
  <c r="C322" i="5"/>
  <c r="E326" i="5" s="1"/>
  <c r="E327" i="5" s="1"/>
  <c r="E320" i="5"/>
  <c r="H298" i="5"/>
  <c r="C305" i="5" s="1"/>
  <c r="E285" i="5"/>
  <c r="D309" i="5" s="1"/>
  <c r="G250" i="5"/>
  <c r="G223" i="5"/>
  <c r="G224" i="5" s="1"/>
  <c r="F215" i="5"/>
  <c r="G214" i="5"/>
  <c r="G212" i="5"/>
  <c r="D187" i="5"/>
  <c r="E186" i="5"/>
  <c r="B97" i="5"/>
  <c r="F78" i="5"/>
  <c r="E242" i="5" s="1"/>
  <c r="E66" i="5"/>
  <c r="F176" i="5" s="1"/>
  <c r="E185" i="5" s="1"/>
  <c r="F11" i="5"/>
  <c r="G336" i="5"/>
  <c r="E343" i="5" s="1"/>
  <c r="C41" i="5"/>
  <c r="D44" i="5" s="1"/>
  <c r="E145" i="5" s="1"/>
  <c r="C35" i="5"/>
  <c r="D27" i="5"/>
  <c r="H66" i="2"/>
  <c r="E66" i="2" s="1"/>
  <c r="E61" i="2"/>
  <c r="H60" i="2"/>
  <c r="H56" i="2"/>
  <c r="E58" i="2" s="1"/>
  <c r="E53" i="2"/>
  <c r="E43" i="2" s="1"/>
  <c r="H48" i="2"/>
  <c r="E48" i="2" s="1"/>
  <c r="E44" i="2"/>
  <c r="H40" i="2"/>
  <c r="H34" i="2"/>
  <c r="E34" i="2"/>
  <c r="E33" i="2"/>
  <c r="E28" i="2"/>
  <c r="E18" i="2"/>
  <c r="E60" i="2" l="1"/>
  <c r="F260" i="5"/>
  <c r="G57" i="6"/>
  <c r="G61" i="6" s="1"/>
  <c r="E81" i="6"/>
  <c r="E85" i="6" s="1"/>
  <c r="G74" i="6"/>
  <c r="G77" i="6" s="1"/>
  <c r="K81" i="6"/>
  <c r="K84" i="6" s="1"/>
  <c r="D81" i="6"/>
  <c r="D84" i="6" s="1"/>
  <c r="J74" i="6"/>
  <c r="J77" i="6" s="1"/>
  <c r="K64" i="6"/>
  <c r="K68" i="6" s="1"/>
  <c r="J48" i="6"/>
  <c r="J51" i="6" s="1"/>
  <c r="E74" i="6"/>
  <c r="E77" i="6" s="1"/>
  <c r="K74" i="6"/>
  <c r="K78" i="6" s="1"/>
  <c r="D74" i="6"/>
  <c r="D77" i="6" s="1"/>
  <c r="H81" i="6"/>
  <c r="H84" i="6" s="1"/>
  <c r="F81" i="6"/>
  <c r="F84" i="6" s="1"/>
  <c r="E25" i="6"/>
  <c r="E29" i="6" s="1"/>
  <c r="C91" i="6"/>
  <c r="C95" i="6" s="1"/>
  <c r="J32" i="6"/>
  <c r="J36" i="6" s="1"/>
  <c r="I81" i="6"/>
  <c r="I84" i="6" s="1"/>
  <c r="C81" i="6"/>
  <c r="C84" i="6" s="1"/>
  <c r="H74" i="6"/>
  <c r="H77" i="6" s="1"/>
  <c r="L81" i="6"/>
  <c r="L84" i="6" s="1"/>
  <c r="J81" i="6"/>
  <c r="E36" i="2"/>
  <c r="E311" i="5"/>
  <c r="J60" i="6"/>
  <c r="P64" i="6"/>
  <c r="P67" i="6" s="1"/>
  <c r="H237" i="5"/>
  <c r="D208" i="5"/>
  <c r="P57" i="6"/>
  <c r="P60" i="6" s="1"/>
  <c r="V64" i="6"/>
  <c r="V67" i="6" s="1"/>
  <c r="T57" i="6"/>
  <c r="T60" i="6" s="1"/>
  <c r="E57" i="2"/>
  <c r="E56" i="2" s="1"/>
  <c r="E85" i="5"/>
  <c r="W64" i="6"/>
  <c r="W68" i="6" s="1"/>
  <c r="E30" i="2"/>
  <c r="B93" i="5"/>
  <c r="Q64" i="6"/>
  <c r="Q68" i="6" s="1"/>
  <c r="G25" i="6"/>
  <c r="G28" i="6" s="1"/>
  <c r="J52" i="6"/>
  <c r="K77" i="6"/>
  <c r="K32" i="6"/>
  <c r="K35" i="6" s="1"/>
  <c r="H85" i="6"/>
  <c r="D32" i="6"/>
  <c r="D35" i="6" s="1"/>
  <c r="L32" i="6"/>
  <c r="L35" i="6" s="1"/>
  <c r="N20" i="6"/>
  <c r="W25" i="6"/>
  <c r="W29" i="6" s="1"/>
  <c r="R25" i="6"/>
  <c r="R29" i="6" s="1"/>
  <c r="G41" i="6"/>
  <c r="G44" i="6" s="1"/>
  <c r="K25" i="6"/>
  <c r="K28" i="6" s="1"/>
  <c r="H32" i="6"/>
  <c r="H36" i="6" s="1"/>
  <c r="H50" i="2"/>
  <c r="E50" i="2" s="1"/>
  <c r="E49" i="2" s="1"/>
  <c r="W41" i="6"/>
  <c r="W44" i="6" s="1"/>
  <c r="X41" i="6"/>
  <c r="X44" i="6" s="1"/>
  <c r="U41" i="6"/>
  <c r="U44" i="6" s="1"/>
  <c r="M16" i="6"/>
  <c r="M12" i="6"/>
  <c r="S32" i="6"/>
  <c r="R41" i="6"/>
  <c r="R44" i="6" s="1"/>
  <c r="U25" i="6"/>
  <c r="X48" i="6"/>
  <c r="X52" i="6" s="1"/>
  <c r="W32" i="6"/>
  <c r="W36" i="6" s="1"/>
  <c r="P14" i="6"/>
  <c r="X32" i="6"/>
  <c r="W78" i="6"/>
  <c r="G78" i="6"/>
  <c r="V25" i="6"/>
  <c r="V28" i="6" s="1"/>
  <c r="D85" i="6"/>
  <c r="R32" i="6"/>
  <c r="M14" i="6"/>
  <c r="Q48" i="6"/>
  <c r="Q51" i="6" s="1"/>
  <c r="Q32" i="6"/>
  <c r="Q35" i="6" s="1"/>
  <c r="X25" i="6"/>
  <c r="T25" i="6"/>
  <c r="T28" i="6" s="1"/>
  <c r="U32" i="6"/>
  <c r="U35" i="6" s="1"/>
  <c r="T32" i="6"/>
  <c r="S25" i="6"/>
  <c r="V32" i="6"/>
  <c r="Y48" i="6"/>
  <c r="Y52" i="6" s="1"/>
  <c r="Y32" i="6"/>
  <c r="Y35" i="6" s="1"/>
  <c r="Q25" i="6"/>
  <c r="P32" i="6"/>
  <c r="P36" i="6" s="1"/>
  <c r="P25" i="6"/>
  <c r="Y28" i="6"/>
  <c r="Y29" i="6"/>
  <c r="X45" i="6"/>
  <c r="L78" i="6"/>
  <c r="I85" i="6"/>
  <c r="F78" i="6"/>
  <c r="K36" i="6"/>
  <c r="Y41" i="6"/>
  <c r="Y44" i="6" s="1"/>
  <c r="S41" i="6"/>
  <c r="S44" i="6" s="1"/>
  <c r="I32" i="6"/>
  <c r="I25" i="6"/>
  <c r="C25" i="6"/>
  <c r="G32" i="6"/>
  <c r="L25" i="6"/>
  <c r="T41" i="6"/>
  <c r="T45" i="6" s="1"/>
  <c r="H78" i="6"/>
  <c r="G85" i="6"/>
  <c r="T77" i="6"/>
  <c r="F29" i="6"/>
  <c r="V41" i="6"/>
  <c r="K18" i="6"/>
  <c r="P18" i="6" s="1"/>
  <c r="P41" i="6"/>
  <c r="P44" i="6" s="1"/>
  <c r="F32" i="6"/>
  <c r="E32" i="6"/>
  <c r="E36" i="6" s="1"/>
  <c r="C32" i="6"/>
  <c r="H25" i="6"/>
  <c r="P48" i="6"/>
  <c r="P52" i="6" s="1"/>
  <c r="M19" i="6"/>
  <c r="T61" i="6"/>
  <c r="L15" i="6"/>
  <c r="P15" i="6" s="1"/>
  <c r="K19" i="6"/>
  <c r="P19" i="6" s="1"/>
  <c r="D28" i="6"/>
  <c r="T64" i="6"/>
  <c r="T68" i="6" s="1"/>
  <c r="L91" i="6"/>
  <c r="I91" i="6"/>
  <c r="R64" i="6"/>
  <c r="J28" i="6"/>
  <c r="L85" i="6"/>
  <c r="C85" i="6"/>
  <c r="W67" i="6"/>
  <c r="J35" i="6"/>
  <c r="Y85" i="6"/>
  <c r="F85" i="6"/>
  <c r="D78" i="6"/>
  <c r="E78" i="6"/>
  <c r="P45" i="6"/>
  <c r="D51" i="6"/>
  <c r="Y36" i="6"/>
  <c r="I98" i="6"/>
  <c r="D98" i="6"/>
  <c r="V57" i="6"/>
  <c r="W57" i="6"/>
  <c r="U57" i="6"/>
  <c r="Y64" i="6"/>
  <c r="M15" i="6"/>
  <c r="P13" i="6"/>
  <c r="K48" i="6"/>
  <c r="K51" i="6" s="1"/>
  <c r="G98" i="6"/>
  <c r="G102" i="6" s="1"/>
  <c r="C98" i="6"/>
  <c r="R28" i="6"/>
  <c r="S64" i="6"/>
  <c r="S67" i="6" s="1"/>
  <c r="Y57" i="6"/>
  <c r="T84" i="6"/>
  <c r="K67" i="6"/>
  <c r="E98" i="6"/>
  <c r="E101" i="6" s="1"/>
  <c r="J91" i="6"/>
  <c r="J94" i="6" s="1"/>
  <c r="R57" i="6"/>
  <c r="S57" i="6"/>
  <c r="Q57" i="6"/>
  <c r="U64" i="6"/>
  <c r="M13" i="6"/>
  <c r="M11" i="6"/>
  <c r="M18" i="6"/>
  <c r="J41" i="6"/>
  <c r="K41" i="6"/>
  <c r="H48" i="6"/>
  <c r="O11" i="6"/>
  <c r="X57" i="6"/>
  <c r="S52" i="6"/>
  <c r="S51" i="6"/>
  <c r="O16" i="6"/>
  <c r="P16" i="6"/>
  <c r="X67" i="6"/>
  <c r="X68" i="6"/>
  <c r="E95" i="6"/>
  <c r="E94" i="6"/>
  <c r="L51" i="6"/>
  <c r="L52" i="6"/>
  <c r="I68" i="6"/>
  <c r="I67" i="6"/>
  <c r="Y78" i="6"/>
  <c r="Y77" i="6"/>
  <c r="V68" i="6"/>
  <c r="D68" i="6"/>
  <c r="F101" i="6"/>
  <c r="K29" i="6"/>
  <c r="O15" i="6"/>
  <c r="G64" i="6"/>
  <c r="F57" i="6"/>
  <c r="R74" i="6"/>
  <c r="Q74" i="6"/>
  <c r="O13" i="6"/>
  <c r="L11" i="6"/>
  <c r="P11" i="6" s="1"/>
  <c r="P68" i="6"/>
  <c r="G60" i="6"/>
  <c r="C94" i="6"/>
  <c r="D44" i="6"/>
  <c r="U78" i="6"/>
  <c r="V78" i="6"/>
  <c r="P85" i="6"/>
  <c r="C78" i="6"/>
  <c r="D36" i="6"/>
  <c r="G29" i="6"/>
  <c r="W45" i="6"/>
  <c r="J78" i="6"/>
  <c r="K85" i="6"/>
  <c r="E84" i="6"/>
  <c r="Y45" i="6"/>
  <c r="Q36" i="6"/>
  <c r="K91" i="6"/>
  <c r="H91" i="6"/>
  <c r="F91" i="6"/>
  <c r="L98" i="6"/>
  <c r="C64" i="6"/>
  <c r="H57" i="6"/>
  <c r="L64" i="6"/>
  <c r="J64" i="6"/>
  <c r="U48" i="6"/>
  <c r="F41" i="6"/>
  <c r="V48" i="6"/>
  <c r="W48" i="6"/>
  <c r="I48" i="6"/>
  <c r="X74" i="6"/>
  <c r="V81" i="6"/>
  <c r="W81" i="6"/>
  <c r="Q81" i="6"/>
  <c r="U45" i="6"/>
  <c r="K17" i="6"/>
  <c r="P17" i="6" s="1"/>
  <c r="C41" i="6"/>
  <c r="G48" i="6"/>
  <c r="L41" i="6"/>
  <c r="I77" i="6"/>
  <c r="E64" i="6"/>
  <c r="E57" i="6"/>
  <c r="K12" i="6"/>
  <c r="P12" i="6" s="1"/>
  <c r="T48" i="6"/>
  <c r="K98" i="6"/>
  <c r="C57" i="6"/>
  <c r="L57" i="6"/>
  <c r="S74" i="6"/>
  <c r="U81" i="6"/>
  <c r="X51" i="6"/>
  <c r="I57" i="6"/>
  <c r="G91" i="6"/>
  <c r="D91" i="6"/>
  <c r="J98" i="6"/>
  <c r="H98" i="6"/>
  <c r="K57" i="6"/>
  <c r="D57" i="6"/>
  <c r="H64" i="6"/>
  <c r="F64" i="6"/>
  <c r="P74" i="6"/>
  <c r="Q41" i="6"/>
  <c r="R48" i="6"/>
  <c r="I41" i="6"/>
  <c r="E41" i="6"/>
  <c r="X81" i="6"/>
  <c r="R81" i="6"/>
  <c r="S81" i="6"/>
  <c r="F48" i="6"/>
  <c r="E48" i="6"/>
  <c r="C48" i="6"/>
  <c r="H41" i="6"/>
  <c r="E27" i="2"/>
  <c r="E65" i="2"/>
  <c r="E64" i="2" s="1"/>
  <c r="E40" i="2"/>
  <c r="E47" i="2"/>
  <c r="E28" i="6" l="1"/>
  <c r="J84" i="6"/>
  <c r="J85" i="6"/>
  <c r="G27" i="2"/>
  <c r="C131" i="5"/>
  <c r="B105" i="5"/>
  <c r="P51" i="6"/>
  <c r="L36" i="6"/>
  <c r="P61" i="6"/>
  <c r="E84" i="5"/>
  <c r="D141" i="5"/>
  <c r="B111" i="5"/>
  <c r="B116" i="5" s="1"/>
  <c r="C118" i="5" s="1"/>
  <c r="C179" i="5" s="1"/>
  <c r="O18" i="6"/>
  <c r="Q67" i="6"/>
  <c r="G101" i="6"/>
  <c r="E102" i="6"/>
  <c r="H35" i="6"/>
  <c r="W28" i="6"/>
  <c r="Q52" i="6"/>
  <c r="U36" i="6"/>
  <c r="Y51" i="6"/>
  <c r="G45" i="6"/>
  <c r="E39" i="2"/>
  <c r="R45" i="6"/>
  <c r="J95" i="6"/>
  <c r="T67" i="6"/>
  <c r="Q29" i="6"/>
  <c r="Q28" i="6"/>
  <c r="X28" i="6"/>
  <c r="X29" i="6"/>
  <c r="S36" i="6"/>
  <c r="S35" i="6"/>
  <c r="P29" i="6"/>
  <c r="P28" i="6"/>
  <c r="X36" i="6"/>
  <c r="X35" i="6"/>
  <c r="U28" i="6"/>
  <c r="U29" i="6"/>
  <c r="E35" i="6"/>
  <c r="O19" i="6"/>
  <c r="P35" i="6"/>
  <c r="S68" i="6"/>
  <c r="W35" i="6"/>
  <c r="S45" i="6"/>
  <c r="T29" i="6"/>
  <c r="S29" i="6"/>
  <c r="S28" i="6"/>
  <c r="R36" i="6"/>
  <c r="R35" i="6"/>
  <c r="V35" i="6"/>
  <c r="V36" i="6"/>
  <c r="T35" i="6"/>
  <c r="T36" i="6"/>
  <c r="K52" i="6"/>
  <c r="V29" i="6"/>
  <c r="F36" i="6"/>
  <c r="F35" i="6"/>
  <c r="I29" i="6"/>
  <c r="I28" i="6"/>
  <c r="V44" i="6"/>
  <c r="V45" i="6"/>
  <c r="C29" i="6"/>
  <c r="C28" i="6"/>
  <c r="T44" i="6"/>
  <c r="C35" i="6"/>
  <c r="C36" i="6"/>
  <c r="G35" i="6"/>
  <c r="G36" i="6"/>
  <c r="H28" i="6"/>
  <c r="H29" i="6"/>
  <c r="L28" i="6"/>
  <c r="L29" i="6"/>
  <c r="I36" i="6"/>
  <c r="I35" i="6"/>
  <c r="L95" i="6"/>
  <c r="L94" i="6"/>
  <c r="H51" i="6"/>
  <c r="H52" i="6"/>
  <c r="S60" i="6"/>
  <c r="S61" i="6"/>
  <c r="U60" i="6"/>
  <c r="U61" i="6"/>
  <c r="I102" i="6"/>
  <c r="I101" i="6"/>
  <c r="I95" i="6"/>
  <c r="I94" i="6"/>
  <c r="R60" i="6"/>
  <c r="R61" i="6"/>
  <c r="C101" i="6"/>
  <c r="C102" i="6"/>
  <c r="Q60" i="6"/>
  <c r="Q61" i="6"/>
  <c r="Y67" i="6"/>
  <c r="Y68" i="6"/>
  <c r="D102" i="6"/>
  <c r="D101" i="6"/>
  <c r="R67" i="6"/>
  <c r="R68" i="6"/>
  <c r="K45" i="6"/>
  <c r="K44" i="6"/>
  <c r="W60" i="6"/>
  <c r="W61" i="6"/>
  <c r="X61" i="6"/>
  <c r="X60" i="6"/>
  <c r="J45" i="6"/>
  <c r="J44" i="6"/>
  <c r="U67" i="6"/>
  <c r="U68" i="6"/>
  <c r="Y60" i="6"/>
  <c r="Y61" i="6"/>
  <c r="V60" i="6"/>
  <c r="V61" i="6"/>
  <c r="X85" i="6"/>
  <c r="X84" i="6"/>
  <c r="Q44" i="6"/>
  <c r="Q45" i="6"/>
  <c r="D95" i="6"/>
  <c r="D94" i="6"/>
  <c r="C60" i="6"/>
  <c r="C61" i="6"/>
  <c r="V84" i="6"/>
  <c r="V85" i="6"/>
  <c r="J67" i="6"/>
  <c r="J68" i="6"/>
  <c r="L101" i="6"/>
  <c r="L102" i="6"/>
  <c r="R77" i="6"/>
  <c r="R78" i="6"/>
  <c r="R85" i="6"/>
  <c r="R84" i="6"/>
  <c r="H67" i="6"/>
  <c r="H68" i="6"/>
  <c r="L61" i="6"/>
  <c r="L60" i="6"/>
  <c r="W84" i="6"/>
  <c r="W85" i="6"/>
  <c r="U51" i="6"/>
  <c r="U52" i="6"/>
  <c r="H44" i="6"/>
  <c r="H45" i="6"/>
  <c r="S85" i="6"/>
  <c r="S84" i="6"/>
  <c r="I45" i="6"/>
  <c r="I44" i="6"/>
  <c r="F67" i="6"/>
  <c r="F68" i="6"/>
  <c r="H102" i="6"/>
  <c r="H101" i="6"/>
  <c r="I60" i="6"/>
  <c r="I61" i="6"/>
  <c r="T52" i="6"/>
  <c r="T51" i="6"/>
  <c r="C44" i="6"/>
  <c r="C45" i="6"/>
  <c r="Q84" i="6"/>
  <c r="Q85" i="6"/>
  <c r="I52" i="6"/>
  <c r="I51" i="6"/>
  <c r="F45" i="6"/>
  <c r="F44" i="6"/>
  <c r="H60" i="6"/>
  <c r="H61" i="6"/>
  <c r="H95" i="6"/>
  <c r="H94" i="6"/>
  <c r="G67" i="6"/>
  <c r="G68" i="6"/>
  <c r="E51" i="6"/>
  <c r="E52" i="6"/>
  <c r="D60" i="6"/>
  <c r="D61" i="6"/>
  <c r="U84" i="6"/>
  <c r="U85" i="6"/>
  <c r="E61" i="6"/>
  <c r="E60" i="6"/>
  <c r="L44" i="6"/>
  <c r="L45" i="6"/>
  <c r="W51" i="6"/>
  <c r="W52" i="6"/>
  <c r="C52" i="6"/>
  <c r="C51" i="6"/>
  <c r="R51" i="6"/>
  <c r="R52" i="6"/>
  <c r="J102" i="6"/>
  <c r="J101" i="6"/>
  <c r="C67" i="6"/>
  <c r="C68" i="6"/>
  <c r="K94" i="6"/>
  <c r="K95" i="6"/>
  <c r="Q77" i="6"/>
  <c r="Q78" i="6"/>
  <c r="F51" i="6"/>
  <c r="F52" i="6"/>
  <c r="E45" i="6"/>
  <c r="E44" i="6"/>
  <c r="P78" i="6"/>
  <c r="P77" i="6"/>
  <c r="K61" i="6"/>
  <c r="K60" i="6"/>
  <c r="G94" i="6"/>
  <c r="G95" i="6"/>
  <c r="S77" i="6"/>
  <c r="S78" i="6"/>
  <c r="K102" i="6"/>
  <c r="K101" i="6"/>
  <c r="E67" i="6"/>
  <c r="E68" i="6"/>
  <c r="G51" i="6"/>
  <c r="G52" i="6"/>
  <c r="X78" i="6"/>
  <c r="X77" i="6"/>
  <c r="V52" i="6"/>
  <c r="V51" i="6"/>
  <c r="L67" i="6"/>
  <c r="L68" i="6"/>
  <c r="F94" i="6"/>
  <c r="F95" i="6"/>
  <c r="F60" i="6"/>
  <c r="F61" i="6"/>
  <c r="O12" i="6"/>
  <c r="O17" i="6"/>
  <c r="F161" i="5" l="1"/>
  <c r="B150" i="5"/>
  <c r="B153" i="5" s="1"/>
  <c r="E157" i="5" s="1"/>
  <c r="B166" i="5"/>
  <c r="H277" i="5"/>
  <c r="E282" i="5" s="1"/>
  <c r="E287" i="5" s="1"/>
  <c r="C240" i="5"/>
  <c r="D246" i="5" s="1"/>
  <c r="E72" i="2" l="1"/>
  <c r="B168" i="5"/>
  <c r="H258" i="5"/>
  <c r="C264" i="5" s="1"/>
  <c r="B8" i="6" l="1"/>
</calcChain>
</file>

<file path=xl/comments1.xml><?xml version="1.0" encoding="utf-8"?>
<comments xmlns="http://schemas.openxmlformats.org/spreadsheetml/2006/main">
  <authors>
    <author>User</author>
    <author>M.M.M</author>
  </authors>
  <commentList>
    <comment ref="E17" authorId="0" shapeId="0">
      <text>
        <r>
          <rPr>
            <b/>
            <sz val="9"/>
            <color indexed="81"/>
            <rFont val="Tahoma"/>
            <family val="2"/>
          </rPr>
          <t>User:</t>
        </r>
        <r>
          <rPr>
            <sz val="9"/>
            <color indexed="81"/>
            <rFont val="Tahoma"/>
            <family val="2"/>
          </rPr>
          <t xml:space="preserve">
put (-) for aft of amidship
and
put (+) for forward </t>
        </r>
      </text>
    </comment>
    <comment ref="B27" authorId="0" shapeId="0">
      <text>
        <r>
          <rPr>
            <b/>
            <sz val="9"/>
            <color indexed="81"/>
            <rFont val="Tahoma"/>
            <family val="2"/>
          </rPr>
          <t>User:</t>
        </r>
        <r>
          <rPr>
            <sz val="9"/>
            <color indexed="81"/>
            <rFont val="Tahoma"/>
            <family val="2"/>
          </rPr>
          <t xml:space="preserve">
(ITTC 1957)</t>
        </r>
      </text>
    </comment>
    <comment ref="B30" authorId="0" shapeId="0">
      <text>
        <r>
          <rPr>
            <b/>
            <sz val="9"/>
            <color indexed="81"/>
            <rFont val="Tahoma"/>
            <family val="2"/>
          </rPr>
          <t>User:</t>
        </r>
        <r>
          <rPr>
            <sz val="9"/>
            <color indexed="81"/>
            <rFont val="Tahoma"/>
            <family val="2"/>
          </rPr>
          <t xml:space="preserve">
User:
Form factor describing the viscous resistance of the hull form in relation to RF</t>
        </r>
      </text>
    </comment>
    <comment ref="H33" authorId="0" shapeId="0">
      <text>
        <r>
          <rPr>
            <b/>
            <sz val="9"/>
            <color indexed="81"/>
            <rFont val="Tahoma"/>
            <family val="2"/>
          </rPr>
          <t>User:</t>
        </r>
        <r>
          <rPr>
            <sz val="9"/>
            <color indexed="81"/>
            <rFont val="Tahoma"/>
            <family val="2"/>
          </rPr>
          <t xml:space="preserve">
(Cstern= -10, 0 or, +10 if the afterbody form is of V-shaped, Normal and U shaped sections respectively.</t>
        </r>
      </text>
    </comment>
    <comment ref="H34" authorId="0" shapeId="0">
      <text>
        <r>
          <rPr>
            <b/>
            <sz val="9"/>
            <color indexed="81"/>
            <rFont val="Tahoma"/>
            <family val="2"/>
          </rPr>
          <t>User:</t>
        </r>
        <r>
          <rPr>
            <sz val="9"/>
            <color indexed="81"/>
            <rFont val="Tahoma"/>
            <family val="2"/>
          </rPr>
          <t xml:space="preserve">
transverse sectional area of bulb at the position where the still-water surface intersects the stem.</t>
        </r>
      </text>
    </comment>
    <comment ref="G36" authorId="0" shapeId="0">
      <text>
        <r>
          <rPr>
            <b/>
            <sz val="9"/>
            <color indexed="81"/>
            <rFont val="Tahoma"/>
            <family val="2"/>
          </rPr>
          <t>User:</t>
        </r>
        <r>
          <rPr>
            <sz val="9"/>
            <color indexed="81"/>
            <rFont val="Tahoma"/>
            <family val="2"/>
          </rPr>
          <t xml:space="preserve">
wetted surface area of appendages
</t>
        </r>
      </text>
    </comment>
    <comment ref="H36" authorId="0" shapeId="0">
      <text>
        <r>
          <rPr>
            <b/>
            <sz val="9"/>
            <color indexed="81"/>
            <rFont val="Tahoma"/>
            <family val="2"/>
          </rPr>
          <t>User:</t>
        </r>
        <r>
          <rPr>
            <sz val="9"/>
            <color indexed="81"/>
            <rFont val="Tahoma"/>
            <family val="2"/>
          </rPr>
          <t xml:space="preserve">
2% of S</t>
        </r>
      </text>
    </comment>
    <comment ref="C37" authorId="0" shapeId="0">
      <text>
        <r>
          <rPr>
            <b/>
            <sz val="9"/>
            <color indexed="81"/>
            <rFont val="Tahoma"/>
            <family val="2"/>
          </rPr>
          <t>User:</t>
        </r>
        <r>
          <rPr>
            <sz val="9"/>
            <color indexed="81"/>
            <rFont val="Tahoma"/>
            <family val="2"/>
          </rPr>
          <t xml:space="preserve">
Approximate 1+k2 values
Rudder behind skeg 1.5~2.0
Rudder behind stern 1.3~1.5
Twin-screw balance rudders 2.8
Shaft brackets 3.0
Skeg 1.5~2.0
Strut bossings 3.0
Hull bossings 2.0
Shafts 2.0~4.0
Stabilizer fins 2.8
Dome 2.7
Bilge keels 1.4
The equivalent 1+k2 value for a combination
of appendages is determined from:
(1+k2)eq = {(1+k2)*Sapp}/ total Sapp</t>
        </r>
      </text>
    </comment>
    <comment ref="E37" authorId="1" shapeId="0">
      <text>
        <r>
          <rPr>
            <b/>
            <sz val="9"/>
            <color indexed="81"/>
            <rFont val="Tahoma"/>
            <family val="2"/>
          </rPr>
          <t>M.M.M:</t>
        </r>
        <r>
          <rPr>
            <sz val="9"/>
            <color indexed="81"/>
            <rFont val="Tahoma"/>
            <family val="2"/>
          </rPr>
          <t xml:space="preserve">
ask partner if rudder behind skeg or not
</t>
        </r>
      </text>
    </comment>
    <comment ref="C52" authorId="0" shapeId="0">
      <text>
        <r>
          <rPr>
            <b/>
            <sz val="9"/>
            <color indexed="81"/>
            <rFont val="Tahoma"/>
            <family val="2"/>
          </rPr>
          <t>User:</t>
        </r>
        <r>
          <rPr>
            <sz val="9"/>
            <color indexed="81"/>
            <rFont val="Tahoma"/>
            <family val="2"/>
          </rPr>
          <t xml:space="preserve">
The half angle of entrance iE is the angle of the
waterline at the bow in degrees with reference to the
centre plane but neglecting the local shape at the stem.
If iE is unknown, use can be made of the following
formula:
1+89 exp{-(L/B)0.80856(1-CWP)0.3084 (1-CP-0.0225lcb) 0.6367(LR/B)0.34574(100∇/L3) 0.16302}
</t>
        </r>
      </text>
    </comment>
    <comment ref="H53" authorId="0" shapeId="0">
      <text>
        <r>
          <rPr>
            <b/>
            <sz val="9"/>
            <color indexed="81"/>
            <rFont val="Tahoma"/>
            <family val="2"/>
          </rPr>
          <t>User:</t>
        </r>
        <r>
          <rPr>
            <sz val="9"/>
            <color indexed="81"/>
            <rFont val="Tahoma"/>
            <family val="2"/>
          </rPr>
          <t xml:space="preserve">
where hB is the position of the centre of the transverse area ABT above the keel line and TF is the forward draught of the ship.</t>
        </r>
      </text>
    </comment>
  </commentList>
</comments>
</file>

<file path=xl/sharedStrings.xml><?xml version="1.0" encoding="utf-8"?>
<sst xmlns="http://schemas.openxmlformats.org/spreadsheetml/2006/main" count="647" uniqueCount="395">
  <si>
    <t>m</t>
  </si>
  <si>
    <t>knot</t>
  </si>
  <si>
    <t>Z</t>
  </si>
  <si>
    <t>Parameters</t>
  </si>
  <si>
    <t>Value</t>
  </si>
  <si>
    <t>Unit</t>
  </si>
  <si>
    <r>
      <t>Waterline Length, L</t>
    </r>
    <r>
      <rPr>
        <vertAlign val="subscript"/>
        <sz val="14"/>
        <color indexed="8"/>
        <rFont val="Times New Roman"/>
        <family val="1"/>
      </rPr>
      <t>WL</t>
    </r>
    <r>
      <rPr>
        <sz val="14"/>
        <color indexed="8"/>
        <rFont val="Times New Roman"/>
        <family val="1"/>
      </rPr>
      <t xml:space="preserve">            </t>
    </r>
  </si>
  <si>
    <r>
      <t>Length Between Perpendicular, L</t>
    </r>
    <r>
      <rPr>
        <vertAlign val="subscript"/>
        <sz val="14"/>
        <color indexed="8"/>
        <rFont val="Times New Roman"/>
        <family val="1"/>
      </rPr>
      <t>BP</t>
    </r>
  </si>
  <si>
    <t>Breadth moulded, B</t>
  </si>
  <si>
    <t xml:space="preserve">Draft moulded, T </t>
  </si>
  <si>
    <r>
      <t>Block Coefficient, C</t>
    </r>
    <r>
      <rPr>
        <vertAlign val="subscript"/>
        <sz val="14"/>
        <color indexed="8"/>
        <rFont val="Times New Roman"/>
        <family val="1"/>
      </rPr>
      <t>b</t>
    </r>
    <r>
      <rPr>
        <sz val="14"/>
        <color indexed="8"/>
        <rFont val="Times New Roman"/>
        <family val="1"/>
      </rPr>
      <t xml:space="preserve"> </t>
    </r>
  </si>
  <si>
    <t xml:space="preserve"> Ship Speed, V</t>
  </si>
  <si>
    <t>knots</t>
  </si>
  <si>
    <r>
      <t>Prismatic Coefficient, C</t>
    </r>
    <r>
      <rPr>
        <vertAlign val="subscript"/>
        <sz val="14"/>
        <color indexed="8"/>
        <rFont val="Times New Roman"/>
        <family val="1"/>
      </rPr>
      <t>p</t>
    </r>
    <r>
      <rPr>
        <sz val="14"/>
        <color indexed="8"/>
        <rFont val="Times New Roman"/>
        <family val="1"/>
      </rPr>
      <t xml:space="preserve"> </t>
    </r>
  </si>
  <si>
    <r>
      <t>Midship Coefficient, C</t>
    </r>
    <r>
      <rPr>
        <vertAlign val="subscript"/>
        <sz val="14"/>
        <color indexed="8"/>
        <rFont val="Times New Roman"/>
        <family val="1"/>
      </rPr>
      <t>m</t>
    </r>
  </si>
  <si>
    <t xml:space="preserve">Density of water, ρ </t>
  </si>
  <si>
    <r>
      <t>tons/m</t>
    </r>
    <r>
      <rPr>
        <vertAlign val="superscript"/>
        <sz val="12"/>
        <color indexed="8"/>
        <rFont val="Calibri"/>
        <family val="2"/>
      </rPr>
      <t>3</t>
    </r>
  </si>
  <si>
    <t>Volume of displacement, ∇</t>
  </si>
  <si>
    <r>
      <t>m</t>
    </r>
    <r>
      <rPr>
        <vertAlign val="superscript"/>
        <sz val="12"/>
        <color indexed="8"/>
        <rFont val="Calibri"/>
        <family val="2"/>
      </rPr>
      <t>3</t>
    </r>
  </si>
  <si>
    <t xml:space="preserve">Displacement, ∆ </t>
  </si>
  <si>
    <t>tons</t>
  </si>
  <si>
    <r>
      <t>Water plane Co-efficient, C</t>
    </r>
    <r>
      <rPr>
        <vertAlign val="subscript"/>
        <sz val="14"/>
        <color indexed="8"/>
        <rFont val="Times New Roman"/>
        <family val="1"/>
      </rPr>
      <t xml:space="preserve">wp </t>
    </r>
  </si>
  <si>
    <t xml:space="preserve">Longitudinal Center of  Buoyancy, L.C.B. </t>
  </si>
  <si>
    <r>
      <t>L.C.B as a % of L</t>
    </r>
    <r>
      <rPr>
        <vertAlign val="subscript"/>
        <sz val="14"/>
        <color indexed="8"/>
        <rFont val="Times New Roman"/>
        <family val="1"/>
      </rPr>
      <t>WL</t>
    </r>
  </si>
  <si>
    <r>
      <t>% of L</t>
    </r>
    <r>
      <rPr>
        <vertAlign val="subscript"/>
        <sz val="12"/>
        <color indexed="8"/>
        <rFont val="Calibri"/>
        <family val="2"/>
      </rPr>
      <t>WL</t>
    </r>
  </si>
  <si>
    <r>
      <t xml:space="preserve">Transverse sectional area of BULB, A </t>
    </r>
    <r>
      <rPr>
        <vertAlign val="subscript"/>
        <sz val="14"/>
        <color indexed="8"/>
        <rFont val="Times New Roman"/>
        <family val="1"/>
      </rPr>
      <t>BT</t>
    </r>
    <r>
      <rPr>
        <sz val="14"/>
        <color indexed="8"/>
        <rFont val="Times New Roman"/>
        <family val="1"/>
      </rPr>
      <t xml:space="preserve"> </t>
    </r>
  </si>
  <si>
    <r>
      <t>m</t>
    </r>
    <r>
      <rPr>
        <vertAlign val="superscript"/>
        <sz val="12"/>
        <color indexed="8"/>
        <rFont val="Calibri"/>
        <family val="2"/>
      </rPr>
      <t>2</t>
    </r>
  </si>
  <si>
    <r>
      <t xml:space="preserve"> Immersed Transom area, A</t>
    </r>
    <r>
      <rPr>
        <vertAlign val="subscript"/>
        <sz val="14"/>
        <color indexed="8"/>
        <rFont val="Times New Roman"/>
        <family val="1"/>
      </rPr>
      <t>T</t>
    </r>
    <r>
      <rPr>
        <sz val="14"/>
        <color indexed="8"/>
        <rFont val="Times New Roman"/>
        <family val="1"/>
      </rPr>
      <t xml:space="preserve"> </t>
    </r>
  </si>
  <si>
    <t>Dynamic Viscosity , μ</t>
  </si>
  <si>
    <r>
      <t>m</t>
    </r>
    <r>
      <rPr>
        <vertAlign val="superscript"/>
        <sz val="12"/>
        <color indexed="8"/>
        <rFont val="Calibri"/>
        <family val="2"/>
      </rPr>
      <t>2</t>
    </r>
    <r>
      <rPr>
        <sz val="12"/>
        <color indexed="8"/>
        <rFont val="Calibri"/>
        <family val="2"/>
      </rPr>
      <t>/s</t>
    </r>
  </si>
  <si>
    <t>Propeller Dia, D</t>
  </si>
  <si>
    <t>Pitch ratio, P/D</t>
  </si>
  <si>
    <t>Parameter</t>
  </si>
  <si>
    <t>Symbol</t>
  </si>
  <si>
    <t>Values</t>
  </si>
  <si>
    <t>Note</t>
  </si>
  <si>
    <t>1. Frictional resistance</t>
  </si>
  <si>
    <r>
      <t>R</t>
    </r>
    <r>
      <rPr>
        <vertAlign val="subscript"/>
        <sz val="12"/>
        <color indexed="8"/>
        <rFont val="Calibri"/>
        <family val="2"/>
      </rPr>
      <t>F</t>
    </r>
  </si>
  <si>
    <r>
      <t>0.5 ρ V</t>
    </r>
    <r>
      <rPr>
        <vertAlign val="superscript"/>
        <sz val="12"/>
        <color indexed="8"/>
        <rFont val="Calibri"/>
        <family val="2"/>
      </rPr>
      <t>2</t>
    </r>
    <r>
      <rPr>
        <sz val="12"/>
        <color indexed="8"/>
        <rFont val="Calibri"/>
        <family val="2"/>
      </rPr>
      <t xml:space="preserve"> S C</t>
    </r>
    <r>
      <rPr>
        <vertAlign val="subscript"/>
        <sz val="12"/>
        <color indexed="8"/>
        <rFont val="Calibri"/>
        <family val="2"/>
      </rPr>
      <t>F</t>
    </r>
  </si>
  <si>
    <t>KN</t>
  </si>
  <si>
    <t>Frictional resist. coef.</t>
  </si>
  <si>
    <r>
      <t>C</t>
    </r>
    <r>
      <rPr>
        <vertAlign val="subscript"/>
        <sz val="12"/>
        <color indexed="8"/>
        <rFont val="Calibri"/>
        <family val="2"/>
      </rPr>
      <t>F</t>
    </r>
  </si>
  <si>
    <r>
      <t>0.075 / (Log</t>
    </r>
    <r>
      <rPr>
        <vertAlign val="subscript"/>
        <sz val="12"/>
        <color indexed="8"/>
        <rFont val="Calibri"/>
        <family val="2"/>
      </rPr>
      <t>10</t>
    </r>
    <r>
      <rPr>
        <sz val="12"/>
        <color indexed="8"/>
        <rFont val="Calibri"/>
        <family val="2"/>
      </rPr>
      <t>R</t>
    </r>
    <r>
      <rPr>
        <vertAlign val="subscript"/>
        <sz val="12"/>
        <color indexed="8"/>
        <rFont val="Calibri"/>
        <family val="2"/>
      </rPr>
      <t xml:space="preserve">e </t>
    </r>
    <r>
      <rPr>
        <sz val="12"/>
        <color indexed="8"/>
        <rFont val="Calibri"/>
        <family val="2"/>
      </rPr>
      <t>- 2)</t>
    </r>
    <r>
      <rPr>
        <vertAlign val="superscript"/>
        <sz val="12"/>
        <color indexed="8"/>
        <rFont val="Calibri"/>
        <family val="2"/>
      </rPr>
      <t>2</t>
    </r>
  </si>
  <si>
    <t>Reynold’s No.</t>
  </si>
  <si>
    <r>
      <t>R</t>
    </r>
    <r>
      <rPr>
        <vertAlign val="subscript"/>
        <sz val="12"/>
        <color indexed="8"/>
        <rFont val="Calibri"/>
        <family val="2"/>
      </rPr>
      <t>E</t>
    </r>
  </si>
  <si>
    <t>ρVL /μ</t>
  </si>
  <si>
    <t>Form factor of the hull</t>
  </si>
  <si>
    <r>
      <t>1+k</t>
    </r>
    <r>
      <rPr>
        <vertAlign val="subscript"/>
        <sz val="12"/>
        <color indexed="8"/>
        <rFont val="Calibri"/>
        <family val="2"/>
      </rPr>
      <t>1</t>
    </r>
  </si>
  <si>
    <r>
      <t>c</t>
    </r>
    <r>
      <rPr>
        <vertAlign val="subscript"/>
        <sz val="12"/>
        <color indexed="8"/>
        <rFont val="Calibri"/>
        <family val="2"/>
      </rPr>
      <t>13</t>
    </r>
    <r>
      <rPr>
        <sz val="12"/>
        <color indexed="8"/>
        <rFont val="Calibri"/>
        <family val="2"/>
      </rPr>
      <t>{0.93 + c</t>
    </r>
    <r>
      <rPr>
        <vertAlign val="subscript"/>
        <sz val="12"/>
        <color indexed="8"/>
        <rFont val="Calibri"/>
        <family val="2"/>
      </rPr>
      <t xml:space="preserve">12 </t>
    </r>
    <r>
      <rPr>
        <sz val="12"/>
        <color indexed="8"/>
        <rFont val="Calibri"/>
        <family val="2"/>
      </rPr>
      <t>(B/L</t>
    </r>
    <r>
      <rPr>
        <vertAlign val="subscript"/>
        <sz val="12"/>
        <color indexed="8"/>
        <rFont val="Calibri"/>
        <family val="2"/>
      </rPr>
      <t>R</t>
    </r>
    <r>
      <rPr>
        <sz val="12"/>
        <color indexed="8"/>
        <rFont val="Calibri"/>
        <family val="2"/>
      </rPr>
      <t>)</t>
    </r>
    <r>
      <rPr>
        <vertAlign val="superscript"/>
        <sz val="12"/>
        <color indexed="8"/>
        <rFont val="Calibri"/>
        <family val="2"/>
      </rPr>
      <t xml:space="preserve">0.92497 </t>
    </r>
    <r>
      <rPr>
        <sz val="12"/>
        <color indexed="8"/>
        <rFont val="Calibri"/>
        <family val="2"/>
      </rPr>
      <t>(0.95-C</t>
    </r>
    <r>
      <rPr>
        <vertAlign val="subscript"/>
        <sz val="12"/>
        <color indexed="8"/>
        <rFont val="Calibri"/>
        <family val="2"/>
      </rPr>
      <t>P</t>
    </r>
    <r>
      <rPr>
        <sz val="12"/>
        <color indexed="8"/>
        <rFont val="Calibri"/>
        <family val="2"/>
      </rPr>
      <t>)</t>
    </r>
    <r>
      <rPr>
        <vertAlign val="superscript"/>
        <sz val="12"/>
        <color indexed="8"/>
        <rFont val="Calibri"/>
        <family val="2"/>
      </rPr>
      <t xml:space="preserve">-0.521448   </t>
    </r>
    <r>
      <rPr>
        <sz val="12"/>
        <color indexed="8"/>
        <rFont val="Calibri"/>
        <family val="2"/>
      </rPr>
      <t>(1-CP+0.0225lcb)</t>
    </r>
    <r>
      <rPr>
        <vertAlign val="superscript"/>
        <sz val="12"/>
        <color indexed="8"/>
        <rFont val="Calibri"/>
        <family val="2"/>
      </rPr>
      <t>0.6906</t>
    </r>
    <r>
      <rPr>
        <sz val="12"/>
        <color indexed="8"/>
        <rFont val="Calibri"/>
        <family val="2"/>
      </rPr>
      <t>}</t>
    </r>
  </si>
  <si>
    <t>Length of the run</t>
  </si>
  <si>
    <r>
      <t>L</t>
    </r>
    <r>
      <rPr>
        <vertAlign val="subscript"/>
        <sz val="12"/>
        <color indexed="8"/>
        <rFont val="Calibri"/>
        <family val="2"/>
      </rPr>
      <t>R</t>
    </r>
  </si>
  <si>
    <r>
      <t>C</t>
    </r>
    <r>
      <rPr>
        <vertAlign val="subscript"/>
        <sz val="12"/>
        <color indexed="8"/>
        <rFont val="Calibri"/>
        <family val="2"/>
      </rPr>
      <t>12</t>
    </r>
  </si>
  <si>
    <r>
      <t>(T/L)</t>
    </r>
    <r>
      <rPr>
        <vertAlign val="superscript"/>
        <sz val="12"/>
        <color indexed="8"/>
        <rFont val="Calibri"/>
        <family val="2"/>
      </rPr>
      <t>0.2228446</t>
    </r>
    <r>
      <rPr>
        <sz val="12"/>
        <color indexed="8"/>
        <rFont val="Calibri"/>
        <family val="2"/>
      </rPr>
      <t>,</t>
    </r>
    <r>
      <rPr>
        <sz val="12"/>
        <color indexed="63"/>
        <rFont val="Calibri"/>
        <family val="2"/>
      </rPr>
      <t xml:space="preserve"> if T/L &gt; 0.05;
</t>
    </r>
    <r>
      <rPr>
        <sz val="12"/>
        <rFont val="Calibri"/>
        <family val="2"/>
      </rPr>
      <t>48.20 (T/L-0.02)</t>
    </r>
    <r>
      <rPr>
        <vertAlign val="superscript"/>
        <sz val="12"/>
        <rFont val="Calibri"/>
        <family val="2"/>
      </rPr>
      <t>2.078</t>
    </r>
    <r>
      <rPr>
        <sz val="12"/>
        <rFont val="Calibri"/>
        <family val="2"/>
      </rPr>
      <t xml:space="preserve"> + 0.479948</t>
    </r>
    <r>
      <rPr>
        <sz val="12"/>
        <color indexed="63"/>
        <rFont val="Calibri"/>
        <family val="2"/>
      </rPr>
      <t xml:space="preserve">, if
0.02&lt;T/L&lt;0.05;
</t>
    </r>
    <r>
      <rPr>
        <sz val="12"/>
        <rFont val="Calibri"/>
        <family val="2"/>
      </rPr>
      <t>0.479948</t>
    </r>
    <r>
      <rPr>
        <sz val="12"/>
        <color indexed="63"/>
        <rFont val="Calibri"/>
        <family val="2"/>
      </rPr>
      <t>, if T/L&lt;0.02</t>
    </r>
  </si>
  <si>
    <t>T/L=</t>
  </si>
  <si>
    <r>
      <t>C</t>
    </r>
    <r>
      <rPr>
        <vertAlign val="subscript"/>
        <sz val="12"/>
        <color indexed="8"/>
        <rFont val="Calibri"/>
        <family val="2"/>
      </rPr>
      <t>13</t>
    </r>
  </si>
  <si>
    <r>
      <t>1+0.003 Cstern</t>
    </r>
    <r>
      <rPr>
        <sz val="12"/>
        <color indexed="63"/>
        <rFont val="Calibri"/>
        <family val="2"/>
      </rPr>
      <t xml:space="preserve"> </t>
    </r>
  </si>
  <si>
    <t>Cstern=</t>
  </si>
  <si>
    <t>Wetted area of the hull</t>
  </si>
  <si>
    <t>S</t>
  </si>
  <si>
    <r>
      <t xml:space="preserve">L (2T+B) </t>
    </r>
    <r>
      <rPr>
        <sz val="12"/>
        <color indexed="8"/>
        <rFont val="Calibri"/>
        <family val="2"/>
      </rPr>
      <t>√C</t>
    </r>
    <r>
      <rPr>
        <vertAlign val="subscript"/>
        <sz val="12"/>
        <color indexed="8"/>
        <rFont val="Calibri"/>
        <family val="2"/>
      </rPr>
      <t>M</t>
    </r>
    <r>
      <rPr>
        <sz val="12"/>
        <color indexed="8"/>
        <rFont val="Calibri"/>
        <family val="2"/>
      </rPr>
      <t>(0.453 + 0.4425C</t>
    </r>
    <r>
      <rPr>
        <vertAlign val="subscript"/>
        <sz val="12"/>
        <color indexed="8"/>
        <rFont val="Calibri"/>
        <family val="2"/>
      </rPr>
      <t>B</t>
    </r>
    <r>
      <rPr>
        <sz val="12"/>
        <color indexed="8"/>
        <rFont val="Calibri"/>
        <family val="2"/>
      </rPr>
      <t xml:space="preserve"> -0.2862 C</t>
    </r>
    <r>
      <rPr>
        <vertAlign val="subscript"/>
        <sz val="12"/>
        <color indexed="8"/>
        <rFont val="Calibri"/>
        <family val="2"/>
      </rPr>
      <t>M</t>
    </r>
    <r>
      <rPr>
        <sz val="12"/>
        <color indexed="8"/>
        <rFont val="Calibri"/>
        <family val="2"/>
      </rPr>
      <t xml:space="preserve"> - 0.003467 B/T + 0.3696 C</t>
    </r>
    <r>
      <rPr>
        <vertAlign val="subscript"/>
        <sz val="12"/>
        <color indexed="8"/>
        <rFont val="Calibri"/>
        <family val="2"/>
      </rPr>
      <t>WP</t>
    </r>
    <r>
      <rPr>
        <sz val="12"/>
        <color indexed="8"/>
        <rFont val="Calibri"/>
        <family val="2"/>
      </rPr>
      <t>) + 2.38 A</t>
    </r>
    <r>
      <rPr>
        <vertAlign val="subscript"/>
        <sz val="12"/>
        <color indexed="8"/>
        <rFont val="Calibri"/>
        <family val="2"/>
      </rPr>
      <t>BT</t>
    </r>
    <r>
      <rPr>
        <sz val="12"/>
        <color indexed="8"/>
        <rFont val="Calibri"/>
        <family val="2"/>
      </rPr>
      <t>/C</t>
    </r>
    <r>
      <rPr>
        <vertAlign val="subscript"/>
        <sz val="12"/>
        <color indexed="8"/>
        <rFont val="Calibri"/>
        <family val="2"/>
      </rPr>
      <t>B</t>
    </r>
  </si>
  <si>
    <r>
      <t>A</t>
    </r>
    <r>
      <rPr>
        <vertAlign val="subscript"/>
        <sz val="12"/>
        <color indexed="8"/>
        <rFont val="Calibri"/>
        <family val="2"/>
      </rPr>
      <t>BT</t>
    </r>
  </si>
  <si>
    <t>2. Appendage Resistance</t>
  </si>
  <si>
    <r>
      <t>R</t>
    </r>
    <r>
      <rPr>
        <vertAlign val="subscript"/>
        <sz val="12"/>
        <color indexed="8"/>
        <rFont val="Calibri"/>
        <family val="2"/>
      </rPr>
      <t>APP</t>
    </r>
  </si>
  <si>
    <r>
      <t>0.5 ρ V</t>
    </r>
    <r>
      <rPr>
        <vertAlign val="superscript"/>
        <sz val="12"/>
        <color indexed="8"/>
        <rFont val="Calibri"/>
        <family val="2"/>
      </rPr>
      <t>2</t>
    </r>
    <r>
      <rPr>
        <sz val="12"/>
        <color indexed="8"/>
        <rFont val="Calibri"/>
        <family val="2"/>
      </rPr>
      <t xml:space="preserve"> S</t>
    </r>
    <r>
      <rPr>
        <vertAlign val="subscript"/>
        <sz val="12"/>
        <color indexed="8"/>
        <rFont val="Calibri"/>
        <family val="2"/>
      </rPr>
      <t xml:space="preserve">APP </t>
    </r>
    <r>
      <rPr>
        <sz val="12"/>
        <color indexed="8"/>
        <rFont val="Calibri"/>
        <family val="2"/>
      </rPr>
      <t>(1+k</t>
    </r>
    <r>
      <rPr>
        <vertAlign val="subscript"/>
        <sz val="12"/>
        <color indexed="8"/>
        <rFont val="Calibri"/>
        <family val="2"/>
      </rPr>
      <t>2</t>
    </r>
    <r>
      <rPr>
        <sz val="12"/>
        <color indexed="8"/>
        <rFont val="Calibri"/>
        <family val="2"/>
      </rPr>
      <t>)</t>
    </r>
    <r>
      <rPr>
        <vertAlign val="subscript"/>
        <sz val="12"/>
        <color indexed="8"/>
        <rFont val="Calibri"/>
        <family val="2"/>
      </rPr>
      <t>eq</t>
    </r>
    <r>
      <rPr>
        <sz val="12"/>
        <color indexed="8"/>
        <rFont val="Calibri"/>
        <family val="2"/>
      </rPr>
      <t xml:space="preserve"> C</t>
    </r>
    <r>
      <rPr>
        <vertAlign val="subscript"/>
        <sz val="12"/>
        <color indexed="8"/>
        <rFont val="Calibri"/>
        <family val="2"/>
      </rPr>
      <t>F</t>
    </r>
  </si>
  <si>
    <r>
      <t>S</t>
    </r>
    <r>
      <rPr>
        <vertAlign val="subscript"/>
        <sz val="12"/>
        <color indexed="8"/>
        <rFont val="Calibri"/>
        <family val="2"/>
      </rPr>
      <t>APP</t>
    </r>
  </si>
  <si>
    <t>Appendage resist. factor</t>
  </si>
  <si>
    <r>
      <t>1+k</t>
    </r>
    <r>
      <rPr>
        <vertAlign val="subscript"/>
        <sz val="12"/>
        <color indexed="8"/>
        <rFont val="Calibri"/>
        <family val="2"/>
      </rPr>
      <t>2</t>
    </r>
  </si>
  <si>
    <t>3. Wave Resistance</t>
  </si>
  <si>
    <r>
      <t>R</t>
    </r>
    <r>
      <rPr>
        <vertAlign val="subscript"/>
        <sz val="12"/>
        <color indexed="8"/>
        <rFont val="Calibri"/>
        <family val="2"/>
      </rPr>
      <t>W</t>
    </r>
  </si>
  <si>
    <r>
      <t>c</t>
    </r>
    <r>
      <rPr>
        <vertAlign val="subscript"/>
        <sz val="12"/>
        <color indexed="8"/>
        <rFont val="Calibri"/>
        <family val="2"/>
      </rPr>
      <t>1</t>
    </r>
    <r>
      <rPr>
        <sz val="12"/>
        <color indexed="8"/>
        <rFont val="Calibri"/>
        <family val="2"/>
      </rPr>
      <t>c</t>
    </r>
    <r>
      <rPr>
        <vertAlign val="subscript"/>
        <sz val="12"/>
        <color indexed="8"/>
        <rFont val="Calibri"/>
        <family val="2"/>
      </rPr>
      <t>2</t>
    </r>
    <r>
      <rPr>
        <sz val="12"/>
        <color indexed="8"/>
        <rFont val="Calibri"/>
        <family val="2"/>
      </rPr>
      <t>c</t>
    </r>
    <r>
      <rPr>
        <vertAlign val="subscript"/>
        <sz val="12"/>
        <color indexed="8"/>
        <rFont val="Calibri"/>
        <family val="2"/>
      </rPr>
      <t>5</t>
    </r>
    <r>
      <rPr>
        <sz val="12"/>
        <color indexed="8"/>
        <rFont val="Calibri"/>
        <family val="2"/>
      </rPr>
      <t xml:space="preserve"> ∇ ρ g exp{m</t>
    </r>
    <r>
      <rPr>
        <vertAlign val="subscript"/>
        <sz val="12"/>
        <color indexed="8"/>
        <rFont val="Calibri"/>
        <family val="2"/>
      </rPr>
      <t>1</t>
    </r>
    <r>
      <rPr>
        <sz val="12"/>
        <color indexed="8"/>
        <rFont val="Calibri"/>
        <family val="2"/>
      </rPr>
      <t>F</t>
    </r>
    <r>
      <rPr>
        <vertAlign val="subscript"/>
        <sz val="12"/>
        <color indexed="8"/>
        <rFont val="Calibri"/>
        <family val="2"/>
      </rPr>
      <t>n</t>
    </r>
    <r>
      <rPr>
        <vertAlign val="superscript"/>
        <sz val="12"/>
        <color indexed="8"/>
        <rFont val="Calibri"/>
        <family val="2"/>
      </rPr>
      <t>d</t>
    </r>
    <r>
      <rPr>
        <sz val="12"/>
        <color indexed="8"/>
        <rFont val="Calibri"/>
        <family val="2"/>
      </rPr>
      <t xml:space="preserve"> + m</t>
    </r>
    <r>
      <rPr>
        <vertAlign val="subscript"/>
        <sz val="12"/>
        <color indexed="8"/>
        <rFont val="Calibri"/>
        <family val="2"/>
      </rPr>
      <t>2</t>
    </r>
    <r>
      <rPr>
        <sz val="12"/>
        <color indexed="8"/>
        <rFont val="Calibri"/>
        <family val="2"/>
      </rPr>
      <t xml:space="preserve"> cos(λF</t>
    </r>
    <r>
      <rPr>
        <vertAlign val="subscript"/>
        <sz val="12"/>
        <color indexed="8"/>
        <rFont val="Calibri"/>
        <family val="2"/>
      </rPr>
      <t>n</t>
    </r>
    <r>
      <rPr>
        <vertAlign val="superscript"/>
        <sz val="12"/>
        <color indexed="8"/>
        <rFont val="Calibri"/>
        <family val="2"/>
      </rPr>
      <t>-2</t>
    </r>
    <r>
      <rPr>
        <sz val="12"/>
        <color indexed="8"/>
        <rFont val="Calibri"/>
        <family val="2"/>
      </rPr>
      <t>}</t>
    </r>
  </si>
  <si>
    <r>
      <t>F</t>
    </r>
    <r>
      <rPr>
        <vertAlign val="subscript"/>
        <sz val="12"/>
        <color indexed="8"/>
        <rFont val="Calibri"/>
        <family val="2"/>
      </rPr>
      <t>n</t>
    </r>
  </si>
  <si>
    <r>
      <t>c</t>
    </r>
    <r>
      <rPr>
        <vertAlign val="subscript"/>
        <sz val="12"/>
        <color indexed="8"/>
        <rFont val="Calibri"/>
        <family val="2"/>
      </rPr>
      <t>1</t>
    </r>
  </si>
  <si>
    <r>
      <t>2223105 c</t>
    </r>
    <r>
      <rPr>
        <vertAlign val="subscript"/>
        <sz val="12"/>
        <color indexed="8"/>
        <rFont val="Calibri"/>
        <family val="2"/>
      </rPr>
      <t>7</t>
    </r>
    <r>
      <rPr>
        <vertAlign val="superscript"/>
        <sz val="12"/>
        <color indexed="8"/>
        <rFont val="Calibri"/>
        <family val="2"/>
      </rPr>
      <t xml:space="preserve">3.78613 </t>
    </r>
    <r>
      <rPr>
        <sz val="12"/>
        <color indexed="8"/>
        <rFont val="Calibri"/>
        <family val="2"/>
      </rPr>
      <t>(T/B)</t>
    </r>
    <r>
      <rPr>
        <vertAlign val="superscript"/>
        <sz val="12"/>
        <color indexed="8"/>
        <rFont val="Calibri"/>
        <family val="2"/>
      </rPr>
      <t>1.07961</t>
    </r>
    <r>
      <rPr>
        <sz val="12"/>
        <color indexed="8"/>
        <rFont val="Calibri"/>
        <family val="2"/>
      </rPr>
      <t>(90-i</t>
    </r>
    <r>
      <rPr>
        <vertAlign val="subscript"/>
        <sz val="12"/>
        <color indexed="8"/>
        <rFont val="Calibri"/>
        <family val="2"/>
      </rPr>
      <t>E</t>
    </r>
    <r>
      <rPr>
        <sz val="12"/>
        <color indexed="8"/>
        <rFont val="Calibri"/>
        <family val="2"/>
      </rPr>
      <t>)</t>
    </r>
    <r>
      <rPr>
        <vertAlign val="superscript"/>
        <sz val="12"/>
        <color indexed="8"/>
        <rFont val="Calibri"/>
        <family val="2"/>
      </rPr>
      <t>-1.37656</t>
    </r>
  </si>
  <si>
    <t>T/B</t>
  </si>
  <si>
    <r>
      <t>c</t>
    </r>
    <r>
      <rPr>
        <vertAlign val="subscript"/>
        <sz val="12"/>
        <color indexed="8"/>
        <rFont val="Calibri"/>
        <family val="2"/>
      </rPr>
      <t>7</t>
    </r>
  </si>
  <si>
    <r>
      <rPr>
        <sz val="12"/>
        <rFont val="Calibri"/>
        <family val="2"/>
      </rPr>
      <t>0.229577(B / L)</t>
    </r>
    <r>
      <rPr>
        <vertAlign val="superscript"/>
        <sz val="12"/>
        <rFont val="Calibri"/>
        <family val="2"/>
      </rPr>
      <t>0.33333</t>
    </r>
    <r>
      <rPr>
        <sz val="12"/>
        <color indexed="63"/>
        <rFont val="Calibri"/>
        <family val="2"/>
      </rPr>
      <t xml:space="preserve">,  if B/L&lt;0.11;       </t>
    </r>
    <r>
      <rPr>
        <sz val="12"/>
        <rFont val="Calibri"/>
        <family val="2"/>
      </rPr>
      <t>B/L</t>
    </r>
    <r>
      <rPr>
        <sz val="12"/>
        <color indexed="63"/>
        <rFont val="Calibri"/>
        <family val="2"/>
      </rPr>
      <t xml:space="preserve"> , if 0.11&lt;B/L&lt;0.25;                                   </t>
    </r>
    <r>
      <rPr>
        <sz val="12"/>
        <rFont val="Calibri"/>
        <family val="2"/>
      </rPr>
      <t>0.5-0.0625 L/B</t>
    </r>
    <r>
      <rPr>
        <sz val="12"/>
        <color indexed="63"/>
        <rFont val="Calibri"/>
        <family val="2"/>
      </rPr>
      <t>, if B/L&gt;0.25</t>
    </r>
  </si>
  <si>
    <t>B/L</t>
  </si>
  <si>
    <r>
      <t>c</t>
    </r>
    <r>
      <rPr>
        <vertAlign val="subscript"/>
        <sz val="12"/>
        <color indexed="8"/>
        <rFont val="Calibri"/>
        <family val="2"/>
      </rPr>
      <t>2</t>
    </r>
  </si>
  <si>
    <r>
      <t>exp(−1.89√c</t>
    </r>
    <r>
      <rPr>
        <vertAlign val="subscript"/>
        <sz val="12"/>
        <color indexed="8"/>
        <rFont val="Calibri"/>
        <family val="2"/>
      </rPr>
      <t>3)</t>
    </r>
  </si>
  <si>
    <r>
      <t>c</t>
    </r>
    <r>
      <rPr>
        <vertAlign val="subscript"/>
        <sz val="12"/>
        <color indexed="8"/>
        <rFont val="Calibri"/>
        <family val="2"/>
      </rPr>
      <t>5</t>
    </r>
  </si>
  <si>
    <r>
      <t xml:space="preserve"> 1-0.8 A</t>
    </r>
    <r>
      <rPr>
        <vertAlign val="subscript"/>
        <sz val="12"/>
        <color indexed="8"/>
        <rFont val="Calibri"/>
        <family val="2"/>
      </rPr>
      <t>T</t>
    </r>
    <r>
      <rPr>
        <sz val="12"/>
        <color indexed="8"/>
        <rFont val="Calibri"/>
        <family val="2"/>
      </rPr>
      <t>/(BTC</t>
    </r>
    <r>
      <rPr>
        <vertAlign val="subscript"/>
        <sz val="12"/>
        <color indexed="8"/>
        <rFont val="Calibri"/>
        <family val="2"/>
      </rPr>
      <t>M</t>
    </r>
    <r>
      <rPr>
        <sz val="12"/>
        <color indexed="8"/>
        <rFont val="Calibri"/>
        <family val="2"/>
      </rPr>
      <t>)</t>
    </r>
  </si>
  <si>
    <t>λ</t>
  </si>
  <si>
    <r>
      <t>1.446C</t>
    </r>
    <r>
      <rPr>
        <vertAlign val="subscript"/>
        <sz val="12"/>
        <color indexed="8"/>
        <rFont val="Calibri"/>
        <family val="2"/>
      </rPr>
      <t>P</t>
    </r>
    <r>
      <rPr>
        <sz val="12"/>
        <color indexed="8"/>
        <rFont val="Calibri"/>
        <family val="2"/>
      </rPr>
      <t>-0.03 L/B,</t>
    </r>
    <r>
      <rPr>
        <sz val="12"/>
        <color indexed="63"/>
        <rFont val="Calibri"/>
        <family val="2"/>
      </rPr>
      <t xml:space="preserve"> if L/B &lt; 12;</t>
    </r>
    <r>
      <rPr>
        <sz val="12"/>
        <color indexed="8"/>
        <rFont val="Calibri"/>
        <family val="2"/>
      </rPr>
      <t xml:space="preserve">                    1.446C</t>
    </r>
    <r>
      <rPr>
        <vertAlign val="subscript"/>
        <sz val="12"/>
        <color indexed="8"/>
        <rFont val="Calibri"/>
        <family val="2"/>
      </rPr>
      <t>P</t>
    </r>
    <r>
      <rPr>
        <sz val="12"/>
        <color indexed="8"/>
        <rFont val="Calibri"/>
        <family val="2"/>
      </rPr>
      <t>-0.36,</t>
    </r>
    <r>
      <rPr>
        <sz val="12"/>
        <color indexed="63"/>
        <rFont val="Calibri"/>
        <family val="2"/>
      </rPr>
      <t xml:space="preserve"> if L/B&gt;12</t>
    </r>
  </si>
  <si>
    <t>L/B</t>
  </si>
  <si>
    <r>
      <t>m</t>
    </r>
    <r>
      <rPr>
        <vertAlign val="subscript"/>
        <sz val="12"/>
        <color indexed="8"/>
        <rFont val="Calibri"/>
        <family val="2"/>
      </rPr>
      <t>1</t>
    </r>
  </si>
  <si>
    <r>
      <t>0.0140407 L/T - 1.75254 ∇</t>
    </r>
    <r>
      <rPr>
        <vertAlign val="superscript"/>
        <sz val="12"/>
        <color indexed="8"/>
        <rFont val="Calibri"/>
        <family val="2"/>
      </rPr>
      <t>1/3</t>
    </r>
    <r>
      <rPr>
        <sz val="12"/>
        <color indexed="8"/>
        <rFont val="Calibri"/>
        <family val="2"/>
      </rPr>
      <t>/L - 4.79323B/L- c</t>
    </r>
    <r>
      <rPr>
        <vertAlign val="subscript"/>
        <sz val="12"/>
        <color indexed="8"/>
        <rFont val="Calibri"/>
        <family val="2"/>
      </rPr>
      <t>16</t>
    </r>
  </si>
  <si>
    <t>L/T</t>
  </si>
  <si>
    <r>
      <t>c</t>
    </r>
    <r>
      <rPr>
        <vertAlign val="subscript"/>
        <sz val="12"/>
        <color indexed="8"/>
        <rFont val="Calibri"/>
        <family val="2"/>
      </rPr>
      <t>16</t>
    </r>
  </si>
  <si>
    <r>
      <t>8.07981C</t>
    </r>
    <r>
      <rPr>
        <vertAlign val="subscript"/>
        <sz val="12"/>
        <color indexed="8"/>
        <rFont val="Calibri"/>
        <family val="2"/>
      </rPr>
      <t>P</t>
    </r>
    <r>
      <rPr>
        <sz val="12"/>
        <color indexed="8"/>
        <rFont val="Calibri"/>
        <family val="2"/>
      </rPr>
      <t>-13.8673C</t>
    </r>
    <r>
      <rPr>
        <vertAlign val="subscript"/>
        <sz val="12"/>
        <color indexed="8"/>
        <rFont val="Calibri"/>
        <family val="2"/>
      </rPr>
      <t>p</t>
    </r>
    <r>
      <rPr>
        <vertAlign val="superscript"/>
        <sz val="12"/>
        <color indexed="8"/>
        <rFont val="Calibri"/>
        <family val="2"/>
      </rPr>
      <t>2</t>
    </r>
    <r>
      <rPr>
        <sz val="12"/>
        <color indexed="8"/>
        <rFont val="Calibri"/>
        <family val="2"/>
      </rPr>
      <t>+6.984388C</t>
    </r>
    <r>
      <rPr>
        <vertAlign val="subscript"/>
        <sz val="12"/>
        <color indexed="8"/>
        <rFont val="Calibri"/>
        <family val="2"/>
      </rPr>
      <t>P</t>
    </r>
    <r>
      <rPr>
        <vertAlign val="superscript"/>
        <sz val="12"/>
        <color indexed="8"/>
        <rFont val="Calibri"/>
        <family val="2"/>
      </rPr>
      <t>3</t>
    </r>
    <r>
      <rPr>
        <sz val="12"/>
        <color indexed="8"/>
        <rFont val="Calibri"/>
        <family val="2"/>
      </rPr>
      <t>,</t>
    </r>
    <r>
      <rPr>
        <sz val="12"/>
        <color indexed="63"/>
        <rFont val="Calibri"/>
        <family val="2"/>
      </rPr>
      <t xml:space="preserve"> if Cp&lt;0.8</t>
    </r>
    <r>
      <rPr>
        <sz val="12"/>
        <color indexed="8"/>
        <rFont val="Calibri"/>
        <family val="2"/>
      </rPr>
      <t>; 1.73014-0.7067C</t>
    </r>
    <r>
      <rPr>
        <vertAlign val="subscript"/>
        <sz val="12"/>
        <color indexed="8"/>
        <rFont val="Calibri"/>
        <family val="2"/>
      </rPr>
      <t>P,</t>
    </r>
    <r>
      <rPr>
        <sz val="12"/>
        <color indexed="63"/>
        <rFont val="Calibri"/>
        <family val="2"/>
      </rPr>
      <t xml:space="preserve"> if CP &gt; 0.8</t>
    </r>
  </si>
  <si>
    <r>
      <t>C</t>
    </r>
    <r>
      <rPr>
        <vertAlign val="subscript"/>
        <sz val="12"/>
        <color indexed="8"/>
        <rFont val="Calibri"/>
        <family val="2"/>
      </rPr>
      <t>P</t>
    </r>
  </si>
  <si>
    <r>
      <t>m</t>
    </r>
    <r>
      <rPr>
        <vertAlign val="subscript"/>
        <sz val="12"/>
        <color indexed="8"/>
        <rFont val="Calibri"/>
        <family val="2"/>
      </rPr>
      <t>2</t>
    </r>
  </si>
  <si>
    <r>
      <t>c</t>
    </r>
    <r>
      <rPr>
        <vertAlign val="subscript"/>
        <sz val="12"/>
        <color indexed="8"/>
        <rFont val="Calibri"/>
        <family val="2"/>
      </rPr>
      <t>15</t>
    </r>
    <r>
      <rPr>
        <sz val="12"/>
        <color indexed="8"/>
        <rFont val="Calibri"/>
        <family val="2"/>
      </rPr>
      <t>C</t>
    </r>
    <r>
      <rPr>
        <vertAlign val="subscript"/>
        <sz val="12"/>
        <color indexed="8"/>
        <rFont val="Calibri"/>
        <family val="2"/>
      </rPr>
      <t>p</t>
    </r>
    <r>
      <rPr>
        <vertAlign val="superscript"/>
        <sz val="12"/>
        <color indexed="8"/>
        <rFont val="Calibri"/>
        <family val="2"/>
      </rPr>
      <t>2</t>
    </r>
    <r>
      <rPr>
        <sz val="12"/>
        <color indexed="8"/>
        <rFont val="Calibri"/>
        <family val="2"/>
      </rPr>
      <t xml:space="preserve"> exp(-0.1Fn</t>
    </r>
    <r>
      <rPr>
        <vertAlign val="superscript"/>
        <sz val="12"/>
        <color indexed="8"/>
        <rFont val="Calibri"/>
        <family val="2"/>
      </rPr>
      <t>-2</t>
    </r>
    <r>
      <rPr>
        <sz val="12"/>
        <color indexed="8"/>
        <rFont val="Calibri"/>
        <family val="2"/>
      </rPr>
      <t>)</t>
    </r>
  </si>
  <si>
    <r>
      <t>c</t>
    </r>
    <r>
      <rPr>
        <vertAlign val="subscript"/>
        <sz val="12"/>
        <color indexed="8"/>
        <rFont val="Calibri"/>
        <family val="2"/>
      </rPr>
      <t>15</t>
    </r>
  </si>
  <si>
    <r>
      <t xml:space="preserve">-1.69385 </t>
    </r>
    <r>
      <rPr>
        <sz val="12"/>
        <color indexed="63"/>
        <rFont val="Calibri"/>
        <family val="2"/>
      </rPr>
      <t>for L</t>
    </r>
    <r>
      <rPr>
        <vertAlign val="superscript"/>
        <sz val="12"/>
        <color indexed="63"/>
        <rFont val="Calibri"/>
        <family val="2"/>
      </rPr>
      <t>3</t>
    </r>
    <r>
      <rPr>
        <sz val="12"/>
        <color indexed="63"/>
        <rFont val="Calibri"/>
        <family val="2"/>
      </rPr>
      <t>/∇&lt;512</t>
    </r>
    <r>
      <rPr>
        <sz val="12"/>
        <color indexed="8"/>
        <rFont val="Calibri"/>
        <family val="2"/>
      </rPr>
      <t>; 0</t>
    </r>
    <r>
      <rPr>
        <sz val="12"/>
        <color indexed="63"/>
        <rFont val="Calibri"/>
        <family val="2"/>
      </rPr>
      <t xml:space="preserve"> for L</t>
    </r>
    <r>
      <rPr>
        <vertAlign val="superscript"/>
        <sz val="12"/>
        <color indexed="63"/>
        <rFont val="Calibri"/>
        <family val="2"/>
      </rPr>
      <t>3</t>
    </r>
    <r>
      <rPr>
        <sz val="12"/>
        <color indexed="63"/>
        <rFont val="Calibri"/>
        <family val="2"/>
      </rPr>
      <t>/∇&gt;1727</t>
    </r>
    <r>
      <rPr>
        <sz val="12"/>
        <color indexed="8"/>
        <rFont val="Calibri"/>
        <family val="2"/>
      </rPr>
      <t>; -1.69385+(L</t>
    </r>
    <r>
      <rPr>
        <vertAlign val="superscript"/>
        <sz val="12"/>
        <color indexed="8"/>
        <rFont val="Calibri"/>
        <family val="2"/>
      </rPr>
      <t>3</t>
    </r>
    <r>
      <rPr>
        <sz val="12"/>
        <color indexed="8"/>
        <rFont val="Calibri"/>
        <family val="2"/>
      </rPr>
      <t>/∇-8.0)/2.36</t>
    </r>
    <r>
      <rPr>
        <sz val="12"/>
        <color indexed="63"/>
        <rFont val="Calibri"/>
        <family val="2"/>
      </rPr>
      <t>if 512&lt;L</t>
    </r>
    <r>
      <rPr>
        <vertAlign val="superscript"/>
        <sz val="12"/>
        <color indexed="63"/>
        <rFont val="Calibri"/>
        <family val="2"/>
      </rPr>
      <t>3</t>
    </r>
    <r>
      <rPr>
        <sz val="12"/>
        <color indexed="63"/>
        <rFont val="Calibri"/>
        <family val="2"/>
      </rPr>
      <t>/∇&lt;1727</t>
    </r>
  </si>
  <si>
    <r>
      <t>L</t>
    </r>
    <r>
      <rPr>
        <vertAlign val="superscript"/>
        <sz val="12"/>
        <color indexed="8"/>
        <rFont val="Calibri"/>
        <family val="2"/>
      </rPr>
      <t>3</t>
    </r>
    <r>
      <rPr>
        <sz val="12"/>
        <color indexed="8"/>
        <rFont val="Calibri"/>
        <family val="2"/>
      </rPr>
      <t>/∇</t>
    </r>
  </si>
  <si>
    <t>d</t>
  </si>
  <si>
    <t>Half angle of entrance</t>
  </si>
  <si>
    <r>
      <t>i</t>
    </r>
    <r>
      <rPr>
        <vertAlign val="subscript"/>
        <sz val="12"/>
        <color indexed="8"/>
        <rFont val="Calibri"/>
        <family val="2"/>
      </rPr>
      <t>E</t>
    </r>
  </si>
  <si>
    <r>
      <t>c</t>
    </r>
    <r>
      <rPr>
        <vertAlign val="subscript"/>
        <sz val="12"/>
        <color indexed="8"/>
        <rFont val="Calibri"/>
        <family val="2"/>
      </rPr>
      <t>3</t>
    </r>
  </si>
  <si>
    <r>
      <t>0.56 A</t>
    </r>
    <r>
      <rPr>
        <vertAlign val="subscript"/>
        <sz val="12"/>
        <color indexed="8"/>
        <rFont val="Calibri"/>
        <family val="2"/>
      </rPr>
      <t xml:space="preserve">BT </t>
    </r>
    <r>
      <rPr>
        <vertAlign val="superscript"/>
        <sz val="12"/>
        <color indexed="8"/>
        <rFont val="Calibri"/>
        <family val="2"/>
      </rPr>
      <t>1.5</t>
    </r>
    <r>
      <rPr>
        <sz val="12"/>
        <color indexed="8"/>
        <rFont val="Calibri"/>
        <family val="2"/>
      </rPr>
      <t xml:space="preserve"> / {B T (0.31√A</t>
    </r>
    <r>
      <rPr>
        <vertAlign val="subscript"/>
        <sz val="12"/>
        <color indexed="8"/>
        <rFont val="Calibri"/>
        <family val="2"/>
      </rPr>
      <t>BT</t>
    </r>
    <r>
      <rPr>
        <sz val="12"/>
        <color indexed="8"/>
        <rFont val="Calibri"/>
        <family val="2"/>
      </rPr>
      <t>+T</t>
    </r>
    <r>
      <rPr>
        <vertAlign val="subscript"/>
        <sz val="12"/>
        <color indexed="8"/>
        <rFont val="Calibri"/>
        <family val="2"/>
      </rPr>
      <t>F</t>
    </r>
    <r>
      <rPr>
        <sz val="12"/>
        <color indexed="8"/>
        <rFont val="Calibri"/>
        <family val="2"/>
      </rPr>
      <t>-h</t>
    </r>
    <r>
      <rPr>
        <vertAlign val="subscript"/>
        <sz val="12"/>
        <color indexed="8"/>
        <rFont val="Calibri"/>
        <family val="2"/>
      </rPr>
      <t>B</t>
    </r>
    <r>
      <rPr>
        <sz val="12"/>
        <color indexed="8"/>
        <rFont val="Calibri"/>
        <family val="2"/>
      </rPr>
      <t>) }</t>
    </r>
  </si>
  <si>
    <r>
      <t>h</t>
    </r>
    <r>
      <rPr>
        <vertAlign val="subscript"/>
        <sz val="12"/>
        <color indexed="8"/>
        <rFont val="Calibri"/>
        <family val="2"/>
      </rPr>
      <t>B</t>
    </r>
  </si>
  <si>
    <t>4. Additional pressure resistance due
to bulbous bow</t>
  </si>
  <si>
    <r>
      <t>R</t>
    </r>
    <r>
      <rPr>
        <vertAlign val="subscript"/>
        <sz val="12"/>
        <color indexed="8"/>
        <rFont val="Calibri"/>
        <family val="2"/>
      </rPr>
      <t>B</t>
    </r>
  </si>
  <si>
    <r>
      <t>0.11 exp(-3P</t>
    </r>
    <r>
      <rPr>
        <vertAlign val="subscript"/>
        <sz val="12"/>
        <color indexed="8"/>
        <rFont val="Calibri"/>
        <family val="2"/>
      </rPr>
      <t>B</t>
    </r>
    <r>
      <rPr>
        <vertAlign val="superscript"/>
        <sz val="12"/>
        <color indexed="8"/>
        <rFont val="Calibri"/>
        <family val="2"/>
      </rPr>
      <t>-2</t>
    </r>
    <r>
      <rPr>
        <sz val="12"/>
        <color indexed="8"/>
        <rFont val="Calibri"/>
        <family val="2"/>
      </rPr>
      <t>) F</t>
    </r>
    <r>
      <rPr>
        <vertAlign val="subscript"/>
        <sz val="12"/>
        <color indexed="8"/>
        <rFont val="Calibri"/>
        <family val="2"/>
      </rPr>
      <t>ni</t>
    </r>
    <r>
      <rPr>
        <vertAlign val="superscript"/>
        <sz val="12"/>
        <color indexed="8"/>
        <rFont val="Calibri"/>
        <family val="2"/>
      </rPr>
      <t xml:space="preserve">3 </t>
    </r>
    <r>
      <rPr>
        <sz val="12"/>
        <color indexed="8"/>
        <rFont val="Calibri"/>
        <family val="2"/>
      </rPr>
      <t>A</t>
    </r>
    <r>
      <rPr>
        <vertAlign val="subscript"/>
        <sz val="12"/>
        <color indexed="8"/>
        <rFont val="Calibri"/>
        <family val="2"/>
      </rPr>
      <t xml:space="preserve">BT </t>
    </r>
    <r>
      <rPr>
        <sz val="12"/>
        <color indexed="8"/>
        <rFont val="Calibri"/>
        <family val="2"/>
      </rPr>
      <t>1.5 ρg/(1+F</t>
    </r>
    <r>
      <rPr>
        <vertAlign val="subscript"/>
        <sz val="12"/>
        <color indexed="8"/>
        <rFont val="Calibri"/>
        <family val="2"/>
      </rPr>
      <t>ni</t>
    </r>
    <r>
      <rPr>
        <vertAlign val="superscript"/>
        <sz val="12"/>
        <color indexed="8"/>
        <rFont val="Calibri"/>
        <family val="2"/>
      </rPr>
      <t>2</t>
    </r>
    <r>
      <rPr>
        <sz val="12"/>
        <color indexed="8"/>
        <rFont val="Calibri"/>
        <family val="2"/>
      </rPr>
      <t>)</t>
    </r>
  </si>
  <si>
    <r>
      <t>P</t>
    </r>
    <r>
      <rPr>
        <vertAlign val="subscript"/>
        <sz val="12"/>
        <color indexed="8"/>
        <rFont val="Calibri"/>
        <family val="2"/>
      </rPr>
      <t>B</t>
    </r>
  </si>
  <si>
    <r>
      <t>0.56 √A</t>
    </r>
    <r>
      <rPr>
        <vertAlign val="subscript"/>
        <sz val="12"/>
        <color indexed="8"/>
        <rFont val="Calibri"/>
        <family val="2"/>
      </rPr>
      <t>BT</t>
    </r>
    <r>
      <rPr>
        <sz val="12"/>
        <color indexed="8"/>
        <rFont val="Calibri"/>
        <family val="2"/>
      </rPr>
      <t xml:space="preserve"> / (T</t>
    </r>
    <r>
      <rPr>
        <vertAlign val="subscript"/>
        <sz val="12"/>
        <color indexed="8"/>
        <rFont val="Calibri"/>
        <family val="2"/>
      </rPr>
      <t xml:space="preserve">F </t>
    </r>
    <r>
      <rPr>
        <sz val="12"/>
        <color indexed="8"/>
        <rFont val="Calibri"/>
        <family val="2"/>
      </rPr>
      <t>- 1.5h</t>
    </r>
    <r>
      <rPr>
        <vertAlign val="subscript"/>
        <sz val="12"/>
        <color indexed="8"/>
        <rFont val="Calibri"/>
        <family val="2"/>
      </rPr>
      <t>B</t>
    </r>
    <r>
      <rPr>
        <sz val="12"/>
        <color indexed="8"/>
        <rFont val="Calibri"/>
        <family val="2"/>
      </rPr>
      <t>)</t>
    </r>
  </si>
  <si>
    <r>
      <t>F</t>
    </r>
    <r>
      <rPr>
        <vertAlign val="subscript"/>
        <sz val="12"/>
        <color indexed="8"/>
        <rFont val="Calibri"/>
        <family val="2"/>
      </rPr>
      <t>ni</t>
    </r>
  </si>
  <si>
    <r>
      <t>V / √{ g (T</t>
    </r>
    <r>
      <rPr>
        <vertAlign val="subscript"/>
        <sz val="12"/>
        <color indexed="8"/>
        <rFont val="Calibri"/>
        <family val="2"/>
      </rPr>
      <t>F</t>
    </r>
    <r>
      <rPr>
        <sz val="12"/>
        <color indexed="8"/>
        <rFont val="Calibri"/>
        <family val="2"/>
      </rPr>
      <t>-h</t>
    </r>
    <r>
      <rPr>
        <vertAlign val="subscript"/>
        <sz val="12"/>
        <color indexed="8"/>
        <rFont val="Calibri"/>
        <family val="2"/>
      </rPr>
      <t>B</t>
    </r>
    <r>
      <rPr>
        <sz val="12"/>
        <color indexed="8"/>
        <rFont val="Calibri"/>
        <family val="2"/>
      </rPr>
      <t>-0.25√A</t>
    </r>
    <r>
      <rPr>
        <vertAlign val="subscript"/>
        <sz val="12"/>
        <color indexed="8"/>
        <rFont val="Calibri"/>
        <family val="2"/>
      </rPr>
      <t>BT</t>
    </r>
    <r>
      <rPr>
        <sz val="12"/>
        <color indexed="8"/>
        <rFont val="Calibri"/>
        <family val="2"/>
      </rPr>
      <t>) + 0.15 V</t>
    </r>
    <r>
      <rPr>
        <vertAlign val="superscript"/>
        <sz val="12"/>
        <color indexed="8"/>
        <rFont val="Calibri"/>
        <family val="2"/>
      </rPr>
      <t xml:space="preserve">2 </t>
    </r>
    <r>
      <rPr>
        <sz val="12"/>
        <color indexed="8"/>
        <rFont val="Calibri"/>
        <family val="2"/>
      </rPr>
      <t>}</t>
    </r>
  </si>
  <si>
    <t>5. Additional pressure resistance of
immersed transom stern</t>
  </si>
  <si>
    <r>
      <t>R</t>
    </r>
    <r>
      <rPr>
        <vertAlign val="subscript"/>
        <sz val="12"/>
        <color indexed="8"/>
        <rFont val="Calibri"/>
        <family val="2"/>
      </rPr>
      <t>TR</t>
    </r>
  </si>
  <si>
    <r>
      <t>.5 ρ V</t>
    </r>
    <r>
      <rPr>
        <vertAlign val="superscript"/>
        <sz val="12"/>
        <color indexed="8"/>
        <rFont val="Calibri"/>
        <family val="2"/>
      </rPr>
      <t>2</t>
    </r>
    <r>
      <rPr>
        <sz val="12"/>
        <color indexed="8"/>
        <rFont val="Calibri"/>
        <family val="2"/>
      </rPr>
      <t xml:space="preserve"> A</t>
    </r>
    <r>
      <rPr>
        <vertAlign val="subscript"/>
        <sz val="12"/>
        <color indexed="8"/>
        <rFont val="Calibri"/>
        <family val="2"/>
      </rPr>
      <t>T</t>
    </r>
    <r>
      <rPr>
        <sz val="12"/>
        <color indexed="8"/>
        <rFont val="Calibri"/>
        <family val="2"/>
      </rPr>
      <t xml:space="preserve"> c</t>
    </r>
    <r>
      <rPr>
        <vertAlign val="subscript"/>
        <sz val="12"/>
        <color indexed="8"/>
        <rFont val="Calibri"/>
        <family val="2"/>
      </rPr>
      <t>6</t>
    </r>
  </si>
  <si>
    <r>
      <t>A</t>
    </r>
    <r>
      <rPr>
        <vertAlign val="subscript"/>
        <sz val="12"/>
        <color indexed="8"/>
        <rFont val="Calibri"/>
        <family val="2"/>
      </rPr>
      <t>T</t>
    </r>
  </si>
  <si>
    <r>
      <t>c</t>
    </r>
    <r>
      <rPr>
        <vertAlign val="subscript"/>
        <sz val="12"/>
        <color indexed="8"/>
        <rFont val="Calibri"/>
        <family val="2"/>
      </rPr>
      <t>6</t>
    </r>
  </si>
  <si>
    <r>
      <t>0.2 (1-0.2F</t>
    </r>
    <r>
      <rPr>
        <vertAlign val="subscript"/>
        <sz val="12"/>
        <color indexed="8"/>
        <rFont val="Calibri"/>
        <family val="2"/>
      </rPr>
      <t>nT</t>
    </r>
    <r>
      <rPr>
        <sz val="12"/>
        <color indexed="8"/>
        <rFont val="Calibri"/>
        <family val="2"/>
      </rPr>
      <t>),</t>
    </r>
    <r>
      <rPr>
        <sz val="12"/>
        <color indexed="63"/>
        <rFont val="Calibri"/>
        <family val="2"/>
      </rPr>
      <t xml:space="preserve"> if F</t>
    </r>
    <r>
      <rPr>
        <vertAlign val="subscript"/>
        <sz val="12"/>
        <color indexed="63"/>
        <rFont val="Calibri"/>
        <family val="2"/>
      </rPr>
      <t>nT</t>
    </r>
    <r>
      <rPr>
        <sz val="12"/>
        <color indexed="63"/>
        <rFont val="Calibri"/>
        <family val="2"/>
      </rPr>
      <t>&lt;5;</t>
    </r>
    <r>
      <rPr>
        <sz val="12"/>
        <color indexed="8"/>
        <rFont val="Calibri"/>
        <family val="2"/>
      </rPr>
      <t xml:space="preserve">    0,</t>
    </r>
    <r>
      <rPr>
        <sz val="12"/>
        <color indexed="63"/>
        <rFont val="Calibri"/>
        <family val="2"/>
      </rPr>
      <t xml:space="preserve"> if F</t>
    </r>
    <r>
      <rPr>
        <vertAlign val="subscript"/>
        <sz val="12"/>
        <color indexed="63"/>
        <rFont val="Calibri"/>
        <family val="2"/>
      </rPr>
      <t>nT</t>
    </r>
    <r>
      <rPr>
        <sz val="12"/>
        <color indexed="63"/>
        <rFont val="Calibri"/>
        <family val="2"/>
      </rPr>
      <t>≥5</t>
    </r>
  </si>
  <si>
    <r>
      <t>F</t>
    </r>
    <r>
      <rPr>
        <vertAlign val="subscript"/>
        <sz val="12"/>
        <color indexed="8"/>
        <rFont val="Calibri"/>
        <family val="2"/>
      </rPr>
      <t>nT</t>
    </r>
  </si>
  <si>
    <r>
      <t>V / √{ 2g A</t>
    </r>
    <r>
      <rPr>
        <vertAlign val="subscript"/>
        <sz val="12"/>
        <color indexed="8"/>
        <rFont val="Calibri"/>
        <family val="2"/>
      </rPr>
      <t>T</t>
    </r>
    <r>
      <rPr>
        <sz val="12"/>
        <color indexed="8"/>
        <rFont val="Calibri"/>
        <family val="2"/>
      </rPr>
      <t>/ (B+BC</t>
    </r>
    <r>
      <rPr>
        <vertAlign val="subscript"/>
        <sz val="12"/>
        <color indexed="8"/>
        <rFont val="Calibri"/>
        <family val="2"/>
      </rPr>
      <t>WP</t>
    </r>
    <r>
      <rPr>
        <sz val="12"/>
        <color indexed="8"/>
        <rFont val="Calibri"/>
        <family val="2"/>
      </rPr>
      <t>) }</t>
    </r>
  </si>
  <si>
    <t>6. Model-ship correlation resistance</t>
  </si>
  <si>
    <r>
      <t>R</t>
    </r>
    <r>
      <rPr>
        <vertAlign val="subscript"/>
        <sz val="12"/>
        <color indexed="8"/>
        <rFont val="Calibri"/>
        <family val="2"/>
      </rPr>
      <t>A</t>
    </r>
  </si>
  <si>
    <r>
      <t>0.5 ρ V</t>
    </r>
    <r>
      <rPr>
        <vertAlign val="superscript"/>
        <sz val="12"/>
        <color indexed="8"/>
        <rFont val="Calibri"/>
        <family val="2"/>
      </rPr>
      <t>2</t>
    </r>
    <r>
      <rPr>
        <sz val="12"/>
        <color indexed="8"/>
        <rFont val="Calibri"/>
        <family val="2"/>
      </rPr>
      <t xml:space="preserve"> S C</t>
    </r>
    <r>
      <rPr>
        <vertAlign val="subscript"/>
        <sz val="12"/>
        <color indexed="8"/>
        <rFont val="Calibri"/>
        <family val="2"/>
      </rPr>
      <t>A</t>
    </r>
  </si>
  <si>
    <r>
      <t>C</t>
    </r>
    <r>
      <rPr>
        <vertAlign val="subscript"/>
        <sz val="12"/>
        <color indexed="8"/>
        <rFont val="Calibri"/>
        <family val="2"/>
      </rPr>
      <t>A</t>
    </r>
  </si>
  <si>
    <r>
      <t>0.006 (L+100)</t>
    </r>
    <r>
      <rPr>
        <vertAlign val="superscript"/>
        <sz val="12"/>
        <color indexed="8"/>
        <rFont val="Calibri"/>
        <family val="2"/>
      </rPr>
      <t>-0.16</t>
    </r>
    <r>
      <rPr>
        <sz val="12"/>
        <color indexed="8"/>
        <rFont val="Calibri"/>
        <family val="2"/>
      </rPr>
      <t>- 0.00205 + 0.003 √(L/7.5) C</t>
    </r>
    <r>
      <rPr>
        <vertAlign val="subscript"/>
        <sz val="12"/>
        <color indexed="8"/>
        <rFont val="Calibri"/>
        <family val="2"/>
      </rPr>
      <t>B</t>
    </r>
    <r>
      <rPr>
        <vertAlign val="superscript"/>
        <sz val="12"/>
        <color indexed="8"/>
        <rFont val="Calibri"/>
        <family val="2"/>
      </rPr>
      <t>4</t>
    </r>
    <r>
      <rPr>
        <sz val="12"/>
        <color indexed="8"/>
        <rFont val="Calibri"/>
        <family val="2"/>
      </rPr>
      <t>c</t>
    </r>
    <r>
      <rPr>
        <vertAlign val="subscript"/>
        <sz val="12"/>
        <color indexed="8"/>
        <rFont val="Calibri"/>
        <family val="2"/>
      </rPr>
      <t xml:space="preserve">2 </t>
    </r>
    <r>
      <rPr>
        <sz val="12"/>
        <color indexed="8"/>
        <rFont val="Calibri"/>
        <family val="2"/>
      </rPr>
      <t>(0.04-c</t>
    </r>
    <r>
      <rPr>
        <vertAlign val="subscript"/>
        <sz val="12"/>
        <color indexed="8"/>
        <rFont val="Calibri"/>
        <family val="2"/>
      </rPr>
      <t>4</t>
    </r>
    <r>
      <rPr>
        <sz val="12"/>
        <color indexed="8"/>
        <rFont val="Calibri"/>
        <family val="2"/>
      </rPr>
      <t>)</t>
    </r>
  </si>
  <si>
    <r>
      <t>c</t>
    </r>
    <r>
      <rPr>
        <vertAlign val="subscript"/>
        <sz val="12"/>
        <color indexed="8"/>
        <rFont val="Calibri"/>
        <family val="2"/>
      </rPr>
      <t>4</t>
    </r>
  </si>
  <si>
    <r>
      <t>T</t>
    </r>
    <r>
      <rPr>
        <vertAlign val="subscript"/>
        <sz val="12"/>
        <color indexed="8"/>
        <rFont val="Calibri"/>
        <family val="2"/>
      </rPr>
      <t>F</t>
    </r>
    <r>
      <rPr>
        <sz val="12"/>
        <color indexed="8"/>
        <rFont val="Calibri"/>
        <family val="2"/>
      </rPr>
      <t xml:space="preserve">/L, </t>
    </r>
    <r>
      <rPr>
        <sz val="12"/>
        <color indexed="63"/>
        <rFont val="Calibri"/>
        <family val="2"/>
      </rPr>
      <t>when T</t>
    </r>
    <r>
      <rPr>
        <vertAlign val="subscript"/>
        <sz val="12"/>
        <color indexed="63"/>
        <rFont val="Calibri"/>
        <family val="2"/>
      </rPr>
      <t>F</t>
    </r>
    <r>
      <rPr>
        <sz val="12"/>
        <color indexed="63"/>
        <rFont val="Calibri"/>
        <family val="2"/>
      </rPr>
      <t xml:space="preserve">/L ≤ 0.04; </t>
    </r>
    <r>
      <rPr>
        <sz val="12"/>
        <color indexed="8"/>
        <rFont val="Calibri"/>
        <family val="2"/>
      </rPr>
      <t xml:space="preserve">                    0.04,</t>
    </r>
    <r>
      <rPr>
        <sz val="12"/>
        <color indexed="63"/>
        <rFont val="Calibri"/>
        <family val="2"/>
      </rPr>
      <t>when T</t>
    </r>
    <r>
      <rPr>
        <vertAlign val="subscript"/>
        <sz val="12"/>
        <color indexed="63"/>
        <rFont val="Calibri"/>
        <family val="2"/>
      </rPr>
      <t>F</t>
    </r>
    <r>
      <rPr>
        <sz val="12"/>
        <color indexed="63"/>
        <rFont val="Calibri"/>
        <family val="2"/>
      </rPr>
      <t>/L&gt;0.04</t>
    </r>
  </si>
  <si>
    <r>
      <t>T</t>
    </r>
    <r>
      <rPr>
        <vertAlign val="subscript"/>
        <sz val="12"/>
        <color indexed="8"/>
        <rFont val="Calibri"/>
        <family val="2"/>
      </rPr>
      <t>F</t>
    </r>
    <r>
      <rPr>
        <sz val="12"/>
        <color indexed="8"/>
        <rFont val="Calibri"/>
        <family val="2"/>
      </rPr>
      <t>/L</t>
    </r>
  </si>
  <si>
    <t>7.wind resitance</t>
  </si>
  <si>
    <r>
      <t>R</t>
    </r>
    <r>
      <rPr>
        <vertAlign val="subscript"/>
        <sz val="12"/>
        <color indexed="8"/>
        <rFont val="Calibri"/>
        <family val="2"/>
      </rPr>
      <t>wind</t>
    </r>
  </si>
  <si>
    <t>Total resistance</t>
  </si>
  <si>
    <r>
      <t>R</t>
    </r>
    <r>
      <rPr>
        <vertAlign val="subscript"/>
        <sz val="12"/>
        <color indexed="8"/>
        <rFont val="Calibri"/>
        <family val="2"/>
      </rPr>
      <t xml:space="preserve">T  </t>
    </r>
    <r>
      <rPr>
        <sz val="12"/>
        <color indexed="8"/>
        <rFont val="Calibri"/>
        <family val="2"/>
      </rPr>
      <t>=</t>
    </r>
  </si>
  <si>
    <r>
      <t xml:space="preserve"> R</t>
    </r>
    <r>
      <rPr>
        <vertAlign val="subscript"/>
        <sz val="12"/>
        <color indexed="8"/>
        <rFont val="Calibri"/>
        <family val="2"/>
      </rPr>
      <t>F</t>
    </r>
    <r>
      <rPr>
        <sz val="12"/>
        <color indexed="8"/>
        <rFont val="Calibri"/>
        <family val="2"/>
      </rPr>
      <t>(l +k</t>
    </r>
    <r>
      <rPr>
        <vertAlign val="subscript"/>
        <sz val="12"/>
        <color indexed="8"/>
        <rFont val="Calibri"/>
        <family val="2"/>
      </rPr>
      <t xml:space="preserve">l </t>
    </r>
    <r>
      <rPr>
        <sz val="12"/>
        <color indexed="8"/>
        <rFont val="Calibri"/>
        <family val="2"/>
      </rPr>
      <t>) +R</t>
    </r>
    <r>
      <rPr>
        <vertAlign val="subscript"/>
        <sz val="12"/>
        <color indexed="8"/>
        <rFont val="Calibri"/>
        <family val="2"/>
      </rPr>
      <t>wind</t>
    </r>
    <r>
      <rPr>
        <sz val="12"/>
        <color indexed="8"/>
        <rFont val="Calibri"/>
        <family val="2"/>
      </rPr>
      <t>+ R</t>
    </r>
    <r>
      <rPr>
        <vertAlign val="subscript"/>
        <sz val="12"/>
        <color indexed="8"/>
        <rFont val="Calibri"/>
        <family val="2"/>
      </rPr>
      <t>APP</t>
    </r>
    <r>
      <rPr>
        <sz val="12"/>
        <color indexed="8"/>
        <rFont val="Calibri"/>
        <family val="2"/>
      </rPr>
      <t xml:space="preserve"> + R</t>
    </r>
    <r>
      <rPr>
        <vertAlign val="subscript"/>
        <sz val="12"/>
        <color indexed="8"/>
        <rFont val="Calibri"/>
        <family val="2"/>
      </rPr>
      <t>w</t>
    </r>
    <r>
      <rPr>
        <sz val="12"/>
        <color indexed="8"/>
        <rFont val="Calibri"/>
        <family val="2"/>
      </rPr>
      <t xml:space="preserve"> + R</t>
    </r>
    <r>
      <rPr>
        <vertAlign val="subscript"/>
        <sz val="12"/>
        <color indexed="8"/>
        <rFont val="Calibri"/>
        <family val="2"/>
      </rPr>
      <t>B</t>
    </r>
    <r>
      <rPr>
        <sz val="12"/>
        <color indexed="8"/>
        <rFont val="Calibri"/>
        <family val="2"/>
      </rPr>
      <t xml:space="preserve"> + R</t>
    </r>
    <r>
      <rPr>
        <vertAlign val="subscript"/>
        <sz val="12"/>
        <color indexed="8"/>
        <rFont val="Calibri"/>
        <family val="2"/>
      </rPr>
      <t>TR</t>
    </r>
    <r>
      <rPr>
        <sz val="12"/>
        <color indexed="8"/>
        <rFont val="Calibri"/>
        <family val="2"/>
      </rPr>
      <t xml:space="preserve"> + R</t>
    </r>
    <r>
      <rPr>
        <vertAlign val="subscript"/>
        <sz val="12"/>
        <color indexed="8"/>
        <rFont val="Calibri"/>
        <family val="2"/>
      </rPr>
      <t xml:space="preserve">A  </t>
    </r>
  </si>
  <si>
    <t>t</t>
  </si>
  <si>
    <r>
      <rPr>
        <b/>
        <sz val="16"/>
        <color indexed="30"/>
        <rFont val="Calibri Light"/>
        <family val="1"/>
      </rPr>
      <t>Approximate Calculation of Ship's Resistance</t>
    </r>
    <r>
      <rPr>
        <b/>
        <sz val="16"/>
        <rFont val="Calibri Light"/>
        <family val="1"/>
      </rPr>
      <t xml:space="preserve">                </t>
    </r>
  </si>
  <si>
    <t>Holtrop &amp; Mennen's method</t>
  </si>
  <si>
    <t>Rudder Calculation &amp; Drawing</t>
  </si>
  <si>
    <t>Principal Particulars</t>
  </si>
  <si>
    <t>Length of ship, L=</t>
  </si>
  <si>
    <t>Breadth of ship, B=</t>
  </si>
  <si>
    <t>Draft ,T=</t>
  </si>
  <si>
    <t xml:space="preserve">Block coefficient= </t>
  </si>
  <si>
    <t>Ship Speed ,V=</t>
  </si>
  <si>
    <t xml:space="preserve"> </t>
  </si>
  <si>
    <t>Rudder area:</t>
  </si>
  <si>
    <r>
      <t xml:space="preserve">Ø </t>
    </r>
    <r>
      <rPr>
        <sz val="12"/>
        <color indexed="8"/>
        <rFont val="Times New Roman"/>
        <family val="1"/>
      </rPr>
      <t>According to Germanisher Loyd</t>
    </r>
    <r>
      <rPr>
        <sz val="7"/>
        <color indexed="8"/>
        <rFont val="Times New Roman"/>
        <family val="1"/>
      </rPr>
      <t xml:space="preserve">  </t>
    </r>
    <r>
      <rPr>
        <sz val="12"/>
        <color indexed="8"/>
        <rFont val="Times New Roman"/>
        <family val="1"/>
      </rPr>
      <t xml:space="preserve">The size of  the movable rudder area is </t>
    </r>
  </si>
  <si>
    <t xml:space="preserve"> recommended not to be less than obtained from the following formula:</t>
  </si>
  <si>
    <r>
      <t>A=c</t>
    </r>
    <r>
      <rPr>
        <vertAlign val="subscript"/>
        <sz val="12"/>
        <color indexed="8"/>
        <rFont val="Times New Roman"/>
        <family val="1"/>
      </rPr>
      <t>1</t>
    </r>
    <r>
      <rPr>
        <sz val="12"/>
        <color indexed="8"/>
        <rFont val="Times New Roman"/>
        <family val="1"/>
      </rPr>
      <t>.c</t>
    </r>
    <r>
      <rPr>
        <vertAlign val="subscript"/>
        <sz val="12"/>
        <color indexed="8"/>
        <rFont val="Times New Roman"/>
        <family val="1"/>
      </rPr>
      <t>2</t>
    </r>
    <r>
      <rPr>
        <sz val="12"/>
        <color indexed="8"/>
        <rFont val="Times New Roman"/>
        <family val="1"/>
      </rPr>
      <t>.c</t>
    </r>
    <r>
      <rPr>
        <vertAlign val="subscript"/>
        <sz val="12"/>
        <color indexed="8"/>
        <rFont val="Times New Roman"/>
        <family val="1"/>
      </rPr>
      <t>3</t>
    </r>
    <r>
      <rPr>
        <sz val="12"/>
        <color indexed="8"/>
        <rFont val="Times New Roman"/>
        <family val="1"/>
      </rPr>
      <t>.c</t>
    </r>
    <r>
      <rPr>
        <vertAlign val="subscript"/>
        <sz val="12"/>
        <color indexed="8"/>
        <rFont val="Times New Roman"/>
        <family val="1"/>
      </rPr>
      <t xml:space="preserve">4 </t>
    </r>
  </si>
  <si>
    <r>
      <t>[m</t>
    </r>
    <r>
      <rPr>
        <vertAlign val="superscript"/>
        <sz val="12"/>
        <color indexed="8"/>
        <rFont val="Times New Roman"/>
        <family val="1"/>
      </rPr>
      <t>2</t>
    </r>
    <r>
      <rPr>
        <sz val="12"/>
        <color indexed="8"/>
        <rFont val="Times New Roman"/>
        <family val="1"/>
      </rPr>
      <t>]</t>
    </r>
  </si>
  <si>
    <r>
      <t>C</t>
    </r>
    <r>
      <rPr>
        <vertAlign val="subscript"/>
        <sz val="12"/>
        <color indexed="8"/>
        <rFont val="Times New Roman"/>
        <family val="1"/>
      </rPr>
      <t>1</t>
    </r>
    <r>
      <rPr>
        <sz val="12"/>
        <color indexed="8"/>
        <rFont val="Times New Roman"/>
        <family val="1"/>
      </rPr>
      <t xml:space="preserve"> = factor for the ship types=1.0   [in general]</t>
    </r>
  </si>
  <si>
    <r>
      <t>C</t>
    </r>
    <r>
      <rPr>
        <vertAlign val="subscript"/>
        <sz val="12"/>
        <color indexed="8"/>
        <rFont val="Times New Roman"/>
        <family val="1"/>
      </rPr>
      <t>2</t>
    </r>
    <r>
      <rPr>
        <sz val="12"/>
        <color indexed="8"/>
        <rFont val="Times New Roman"/>
        <family val="1"/>
      </rPr>
      <t xml:space="preserve"> = factor for the rudder types=1.0 [in general]</t>
    </r>
  </si>
  <si>
    <r>
      <t>C</t>
    </r>
    <r>
      <rPr>
        <vertAlign val="subscript"/>
        <sz val="12"/>
        <color indexed="8"/>
        <rFont val="Times New Roman"/>
        <family val="1"/>
      </rPr>
      <t>3</t>
    </r>
    <r>
      <rPr>
        <sz val="12"/>
        <color indexed="8"/>
        <rFont val="Times New Roman"/>
        <family val="1"/>
      </rPr>
      <t xml:space="preserve"> = factor for the rudder profiles=1.0 [for NACA –profiles and palte rudder]</t>
    </r>
  </si>
  <si>
    <r>
      <t>C</t>
    </r>
    <r>
      <rPr>
        <vertAlign val="subscript"/>
        <sz val="12"/>
        <color indexed="8"/>
        <rFont val="Times New Roman"/>
        <family val="1"/>
      </rPr>
      <t>4</t>
    </r>
    <r>
      <rPr>
        <sz val="12"/>
        <color indexed="8"/>
        <rFont val="Times New Roman"/>
        <family val="1"/>
      </rPr>
      <t xml:space="preserve"> = factor for the rudder arrangement= 1.0 [for rudders in the propeller jet]</t>
    </r>
  </si>
  <si>
    <r>
      <t>So we have</t>
    </r>
    <r>
      <rPr>
        <sz val="12"/>
        <color indexed="30"/>
        <rFont val="Times New Roman"/>
        <family val="1"/>
      </rPr>
      <t xml:space="preserve">,         </t>
    </r>
    <r>
      <rPr>
        <b/>
        <sz val="12"/>
        <color indexed="17"/>
        <rFont val="Times New Roman"/>
        <family val="1"/>
      </rPr>
      <t>A</t>
    </r>
    <r>
      <rPr>
        <sz val="12"/>
        <color indexed="8"/>
        <rFont val="Times New Roman"/>
        <family val="1"/>
      </rPr>
      <t>=</t>
    </r>
  </si>
  <si>
    <r>
      <t>Ø</t>
    </r>
    <r>
      <rPr>
        <sz val="7"/>
        <color indexed="8"/>
        <rFont val="Times New Roman"/>
        <family val="1"/>
      </rPr>
      <t xml:space="preserve">  </t>
    </r>
    <r>
      <rPr>
        <sz val="12"/>
        <color indexed="8"/>
        <rFont val="Times New Roman"/>
        <family val="1"/>
      </rPr>
      <t xml:space="preserve">From the reference book Applied Naval Architecture by Munro Smith the rudder </t>
    </r>
  </si>
  <si>
    <t>area can be determined by,</t>
  </si>
  <si>
    <t>So we have,</t>
  </si>
  <si>
    <t>=</t>
  </si>
  <si>
    <r>
      <t xml:space="preserve"> m</t>
    </r>
    <r>
      <rPr>
        <vertAlign val="superscript"/>
        <sz val="12"/>
        <color indexed="8"/>
        <rFont val="Times New Roman"/>
        <family val="1"/>
      </rPr>
      <t>2</t>
    </r>
  </si>
  <si>
    <r>
      <t>Ø</t>
    </r>
    <r>
      <rPr>
        <sz val="7"/>
        <color indexed="8"/>
        <rFont val="Times New Roman"/>
        <family val="1"/>
      </rPr>
      <t xml:space="preserve">  </t>
    </r>
    <r>
      <rPr>
        <sz val="12"/>
        <color indexed="8"/>
        <rFont val="Times New Roman"/>
        <family val="1"/>
      </rPr>
      <t xml:space="preserve">The classification society Def norske Veritas calls for rudder area to be at least the </t>
    </r>
  </si>
  <si>
    <t>size of (according to their 1972 rules):</t>
  </si>
  <si>
    <r>
      <t>So we have,</t>
    </r>
    <r>
      <rPr>
        <sz val="12"/>
        <color indexed="17"/>
        <rFont val="Times New Roman"/>
        <family val="1"/>
      </rPr>
      <t xml:space="preserve"> A </t>
    </r>
    <r>
      <rPr>
        <sz val="12"/>
        <color indexed="8"/>
        <rFont val="Times New Roman"/>
        <family val="1"/>
      </rPr>
      <t>=</t>
    </r>
  </si>
  <si>
    <t xml:space="preserve">                       As larger the moveable area is better for maneuvering, we take rudder </t>
  </si>
  <si>
    <t xml:space="preserve">area as = </t>
  </si>
  <si>
    <r>
      <t>Material</t>
    </r>
    <r>
      <rPr>
        <sz val="12"/>
        <color indexed="36"/>
        <rFont val="Tahoma"/>
        <family val="2"/>
      </rPr>
      <t>:</t>
    </r>
  </si>
  <si>
    <r>
      <t>The material factor k</t>
    </r>
    <r>
      <rPr>
        <vertAlign val="subscript"/>
        <sz val="12"/>
        <color indexed="8"/>
        <rFont val="Times New Roman"/>
        <family val="1"/>
      </rPr>
      <t xml:space="preserve">r </t>
    </r>
    <r>
      <rPr>
        <sz val="12"/>
        <color indexed="8"/>
        <rFont val="Times New Roman"/>
        <family val="1"/>
      </rPr>
      <t>to be determined as follows:</t>
    </r>
  </si>
  <si>
    <r>
      <t>k</t>
    </r>
    <r>
      <rPr>
        <vertAlign val="subscript"/>
        <sz val="12"/>
        <color indexed="8"/>
        <rFont val="Times New Roman"/>
        <family val="1"/>
      </rPr>
      <t>r</t>
    </r>
    <r>
      <rPr>
        <sz val="12"/>
        <color indexed="8"/>
        <rFont val="Times New Roman"/>
        <family val="1"/>
      </rPr>
      <t>=</t>
    </r>
  </si>
  <si>
    <r>
      <t>;for R</t>
    </r>
    <r>
      <rPr>
        <vertAlign val="subscript"/>
        <sz val="12"/>
        <color indexed="8"/>
        <rFont val="Times New Roman"/>
        <family val="1"/>
      </rPr>
      <t>eH</t>
    </r>
    <r>
      <rPr>
        <sz val="12"/>
        <color indexed="8"/>
        <rFont val="Times New Roman"/>
        <family val="1"/>
      </rPr>
      <t>&gt;235 [N/mm</t>
    </r>
    <r>
      <rPr>
        <vertAlign val="superscript"/>
        <sz val="12"/>
        <color indexed="8"/>
        <rFont val="Times New Roman"/>
        <family val="1"/>
      </rPr>
      <t>2</t>
    </r>
    <r>
      <rPr>
        <sz val="12"/>
        <color indexed="8"/>
        <rFont val="Times New Roman"/>
        <family val="1"/>
      </rPr>
      <t>]</t>
    </r>
  </si>
  <si>
    <t xml:space="preserve">   =</t>
  </si>
  <si>
    <r>
      <t>; for R</t>
    </r>
    <r>
      <rPr>
        <vertAlign val="subscript"/>
        <sz val="12"/>
        <color indexed="8"/>
        <rFont val="Times New Roman"/>
        <family val="1"/>
      </rPr>
      <t>eH</t>
    </r>
    <r>
      <rPr>
        <sz val="12"/>
        <color indexed="8"/>
        <rFont val="Times New Roman"/>
        <family val="1"/>
      </rPr>
      <t>≤235 [N/mm</t>
    </r>
    <r>
      <rPr>
        <vertAlign val="superscript"/>
        <sz val="12"/>
        <color indexed="8"/>
        <rFont val="Times New Roman"/>
        <family val="1"/>
      </rPr>
      <t>2</t>
    </r>
    <r>
      <rPr>
        <sz val="12"/>
        <color indexed="8"/>
        <rFont val="Times New Roman"/>
        <family val="1"/>
      </rPr>
      <t>]</t>
    </r>
  </si>
  <si>
    <r>
      <t>According to GL rules guide, a tensile strength of less than 400 N / mm</t>
    </r>
    <r>
      <rPr>
        <vertAlign val="superscript"/>
        <sz val="12"/>
        <color indexed="8"/>
        <rFont val="Times New Roman"/>
        <family val="1"/>
      </rPr>
      <t>2</t>
    </r>
    <r>
      <rPr>
        <sz val="12"/>
        <color indexed="8"/>
        <rFont val="Times New Roman"/>
        <family val="1"/>
      </rPr>
      <t xml:space="preserve"> or more than </t>
    </r>
  </si>
  <si>
    <r>
      <t>900 N /mm</t>
    </r>
    <r>
      <rPr>
        <vertAlign val="superscript"/>
        <sz val="12"/>
        <color indexed="8"/>
        <rFont val="Times New Roman"/>
        <family val="1"/>
      </rPr>
      <t>2</t>
    </r>
    <r>
      <rPr>
        <sz val="12"/>
        <color indexed="8"/>
        <rFont val="Times New Roman"/>
        <family val="1"/>
      </rPr>
      <t xml:space="preserve">   are not to be used for rudder stocks, pintles, keys and bolts.</t>
    </r>
  </si>
  <si>
    <t xml:space="preserve">and is of spade shape.  frames, plates, bars  of rudder are to be made of Higher  strength steel. </t>
  </si>
  <si>
    <t>( GL_i-1-1e, section 14, C.2 )</t>
  </si>
  <si>
    <t xml:space="preserve">  The liner or sleeve is to be made of bronze and bush of lignum vitae.</t>
  </si>
  <si>
    <t xml:space="preserve">Yield strength of forged steel </t>
  </si>
  <si>
    <r>
      <t>R</t>
    </r>
    <r>
      <rPr>
        <vertAlign val="subscript"/>
        <sz val="11"/>
        <color indexed="8"/>
        <rFont val="Calibri"/>
        <family val="2"/>
      </rPr>
      <t>eh</t>
    </r>
    <r>
      <rPr>
        <sz val="11"/>
        <color theme="1"/>
        <rFont val="Calibri"/>
        <family val="2"/>
        <scheme val="minor"/>
      </rPr>
      <t>=</t>
    </r>
  </si>
  <si>
    <r>
      <t>N/mm</t>
    </r>
    <r>
      <rPr>
        <vertAlign val="superscript"/>
        <sz val="11"/>
        <color indexed="8"/>
        <rFont val="Calibri"/>
        <family val="2"/>
      </rPr>
      <t>2</t>
    </r>
  </si>
  <si>
    <t xml:space="preserve">Tensile  strength </t>
  </si>
  <si>
    <r>
      <t>R</t>
    </r>
    <r>
      <rPr>
        <vertAlign val="subscript"/>
        <sz val="11"/>
        <color indexed="8"/>
        <rFont val="Calibri"/>
        <family val="2"/>
      </rPr>
      <t>m</t>
    </r>
    <r>
      <rPr>
        <sz val="11"/>
        <color theme="1"/>
        <rFont val="Calibri"/>
        <family val="2"/>
        <scheme val="minor"/>
      </rPr>
      <t>=</t>
    </r>
  </si>
  <si>
    <t xml:space="preserve"> Material factor in case of </t>
  </si>
  <si>
    <r>
      <rPr>
        <b/>
        <i/>
        <sz val="12"/>
        <color indexed="17"/>
        <rFont val="Times New Roman"/>
        <family val="1"/>
      </rPr>
      <t>Material Class:</t>
    </r>
    <r>
      <rPr>
        <b/>
        <i/>
        <sz val="12"/>
        <color indexed="14"/>
        <rFont val="Times New Roman"/>
        <family val="1"/>
      </rPr>
      <t xml:space="preserve"> </t>
    </r>
    <r>
      <rPr>
        <b/>
        <i/>
        <sz val="12"/>
        <color indexed="8"/>
        <rFont val="Times New Roman"/>
        <family val="1"/>
      </rPr>
      <t>Carbon Mangenese Fored Steel (Quenched &amp; tempered)</t>
    </r>
  </si>
  <si>
    <t>(Table 3.6 Gl ii-12-e Section-3 Forgings)</t>
  </si>
  <si>
    <t>Material grade: SAE- AISI 1541 T</t>
  </si>
  <si>
    <t>For rudder Plate &amp; web the material is selected using GL Rulebook</t>
  </si>
  <si>
    <r>
      <rPr>
        <b/>
        <i/>
        <sz val="12"/>
        <color indexed="17"/>
        <rFont val="Times New Roman"/>
        <family val="1"/>
      </rPr>
      <t>Material Class:</t>
    </r>
    <r>
      <rPr>
        <b/>
        <i/>
        <sz val="12"/>
        <color indexed="36"/>
        <rFont val="Times New Roman"/>
        <family val="1"/>
      </rPr>
      <t xml:space="preserve">  </t>
    </r>
    <r>
      <rPr>
        <b/>
        <i/>
        <sz val="12"/>
        <rFont val="Times New Roman"/>
        <family val="1"/>
      </rPr>
      <t xml:space="preserve">Higher Strength Steel </t>
    </r>
  </si>
  <si>
    <t>Mterial grade : GL-F 40</t>
  </si>
  <si>
    <t xml:space="preserve">Yield strength of  Higher Strength Steel </t>
  </si>
  <si>
    <t>Aspect ratio:</t>
  </si>
  <si>
    <r>
      <t>Aspect ratio</t>
    </r>
    <r>
      <rPr>
        <b/>
        <sz val="12"/>
        <color indexed="8"/>
        <rFont val="Times New Roman"/>
        <family val="1"/>
      </rPr>
      <t>,</t>
    </r>
    <r>
      <rPr>
        <b/>
        <sz val="12"/>
        <color indexed="30"/>
        <rFont val="Times New Roman"/>
        <family val="1"/>
      </rPr>
      <t xml:space="preserve"> </t>
    </r>
    <r>
      <rPr>
        <b/>
        <sz val="12"/>
        <color indexed="17"/>
        <rFont val="Times New Roman"/>
        <family val="1"/>
      </rPr>
      <t>^</t>
    </r>
    <r>
      <rPr>
        <b/>
        <sz val="12"/>
        <color indexed="8"/>
        <rFont val="Times New Roman"/>
        <family val="1"/>
      </rPr>
      <t xml:space="preserve"> </t>
    </r>
    <r>
      <rPr>
        <sz val="12"/>
        <color indexed="8"/>
        <rFont val="Times New Roman"/>
        <family val="1"/>
      </rPr>
      <t>= h</t>
    </r>
    <r>
      <rPr>
        <vertAlign val="superscript"/>
        <sz val="12"/>
        <color indexed="8"/>
        <rFont val="Times New Roman"/>
        <family val="1"/>
      </rPr>
      <t>2</t>
    </r>
    <r>
      <rPr>
        <sz val="12"/>
        <color indexed="8"/>
        <rFont val="Times New Roman"/>
        <family val="1"/>
      </rPr>
      <t>/A</t>
    </r>
    <r>
      <rPr>
        <b/>
        <sz val="12"/>
        <color indexed="8"/>
        <rFont val="Times New Roman"/>
        <family val="1"/>
      </rPr>
      <t xml:space="preserve"> </t>
    </r>
    <r>
      <rPr>
        <b/>
        <sz val="12"/>
        <rFont val="Times New Roman"/>
        <family val="1"/>
      </rPr>
      <t>=</t>
    </r>
  </si>
  <si>
    <t xml:space="preserve">     </t>
  </si>
  <si>
    <r>
      <t xml:space="preserve">     </t>
    </r>
    <r>
      <rPr>
        <sz val="12"/>
        <color indexed="8"/>
        <rFont val="Times New Roman"/>
        <family val="1"/>
      </rPr>
      <t>h =Mean height of rudder area [m]</t>
    </r>
    <r>
      <rPr>
        <sz val="12"/>
        <rFont val="Times New Roman"/>
        <family val="1"/>
      </rPr>
      <t xml:space="preserve"> </t>
    </r>
    <r>
      <rPr>
        <b/>
        <sz val="12"/>
        <rFont val="Times New Roman"/>
        <family val="1"/>
      </rPr>
      <t>=</t>
    </r>
  </si>
  <si>
    <t xml:space="preserve">so </t>
  </si>
  <si>
    <t>mm</t>
  </si>
  <si>
    <t>(Taken)</t>
  </si>
  <si>
    <r>
      <t xml:space="preserve">      b=Mean breadth of rudder area [m]</t>
    </r>
    <r>
      <rPr>
        <sz val="12"/>
        <rFont val="Times New Roman"/>
        <family val="1"/>
      </rPr>
      <t xml:space="preserve"> </t>
    </r>
    <r>
      <rPr>
        <b/>
        <sz val="12"/>
        <rFont val="Times New Roman"/>
        <family val="1"/>
      </rPr>
      <t>=</t>
    </r>
  </si>
  <si>
    <t>Rudder force &amp; torque:</t>
  </si>
  <si>
    <r>
      <t>Ø</t>
    </r>
    <r>
      <rPr>
        <sz val="7"/>
        <color indexed="8"/>
        <rFont val="Times New Roman"/>
        <family val="1"/>
      </rPr>
      <t xml:space="preserve">  </t>
    </r>
    <r>
      <rPr>
        <sz val="12"/>
        <color indexed="8"/>
        <rFont val="Times New Roman"/>
        <family val="1"/>
      </rPr>
      <t>From the Germanischer Lloyd</t>
    </r>
    <r>
      <rPr>
        <sz val="10"/>
        <color indexed="8"/>
        <rFont val="Times New Roman"/>
        <family val="1"/>
      </rPr>
      <t xml:space="preserve"> </t>
    </r>
    <r>
      <rPr>
        <sz val="12"/>
        <color indexed="8"/>
        <rFont val="Times New Roman"/>
        <family val="1"/>
      </rPr>
      <t xml:space="preserve">the rudder force is to be determined by the </t>
    </r>
  </si>
  <si>
    <t>following formulae</t>
  </si>
  <si>
    <r>
      <t>C</t>
    </r>
    <r>
      <rPr>
        <vertAlign val="subscript"/>
        <sz val="12"/>
        <color indexed="8"/>
        <rFont val="Times New Roman"/>
        <family val="1"/>
      </rPr>
      <t>r</t>
    </r>
    <r>
      <rPr>
        <sz val="12"/>
        <color indexed="8"/>
        <rFont val="Times New Roman"/>
        <family val="1"/>
      </rPr>
      <t xml:space="preserve"> =132.k</t>
    </r>
    <r>
      <rPr>
        <vertAlign val="subscript"/>
        <sz val="12"/>
        <color indexed="8"/>
        <rFont val="Times New Roman"/>
        <family val="1"/>
      </rPr>
      <t>1</t>
    </r>
    <r>
      <rPr>
        <sz val="12"/>
        <color indexed="8"/>
        <rFont val="Times New Roman"/>
        <family val="1"/>
      </rPr>
      <t>.k</t>
    </r>
    <r>
      <rPr>
        <vertAlign val="subscript"/>
        <sz val="12"/>
        <color indexed="8"/>
        <rFont val="Times New Roman"/>
        <family val="1"/>
      </rPr>
      <t>2</t>
    </r>
    <r>
      <rPr>
        <sz val="12"/>
        <color indexed="8"/>
        <rFont val="Times New Roman"/>
        <family val="1"/>
      </rPr>
      <t>.k</t>
    </r>
    <r>
      <rPr>
        <vertAlign val="subscript"/>
        <sz val="12"/>
        <color indexed="8"/>
        <rFont val="Times New Roman"/>
        <family val="1"/>
      </rPr>
      <t>3</t>
    </r>
    <r>
      <rPr>
        <sz val="12"/>
        <color indexed="8"/>
        <rFont val="Times New Roman"/>
        <family val="1"/>
      </rPr>
      <t>.A.V</t>
    </r>
    <r>
      <rPr>
        <vertAlign val="superscript"/>
        <sz val="12"/>
        <color indexed="8"/>
        <rFont val="Times New Roman"/>
        <family val="1"/>
      </rPr>
      <t>2</t>
    </r>
    <r>
      <rPr>
        <sz val="12"/>
        <color indexed="8"/>
        <rFont val="Times New Roman"/>
        <family val="1"/>
      </rPr>
      <t>.k</t>
    </r>
    <r>
      <rPr>
        <vertAlign val="subscript"/>
        <sz val="12"/>
        <color indexed="8"/>
        <rFont val="Times New Roman"/>
        <family val="1"/>
      </rPr>
      <t xml:space="preserve">t  </t>
    </r>
    <r>
      <rPr>
        <sz val="12"/>
        <color indexed="8"/>
        <rFont val="Times New Roman"/>
        <family val="1"/>
      </rPr>
      <t>[N]</t>
    </r>
    <r>
      <rPr>
        <vertAlign val="subscript"/>
        <sz val="12"/>
        <color indexed="8"/>
        <rFont val="Times New Roman"/>
        <family val="1"/>
      </rPr>
      <t xml:space="preserve"> </t>
    </r>
  </si>
  <si>
    <t>A=</t>
  </si>
  <si>
    <r>
      <t>K</t>
    </r>
    <r>
      <rPr>
        <vertAlign val="subscript"/>
        <sz val="12"/>
        <color indexed="8"/>
        <rFont val="Times New Roman"/>
        <family val="1"/>
      </rPr>
      <t>1</t>
    </r>
    <r>
      <rPr>
        <sz val="12"/>
        <color indexed="8"/>
        <rFont val="Times New Roman"/>
        <family val="1"/>
      </rPr>
      <t xml:space="preserve"> =coefficient depending upon the aspect ratio ^</t>
    </r>
  </si>
  <si>
    <t xml:space="preserve">     = (^+2)/3 </t>
  </si>
  <si>
    <t xml:space="preserve">     = </t>
  </si>
  <si>
    <r>
      <t>K</t>
    </r>
    <r>
      <rPr>
        <vertAlign val="subscript"/>
        <sz val="12"/>
        <color indexed="8"/>
        <rFont val="Times New Roman"/>
        <family val="1"/>
      </rPr>
      <t>2</t>
    </r>
    <r>
      <rPr>
        <sz val="12"/>
        <color indexed="8"/>
        <rFont val="Times New Roman"/>
        <family val="1"/>
      </rPr>
      <t xml:space="preserve"> = coefficient depending upon the type of the rudder and the rudder profile</t>
    </r>
  </si>
  <si>
    <r>
      <t xml:space="preserve">     =</t>
    </r>
    <r>
      <rPr>
        <sz val="12"/>
        <color indexed="8"/>
        <rFont val="Times New Roman"/>
        <family val="1"/>
      </rPr>
      <t>1.1</t>
    </r>
    <r>
      <rPr>
        <sz val="10"/>
        <color indexed="8"/>
        <rFont val="Times New Roman"/>
        <family val="1"/>
      </rPr>
      <t xml:space="preserve"> </t>
    </r>
    <r>
      <rPr>
        <sz val="12"/>
        <color indexed="8"/>
        <rFont val="Times New Roman"/>
        <family val="1"/>
      </rPr>
      <t>for NACA-00 series Gottingen profile and ahead condition)</t>
    </r>
  </si>
  <si>
    <r>
      <t>K</t>
    </r>
    <r>
      <rPr>
        <vertAlign val="subscript"/>
        <sz val="12"/>
        <color indexed="8"/>
        <rFont val="Times New Roman"/>
        <family val="1"/>
      </rPr>
      <t>3</t>
    </r>
    <r>
      <rPr>
        <sz val="12"/>
        <color indexed="8"/>
        <rFont val="Times New Roman"/>
        <family val="1"/>
      </rPr>
      <t xml:space="preserve"> = coefficient depending upon the location of the rudder</t>
    </r>
  </si>
  <si>
    <r>
      <t xml:space="preserve">     =1.0</t>
    </r>
    <r>
      <rPr>
        <sz val="12"/>
        <color indexed="8"/>
        <rFont val="Times New Roman"/>
        <family val="1"/>
      </rPr>
      <t>(for rudders including those within the propeller jet)</t>
    </r>
  </si>
  <si>
    <r>
      <t>K</t>
    </r>
    <r>
      <rPr>
        <vertAlign val="subscript"/>
        <sz val="12"/>
        <color indexed="8"/>
        <rFont val="Times New Roman"/>
        <family val="1"/>
      </rPr>
      <t>t</t>
    </r>
    <r>
      <rPr>
        <sz val="12"/>
        <color indexed="8"/>
        <rFont val="Times New Roman"/>
        <family val="1"/>
      </rPr>
      <t xml:space="preserve"> = coefficient depending upon the thrust coefficient</t>
    </r>
  </si>
  <si>
    <t xml:space="preserve">     =1.0 [normally]</t>
  </si>
  <si>
    <r>
      <t>So</t>
    </r>
    <r>
      <rPr>
        <sz val="12"/>
        <color indexed="8"/>
        <rFont val="Times New Roman"/>
        <family val="1"/>
      </rPr>
      <t>, C</t>
    </r>
    <r>
      <rPr>
        <vertAlign val="subscript"/>
        <sz val="12"/>
        <color indexed="8"/>
        <rFont val="Times New Roman"/>
        <family val="1"/>
      </rPr>
      <t>r</t>
    </r>
    <r>
      <rPr>
        <sz val="12"/>
        <color indexed="8"/>
        <rFont val="Times New Roman"/>
        <family val="1"/>
      </rPr>
      <t xml:space="preserve"> =</t>
    </r>
  </si>
  <si>
    <t>N</t>
  </si>
  <si>
    <t>The torque on rudder is to be determined by using this formula,</t>
  </si>
  <si>
    <r>
      <t>Q</t>
    </r>
    <r>
      <rPr>
        <vertAlign val="subscript"/>
        <sz val="12"/>
        <color indexed="8"/>
        <rFont val="Times New Roman"/>
        <family val="1"/>
      </rPr>
      <t>R</t>
    </r>
    <r>
      <rPr>
        <sz val="12"/>
        <color indexed="8"/>
        <rFont val="Times New Roman"/>
        <family val="1"/>
      </rPr>
      <t xml:space="preserve"> = C</t>
    </r>
    <r>
      <rPr>
        <vertAlign val="subscript"/>
        <sz val="12"/>
        <color indexed="8"/>
        <rFont val="Times New Roman"/>
        <family val="1"/>
      </rPr>
      <t>R</t>
    </r>
    <r>
      <rPr>
        <sz val="12"/>
        <color indexed="8"/>
        <rFont val="Times New Roman"/>
        <family val="1"/>
      </rPr>
      <t>.r</t>
    </r>
  </si>
  <si>
    <t>The distance of centre of pressure from the turning axis is given by,</t>
  </si>
  <si>
    <r>
      <t>r = c (</t>
    </r>
    <r>
      <rPr>
        <sz val="12"/>
        <color indexed="8"/>
        <rFont val="Calibri"/>
        <family val="2"/>
      </rPr>
      <t>α</t>
    </r>
    <r>
      <rPr>
        <sz val="12"/>
        <color indexed="8"/>
        <rFont val="Times New Roman"/>
        <family val="1"/>
      </rPr>
      <t>-k</t>
    </r>
    <r>
      <rPr>
        <vertAlign val="subscript"/>
        <sz val="12"/>
        <color indexed="8"/>
        <rFont val="Times New Roman"/>
        <family val="1"/>
      </rPr>
      <t>b</t>
    </r>
    <r>
      <rPr>
        <sz val="12"/>
        <color indexed="8"/>
        <rFont val="Times New Roman"/>
        <family val="1"/>
      </rPr>
      <t>) m</t>
    </r>
  </si>
  <si>
    <t>c =</t>
  </si>
  <si>
    <t>α=0.33    for ahead condition</t>
  </si>
  <si>
    <r>
      <t xml:space="preserve">Let </t>
    </r>
    <r>
      <rPr>
        <sz val="12"/>
        <color indexed="8"/>
        <rFont val="Times New Roman"/>
        <family val="1"/>
      </rPr>
      <t>K</t>
    </r>
    <r>
      <rPr>
        <vertAlign val="subscript"/>
        <sz val="12"/>
        <color indexed="8"/>
        <rFont val="Times New Roman"/>
        <family val="1"/>
      </rPr>
      <t>b</t>
    </r>
    <r>
      <rPr>
        <sz val="12"/>
        <color indexed="8"/>
        <rFont val="Times New Roman"/>
        <family val="1"/>
      </rPr>
      <t xml:space="preserve"> </t>
    </r>
    <r>
      <rPr>
        <sz val="12"/>
        <color indexed="8"/>
        <rFont val="Times New Roman"/>
        <family val="1"/>
      </rPr>
      <t>=</t>
    </r>
    <r>
      <rPr>
        <sz val="12"/>
        <color indexed="10"/>
        <rFont val="Times New Roman"/>
        <family val="1"/>
      </rPr>
      <t xml:space="preserve"> </t>
    </r>
    <r>
      <rPr>
        <sz val="12"/>
        <color indexed="8"/>
        <rFont val="Times New Roman"/>
        <family val="1"/>
      </rPr>
      <t>Balance</t>
    </r>
    <r>
      <rPr>
        <sz val="12"/>
        <color indexed="8"/>
        <rFont val="Times New Roman"/>
        <family val="1"/>
      </rPr>
      <t xml:space="preserve"> factor=</t>
    </r>
  </si>
  <si>
    <t>b=Mean breadth of rudder</t>
  </si>
  <si>
    <t xml:space="preserve">r = </t>
  </si>
  <si>
    <t xml:space="preserve"> m</t>
  </si>
  <si>
    <t xml:space="preserve">   </t>
  </si>
  <si>
    <r>
      <t>so torque Q</t>
    </r>
    <r>
      <rPr>
        <vertAlign val="subscript"/>
        <sz val="12"/>
        <color indexed="8"/>
        <rFont val="Times New Roman"/>
        <family val="1"/>
      </rPr>
      <t>r</t>
    </r>
    <r>
      <rPr>
        <sz val="12"/>
        <color indexed="8"/>
        <rFont val="Times New Roman"/>
        <family val="1"/>
      </rPr>
      <t xml:space="preserve">= </t>
    </r>
  </si>
  <si>
    <t>Nm</t>
  </si>
  <si>
    <r>
      <t>Ø</t>
    </r>
    <r>
      <rPr>
        <sz val="7"/>
        <color indexed="8"/>
        <rFont val="Times New Roman"/>
        <family val="1"/>
      </rPr>
      <t xml:space="preserve">  </t>
    </r>
    <r>
      <rPr>
        <sz val="12"/>
        <color indexed="8"/>
        <rFont val="Times New Roman"/>
        <family val="1"/>
      </rPr>
      <t xml:space="preserve">Baker and Bottomley proposed the formula for determining the force on rudders </t>
    </r>
  </si>
  <si>
    <t>behind the single screw as,</t>
  </si>
  <si>
    <t>where</t>
  </si>
  <si>
    <t>F=</t>
  </si>
  <si>
    <t>Normal force on rudder in N</t>
  </si>
  <si>
    <r>
      <t>Movable area of rudder in m</t>
    </r>
    <r>
      <rPr>
        <vertAlign val="superscript"/>
        <sz val="11"/>
        <color indexed="8"/>
        <rFont val="Calibri"/>
        <family val="2"/>
      </rPr>
      <t>2</t>
    </r>
  </si>
  <si>
    <r>
      <t>Ship speed in m/sec</t>
    </r>
    <r>
      <rPr>
        <vertAlign val="superscript"/>
        <sz val="11"/>
        <color indexed="8"/>
        <rFont val="Calibri"/>
        <family val="2"/>
      </rPr>
      <t>2</t>
    </r>
  </si>
  <si>
    <t>Angle of helm in degrees=35</t>
  </si>
  <si>
    <t>So, we have,</t>
  </si>
  <si>
    <t>Again the centre of pressure from the leading edge at various rudder angles is given by,</t>
  </si>
  <si>
    <t>Where,</t>
  </si>
  <si>
    <t xml:space="preserve">                           </t>
  </si>
  <si>
    <t>Distance of pressure aft the leading edge in m</t>
  </si>
  <si>
    <t>Mean breadth of rudder in m</t>
  </si>
  <si>
    <t xml:space="preserve"> Angle of helm in degrees</t>
  </si>
  <si>
    <t>x=</t>
  </si>
  <si>
    <t>In practice about 25% of the total rudder area is forward of the turning axis. So The total</t>
  </si>
  <si>
    <t xml:space="preserve"> rudder area forward the turning axis,</t>
  </si>
  <si>
    <r>
      <t>m</t>
    </r>
    <r>
      <rPr>
        <vertAlign val="superscript"/>
        <sz val="11"/>
        <color indexed="8"/>
        <rFont val="Calibri"/>
        <family val="2"/>
      </rPr>
      <t>2</t>
    </r>
  </si>
  <si>
    <t>Hence the distance of leading edge from the turning axis will be,</t>
  </si>
  <si>
    <t>So, the distance of centre of pressure from turning axis will be,</t>
  </si>
  <si>
    <t>The corresponding torque on rudder will be,</t>
  </si>
  <si>
    <t>The load on rudder is to be calculated by,</t>
  </si>
  <si>
    <r>
      <t>kN/m</t>
    </r>
    <r>
      <rPr>
        <vertAlign val="superscript"/>
        <sz val="11"/>
        <color indexed="8"/>
        <rFont val="Calibri"/>
        <family val="2"/>
      </rPr>
      <t>2</t>
    </r>
  </si>
  <si>
    <t>The support reaction at the three support points of the rudder and rudder stock are</t>
  </si>
  <si>
    <t>estimated as follows:</t>
  </si>
  <si>
    <t xml:space="preserve">The support reaction at the pintle </t>
  </si>
  <si>
    <t>R1  =</t>
  </si>
  <si>
    <t xml:space="preserve">The support reaction at the neck bearing </t>
  </si>
  <si>
    <t>R2 =</t>
  </si>
  <si>
    <t xml:space="preserve">The support reaction at the carrier bearing </t>
  </si>
  <si>
    <t>R3 =</t>
  </si>
  <si>
    <t>1.Rudder stock :</t>
  </si>
  <si>
    <r>
      <t>Ø</t>
    </r>
    <r>
      <rPr>
        <sz val="7"/>
        <color indexed="8"/>
        <rFont val="Times New Roman"/>
        <family val="1"/>
      </rPr>
      <t xml:space="preserve">  </t>
    </r>
    <r>
      <rPr>
        <sz val="12"/>
        <color indexed="8"/>
        <rFont val="Times New Roman"/>
        <family val="1"/>
      </rPr>
      <t xml:space="preserve">According to Germanischer Lloyd the diameter of rudder stock for transmitting </t>
    </r>
  </si>
  <si>
    <t>the rudder torque is not to be less than,</t>
  </si>
  <si>
    <t xml:space="preserve"> Material factor for rudder=</t>
  </si>
  <si>
    <t xml:space="preserve">                       </t>
  </si>
  <si>
    <t xml:space="preserve">                            </t>
  </si>
  <si>
    <t>We take diameter of the rudder stock as</t>
  </si>
  <si>
    <t xml:space="preserve"> mm</t>
  </si>
  <si>
    <r>
      <t xml:space="preserve">Related torsional stress, ᴦ </t>
    </r>
    <r>
      <rPr>
        <vertAlign val="subscript"/>
        <sz val="12"/>
        <color indexed="8"/>
        <rFont val="Times New Roman"/>
        <family val="1"/>
      </rPr>
      <t>t</t>
    </r>
    <r>
      <rPr>
        <sz val="12"/>
        <color indexed="8"/>
        <rFont val="Times New Roman"/>
        <family val="1"/>
      </rPr>
      <t xml:space="preserve"> = (68 / k</t>
    </r>
    <r>
      <rPr>
        <vertAlign val="subscript"/>
        <sz val="12"/>
        <color indexed="8"/>
        <rFont val="Times New Roman"/>
        <family val="1"/>
      </rPr>
      <t>r</t>
    </r>
    <r>
      <rPr>
        <sz val="12"/>
        <color indexed="8"/>
        <rFont val="Times New Roman"/>
        <family val="1"/>
      </rPr>
      <t>) =</t>
    </r>
  </si>
  <si>
    <r>
      <t>Quadrangle for auxiliary tiller=0.77 D</t>
    </r>
    <r>
      <rPr>
        <vertAlign val="subscript"/>
        <sz val="12"/>
        <color indexed="8"/>
        <rFont val="Times New Roman"/>
        <family val="1"/>
      </rPr>
      <t>t =</t>
    </r>
  </si>
  <si>
    <r>
      <t>Height of the tiller=0.8 D</t>
    </r>
    <r>
      <rPr>
        <vertAlign val="subscript"/>
        <sz val="12"/>
        <color indexed="8"/>
        <rFont val="Times New Roman"/>
        <family val="1"/>
      </rPr>
      <t>t</t>
    </r>
    <r>
      <rPr>
        <sz val="12"/>
        <color indexed="8"/>
        <rFont val="Times New Roman"/>
        <family val="1"/>
      </rPr>
      <t xml:space="preserve">= </t>
    </r>
  </si>
  <si>
    <t xml:space="preserve">here </t>
  </si>
  <si>
    <t>2.Rudder couplings</t>
  </si>
  <si>
    <r>
      <t>Ø</t>
    </r>
    <r>
      <rPr>
        <sz val="7"/>
        <color indexed="8"/>
        <rFont val="Times New Roman"/>
        <family val="1"/>
      </rPr>
      <t xml:space="preserve">  </t>
    </r>
    <r>
      <rPr>
        <sz val="12"/>
        <color indexed="8"/>
        <rFont val="Times New Roman"/>
        <family val="1"/>
      </rPr>
      <t>The thickness of coupling flanges is not to be less than,</t>
    </r>
  </si>
  <si>
    <t xml:space="preserve">                      </t>
  </si>
  <si>
    <t>Rudder stock diameter</t>
  </si>
  <si>
    <t xml:space="preserve">                          </t>
  </si>
  <si>
    <t>Total number of bolts</t>
  </si>
  <si>
    <t xml:space="preserve">                     </t>
  </si>
  <si>
    <t xml:space="preserve"> Material factor for rudder</t>
  </si>
  <si>
    <r>
      <t>K</t>
    </r>
    <r>
      <rPr>
        <vertAlign val="subscript"/>
        <sz val="11"/>
        <color indexed="8"/>
        <rFont val="Calibri"/>
        <family val="2"/>
      </rPr>
      <t>b</t>
    </r>
    <r>
      <rPr>
        <sz val="11"/>
        <color theme="1"/>
        <rFont val="Calibri"/>
        <family val="2"/>
        <scheme val="minor"/>
      </rPr>
      <t>=</t>
    </r>
  </si>
  <si>
    <t>Material factor for flanges</t>
  </si>
  <si>
    <t xml:space="preserve"> Mean distance of the bolt axis form the centre</t>
  </si>
  <si>
    <t xml:space="preserve"> of bolt system</t>
  </si>
  <si>
    <t xml:space="preserve"> Rudder stock radius + distance of bolt axis from </t>
  </si>
  <si>
    <t>outer surface of rudder stock</t>
  </si>
  <si>
    <t>(here  35mm is taken)</t>
  </si>
  <si>
    <t>So we take bolt Diameter as =</t>
  </si>
  <si>
    <t xml:space="preserve"> the thickness of coupling flanges as </t>
  </si>
  <si>
    <r>
      <t>t</t>
    </r>
    <r>
      <rPr>
        <vertAlign val="subscript"/>
        <sz val="11"/>
        <color indexed="8"/>
        <rFont val="Calibri"/>
        <family val="2"/>
      </rPr>
      <t>f</t>
    </r>
    <r>
      <rPr>
        <sz val="11"/>
        <color theme="1"/>
        <rFont val="Calibri"/>
        <family val="2"/>
        <scheme val="minor"/>
      </rPr>
      <t>=</t>
    </r>
  </si>
  <si>
    <r>
      <t>.9xd</t>
    </r>
    <r>
      <rPr>
        <vertAlign val="subscript"/>
        <sz val="11"/>
        <color indexed="8"/>
        <rFont val="Calibri"/>
        <family val="2"/>
      </rPr>
      <t>b</t>
    </r>
  </si>
  <si>
    <t xml:space="preserve">So we take the thickness of coupling flanges as </t>
  </si>
  <si>
    <r>
      <t>Thickness of coupling flange clear of bolt hole=0.65 t</t>
    </r>
    <r>
      <rPr>
        <vertAlign val="subscript"/>
        <sz val="12"/>
        <color indexed="8"/>
        <rFont val="Times New Roman"/>
        <family val="1"/>
      </rPr>
      <t>f</t>
    </r>
    <r>
      <rPr>
        <sz val="12"/>
        <color indexed="8"/>
        <rFont val="Times New Roman"/>
        <family val="1"/>
      </rPr>
      <t xml:space="preserve"> =</t>
    </r>
  </si>
  <si>
    <r>
      <t>Width of material outside bolt hole=0.67 t</t>
    </r>
    <r>
      <rPr>
        <vertAlign val="subscript"/>
        <sz val="12"/>
        <color indexed="8"/>
        <rFont val="Times New Roman"/>
        <family val="1"/>
      </rPr>
      <t>f</t>
    </r>
    <r>
      <rPr>
        <sz val="12"/>
        <color indexed="8"/>
        <rFont val="Times New Roman"/>
        <family val="1"/>
      </rPr>
      <t>=</t>
    </r>
  </si>
  <si>
    <t>3.Rudder frames :</t>
  </si>
  <si>
    <r>
      <t>Ø</t>
    </r>
    <r>
      <rPr>
        <sz val="7"/>
        <color indexed="8"/>
        <rFont val="Times New Roman"/>
        <family val="1"/>
      </rPr>
      <t xml:space="preserve">  </t>
    </r>
    <r>
      <rPr>
        <sz val="12"/>
        <color indexed="8"/>
        <rFont val="Times New Roman"/>
        <family val="1"/>
      </rPr>
      <t>According to NKK rules for construction of ships, the standard spacing</t>
    </r>
  </si>
  <si>
    <t xml:space="preserve"> of horizontal rudder frames is to be obtained from the following formula,</t>
  </si>
  <si>
    <r>
      <t>Ø</t>
    </r>
    <r>
      <rPr>
        <sz val="7"/>
        <color indexed="8"/>
        <rFont val="Times New Roman"/>
        <family val="1"/>
      </rPr>
      <t xml:space="preserve">  </t>
    </r>
    <r>
      <rPr>
        <sz val="12"/>
        <color indexed="8"/>
        <rFont val="Times New Roman"/>
        <family val="1"/>
      </rPr>
      <t>The standard distance from the vertical rudder frame forming the rudder main</t>
    </r>
  </si>
  <si>
    <t xml:space="preserve"> piece to the adjacent vertical frame is to be obtained by,</t>
  </si>
  <si>
    <t>4.Rudder plates &amp; web</t>
  </si>
  <si>
    <r>
      <t>Ø</t>
    </r>
    <r>
      <rPr>
        <sz val="7"/>
        <color indexed="8"/>
        <rFont val="Times New Roman"/>
        <family val="1"/>
      </rPr>
      <t xml:space="preserve">  </t>
    </r>
    <r>
      <rPr>
        <sz val="12"/>
        <color indexed="8"/>
        <rFont val="Times New Roman"/>
        <family val="1"/>
      </rPr>
      <t>According to Germanischer Lloyd, the thickness of rudder plating is to determined</t>
    </r>
  </si>
  <si>
    <t xml:space="preserve"> from the following formula,</t>
  </si>
  <si>
    <t xml:space="preserve"> Smaller unsupported width of a plate panel = </t>
  </si>
  <si>
    <t xml:space="preserve">                    </t>
  </si>
  <si>
    <t xml:space="preserve">               </t>
  </si>
  <si>
    <t xml:space="preserve"> Material factor=</t>
  </si>
  <si>
    <t xml:space="preserve">Hence we take the thickness of rudder plating as = </t>
  </si>
  <si>
    <r>
      <t>Ø</t>
    </r>
    <r>
      <rPr>
        <sz val="7"/>
        <color indexed="8"/>
        <rFont val="Times New Roman"/>
        <family val="1"/>
      </rPr>
      <t xml:space="preserve">  </t>
    </r>
    <r>
      <rPr>
        <sz val="12"/>
        <color indexed="8"/>
        <rFont val="Times New Roman"/>
        <family val="1"/>
      </rPr>
      <t>The thickness of the webs is not to be less than,</t>
    </r>
  </si>
  <si>
    <r>
      <t>So we take thickness of webs as t</t>
    </r>
    <r>
      <rPr>
        <vertAlign val="subscript"/>
        <sz val="12"/>
        <color indexed="8"/>
        <rFont val="Times New Roman"/>
        <family val="1"/>
      </rPr>
      <t>w</t>
    </r>
    <r>
      <rPr>
        <sz val="12"/>
        <color indexed="8"/>
        <rFont val="Times New Roman"/>
        <family val="1"/>
      </rPr>
      <t xml:space="preserve"> =</t>
    </r>
  </si>
  <si>
    <t>5.Pintle :</t>
  </si>
  <si>
    <t>The diameter of pintle is not to be less than,</t>
  </si>
  <si>
    <t xml:space="preserve"> Support reaction at the pintle</t>
  </si>
  <si>
    <t xml:space="preserve"> (As estimated)</t>
  </si>
  <si>
    <t xml:space="preserve"> Material factor =</t>
  </si>
  <si>
    <t>But Pintle Diameter should be greater than Rudder Stock</t>
  </si>
  <si>
    <t xml:space="preserve">Hence we take pintle diameter as </t>
  </si>
  <si>
    <r>
      <t>d</t>
    </r>
    <r>
      <rPr>
        <vertAlign val="subscript"/>
        <sz val="11"/>
        <color indexed="8"/>
        <rFont val="Calibri"/>
        <family val="2"/>
      </rPr>
      <t>p</t>
    </r>
    <r>
      <rPr>
        <sz val="11"/>
        <color theme="1"/>
        <rFont val="Calibri"/>
        <family val="2"/>
        <scheme val="minor"/>
      </rPr>
      <t>=</t>
    </r>
  </si>
  <si>
    <t>6.Bearing :</t>
  </si>
  <si>
    <r>
      <t>Ø</t>
    </r>
    <r>
      <rPr>
        <sz val="7"/>
        <color indexed="8"/>
        <rFont val="Times New Roman"/>
        <family val="1"/>
      </rPr>
      <t xml:space="preserve">  </t>
    </r>
    <r>
      <rPr>
        <sz val="12"/>
        <color indexed="8"/>
        <rFont val="Times New Roman"/>
        <family val="1"/>
      </rPr>
      <t>In way of bearings liners and bushes are to be fitted. Their minimum thickness is given as,</t>
    </r>
  </si>
  <si>
    <r>
      <t>t</t>
    </r>
    <r>
      <rPr>
        <vertAlign val="subscript"/>
        <sz val="11"/>
        <color indexed="8"/>
        <rFont val="Calibri"/>
        <family val="2"/>
      </rPr>
      <t>min</t>
    </r>
    <r>
      <rPr>
        <sz val="11"/>
        <color theme="1"/>
        <rFont val="Calibri"/>
        <family val="2"/>
        <scheme val="minor"/>
      </rPr>
      <t xml:space="preserve"> =</t>
    </r>
  </si>
  <si>
    <t>For lignum materials</t>
  </si>
  <si>
    <t>for metallic materials.</t>
  </si>
  <si>
    <r>
      <t>So we take thickness of liner, t</t>
    </r>
    <r>
      <rPr>
        <vertAlign val="subscript"/>
        <sz val="12"/>
        <color indexed="8"/>
        <rFont val="Times New Roman"/>
        <family val="1"/>
      </rPr>
      <t xml:space="preserve">l </t>
    </r>
    <r>
      <rPr>
        <sz val="12"/>
        <color indexed="8"/>
        <rFont val="Times New Roman"/>
        <family val="1"/>
      </rPr>
      <t>=</t>
    </r>
  </si>
  <si>
    <r>
      <t>Ø</t>
    </r>
    <r>
      <rPr>
        <sz val="7"/>
        <color indexed="8"/>
        <rFont val="Times New Roman"/>
        <family val="1"/>
      </rPr>
      <t xml:space="preserve">  </t>
    </r>
    <r>
      <rPr>
        <sz val="12"/>
        <color indexed="8"/>
        <rFont val="Times New Roman"/>
        <family val="1"/>
      </rPr>
      <t>The projected bearing surface at the neck bearing</t>
    </r>
  </si>
  <si>
    <r>
      <t xml:space="preserve"> Support reaction at neck bearing and carrier bearing = R</t>
    </r>
    <r>
      <rPr>
        <vertAlign val="subscript"/>
        <sz val="12"/>
        <color indexed="8"/>
        <rFont val="Times New Roman"/>
        <family val="1"/>
      </rPr>
      <t>2</t>
    </r>
    <r>
      <rPr>
        <sz val="12"/>
        <color indexed="8"/>
        <rFont val="Times New Roman"/>
        <family val="1"/>
      </rPr>
      <t>+R</t>
    </r>
    <r>
      <rPr>
        <vertAlign val="subscript"/>
        <sz val="12"/>
        <color indexed="8"/>
        <rFont val="Times New Roman"/>
        <family val="1"/>
      </rPr>
      <t>3</t>
    </r>
  </si>
  <si>
    <t xml:space="preserve"> Permissible surface pressure =</t>
  </si>
  <si>
    <t xml:space="preserve"> (For lignum vitae)</t>
  </si>
  <si>
    <r>
      <t>mm</t>
    </r>
    <r>
      <rPr>
        <vertAlign val="superscript"/>
        <sz val="11"/>
        <color indexed="8"/>
        <rFont val="Calibri"/>
        <family val="2"/>
      </rPr>
      <t>2</t>
    </r>
  </si>
  <si>
    <t xml:space="preserve">Again, </t>
  </si>
  <si>
    <t>External diameter of liner =</t>
  </si>
  <si>
    <r>
      <t>(D</t>
    </r>
    <r>
      <rPr>
        <vertAlign val="subscript"/>
        <sz val="11"/>
        <color indexed="8"/>
        <rFont val="Calibri"/>
        <family val="2"/>
      </rPr>
      <t>t</t>
    </r>
    <r>
      <rPr>
        <sz val="11"/>
        <color theme="1"/>
        <rFont val="Calibri"/>
        <family val="2"/>
        <scheme val="minor"/>
      </rPr>
      <t>+t</t>
    </r>
    <r>
      <rPr>
        <vertAlign val="subscript"/>
        <sz val="11"/>
        <color indexed="8"/>
        <rFont val="Calibri"/>
        <family val="2"/>
      </rPr>
      <t>1</t>
    </r>
    <r>
      <rPr>
        <sz val="11"/>
        <color theme="1"/>
        <rFont val="Calibri"/>
        <family val="2"/>
        <scheme val="minor"/>
      </rPr>
      <t>x2)</t>
    </r>
  </si>
  <si>
    <r>
      <t>So we have, Bearing height, h</t>
    </r>
    <r>
      <rPr>
        <vertAlign val="subscript"/>
        <sz val="12"/>
        <color indexed="8"/>
        <rFont val="Times New Roman"/>
        <family val="1"/>
      </rPr>
      <t>b</t>
    </r>
  </si>
  <si>
    <t xml:space="preserve">The bearing height shall be equal to the bearing  diameter or not exceeding 1.2 times of the </t>
  </si>
  <si>
    <t>bearing diameter</t>
  </si>
  <si>
    <r>
      <t>So we take bearing height as,h</t>
    </r>
    <r>
      <rPr>
        <vertAlign val="subscript"/>
        <sz val="12"/>
        <color indexed="8"/>
        <rFont val="Times New Roman"/>
        <family val="1"/>
      </rPr>
      <t>b</t>
    </r>
    <r>
      <rPr>
        <sz val="12"/>
        <color indexed="8"/>
        <rFont val="Times New Roman"/>
        <family val="1"/>
      </rPr>
      <t xml:space="preserve"> =</t>
    </r>
  </si>
  <si>
    <r>
      <t>Ø</t>
    </r>
    <r>
      <rPr>
        <sz val="7"/>
        <color indexed="8"/>
        <rFont val="Times New Roman"/>
        <family val="1"/>
      </rPr>
      <t xml:space="preserve">  </t>
    </r>
    <r>
      <rPr>
        <sz val="12"/>
        <color indexed="8"/>
        <rFont val="Times New Roman"/>
        <family val="1"/>
      </rPr>
      <t>The projected bearing surface at the carrier bearing</t>
    </r>
  </si>
  <si>
    <t xml:space="preserve"> Support reaction at carrier bearing</t>
  </si>
  <si>
    <t xml:space="preserve">External diameter of liner = </t>
  </si>
  <si>
    <r>
      <t>(Dt+t</t>
    </r>
    <r>
      <rPr>
        <vertAlign val="subscript"/>
        <sz val="11"/>
        <color indexed="8"/>
        <rFont val="Calibri"/>
        <family val="2"/>
      </rPr>
      <t>1</t>
    </r>
    <r>
      <rPr>
        <sz val="11"/>
        <color theme="1"/>
        <rFont val="Calibri"/>
        <family val="2"/>
        <scheme val="minor"/>
      </rPr>
      <t>x2)</t>
    </r>
  </si>
  <si>
    <r>
      <t>So we have, Bearing height, h</t>
    </r>
    <r>
      <rPr>
        <vertAlign val="subscript"/>
        <sz val="12"/>
        <color indexed="8"/>
        <rFont val="Times New Roman"/>
        <family val="1"/>
      </rPr>
      <t>b</t>
    </r>
    <r>
      <rPr>
        <sz val="12"/>
        <color indexed="8"/>
        <rFont val="Times New Roman"/>
        <family val="1"/>
      </rPr>
      <t xml:space="preserve"> =</t>
    </r>
  </si>
  <si>
    <t xml:space="preserve">So we take bearing height as, </t>
  </si>
  <si>
    <r>
      <t>h</t>
    </r>
    <r>
      <rPr>
        <vertAlign val="subscript"/>
        <sz val="11"/>
        <color indexed="8"/>
        <rFont val="Calibri"/>
        <family val="2"/>
      </rPr>
      <t>b</t>
    </r>
    <r>
      <rPr>
        <sz val="11"/>
        <color theme="1"/>
        <rFont val="Calibri"/>
        <family val="2"/>
        <scheme val="minor"/>
      </rPr>
      <t xml:space="preserve"> =</t>
    </r>
  </si>
  <si>
    <t>Steering Arrangement:</t>
  </si>
  <si>
    <t xml:space="preserve">From NKK Rulebook, sectional Area of the tiller </t>
  </si>
  <si>
    <t xml:space="preserve">Here, </t>
  </si>
  <si>
    <r>
      <t xml:space="preserve"> Diameter of the</t>
    </r>
    <r>
      <rPr>
        <sz val="12"/>
        <color indexed="17"/>
        <rFont val="Times New Roman"/>
        <family val="1"/>
      </rPr>
      <t xml:space="preserve"> upper stock</t>
    </r>
    <r>
      <rPr>
        <sz val="12"/>
        <color indexed="8"/>
        <rFont val="Times New Roman"/>
        <family val="1"/>
      </rPr>
      <t xml:space="preserve"> in cm</t>
    </r>
  </si>
  <si>
    <t>cm</t>
  </si>
  <si>
    <t xml:space="preserve">If diameter of the tiller is d then, </t>
  </si>
  <si>
    <t xml:space="preserve">So we take diameter of tiller as </t>
  </si>
  <si>
    <t>d =</t>
  </si>
  <si>
    <r>
      <t xml:space="preserve">Diameter of the </t>
    </r>
    <r>
      <rPr>
        <sz val="12"/>
        <color indexed="17"/>
        <rFont val="Times New Roman"/>
        <family val="1"/>
      </rPr>
      <t>link chain</t>
    </r>
  </si>
  <si>
    <t xml:space="preserve">Where, </t>
  </si>
  <si>
    <t xml:space="preserve"> Diameter of the upper stock in mm = </t>
  </si>
  <si>
    <t xml:space="preserve">mm </t>
  </si>
  <si>
    <t xml:space="preserve"> Length of the chain in mm = B∕ 2 =</t>
  </si>
  <si>
    <t>But diameter of the link chain is not to be less than 9.55 mm.</t>
  </si>
  <si>
    <t xml:space="preserve">So, we take diameter of link chain as </t>
  </si>
  <si>
    <r>
      <t>d</t>
    </r>
    <r>
      <rPr>
        <vertAlign val="subscript"/>
        <sz val="11"/>
        <color indexed="8"/>
        <rFont val="Calibri"/>
        <family val="2"/>
      </rPr>
      <t>c =</t>
    </r>
  </si>
  <si>
    <t>Diameter of the steering rod,</t>
  </si>
  <si>
    <r>
      <t>So we take diameter of steering rod d</t>
    </r>
    <r>
      <rPr>
        <vertAlign val="subscript"/>
        <sz val="12"/>
        <color indexed="8"/>
        <rFont val="Times New Roman"/>
        <family val="1"/>
      </rPr>
      <t>s =</t>
    </r>
    <r>
      <rPr>
        <sz val="12"/>
        <color indexed="8"/>
        <rFont val="Times New Roman"/>
        <family val="1"/>
      </rPr>
      <t xml:space="preserve"> </t>
    </r>
  </si>
  <si>
    <t>100 mm is taken</t>
  </si>
  <si>
    <t>Diameter</t>
  </si>
  <si>
    <t>Hub Diameter</t>
  </si>
  <si>
    <r>
      <t>A</t>
    </r>
    <r>
      <rPr>
        <sz val="10"/>
        <rFont val="Calibri"/>
        <family val="2"/>
      </rPr>
      <t>E</t>
    </r>
    <r>
      <rPr>
        <sz val="12"/>
        <rFont val="Calibri"/>
        <family val="2"/>
      </rPr>
      <t xml:space="preserve"> /Ao</t>
    </r>
  </si>
  <si>
    <t>tl.e.</t>
  </si>
  <si>
    <t>tt.e.</t>
  </si>
  <si>
    <t>Radius</t>
  </si>
  <si>
    <t>pitch</t>
  </si>
  <si>
    <t>r/R</t>
  </si>
  <si>
    <t>(cr.Z)/[D.(AE/Ao)]</t>
  </si>
  <si>
    <t>a/c</t>
  </si>
  <si>
    <t>b/c</t>
  </si>
  <si>
    <r>
      <t>t/D =A</t>
    </r>
    <r>
      <rPr>
        <vertAlign val="subscript"/>
        <sz val="12"/>
        <rFont val="Times New Roman"/>
        <family val="1"/>
      </rPr>
      <t xml:space="preserve">r </t>
    </r>
    <r>
      <rPr>
        <sz val="12"/>
        <rFont val="Times New Roman"/>
        <family val="1"/>
      </rPr>
      <t>– B</t>
    </r>
    <r>
      <rPr>
        <vertAlign val="subscript"/>
        <sz val="12"/>
        <rFont val="Times New Roman"/>
        <family val="1"/>
      </rPr>
      <t>r</t>
    </r>
    <r>
      <rPr>
        <sz val="12"/>
        <rFont val="Times New Roman"/>
        <family val="1"/>
      </rPr>
      <t>.Z</t>
    </r>
  </si>
  <si>
    <r>
      <t>A</t>
    </r>
    <r>
      <rPr>
        <vertAlign val="subscript"/>
        <sz val="12"/>
        <color indexed="8"/>
        <rFont val="Times New Roman"/>
        <family val="1"/>
      </rPr>
      <t>r</t>
    </r>
  </si>
  <si>
    <r>
      <t>B</t>
    </r>
    <r>
      <rPr>
        <vertAlign val="subscript"/>
        <sz val="12"/>
        <color indexed="8"/>
        <rFont val="Times New Roman"/>
        <family val="1"/>
      </rPr>
      <t>r</t>
    </r>
  </si>
  <si>
    <t>c</t>
  </si>
  <si>
    <t>a</t>
  </si>
  <si>
    <t>b</t>
  </si>
  <si>
    <t>r</t>
  </si>
  <si>
    <t>c  -  a</t>
  </si>
  <si>
    <t>a - b</t>
  </si>
  <si>
    <t>r/R = .2</t>
  </si>
  <si>
    <t>P</t>
  </si>
  <si>
    <t>r/R  = .3</t>
  </si>
  <si>
    <t>t max =</t>
  </si>
  <si>
    <t>V1</t>
  </si>
  <si>
    <t>V2</t>
  </si>
  <si>
    <t>Y face</t>
  </si>
  <si>
    <t>Y back</t>
  </si>
  <si>
    <t>r/R  = .4</t>
  </si>
  <si>
    <t>r/R  = .5</t>
  </si>
  <si>
    <t>r/R  = .6</t>
  </si>
  <si>
    <t>r/R = .7</t>
  </si>
  <si>
    <t>r/R  = .8</t>
  </si>
  <si>
    <t>r/R  = .9</t>
  </si>
  <si>
    <t>r/R  = 1.0</t>
  </si>
  <si>
    <r>
      <t>L (1 - C</t>
    </r>
    <r>
      <rPr>
        <vertAlign val="subscript"/>
        <sz val="12"/>
        <color indexed="8"/>
        <rFont val="Calibri"/>
        <family val="2"/>
      </rPr>
      <t xml:space="preserve">P </t>
    </r>
    <r>
      <rPr>
        <sz val="12"/>
        <color indexed="8"/>
        <rFont val="Calibri"/>
        <family val="2"/>
      </rPr>
      <t>+ 0.06 C</t>
    </r>
    <r>
      <rPr>
        <vertAlign val="subscript"/>
        <sz val="12"/>
        <color indexed="8"/>
        <rFont val="Calibri"/>
        <family val="2"/>
      </rPr>
      <t xml:space="preserve">P </t>
    </r>
    <r>
      <rPr>
        <sz val="12"/>
        <color indexed="8"/>
        <rFont val="Calibri"/>
        <family val="2"/>
      </rPr>
      <t>lcb) /(4C</t>
    </r>
    <r>
      <rPr>
        <vertAlign val="subscript"/>
        <sz val="12"/>
        <color indexed="8"/>
        <rFont val="Calibri"/>
        <family val="2"/>
      </rPr>
      <t>P</t>
    </r>
    <r>
      <rPr>
        <sz val="12"/>
        <color indexed="8"/>
        <rFont val="Calibri"/>
        <family val="2"/>
      </rPr>
      <t>-1)}</t>
    </r>
  </si>
  <si>
    <t>sapp</t>
  </si>
  <si>
    <t>rudder</t>
  </si>
  <si>
    <t>propeller</t>
  </si>
  <si>
    <t>m (aft,mid)</t>
  </si>
  <si>
    <t>0.0008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</si>
</sst>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6" formatCode="0.00000"/>
  </numFmts>
  <fonts count="90" x14ac:knownFonts="1">
    <font>
      <sz val="11"/>
      <color theme="1"/>
      <name val="Calibri"/>
      <family val="2"/>
      <scheme val="minor"/>
    </font>
    <font>
      <sz val="12"/>
      <color indexed="8"/>
      <name val="Calibri"/>
      <family val="2"/>
    </font>
    <font>
      <b/>
      <sz val="16"/>
      <name val="Calibri Light"/>
      <family val="1"/>
    </font>
    <font>
      <b/>
      <sz val="16"/>
      <color indexed="30"/>
      <name val="Calibri Light"/>
      <family val="1"/>
    </font>
    <font>
      <sz val="14"/>
      <name val="Times New Roman"/>
      <family val="1"/>
    </font>
    <font>
      <sz val="12"/>
      <name val="Calibri"/>
      <family val="2"/>
    </font>
    <font>
      <sz val="14"/>
      <color indexed="8"/>
      <name val="Times New Roman"/>
      <family val="1"/>
    </font>
    <font>
      <vertAlign val="subscript"/>
      <sz val="14"/>
      <color indexed="8"/>
      <name val="Times New Roman"/>
      <family val="1"/>
    </font>
    <font>
      <vertAlign val="superscript"/>
      <sz val="12"/>
      <color indexed="8"/>
      <name val="Calibri"/>
      <family val="2"/>
    </font>
    <font>
      <vertAlign val="subscript"/>
      <sz val="12"/>
      <color indexed="8"/>
      <name val="Calibri"/>
      <family val="2"/>
    </font>
    <font>
      <sz val="12"/>
      <color indexed="63"/>
      <name val="Calibri"/>
      <family val="2"/>
    </font>
    <font>
      <vertAlign val="superscript"/>
      <sz val="12"/>
      <name val="Calibri"/>
      <family val="2"/>
    </font>
    <font>
      <vertAlign val="superscript"/>
      <sz val="12"/>
      <color indexed="63"/>
      <name val="Calibri"/>
      <family val="2"/>
    </font>
    <font>
      <vertAlign val="subscript"/>
      <sz val="12"/>
      <color indexed="63"/>
      <name val="Calibri"/>
      <family val="2"/>
    </font>
    <font>
      <sz val="12"/>
      <name val="Times New Roman"/>
      <family val="1"/>
    </font>
    <font>
      <b/>
      <sz val="9"/>
      <color indexed="81"/>
      <name val="Tahoma"/>
      <family val="2"/>
    </font>
    <font>
      <sz val="9"/>
      <color indexed="81"/>
      <name val="Tahoma"/>
      <family val="2"/>
    </font>
    <font>
      <sz val="12"/>
      <color indexed="8"/>
      <name val="Times New Roman"/>
      <family val="1"/>
    </font>
    <font>
      <sz val="7"/>
      <color indexed="8"/>
      <name val="Times New Roman"/>
      <family val="1"/>
    </font>
    <font>
      <vertAlign val="subscript"/>
      <sz val="12"/>
      <color indexed="8"/>
      <name val="Times New Roman"/>
      <family val="1"/>
    </font>
    <font>
      <vertAlign val="superscript"/>
      <sz val="12"/>
      <color indexed="8"/>
      <name val="Times New Roman"/>
      <family val="1"/>
    </font>
    <font>
      <sz val="12"/>
      <color indexed="30"/>
      <name val="Times New Roman"/>
      <family val="1"/>
    </font>
    <font>
      <b/>
      <sz val="12"/>
      <color indexed="17"/>
      <name val="Times New Roman"/>
      <family val="1"/>
    </font>
    <font>
      <sz val="12"/>
      <color indexed="10"/>
      <name val="Times New Roman"/>
      <family val="1"/>
    </font>
    <font>
      <sz val="12"/>
      <color indexed="17"/>
      <name val="Times New Roman"/>
      <family val="1"/>
    </font>
    <font>
      <sz val="12"/>
      <color indexed="36"/>
      <name val="Tahoma"/>
      <family val="2"/>
    </font>
    <font>
      <vertAlign val="subscript"/>
      <sz val="11"/>
      <color indexed="8"/>
      <name val="Calibri"/>
      <family val="2"/>
    </font>
    <font>
      <vertAlign val="superscript"/>
      <sz val="11"/>
      <color indexed="8"/>
      <name val="Calibri"/>
      <family val="2"/>
    </font>
    <font>
      <b/>
      <i/>
      <sz val="12"/>
      <color indexed="14"/>
      <name val="Times New Roman"/>
      <family val="1"/>
    </font>
    <font>
      <b/>
      <i/>
      <sz val="12"/>
      <color indexed="17"/>
      <name val="Times New Roman"/>
      <family val="1"/>
    </font>
    <font>
      <b/>
      <i/>
      <sz val="12"/>
      <color indexed="8"/>
      <name val="Times New Roman"/>
      <family val="1"/>
    </font>
    <font>
      <b/>
      <i/>
      <sz val="12"/>
      <color indexed="36"/>
      <name val="Times New Roman"/>
      <family val="1"/>
    </font>
    <font>
      <b/>
      <i/>
      <sz val="12"/>
      <name val="Times New Roman"/>
      <family val="1"/>
    </font>
    <font>
      <b/>
      <sz val="12"/>
      <color indexed="8"/>
      <name val="Times New Roman"/>
      <family val="1"/>
    </font>
    <font>
      <b/>
      <sz val="12"/>
      <color indexed="30"/>
      <name val="Times New Roman"/>
      <family val="1"/>
    </font>
    <font>
      <b/>
      <sz val="12"/>
      <name val="Times New Roman"/>
      <family val="1"/>
    </font>
    <font>
      <sz val="10"/>
      <color indexed="8"/>
      <name val="Times New Roman"/>
      <family val="1"/>
    </font>
    <font>
      <sz val="10"/>
      <name val="Calibri"/>
      <family val="2"/>
    </font>
    <font>
      <vertAlign val="subscript"/>
      <sz val="12"/>
      <name val="Times New Roman"/>
      <family val="1"/>
    </font>
    <font>
      <sz val="11"/>
      <color theme="1"/>
      <name val="Calibri"/>
      <family val="2"/>
      <scheme val="minor"/>
    </font>
    <font>
      <b/>
      <sz val="15"/>
      <color theme="3"/>
      <name val="Calibri"/>
      <family val="2"/>
      <scheme val="minor"/>
    </font>
    <font>
      <u/>
      <sz val="11"/>
      <color theme="10"/>
      <name val="Calibri"/>
      <family val="2"/>
      <scheme val="minor"/>
    </font>
    <font>
      <sz val="12"/>
      <color theme="1"/>
      <name val="Calibri"/>
      <family val="2"/>
      <scheme val="minor"/>
    </font>
    <font>
      <sz val="14"/>
      <name val="Calibri Light"/>
      <family val="1"/>
      <scheme val="major"/>
    </font>
    <font>
      <b/>
      <sz val="14"/>
      <color rgb="FF008000"/>
      <name val="Calibri"/>
      <family val="2"/>
      <scheme val="minor"/>
    </font>
    <font>
      <sz val="14"/>
      <color rgb="FF000000"/>
      <name val="Times New Roman"/>
      <family val="1"/>
    </font>
    <font>
      <b/>
      <sz val="14"/>
      <color rgb="FF006600"/>
      <name val="Calibri"/>
      <family val="2"/>
      <scheme val="minor"/>
    </font>
    <font>
      <b/>
      <sz val="14"/>
      <color rgb="FF006600"/>
      <name val="Times New Roman"/>
      <family val="1"/>
    </font>
    <font>
      <sz val="14"/>
      <color theme="1"/>
      <name val="Calibri"/>
      <family val="2"/>
      <scheme val="minor"/>
    </font>
    <font>
      <sz val="12"/>
      <name val="Calibri"/>
      <family val="2"/>
      <scheme val="minor"/>
    </font>
    <font>
      <b/>
      <sz val="16"/>
      <name val="Calibri Light"/>
      <family val="1"/>
      <scheme val="major"/>
    </font>
    <font>
      <i/>
      <sz val="14"/>
      <name val="Calibri"/>
      <family val="2"/>
      <scheme val="minor"/>
    </font>
    <font>
      <sz val="12"/>
      <color theme="1"/>
      <name val="Calibri"/>
      <family val="2"/>
    </font>
    <font>
      <sz val="12"/>
      <color rgb="FF0070C0"/>
      <name val="Calibri"/>
      <family val="2"/>
      <scheme val="minor"/>
    </font>
    <font>
      <sz val="12"/>
      <color theme="1" tint="0.34998626667073579"/>
      <name val="Calibri"/>
      <family val="2"/>
      <scheme val="minor"/>
    </font>
    <font>
      <sz val="12"/>
      <color rgb="FF000000"/>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
      <b/>
      <sz val="14"/>
      <color rgb="FFD60093"/>
      <name val="Times New Roman"/>
      <family val="1"/>
    </font>
    <font>
      <b/>
      <sz val="12"/>
      <color rgb="FF7030A0"/>
      <name val="Tahoma"/>
      <family val="2"/>
    </font>
    <font>
      <sz val="12"/>
      <color theme="1"/>
      <name val="Times New Roman"/>
      <family val="1"/>
    </font>
    <font>
      <b/>
      <sz val="12"/>
      <color rgb="FF00B050"/>
      <name val="Tahoma"/>
      <family val="2"/>
    </font>
    <font>
      <sz val="12"/>
      <color theme="1"/>
      <name val="Wingdings"/>
      <charset val="2"/>
    </font>
    <font>
      <sz val="12"/>
      <color rgb="FF000000"/>
      <name val="Times New Roman"/>
      <family val="1"/>
    </font>
    <font>
      <b/>
      <sz val="11"/>
      <color theme="4"/>
      <name val="Calibri"/>
      <family val="2"/>
      <scheme val="minor"/>
    </font>
    <font>
      <sz val="12"/>
      <color rgb="FFFF0000"/>
      <name val="Times New Roman"/>
      <family val="1"/>
    </font>
    <font>
      <sz val="11"/>
      <color theme="1"/>
      <name val="Calibri"/>
      <family val="2"/>
    </font>
    <font>
      <b/>
      <u/>
      <sz val="12"/>
      <color theme="10"/>
      <name val="Calibri"/>
      <family val="2"/>
      <scheme val="minor"/>
    </font>
    <font>
      <b/>
      <i/>
      <sz val="12"/>
      <color rgb="FFD60093"/>
      <name val="Times New Roman"/>
      <family val="1"/>
    </font>
    <font>
      <b/>
      <i/>
      <sz val="12"/>
      <color theme="1"/>
      <name val="Times New Roman"/>
      <family val="1"/>
    </font>
    <font>
      <b/>
      <i/>
      <sz val="12"/>
      <color rgb="FF7030A0"/>
      <name val="Times New Roman"/>
      <family val="1"/>
    </font>
    <font>
      <b/>
      <u/>
      <sz val="11"/>
      <color theme="10"/>
      <name val="Calibri"/>
      <family val="2"/>
      <scheme val="minor"/>
    </font>
    <font>
      <b/>
      <sz val="11"/>
      <name val="Calibri"/>
      <family val="2"/>
      <scheme val="minor"/>
    </font>
    <font>
      <sz val="11"/>
      <color rgb="FFFF0000"/>
      <name val="Calibri"/>
      <family val="2"/>
      <scheme val="minor"/>
    </font>
    <font>
      <b/>
      <u/>
      <sz val="12"/>
      <color rgb="FFD60093"/>
      <name val="Times New Roman"/>
      <family val="1"/>
    </font>
    <font>
      <sz val="12"/>
      <color rgb="FF000000"/>
      <name val="Wingdings"/>
      <charset val="2"/>
    </font>
    <font>
      <b/>
      <sz val="12"/>
      <color theme="4"/>
      <name val="Calibri"/>
      <family val="2"/>
      <scheme val="minor"/>
    </font>
    <font>
      <sz val="12"/>
      <color rgb="FF0070C0"/>
      <name val="Times New Roman"/>
      <family val="1"/>
    </font>
    <font>
      <sz val="12"/>
      <color theme="4" tint="-0.249977111117893"/>
      <name val="Times New Roman"/>
      <family val="1"/>
    </font>
    <font>
      <sz val="11"/>
      <color theme="4" tint="-0.249977111117893"/>
      <name val="Calibri"/>
      <family val="2"/>
      <scheme val="minor"/>
    </font>
    <font>
      <b/>
      <sz val="12"/>
      <name val="Calibri"/>
      <family val="2"/>
      <scheme val="minor"/>
    </font>
    <font>
      <b/>
      <sz val="12"/>
      <color theme="1"/>
      <name val="Times New Roman"/>
      <family val="1"/>
    </font>
    <font>
      <b/>
      <sz val="12"/>
      <color rgb="FF0088B8"/>
      <name val="Times New Roman"/>
      <family val="1"/>
    </font>
    <font>
      <b/>
      <sz val="12"/>
      <color rgb="FF0070C0"/>
      <name val="Times New Roman"/>
      <family val="1"/>
    </font>
    <font>
      <sz val="11"/>
      <color theme="5" tint="-0.249977111117893"/>
      <name val="Calibri"/>
      <family val="2"/>
      <scheme val="minor"/>
    </font>
    <font>
      <sz val="14"/>
      <color theme="1"/>
      <name val="Times New Roman"/>
      <family val="1"/>
    </font>
    <font>
      <sz val="11"/>
      <name val="Calibri"/>
      <family val="2"/>
      <scheme val="minor"/>
    </font>
    <font>
      <b/>
      <sz val="16"/>
      <color rgb="FF008000"/>
      <name val="Calibri"/>
      <family val="2"/>
      <scheme val="minor"/>
    </font>
    <font>
      <b/>
      <sz val="22"/>
      <color rgb="FF00B0F0"/>
      <name val="Calibri"/>
      <family val="2"/>
      <scheme val="minor"/>
    </font>
  </fonts>
  <fills count="7">
    <fill>
      <patternFill patternType="none"/>
    </fill>
    <fill>
      <patternFill patternType="gray125"/>
    </fill>
    <fill>
      <patternFill patternType="solid">
        <fgColor theme="4" tint="0.59999389629810485"/>
        <bgColor indexed="65"/>
      </patternFill>
    </fill>
    <fill>
      <patternFill patternType="solid">
        <fgColor theme="5" tint="0.59999389629810485"/>
        <bgColor indexed="64"/>
      </patternFill>
    </fill>
    <fill>
      <patternFill patternType="solid">
        <fgColor rgb="FF92D050"/>
        <bgColor indexed="64"/>
      </patternFill>
    </fill>
    <fill>
      <patternFill patternType="solid">
        <fgColor theme="0"/>
        <bgColor indexed="64"/>
      </patternFill>
    </fill>
    <fill>
      <patternFill patternType="solid">
        <fgColor theme="5"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ck">
        <color theme="4"/>
      </bottom>
      <diagonal/>
    </border>
  </borders>
  <cellStyleXfs count="4">
    <xf numFmtId="0" fontId="0" fillId="0" borderId="0"/>
    <xf numFmtId="0" fontId="39" fillId="2" borderId="0" applyNumberFormat="0" applyBorder="0" applyAlignment="0" applyProtection="0"/>
    <xf numFmtId="0" fontId="40" fillId="0" borderId="14" applyNumberFormat="0" applyFill="0" applyAlignment="0" applyProtection="0"/>
    <xf numFmtId="0" fontId="41" fillId="0" borderId="0" applyNumberFormat="0" applyFill="0" applyBorder="0" applyAlignment="0" applyProtection="0"/>
  </cellStyleXfs>
  <cellXfs count="164">
    <xf numFmtId="0" fontId="0" fillId="0" borderId="0" xfId="0"/>
    <xf numFmtId="0" fontId="0" fillId="0" borderId="0" xfId="0" applyAlignment="1"/>
    <xf numFmtId="0" fontId="0" fillId="0" borderId="0" xfId="0" applyBorder="1"/>
    <xf numFmtId="0" fontId="0" fillId="0" borderId="0" xfId="0" applyFill="1"/>
    <xf numFmtId="0" fontId="0" fillId="0" borderId="0" xfId="0" applyAlignment="1">
      <alignment horizontal="center"/>
    </xf>
    <xf numFmtId="0" fontId="0" fillId="0" borderId="1" xfId="0" applyBorder="1"/>
    <xf numFmtId="0" fontId="0" fillId="3" borderId="1" xfId="0" applyFill="1" applyBorder="1"/>
    <xf numFmtId="0" fontId="0" fillId="4" borderId="1" xfId="0" applyFill="1" applyBorder="1"/>
    <xf numFmtId="0" fontId="57" fillId="0" borderId="0" xfId="0" applyFont="1"/>
    <xf numFmtId="0" fontId="56" fillId="0" borderId="0" xfId="0" applyFont="1"/>
    <xf numFmtId="0" fontId="59" fillId="0" borderId="0" xfId="0" applyFont="1" applyAlignment="1">
      <alignment vertical="center"/>
    </xf>
    <xf numFmtId="0" fontId="60" fillId="0" borderId="0" xfId="0" applyFont="1" applyBorder="1" applyAlignment="1">
      <alignment vertical="center"/>
    </xf>
    <xf numFmtId="0" fontId="41" fillId="0" borderId="0" xfId="3"/>
    <xf numFmtId="0" fontId="41" fillId="0" borderId="0" xfId="3" applyBorder="1"/>
    <xf numFmtId="0" fontId="61" fillId="0" borderId="0" xfId="0" applyFont="1" applyBorder="1" applyAlignment="1">
      <alignment vertical="center"/>
    </xf>
    <xf numFmtId="0" fontId="0" fillId="0" borderId="0" xfId="0" applyFill="1" applyBorder="1"/>
    <xf numFmtId="0" fontId="61" fillId="0" borderId="0" xfId="0" applyFont="1" applyAlignment="1">
      <alignment vertical="center"/>
    </xf>
    <xf numFmtId="0" fontId="60" fillId="0" borderId="0" xfId="0" applyFont="1" applyAlignment="1">
      <alignment vertical="center"/>
    </xf>
    <xf numFmtId="0" fontId="62" fillId="0" borderId="0" xfId="0" applyFont="1" applyAlignment="1">
      <alignment vertical="center"/>
    </xf>
    <xf numFmtId="0" fontId="63" fillId="0" borderId="0" xfId="0" applyFont="1" applyAlignment="1">
      <alignment horizontal="left" vertical="center" indent="5"/>
    </xf>
    <xf numFmtId="0" fontId="61" fillId="0" borderId="0" xfId="0" applyFont="1" applyAlignment="1">
      <alignment horizontal="left" vertical="center" indent="5"/>
    </xf>
    <xf numFmtId="0" fontId="64" fillId="0" borderId="0" xfId="0" applyFont="1" applyAlignment="1">
      <alignment vertical="center"/>
    </xf>
    <xf numFmtId="0" fontId="65" fillId="0" borderId="0" xfId="0" applyFont="1"/>
    <xf numFmtId="0" fontId="66" fillId="0" borderId="0" xfId="0" applyFont="1" applyAlignment="1">
      <alignment vertical="center"/>
    </xf>
    <xf numFmtId="0" fontId="67" fillId="0" borderId="0" xfId="0" applyFont="1" applyAlignment="1">
      <alignment horizontal="right"/>
    </xf>
    <xf numFmtId="0" fontId="65" fillId="0" borderId="0" xfId="0" applyFont="1" applyAlignment="1">
      <alignment horizontal="right"/>
    </xf>
    <xf numFmtId="0" fontId="68" fillId="0" borderId="0" xfId="3" applyFont="1"/>
    <xf numFmtId="0" fontId="0" fillId="0" borderId="0" xfId="0" applyAlignment="1">
      <alignment horizontal="right"/>
    </xf>
    <xf numFmtId="0" fontId="69" fillId="0" borderId="0" xfId="0" applyFont="1" applyAlignment="1">
      <alignment vertical="center"/>
    </xf>
    <xf numFmtId="0" fontId="0" fillId="0" borderId="0" xfId="0" applyFont="1"/>
    <xf numFmtId="0" fontId="70" fillId="0" borderId="0" xfId="0" applyFont="1" applyAlignment="1">
      <alignment vertical="center"/>
    </xf>
    <xf numFmtId="0" fontId="14" fillId="0" borderId="0" xfId="0" applyFont="1" applyAlignment="1">
      <alignment vertical="center"/>
    </xf>
    <xf numFmtId="0" fontId="71" fillId="0" borderId="0" xfId="0" applyFont="1" applyAlignment="1">
      <alignment vertical="center"/>
    </xf>
    <xf numFmtId="0" fontId="32" fillId="0" borderId="0" xfId="0" applyFont="1" applyAlignment="1">
      <alignment vertical="center"/>
    </xf>
    <xf numFmtId="0" fontId="72" fillId="0" borderId="0" xfId="3" applyFont="1"/>
    <xf numFmtId="0" fontId="73" fillId="0" borderId="0" xfId="0" applyFont="1"/>
    <xf numFmtId="0" fontId="74" fillId="0" borderId="0" xfId="0" applyFont="1"/>
    <xf numFmtId="0" fontId="75" fillId="0" borderId="0" xfId="0" applyFont="1" applyAlignment="1">
      <alignment vertical="center"/>
    </xf>
    <xf numFmtId="0" fontId="76" fillId="0" borderId="0" xfId="0" applyFont="1" applyAlignment="1">
      <alignment horizontal="left" vertical="center" indent="5"/>
    </xf>
    <xf numFmtId="0" fontId="64" fillId="0" borderId="0" xfId="0" applyFont="1" applyAlignment="1">
      <alignment horizontal="left" vertical="center" indent="5"/>
    </xf>
    <xf numFmtId="0" fontId="77" fillId="0" borderId="0" xfId="0" applyFont="1"/>
    <xf numFmtId="0" fontId="78" fillId="0" borderId="0" xfId="0" applyFont="1" applyAlignment="1">
      <alignment vertical="center"/>
    </xf>
    <xf numFmtId="0" fontId="63" fillId="0" borderId="0" xfId="0" applyFont="1" applyAlignment="1">
      <alignment horizontal="left" vertical="center" indent="6"/>
    </xf>
    <xf numFmtId="0" fontId="61" fillId="0" borderId="0" xfId="0" applyFont="1" applyAlignment="1">
      <alignment horizontal="left" vertical="center" indent="6"/>
    </xf>
    <xf numFmtId="0" fontId="48" fillId="0" borderId="0" xfId="0" applyFont="1" applyAlignment="1">
      <alignment horizontal="right"/>
    </xf>
    <xf numFmtId="0" fontId="0" fillId="0" borderId="0" xfId="0" applyAlignment="1">
      <alignment vertical="center"/>
    </xf>
    <xf numFmtId="0" fontId="79" fillId="0" borderId="0" xfId="0" applyFont="1" applyAlignment="1">
      <alignment vertical="center"/>
    </xf>
    <xf numFmtId="0" fontId="80" fillId="0" borderId="0" xfId="0" applyFont="1"/>
    <xf numFmtId="0" fontId="81" fillId="0" borderId="0" xfId="0" applyFont="1"/>
    <xf numFmtId="0" fontId="82" fillId="0" borderId="0" xfId="0" applyFont="1" applyAlignment="1">
      <alignment vertical="center"/>
    </xf>
    <xf numFmtId="0" fontId="80" fillId="0" borderId="0" xfId="0" applyFont="1" applyAlignment="1">
      <alignment vertical="center"/>
    </xf>
    <xf numFmtId="0" fontId="83" fillId="0" borderId="0" xfId="0" applyFont="1" applyAlignment="1">
      <alignment vertical="center"/>
    </xf>
    <xf numFmtId="0" fontId="39" fillId="2" borderId="0" xfId="1"/>
    <xf numFmtId="0" fontId="67" fillId="0" borderId="0" xfId="0" applyFont="1"/>
    <xf numFmtId="0" fontId="84" fillId="0" borderId="0" xfId="0" applyFont="1" applyAlignment="1">
      <alignment vertical="center"/>
    </xf>
    <xf numFmtId="0" fontId="56" fillId="5" borderId="0" xfId="0" applyFont="1" applyFill="1"/>
    <xf numFmtId="0" fontId="85" fillId="0" borderId="0" xfId="0" applyFont="1"/>
    <xf numFmtId="0" fontId="82" fillId="0" borderId="0" xfId="0" applyFont="1" applyAlignment="1">
      <alignment horizontal="center" vertical="center"/>
    </xf>
    <xf numFmtId="0" fontId="81" fillId="0" borderId="0" xfId="0" applyFont="1" applyBorder="1"/>
    <xf numFmtId="0" fontId="56" fillId="0" borderId="0" xfId="0" applyFont="1" applyBorder="1"/>
    <xf numFmtId="0" fontId="49" fillId="4" borderId="1" xfId="2" applyFont="1" applyFill="1" applyBorder="1"/>
    <xf numFmtId="0" fontId="61" fillId="4" borderId="1" xfId="0" applyFont="1" applyFill="1" applyBorder="1" applyAlignment="1">
      <alignment horizontal="center"/>
    </xf>
    <xf numFmtId="0" fontId="86" fillId="4" borderId="1" xfId="0" applyFont="1" applyFill="1" applyBorder="1" applyAlignment="1">
      <alignment horizontal="center" vertical="center"/>
    </xf>
    <xf numFmtId="0" fontId="4" fillId="4" borderId="1" xfId="0" applyFont="1" applyFill="1" applyBorder="1" applyAlignment="1">
      <alignment horizontal="center" vertical="center"/>
    </xf>
    <xf numFmtId="0" fontId="48" fillId="4" borderId="1" xfId="0" applyFont="1" applyFill="1" applyBorder="1" applyAlignment="1">
      <alignment horizontal="center" vertical="center"/>
    </xf>
    <xf numFmtId="166" fontId="0" fillId="3" borderId="1" xfId="0" applyNumberFormat="1" applyFill="1" applyBorder="1"/>
    <xf numFmtId="166" fontId="87" fillId="3" borderId="1" xfId="0" applyNumberFormat="1" applyFont="1" applyFill="1" applyBorder="1"/>
    <xf numFmtId="0" fontId="0" fillId="6" borderId="1" xfId="0" applyFont="1" applyFill="1" applyBorder="1"/>
    <xf numFmtId="0" fontId="0" fillId="0" borderId="1" xfId="0" applyFont="1" applyBorder="1"/>
    <xf numFmtId="0" fontId="0" fillId="6" borderId="1" xfId="0" applyFill="1" applyBorder="1"/>
    <xf numFmtId="0" fontId="0" fillId="4" borderId="1" xfId="0" applyFont="1" applyFill="1" applyBorder="1"/>
    <xf numFmtId="0" fontId="0" fillId="0" borderId="0" xfId="0" applyFont="1" applyFill="1" applyBorder="1"/>
    <xf numFmtId="0" fontId="0" fillId="0" borderId="0" xfId="0" applyFont="1" applyBorder="1"/>
    <xf numFmtId="0" fontId="0" fillId="6" borderId="1" xfId="0" applyFill="1" applyBorder="1" applyAlignment="1">
      <alignment vertical="center"/>
    </xf>
    <xf numFmtId="0" fontId="0" fillId="0" borderId="1" xfId="0" applyBorder="1" applyAlignment="1">
      <alignment vertical="center"/>
    </xf>
    <xf numFmtId="0" fontId="0" fillId="4" borderId="1" xfId="0" applyFill="1" applyBorder="1" applyAlignment="1">
      <alignment vertical="center"/>
    </xf>
    <xf numFmtId="2" fontId="0" fillId="3" borderId="1" xfId="0" applyNumberFormat="1" applyFill="1" applyBorder="1"/>
    <xf numFmtId="0" fontId="0" fillId="5" borderId="0" xfId="0" applyFill="1"/>
    <xf numFmtId="166" fontId="0" fillId="0" borderId="0" xfId="0" applyNumberFormat="1" applyAlignment="1"/>
    <xf numFmtId="0" fontId="42" fillId="5" borderId="0" xfId="0" applyFont="1" applyFill="1" applyAlignment="1" applyProtection="1">
      <alignment horizontal="center" vertical="center"/>
    </xf>
    <xf numFmtId="0" fontId="42" fillId="5" borderId="0" xfId="0" applyFont="1" applyFill="1" applyAlignment="1" applyProtection="1">
      <alignment horizontal="right" vertical="center"/>
    </xf>
    <xf numFmtId="0" fontId="50" fillId="5" borderId="0" xfId="0" applyFont="1" applyFill="1" applyAlignment="1" applyProtection="1">
      <alignment vertical="top" wrapText="1"/>
    </xf>
    <xf numFmtId="0" fontId="43" fillId="5" borderId="0" xfId="0" applyFont="1" applyFill="1" applyAlignment="1" applyProtection="1">
      <alignment vertical="center" wrapText="1"/>
    </xf>
    <xf numFmtId="0" fontId="42" fillId="5" borderId="0" xfId="0" applyFont="1" applyFill="1" applyAlignment="1" applyProtection="1">
      <alignment vertical="center"/>
    </xf>
    <xf numFmtId="0" fontId="49" fillId="5" borderId="0" xfId="0" applyFont="1" applyFill="1" applyBorder="1" applyAlignment="1" applyProtection="1">
      <alignment vertical="center"/>
    </xf>
    <xf numFmtId="0" fontId="44" fillId="5" borderId="1" xfId="0" applyFont="1" applyFill="1" applyBorder="1" applyAlignment="1" applyProtection="1">
      <alignment horizontal="center" vertical="center"/>
    </xf>
    <xf numFmtId="0" fontId="42" fillId="5" borderId="0" xfId="0" applyFont="1" applyFill="1" applyBorder="1" applyAlignment="1" applyProtection="1">
      <alignment vertical="center"/>
    </xf>
    <xf numFmtId="0" fontId="42" fillId="5" borderId="1" xfId="0" applyFont="1" applyFill="1" applyBorder="1" applyAlignment="1" applyProtection="1">
      <alignment horizontal="center" vertical="center"/>
      <protection locked="0"/>
    </xf>
    <xf numFmtId="0" fontId="42" fillId="5" borderId="1" xfId="0" applyFont="1" applyFill="1" applyBorder="1" applyAlignment="1" applyProtection="1">
      <alignment horizontal="center" vertical="center"/>
    </xf>
    <xf numFmtId="164" fontId="42" fillId="5" borderId="1" xfId="0" applyNumberFormat="1" applyFont="1" applyFill="1" applyBorder="1" applyAlignment="1" applyProtection="1">
      <alignment horizontal="center" vertical="center"/>
    </xf>
    <xf numFmtId="49" fontId="42" fillId="5" borderId="1" xfId="0" applyNumberFormat="1" applyFont="1" applyFill="1" applyBorder="1" applyAlignment="1" applyProtection="1">
      <alignment horizontal="center" vertical="center"/>
    </xf>
    <xf numFmtId="164" fontId="42" fillId="5" borderId="1" xfId="0" applyNumberFormat="1" applyFont="1" applyFill="1" applyBorder="1" applyAlignment="1" applyProtection="1">
      <alignment horizontal="center" vertical="center"/>
      <protection locked="0"/>
    </xf>
    <xf numFmtId="0" fontId="45" fillId="5" borderId="0" xfId="0" applyFont="1" applyFill="1" applyAlignment="1" applyProtection="1">
      <alignment horizontal="right" vertical="center"/>
    </xf>
    <xf numFmtId="0" fontId="48" fillId="5" borderId="0" xfId="0" applyFont="1" applyFill="1" applyAlignment="1" applyProtection="1">
      <alignment horizontal="center" vertical="center"/>
    </xf>
    <xf numFmtId="0" fontId="44" fillId="5" borderId="0" xfId="0" applyFont="1" applyFill="1" applyAlignment="1" applyProtection="1">
      <alignment horizontal="center" vertical="center"/>
    </xf>
    <xf numFmtId="0" fontId="46" fillId="5" borderId="0" xfId="0" applyFont="1" applyFill="1" applyAlignment="1" applyProtection="1">
      <alignment horizontal="center" vertical="center"/>
    </xf>
    <xf numFmtId="0" fontId="45" fillId="5" borderId="0" xfId="0" applyFont="1" applyFill="1" applyAlignment="1" applyProtection="1">
      <alignment vertical="center"/>
    </xf>
    <xf numFmtId="0" fontId="47" fillId="5" borderId="0" xfId="0" applyFont="1" applyFill="1" applyAlignment="1" applyProtection="1">
      <alignment horizontal="center" vertical="center"/>
    </xf>
    <xf numFmtId="0" fontId="42" fillId="5" borderId="0" xfId="0" applyFont="1" applyFill="1" applyAlignment="1" applyProtection="1">
      <alignment horizontal="left" vertical="center"/>
    </xf>
    <xf numFmtId="0" fontId="53" fillId="5" borderId="1" xfId="0" applyFont="1" applyFill="1" applyBorder="1" applyAlignment="1" applyProtection="1">
      <alignment horizontal="right" vertical="center"/>
    </xf>
    <xf numFmtId="0" fontId="55" fillId="5" borderId="1" xfId="0" applyFont="1" applyFill="1" applyBorder="1" applyAlignment="1" applyProtection="1">
      <alignment horizontal="center" vertical="center"/>
    </xf>
    <xf numFmtId="0" fontId="42" fillId="5" borderId="1" xfId="0" applyFont="1" applyFill="1" applyBorder="1" applyAlignment="1" applyProtection="1">
      <alignment horizontal="right" vertical="center"/>
    </xf>
    <xf numFmtId="11" fontId="42" fillId="5" borderId="1" xfId="0" applyNumberFormat="1" applyFont="1" applyFill="1" applyBorder="1" applyAlignment="1" applyProtection="1">
      <alignment horizontal="center" vertical="center"/>
    </xf>
    <xf numFmtId="0" fontId="55" fillId="5" borderId="1" xfId="0" applyFont="1" applyFill="1" applyBorder="1" applyAlignment="1" applyProtection="1">
      <alignment horizontal="left" vertical="center" wrapText="1"/>
    </xf>
    <xf numFmtId="0" fontId="42" fillId="5" borderId="1" xfId="0" applyFont="1" applyFill="1" applyBorder="1" applyAlignment="1" applyProtection="1">
      <alignment horizontal="left" vertical="center"/>
    </xf>
    <xf numFmtId="0" fontId="49" fillId="5" borderId="1" xfId="0" applyFont="1" applyFill="1" applyBorder="1" applyAlignment="1" applyProtection="1">
      <alignment horizontal="right" vertical="center"/>
    </xf>
    <xf numFmtId="0" fontId="42" fillId="5" borderId="1" xfId="0" applyFont="1" applyFill="1" applyBorder="1" applyAlignment="1" applyProtection="1">
      <alignment horizontal="left" vertical="center" wrapText="1"/>
    </xf>
    <xf numFmtId="0" fontId="42" fillId="5" borderId="2" xfId="0" applyFont="1" applyFill="1" applyBorder="1" applyAlignment="1" applyProtection="1">
      <alignment horizontal="center" vertical="center"/>
    </xf>
    <xf numFmtId="0" fontId="52" fillId="5" borderId="1" xfId="0" applyFont="1" applyFill="1" applyBorder="1" applyAlignment="1" applyProtection="1">
      <alignment horizontal="center" vertical="center"/>
    </xf>
    <xf numFmtId="0" fontId="42" fillId="5" borderId="0" xfId="0" applyFont="1" applyFill="1" applyBorder="1" applyAlignment="1" applyProtection="1">
      <alignment horizontal="center" vertical="center"/>
    </xf>
    <xf numFmtId="0" fontId="42" fillId="5" borderId="0" xfId="0" applyFont="1" applyFill="1" applyBorder="1" applyAlignment="1" applyProtection="1">
      <alignment horizontal="right" vertical="center"/>
    </xf>
    <xf numFmtId="0" fontId="42" fillId="5" borderId="0" xfId="0" applyFont="1" applyFill="1" applyBorder="1" applyAlignment="1" applyProtection="1">
      <alignment horizontal="left" vertical="center" wrapText="1"/>
    </xf>
    <xf numFmtId="164" fontId="42" fillId="5" borderId="0" xfId="0" applyNumberFormat="1" applyFont="1" applyFill="1" applyBorder="1" applyAlignment="1" applyProtection="1">
      <alignment horizontal="center" vertical="center"/>
    </xf>
    <xf numFmtId="0" fontId="0" fillId="5" borderId="0" xfId="0" applyFill="1" applyBorder="1"/>
    <xf numFmtId="164" fontId="42" fillId="5" borderId="0" xfId="0" applyNumberFormat="1" applyFont="1" applyFill="1" applyAlignment="1" applyProtection="1">
      <alignment horizontal="center" vertical="center"/>
    </xf>
    <xf numFmtId="164" fontId="42" fillId="5" borderId="0" xfId="0" applyNumberFormat="1" applyFont="1" applyFill="1" applyAlignment="1" applyProtection="1">
      <alignment horizontal="center" vertical="center"/>
      <protection locked="0"/>
    </xf>
    <xf numFmtId="0" fontId="54" fillId="5" borderId="1" xfId="0" applyFont="1" applyFill="1" applyBorder="1" applyAlignment="1" applyProtection="1">
      <alignment horizontal="left" vertical="center" wrapText="1"/>
    </xf>
    <xf numFmtId="0" fontId="49" fillId="5" borderId="1" xfId="0" applyFont="1" applyFill="1" applyBorder="1" applyAlignment="1" applyProtection="1">
      <alignment horizontal="center" vertical="center"/>
    </xf>
    <xf numFmtId="0" fontId="42" fillId="5" borderId="1" xfId="0" quotePrefix="1" applyFont="1" applyFill="1" applyBorder="1" applyAlignment="1" applyProtection="1">
      <alignment horizontal="left" vertical="center" wrapText="1"/>
    </xf>
    <xf numFmtId="0" fontId="53" fillId="5" borderId="1" xfId="0" applyFont="1" applyFill="1" applyBorder="1" applyAlignment="1" applyProtection="1">
      <alignment horizontal="right" vertical="center" wrapText="1"/>
    </xf>
    <xf numFmtId="0" fontId="42" fillId="5" borderId="0" xfId="0" applyFont="1" applyFill="1" applyBorder="1" applyAlignment="1" applyProtection="1">
      <alignment horizontal="left" vertical="center"/>
    </xf>
    <xf numFmtId="0" fontId="42" fillId="5" borderId="3" xfId="0" applyFont="1" applyFill="1" applyBorder="1" applyAlignment="1" applyProtection="1">
      <alignment horizontal="center" vertical="center"/>
    </xf>
    <xf numFmtId="0" fontId="42" fillId="5" borderId="0" xfId="0" applyFont="1" applyFill="1" applyAlignment="1" applyProtection="1">
      <alignment horizontal="left" vertical="center" wrapText="1"/>
    </xf>
    <xf numFmtId="0" fontId="51" fillId="5" borderId="1" xfId="0" applyFont="1" applyFill="1" applyBorder="1" applyAlignment="1" applyProtection="1">
      <alignment horizontal="right" vertical="center"/>
    </xf>
    <xf numFmtId="164" fontId="14" fillId="5" borderId="1" xfId="0" applyNumberFormat="1" applyFont="1" applyFill="1" applyBorder="1" applyAlignment="1" applyProtection="1">
      <alignment horizontal="center" vertical="center"/>
    </xf>
    <xf numFmtId="0" fontId="45" fillId="5" borderId="1" xfId="0" applyFont="1" applyFill="1" applyBorder="1" applyAlignment="1" applyProtection="1">
      <alignment horizontal="right" vertical="center"/>
    </xf>
    <xf numFmtId="0" fontId="50" fillId="5" borderId="5" xfId="0" applyFont="1" applyFill="1" applyBorder="1" applyAlignment="1" applyProtection="1">
      <alignment horizontal="center" vertical="top" wrapText="1"/>
    </xf>
    <xf numFmtId="0" fontId="50" fillId="5" borderId="6" xfId="0" applyFont="1" applyFill="1" applyBorder="1" applyAlignment="1" applyProtection="1">
      <alignment horizontal="center" vertical="top" wrapText="1"/>
    </xf>
    <xf numFmtId="0" fontId="50" fillId="5" borderId="7" xfId="0" applyFont="1" applyFill="1" applyBorder="1" applyAlignment="1" applyProtection="1">
      <alignment horizontal="center" vertical="top" wrapText="1"/>
    </xf>
    <xf numFmtId="0" fontId="50" fillId="5" borderId="8" xfId="0" applyFont="1" applyFill="1" applyBorder="1" applyAlignment="1" applyProtection="1">
      <alignment horizontal="center" vertical="top" wrapText="1"/>
    </xf>
    <xf numFmtId="0" fontId="50" fillId="5" borderId="9" xfId="0" applyFont="1" applyFill="1" applyBorder="1" applyAlignment="1" applyProtection="1">
      <alignment horizontal="center" vertical="top" wrapText="1"/>
    </xf>
    <xf numFmtId="0" fontId="50" fillId="5" borderId="10" xfId="0" applyFont="1" applyFill="1" applyBorder="1" applyAlignment="1" applyProtection="1">
      <alignment horizontal="center" vertical="top" wrapText="1"/>
    </xf>
    <xf numFmtId="0" fontId="50" fillId="5" borderId="2" xfId="0" applyFont="1" applyFill="1" applyBorder="1" applyAlignment="1" applyProtection="1">
      <alignment horizontal="center" vertical="top" wrapText="1"/>
    </xf>
    <xf numFmtId="0" fontId="50" fillId="5" borderId="11" xfId="0" applyFont="1" applyFill="1" applyBorder="1" applyAlignment="1" applyProtection="1">
      <alignment horizontal="center" vertical="top" wrapText="1"/>
    </xf>
    <xf numFmtId="0" fontId="50" fillId="5" borderId="3" xfId="0" applyFont="1" applyFill="1" applyBorder="1" applyAlignment="1" applyProtection="1">
      <alignment horizontal="center" vertical="top" wrapText="1"/>
    </xf>
    <xf numFmtId="0" fontId="88" fillId="5" borderId="1" xfId="0" applyFont="1" applyFill="1" applyBorder="1" applyAlignment="1" applyProtection="1">
      <alignment horizontal="center" vertical="center"/>
    </xf>
    <xf numFmtId="0" fontId="61" fillId="0" borderId="0" xfId="0" applyFont="1" applyBorder="1" applyAlignment="1">
      <alignment horizontal="center" vertical="center"/>
    </xf>
    <xf numFmtId="0" fontId="89" fillId="0" borderId="0" xfId="0" applyFont="1" applyAlignment="1">
      <alignment horizontal="center"/>
    </xf>
    <xf numFmtId="0" fontId="0" fillId="0" borderId="2" xfId="0" applyBorder="1" applyAlignment="1">
      <alignment horizontal="center"/>
    </xf>
    <xf numFmtId="0" fontId="0" fillId="0" borderId="11" xfId="0" applyBorder="1" applyAlignment="1">
      <alignment horizontal="center"/>
    </xf>
    <xf numFmtId="0" fontId="0" fillId="0" borderId="3" xfId="0" applyBorder="1" applyAlignment="1">
      <alignment horizontal="center"/>
    </xf>
    <xf numFmtId="0" fontId="58" fillId="0" borderId="1" xfId="0" applyFont="1" applyBorder="1" applyAlignment="1">
      <alignment horizontal="center" vertical="center"/>
    </xf>
    <xf numFmtId="0" fontId="58" fillId="0" borderId="12" xfId="0" applyFont="1" applyBorder="1" applyAlignment="1">
      <alignment horizontal="center" vertical="center"/>
    </xf>
    <xf numFmtId="0" fontId="58" fillId="0" borderId="4" xfId="0" applyFont="1" applyBorder="1" applyAlignment="1">
      <alignment horizontal="center" vertical="center"/>
    </xf>
    <xf numFmtId="0" fontId="58" fillId="0" borderId="13" xfId="0" applyFont="1" applyBorder="1" applyAlignment="1">
      <alignment horizontal="center" vertical="center"/>
    </xf>
    <xf numFmtId="0" fontId="58" fillId="0" borderId="12" xfId="0" applyFont="1" applyBorder="1" applyAlignment="1">
      <alignment vertical="center"/>
    </xf>
    <xf numFmtId="0" fontId="58" fillId="0" borderId="4" xfId="0" applyFont="1" applyBorder="1" applyAlignment="1">
      <alignment vertical="center"/>
    </xf>
    <xf numFmtId="0" fontId="58" fillId="0" borderId="13" xfId="0" applyFont="1" applyBorder="1" applyAlignment="1">
      <alignment vertical="center"/>
    </xf>
    <xf numFmtId="0" fontId="0" fillId="0" borderId="2" xfId="0" applyBorder="1" applyAlignment="1">
      <alignment vertical="center"/>
    </xf>
    <xf numFmtId="0" fontId="0" fillId="0" borderId="11" xfId="0" applyBorder="1" applyAlignment="1">
      <alignment vertical="center"/>
    </xf>
    <xf numFmtId="0" fontId="0" fillId="0" borderId="3" xfId="0" applyBorder="1" applyAlignment="1">
      <alignment vertical="center"/>
    </xf>
    <xf numFmtId="0" fontId="48" fillId="0" borderId="12" xfId="0" applyFont="1" applyBorder="1" applyAlignment="1">
      <alignment horizontal="center" vertical="center"/>
    </xf>
    <xf numFmtId="0" fontId="48" fillId="0" borderId="4" xfId="0" applyFont="1" applyBorder="1" applyAlignment="1">
      <alignment horizontal="center" vertical="center"/>
    </xf>
    <xf numFmtId="0" fontId="48" fillId="0" borderId="13" xfId="0" applyFont="1" applyBorder="1" applyAlignment="1">
      <alignment horizontal="center" vertical="center"/>
    </xf>
    <xf numFmtId="0" fontId="48" fillId="0" borderId="1" xfId="0" applyFont="1" applyBorder="1" applyAlignment="1">
      <alignment horizontal="center" vertical="center"/>
    </xf>
    <xf numFmtId="0" fontId="0" fillId="0" borderId="2" xfId="0" applyFont="1" applyBorder="1" applyAlignment="1">
      <alignment horizontal="center"/>
    </xf>
    <xf numFmtId="0" fontId="0" fillId="0" borderId="11" xfId="0" applyFont="1" applyBorder="1" applyAlignment="1">
      <alignment horizontal="center"/>
    </xf>
    <xf numFmtId="0" fontId="0" fillId="0" borderId="3" xfId="0" applyFont="1" applyBorder="1" applyAlignment="1">
      <alignment horizontal="center"/>
    </xf>
    <xf numFmtId="0" fontId="61" fillId="4" borderId="12" xfId="0" applyFont="1" applyFill="1" applyBorder="1" applyAlignment="1">
      <alignment horizontal="center" vertical="center"/>
    </xf>
    <xf numFmtId="0" fontId="61" fillId="4" borderId="13" xfId="0" applyFont="1" applyFill="1" applyBorder="1" applyAlignment="1">
      <alignment horizontal="center" vertical="center"/>
    </xf>
    <xf numFmtId="0" fontId="0" fillId="4" borderId="12" xfId="0" applyFont="1" applyFill="1" applyBorder="1" applyAlignment="1">
      <alignment horizontal="center" vertical="center" wrapText="1"/>
    </xf>
    <xf numFmtId="0" fontId="0" fillId="4" borderId="13" xfId="0" applyFont="1" applyFill="1" applyBorder="1" applyAlignment="1">
      <alignment horizontal="center" vertical="center" wrapText="1"/>
    </xf>
    <xf numFmtId="0" fontId="14" fillId="4" borderId="2" xfId="0" applyFont="1" applyFill="1" applyBorder="1" applyAlignment="1">
      <alignment horizontal="center"/>
    </xf>
    <xf numFmtId="0" fontId="14" fillId="4" borderId="3" xfId="0" applyFont="1" applyFill="1" applyBorder="1" applyAlignment="1">
      <alignment horizontal="center"/>
    </xf>
  </cellXfs>
  <cellStyles count="4">
    <cellStyle name="40% - Accent1" xfId="1" builtinId="31"/>
    <cellStyle name="Heading 1" xfId="2" builtinId="1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5.png"/><Relationship Id="rId18" Type="http://schemas.openxmlformats.org/officeDocument/2006/relationships/image" Target="../media/image20.png"/><Relationship Id="rId26" Type="http://schemas.openxmlformats.org/officeDocument/2006/relationships/image" Target="../media/image28.png"/><Relationship Id="rId39" Type="http://schemas.openxmlformats.org/officeDocument/2006/relationships/image" Target="../media/image41.png"/><Relationship Id="rId21" Type="http://schemas.openxmlformats.org/officeDocument/2006/relationships/image" Target="../media/image23.png"/><Relationship Id="rId34" Type="http://schemas.openxmlformats.org/officeDocument/2006/relationships/image" Target="../media/image36.png"/><Relationship Id="rId42" Type="http://schemas.openxmlformats.org/officeDocument/2006/relationships/image" Target="../media/image44.png"/><Relationship Id="rId47" Type="http://schemas.openxmlformats.org/officeDocument/2006/relationships/image" Target="../media/image49.png"/><Relationship Id="rId7" Type="http://schemas.openxmlformats.org/officeDocument/2006/relationships/image" Target="../media/image9.png"/><Relationship Id="rId2" Type="http://schemas.openxmlformats.org/officeDocument/2006/relationships/image" Target="../media/image4.png"/><Relationship Id="rId16" Type="http://schemas.openxmlformats.org/officeDocument/2006/relationships/image" Target="../media/image18.png"/><Relationship Id="rId29" Type="http://schemas.openxmlformats.org/officeDocument/2006/relationships/image" Target="../media/image31.png"/><Relationship Id="rId1" Type="http://schemas.openxmlformats.org/officeDocument/2006/relationships/image" Target="../media/image3.wmf"/><Relationship Id="rId6" Type="http://schemas.openxmlformats.org/officeDocument/2006/relationships/image" Target="../media/image8.png"/><Relationship Id="rId11" Type="http://schemas.openxmlformats.org/officeDocument/2006/relationships/image" Target="../media/image13.png"/><Relationship Id="rId24" Type="http://schemas.openxmlformats.org/officeDocument/2006/relationships/image" Target="../media/image26.png"/><Relationship Id="rId32" Type="http://schemas.openxmlformats.org/officeDocument/2006/relationships/image" Target="../media/image34.png"/><Relationship Id="rId37" Type="http://schemas.openxmlformats.org/officeDocument/2006/relationships/image" Target="../media/image39.png"/><Relationship Id="rId40" Type="http://schemas.openxmlformats.org/officeDocument/2006/relationships/image" Target="../media/image42.png"/><Relationship Id="rId45" Type="http://schemas.openxmlformats.org/officeDocument/2006/relationships/image" Target="../media/image47.png"/><Relationship Id="rId5" Type="http://schemas.openxmlformats.org/officeDocument/2006/relationships/image" Target="../media/image7.png"/><Relationship Id="rId15" Type="http://schemas.openxmlformats.org/officeDocument/2006/relationships/image" Target="../media/image17.png"/><Relationship Id="rId23" Type="http://schemas.openxmlformats.org/officeDocument/2006/relationships/image" Target="../media/image25.png"/><Relationship Id="rId28" Type="http://schemas.openxmlformats.org/officeDocument/2006/relationships/image" Target="../media/image30.png"/><Relationship Id="rId36" Type="http://schemas.openxmlformats.org/officeDocument/2006/relationships/image" Target="../media/image38.png"/><Relationship Id="rId10" Type="http://schemas.openxmlformats.org/officeDocument/2006/relationships/image" Target="../media/image12.png"/><Relationship Id="rId19" Type="http://schemas.openxmlformats.org/officeDocument/2006/relationships/image" Target="../media/image21.png"/><Relationship Id="rId31" Type="http://schemas.openxmlformats.org/officeDocument/2006/relationships/image" Target="../media/image33.png"/><Relationship Id="rId44" Type="http://schemas.openxmlformats.org/officeDocument/2006/relationships/image" Target="../media/image46.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 Id="rId22" Type="http://schemas.openxmlformats.org/officeDocument/2006/relationships/image" Target="../media/image24.png"/><Relationship Id="rId27" Type="http://schemas.openxmlformats.org/officeDocument/2006/relationships/image" Target="../media/image29.png"/><Relationship Id="rId30" Type="http://schemas.openxmlformats.org/officeDocument/2006/relationships/image" Target="../media/image32.png"/><Relationship Id="rId35" Type="http://schemas.openxmlformats.org/officeDocument/2006/relationships/image" Target="../media/image37.png"/><Relationship Id="rId43" Type="http://schemas.openxmlformats.org/officeDocument/2006/relationships/image" Target="../media/image45.png"/><Relationship Id="rId8" Type="http://schemas.openxmlformats.org/officeDocument/2006/relationships/image" Target="../media/image10.png"/><Relationship Id="rId3" Type="http://schemas.openxmlformats.org/officeDocument/2006/relationships/image" Target="../media/image5.png"/><Relationship Id="rId12" Type="http://schemas.openxmlformats.org/officeDocument/2006/relationships/image" Target="../media/image14.png"/><Relationship Id="rId17" Type="http://schemas.openxmlformats.org/officeDocument/2006/relationships/image" Target="../media/image19.png"/><Relationship Id="rId25" Type="http://schemas.openxmlformats.org/officeDocument/2006/relationships/image" Target="../media/image27.png"/><Relationship Id="rId33" Type="http://schemas.openxmlformats.org/officeDocument/2006/relationships/image" Target="../media/image35.png"/><Relationship Id="rId38" Type="http://schemas.openxmlformats.org/officeDocument/2006/relationships/image" Target="../media/image40.png"/><Relationship Id="rId46" Type="http://schemas.openxmlformats.org/officeDocument/2006/relationships/image" Target="../media/image48.png"/><Relationship Id="rId20" Type="http://schemas.openxmlformats.org/officeDocument/2006/relationships/image" Target="../media/image22.png"/><Relationship Id="rId41" Type="http://schemas.openxmlformats.org/officeDocument/2006/relationships/image" Target="../media/image43.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3</xdr:col>
      <xdr:colOff>371475</xdr:colOff>
      <xdr:row>18</xdr:row>
      <xdr:rowOff>0</xdr:rowOff>
    </xdr:from>
    <xdr:to>
      <xdr:col>4</xdr:col>
      <xdr:colOff>409575</xdr:colOff>
      <xdr:row>19</xdr:row>
      <xdr:rowOff>161925</xdr:rowOff>
    </xdr:to>
    <xdr:pic>
      <xdr:nvPicPr>
        <xdr:cNvPr id="6147" name="Picture 1">
          <a:extLst>
            <a:ext uri="{FF2B5EF4-FFF2-40B4-BE49-F238E27FC236}">
              <a16:creationId xmlns:a16="http://schemas.microsoft.com/office/drawing/2014/main" xmlns="" id="{00000000-0008-0000-0900-0000031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43150" y="3619500"/>
          <a:ext cx="647700" cy="400050"/>
        </a:xfrm>
        <a:prstGeom prst="rect">
          <a:avLst/>
        </a:prstGeom>
        <a:noFill/>
        <a:ln w="9525">
          <a:noFill/>
          <a:miter lim="800000"/>
          <a:headEnd/>
          <a:tailEnd/>
        </a:ln>
      </xdr:spPr>
    </xdr:pic>
    <xdr:clientData/>
  </xdr:twoCellAnchor>
  <xdr:twoCellAnchor>
    <xdr:from>
      <xdr:col>1</xdr:col>
      <xdr:colOff>228600</xdr:colOff>
      <xdr:row>31</xdr:row>
      <xdr:rowOff>114300</xdr:rowOff>
    </xdr:from>
    <xdr:to>
      <xdr:col>2</xdr:col>
      <xdr:colOff>95250</xdr:colOff>
      <xdr:row>33</xdr:row>
      <xdr:rowOff>95250</xdr:rowOff>
    </xdr:to>
    <xdr:pic>
      <xdr:nvPicPr>
        <xdr:cNvPr id="6148" name="Picture 2">
          <a:extLst>
            <a:ext uri="{FF2B5EF4-FFF2-40B4-BE49-F238E27FC236}">
              <a16:creationId xmlns:a16="http://schemas.microsoft.com/office/drawing/2014/main" xmlns="" id="{00000000-0008-0000-0900-00000418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838200" y="6524625"/>
          <a:ext cx="476250" cy="371475"/>
        </a:xfrm>
        <a:prstGeom prst="rect">
          <a:avLst/>
        </a:prstGeom>
        <a:noFill/>
        <a:ln w="9525">
          <a:noFill/>
          <a:miter lim="800000"/>
          <a:headEnd/>
          <a:tailEnd/>
        </a:ln>
      </xdr:spPr>
    </xdr:pic>
    <xdr:clientData/>
  </xdr:twoCellAnchor>
  <xdr:twoCellAnchor>
    <xdr:from>
      <xdr:col>2</xdr:col>
      <xdr:colOff>47625</xdr:colOff>
      <xdr:row>37</xdr:row>
      <xdr:rowOff>123825</xdr:rowOff>
    </xdr:from>
    <xdr:to>
      <xdr:col>4</xdr:col>
      <xdr:colOff>342900</xdr:colOff>
      <xdr:row>39</xdr:row>
      <xdr:rowOff>142875</xdr:rowOff>
    </xdr:to>
    <xdr:pic>
      <xdr:nvPicPr>
        <xdr:cNvPr id="6149" name="Picture 3">
          <a:extLst>
            <a:ext uri="{FF2B5EF4-FFF2-40B4-BE49-F238E27FC236}">
              <a16:creationId xmlns:a16="http://schemas.microsoft.com/office/drawing/2014/main" xmlns="" id="{00000000-0008-0000-0900-00000518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blip>
        <a:srcRect/>
        <a:stretch>
          <a:fillRect/>
        </a:stretch>
      </xdr:blipFill>
      <xdr:spPr bwMode="auto">
        <a:xfrm>
          <a:off x="1266825" y="7753350"/>
          <a:ext cx="1657350" cy="447675"/>
        </a:xfrm>
        <a:prstGeom prst="rect">
          <a:avLst/>
        </a:prstGeom>
        <a:noFill/>
        <a:ln w="9525">
          <a:noFill/>
          <a:miter lim="800000"/>
          <a:headEnd/>
          <a:tailEnd/>
        </a:ln>
      </xdr:spPr>
    </xdr:pic>
    <xdr:clientData/>
  </xdr:twoCellAnchor>
  <xdr:twoCellAnchor>
    <xdr:from>
      <xdr:col>3</xdr:col>
      <xdr:colOff>180975</xdr:colOff>
      <xdr:row>62</xdr:row>
      <xdr:rowOff>114300</xdr:rowOff>
    </xdr:from>
    <xdr:to>
      <xdr:col>4</xdr:col>
      <xdr:colOff>514350</xdr:colOff>
      <xdr:row>64</xdr:row>
      <xdr:rowOff>85725</xdr:rowOff>
    </xdr:to>
    <xdr:pic>
      <xdr:nvPicPr>
        <xdr:cNvPr id="6150" name="Picture 6">
          <a:extLst>
            <a:ext uri="{FF2B5EF4-FFF2-40B4-BE49-F238E27FC236}">
              <a16:creationId xmlns:a16="http://schemas.microsoft.com/office/drawing/2014/main" xmlns="" id="{00000000-0008-0000-0900-000006180000}"/>
            </a:ext>
          </a:extLst>
        </xdr:cNvPr>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2152650" y="12992100"/>
          <a:ext cx="942975" cy="352425"/>
        </a:xfrm>
        <a:prstGeom prst="rect">
          <a:avLst/>
        </a:prstGeom>
        <a:noFill/>
        <a:ln w="9525">
          <a:noFill/>
          <a:miter lim="800000"/>
          <a:headEnd/>
          <a:tailEnd/>
        </a:ln>
      </xdr:spPr>
    </xdr:pic>
    <xdr:clientData/>
  </xdr:twoCellAnchor>
  <xdr:twoCellAnchor>
    <xdr:from>
      <xdr:col>3</xdr:col>
      <xdr:colOff>180975</xdr:colOff>
      <xdr:row>61</xdr:row>
      <xdr:rowOff>19050</xdr:rowOff>
    </xdr:from>
    <xdr:to>
      <xdr:col>5</xdr:col>
      <xdr:colOff>171450</xdr:colOff>
      <xdr:row>62</xdr:row>
      <xdr:rowOff>19050</xdr:rowOff>
    </xdr:to>
    <xdr:pic>
      <xdr:nvPicPr>
        <xdr:cNvPr id="6151" name="Picture 7">
          <a:extLst>
            <a:ext uri="{FF2B5EF4-FFF2-40B4-BE49-F238E27FC236}">
              <a16:creationId xmlns:a16="http://schemas.microsoft.com/office/drawing/2014/main" xmlns="" id="{00000000-0008-0000-0900-000007180000}"/>
            </a:ext>
          </a:extLst>
        </xdr:cNvPr>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2152650" y="12696825"/>
          <a:ext cx="1209675" cy="200025"/>
        </a:xfrm>
        <a:prstGeom prst="rect">
          <a:avLst/>
        </a:prstGeom>
        <a:noFill/>
        <a:ln w="9525">
          <a:noFill/>
          <a:miter lim="800000"/>
          <a:headEnd/>
          <a:tailEnd/>
        </a:ln>
      </xdr:spPr>
    </xdr:pic>
    <xdr:clientData/>
  </xdr:twoCellAnchor>
  <xdr:twoCellAnchor>
    <xdr:from>
      <xdr:col>2</xdr:col>
      <xdr:colOff>352425</xdr:colOff>
      <xdr:row>124</xdr:row>
      <xdr:rowOff>9525</xdr:rowOff>
    </xdr:from>
    <xdr:to>
      <xdr:col>3</xdr:col>
      <xdr:colOff>0</xdr:colOff>
      <xdr:row>125</xdr:row>
      <xdr:rowOff>19050</xdr:rowOff>
    </xdr:to>
    <xdr:pic>
      <xdr:nvPicPr>
        <xdr:cNvPr id="6152" name="Picture 8">
          <a:extLst>
            <a:ext uri="{FF2B5EF4-FFF2-40B4-BE49-F238E27FC236}">
              <a16:creationId xmlns:a16="http://schemas.microsoft.com/office/drawing/2014/main" xmlns="" id="{00000000-0008-0000-0900-000008180000}"/>
            </a:ext>
          </a:extLst>
        </xdr:cNvPr>
        <xdr:cNvPicPr>
          <a:picLocks noChangeAspect="1" noChangeArrowheads="1"/>
        </xdr:cNvPicPr>
      </xdr:nvPicPr>
      <xdr:blipFill>
        <a:blip xmlns:r="http://schemas.openxmlformats.org/officeDocument/2006/relationships" r:embed="rId6" cstate="print">
          <a:clrChange>
            <a:clrFrom>
              <a:srgbClr val="FFFFFF"/>
            </a:clrFrom>
            <a:clrTo>
              <a:srgbClr val="FFFFFF">
                <a:alpha val="0"/>
              </a:srgbClr>
            </a:clrTo>
          </a:clrChange>
        </a:blip>
        <a:srcRect/>
        <a:stretch>
          <a:fillRect/>
        </a:stretch>
      </xdr:blipFill>
      <xdr:spPr bwMode="auto">
        <a:xfrm>
          <a:off x="1571625" y="25793700"/>
          <a:ext cx="400050" cy="228600"/>
        </a:xfrm>
        <a:prstGeom prst="rect">
          <a:avLst/>
        </a:prstGeom>
        <a:noFill/>
        <a:ln w="9525">
          <a:noFill/>
          <a:miter lim="800000"/>
          <a:headEnd/>
          <a:tailEnd/>
        </a:ln>
      </xdr:spPr>
    </xdr:pic>
    <xdr:clientData/>
  </xdr:twoCellAnchor>
  <xdr:twoCellAnchor>
    <xdr:from>
      <xdr:col>2</xdr:col>
      <xdr:colOff>361950</xdr:colOff>
      <xdr:row>125</xdr:row>
      <xdr:rowOff>19050</xdr:rowOff>
    </xdr:from>
    <xdr:to>
      <xdr:col>3</xdr:col>
      <xdr:colOff>9525</xdr:colOff>
      <xdr:row>126</xdr:row>
      <xdr:rowOff>28575</xdr:rowOff>
    </xdr:to>
    <xdr:pic>
      <xdr:nvPicPr>
        <xdr:cNvPr id="6153" name="Picture 9">
          <a:extLst>
            <a:ext uri="{FF2B5EF4-FFF2-40B4-BE49-F238E27FC236}">
              <a16:creationId xmlns:a16="http://schemas.microsoft.com/office/drawing/2014/main" xmlns="" id="{00000000-0008-0000-0900-000009180000}"/>
            </a:ext>
          </a:extLst>
        </xdr:cNvPr>
        <xdr:cNvPicPr>
          <a:picLocks noChangeAspect="1" noChangeArrowheads="1"/>
        </xdr:cNvPicPr>
      </xdr:nvPicPr>
      <xdr:blipFill>
        <a:blip xmlns:r="http://schemas.openxmlformats.org/officeDocument/2006/relationships" r:embed="rId7" cstate="print">
          <a:clrChange>
            <a:clrFrom>
              <a:srgbClr val="FFFFFF"/>
            </a:clrFrom>
            <a:clrTo>
              <a:srgbClr val="FFFFFF">
                <a:alpha val="0"/>
              </a:srgbClr>
            </a:clrTo>
          </a:clrChange>
        </a:blip>
        <a:srcRect/>
        <a:stretch>
          <a:fillRect/>
        </a:stretch>
      </xdr:blipFill>
      <xdr:spPr bwMode="auto">
        <a:xfrm>
          <a:off x="1581150" y="26022300"/>
          <a:ext cx="400050" cy="228600"/>
        </a:xfrm>
        <a:prstGeom prst="rect">
          <a:avLst/>
        </a:prstGeom>
        <a:noFill/>
        <a:ln w="9525">
          <a:noFill/>
          <a:miter lim="800000"/>
          <a:headEnd/>
          <a:tailEnd/>
        </a:ln>
      </xdr:spPr>
    </xdr:pic>
    <xdr:clientData/>
  </xdr:twoCellAnchor>
  <xdr:twoCellAnchor>
    <xdr:from>
      <xdr:col>2</xdr:col>
      <xdr:colOff>342900</xdr:colOff>
      <xdr:row>126</xdr:row>
      <xdr:rowOff>9525</xdr:rowOff>
    </xdr:from>
    <xdr:to>
      <xdr:col>2</xdr:col>
      <xdr:colOff>590550</xdr:colOff>
      <xdr:row>127</xdr:row>
      <xdr:rowOff>0</xdr:rowOff>
    </xdr:to>
    <xdr:pic>
      <xdr:nvPicPr>
        <xdr:cNvPr id="6154" name="Picture 10">
          <a:extLst>
            <a:ext uri="{FF2B5EF4-FFF2-40B4-BE49-F238E27FC236}">
              <a16:creationId xmlns:a16="http://schemas.microsoft.com/office/drawing/2014/main" xmlns="" id="{00000000-0008-0000-0900-00000A180000}"/>
            </a:ext>
          </a:extLst>
        </xdr:cNvPr>
        <xdr:cNvPicPr>
          <a:picLocks noChangeAspect="1" noChangeArrowheads="1"/>
        </xdr:cNvPicPr>
      </xdr:nvPicPr>
      <xdr:blipFill>
        <a:blip xmlns:r="http://schemas.openxmlformats.org/officeDocument/2006/relationships" r:embed="rId8" cstate="print">
          <a:clrChange>
            <a:clrFrom>
              <a:srgbClr val="FFFFFF"/>
            </a:clrFrom>
            <a:clrTo>
              <a:srgbClr val="FFFFFF">
                <a:alpha val="0"/>
              </a:srgbClr>
            </a:clrTo>
          </a:clrChange>
        </a:blip>
        <a:srcRect/>
        <a:stretch>
          <a:fillRect/>
        </a:stretch>
      </xdr:blipFill>
      <xdr:spPr bwMode="auto">
        <a:xfrm>
          <a:off x="1562100" y="26231850"/>
          <a:ext cx="247650" cy="190500"/>
        </a:xfrm>
        <a:prstGeom prst="rect">
          <a:avLst/>
        </a:prstGeom>
        <a:noFill/>
        <a:ln w="9525">
          <a:noFill/>
          <a:miter lim="800000"/>
          <a:headEnd/>
          <a:tailEnd/>
        </a:ln>
      </xdr:spPr>
    </xdr:pic>
    <xdr:clientData/>
  </xdr:twoCellAnchor>
  <xdr:twoCellAnchor>
    <xdr:from>
      <xdr:col>2</xdr:col>
      <xdr:colOff>371475</xdr:colOff>
      <xdr:row>134</xdr:row>
      <xdr:rowOff>47625</xdr:rowOff>
    </xdr:from>
    <xdr:to>
      <xdr:col>5</xdr:col>
      <xdr:colOff>295275</xdr:colOff>
      <xdr:row>135</xdr:row>
      <xdr:rowOff>66675</xdr:rowOff>
    </xdr:to>
    <xdr:pic>
      <xdr:nvPicPr>
        <xdr:cNvPr id="6155" name="Picture 11">
          <a:extLst>
            <a:ext uri="{FF2B5EF4-FFF2-40B4-BE49-F238E27FC236}">
              <a16:creationId xmlns:a16="http://schemas.microsoft.com/office/drawing/2014/main" xmlns="" id="{00000000-0008-0000-0900-00000B180000}"/>
            </a:ext>
          </a:extLst>
        </xdr:cNvPr>
        <xdr:cNvPicPr>
          <a:picLocks noChangeAspect="1" noChangeArrowheads="1"/>
        </xdr:cNvPicPr>
      </xdr:nvPicPr>
      <xdr:blipFill>
        <a:blip xmlns:r="http://schemas.openxmlformats.org/officeDocument/2006/relationships" r:embed="rId9" cstate="print">
          <a:clrChange>
            <a:clrFrom>
              <a:srgbClr val="FFFFFF"/>
            </a:clrFrom>
            <a:clrTo>
              <a:srgbClr val="FFFFFF">
                <a:alpha val="0"/>
              </a:srgbClr>
            </a:clrTo>
          </a:clrChange>
        </a:blip>
        <a:srcRect/>
        <a:stretch>
          <a:fillRect/>
        </a:stretch>
      </xdr:blipFill>
      <xdr:spPr bwMode="auto">
        <a:xfrm>
          <a:off x="1590675" y="27851100"/>
          <a:ext cx="1895475" cy="209550"/>
        </a:xfrm>
        <a:prstGeom prst="rect">
          <a:avLst/>
        </a:prstGeom>
        <a:noFill/>
        <a:ln w="9525">
          <a:noFill/>
          <a:miter lim="800000"/>
          <a:headEnd/>
          <a:tailEnd/>
        </a:ln>
      </xdr:spPr>
    </xdr:pic>
    <xdr:clientData/>
  </xdr:twoCellAnchor>
  <xdr:twoCellAnchor>
    <xdr:from>
      <xdr:col>3</xdr:col>
      <xdr:colOff>190500</xdr:colOff>
      <xdr:row>136</xdr:row>
      <xdr:rowOff>19050</xdr:rowOff>
    </xdr:from>
    <xdr:to>
      <xdr:col>3</xdr:col>
      <xdr:colOff>428625</xdr:colOff>
      <xdr:row>137</xdr:row>
      <xdr:rowOff>28575</xdr:rowOff>
    </xdr:to>
    <xdr:pic>
      <xdr:nvPicPr>
        <xdr:cNvPr id="6156" name="Picture 12">
          <a:extLst>
            <a:ext uri="{FF2B5EF4-FFF2-40B4-BE49-F238E27FC236}">
              <a16:creationId xmlns:a16="http://schemas.microsoft.com/office/drawing/2014/main" xmlns="" id="{00000000-0008-0000-0900-00000C180000}"/>
            </a:ext>
          </a:extLst>
        </xdr:cNvPr>
        <xdr:cNvPicPr>
          <a:picLocks noChangeAspect="1" noChangeArrowheads="1"/>
        </xdr:cNvPicPr>
      </xdr:nvPicPr>
      <xdr:blipFill>
        <a:blip xmlns:r="http://schemas.openxmlformats.org/officeDocument/2006/relationships" r:embed="rId10" cstate="print">
          <a:clrChange>
            <a:clrFrom>
              <a:srgbClr val="FFFFFF"/>
            </a:clrFrom>
            <a:clrTo>
              <a:srgbClr val="FFFFFF">
                <a:alpha val="0"/>
              </a:srgbClr>
            </a:clrTo>
          </a:clrChange>
        </a:blip>
        <a:srcRect/>
        <a:stretch>
          <a:fillRect/>
        </a:stretch>
      </xdr:blipFill>
      <xdr:spPr bwMode="auto">
        <a:xfrm>
          <a:off x="2162175" y="28213050"/>
          <a:ext cx="238125" cy="209550"/>
        </a:xfrm>
        <a:prstGeom prst="rect">
          <a:avLst/>
        </a:prstGeom>
        <a:noFill/>
        <a:ln w="9525">
          <a:noFill/>
          <a:miter lim="800000"/>
          <a:headEnd/>
          <a:tailEnd/>
        </a:ln>
      </xdr:spPr>
    </xdr:pic>
    <xdr:clientData/>
  </xdr:twoCellAnchor>
  <xdr:twoCellAnchor>
    <xdr:from>
      <xdr:col>3</xdr:col>
      <xdr:colOff>200025</xdr:colOff>
      <xdr:row>137</xdr:row>
      <xdr:rowOff>47625</xdr:rowOff>
    </xdr:from>
    <xdr:to>
      <xdr:col>3</xdr:col>
      <xdr:colOff>438150</xdr:colOff>
      <xdr:row>138</xdr:row>
      <xdr:rowOff>57150</xdr:rowOff>
    </xdr:to>
    <xdr:pic>
      <xdr:nvPicPr>
        <xdr:cNvPr id="6157" name="Picture 13">
          <a:extLst>
            <a:ext uri="{FF2B5EF4-FFF2-40B4-BE49-F238E27FC236}">
              <a16:creationId xmlns:a16="http://schemas.microsoft.com/office/drawing/2014/main" xmlns="" id="{00000000-0008-0000-0900-00000D180000}"/>
            </a:ext>
          </a:extLst>
        </xdr:cNvPr>
        <xdr:cNvPicPr>
          <a:picLocks noChangeAspect="1" noChangeArrowheads="1"/>
        </xdr:cNvPicPr>
      </xdr:nvPicPr>
      <xdr:blipFill>
        <a:blip xmlns:r="http://schemas.openxmlformats.org/officeDocument/2006/relationships" r:embed="rId11" cstate="print">
          <a:clrChange>
            <a:clrFrom>
              <a:srgbClr val="FFFFFF"/>
            </a:clrFrom>
            <a:clrTo>
              <a:srgbClr val="FFFFFF">
                <a:alpha val="0"/>
              </a:srgbClr>
            </a:clrTo>
          </a:clrChange>
        </a:blip>
        <a:srcRect/>
        <a:stretch>
          <a:fillRect/>
        </a:stretch>
      </xdr:blipFill>
      <xdr:spPr bwMode="auto">
        <a:xfrm>
          <a:off x="2171700" y="28441650"/>
          <a:ext cx="238125" cy="209550"/>
        </a:xfrm>
        <a:prstGeom prst="rect">
          <a:avLst/>
        </a:prstGeom>
        <a:noFill/>
        <a:ln w="9525">
          <a:noFill/>
          <a:miter lim="800000"/>
          <a:headEnd/>
          <a:tailEnd/>
        </a:ln>
      </xdr:spPr>
    </xdr:pic>
    <xdr:clientData/>
  </xdr:twoCellAnchor>
  <xdr:twoCellAnchor>
    <xdr:from>
      <xdr:col>3</xdr:col>
      <xdr:colOff>190500</xdr:colOff>
      <xdr:row>138</xdr:row>
      <xdr:rowOff>28575</xdr:rowOff>
    </xdr:from>
    <xdr:to>
      <xdr:col>3</xdr:col>
      <xdr:colOff>438150</xdr:colOff>
      <xdr:row>139</xdr:row>
      <xdr:rowOff>0</xdr:rowOff>
    </xdr:to>
    <xdr:pic>
      <xdr:nvPicPr>
        <xdr:cNvPr id="6158" name="Picture 14">
          <a:extLst>
            <a:ext uri="{FF2B5EF4-FFF2-40B4-BE49-F238E27FC236}">
              <a16:creationId xmlns:a16="http://schemas.microsoft.com/office/drawing/2014/main" xmlns="" id="{00000000-0008-0000-0900-00000E180000}"/>
            </a:ext>
          </a:extLst>
        </xdr:cNvPr>
        <xdr:cNvPicPr>
          <a:picLocks noChangeAspect="1" noChangeArrowheads="1"/>
        </xdr:cNvPicPr>
      </xdr:nvPicPr>
      <xdr:blipFill>
        <a:blip xmlns:r="http://schemas.openxmlformats.org/officeDocument/2006/relationships" r:embed="rId8" cstate="print">
          <a:clrChange>
            <a:clrFrom>
              <a:srgbClr val="FFFFFF"/>
            </a:clrFrom>
            <a:clrTo>
              <a:srgbClr val="FFFFFF">
                <a:alpha val="0"/>
              </a:srgbClr>
            </a:clrTo>
          </a:clrChange>
        </a:blip>
        <a:srcRect/>
        <a:stretch>
          <a:fillRect/>
        </a:stretch>
      </xdr:blipFill>
      <xdr:spPr bwMode="auto">
        <a:xfrm>
          <a:off x="2162175" y="28622625"/>
          <a:ext cx="247650" cy="171450"/>
        </a:xfrm>
        <a:prstGeom prst="rect">
          <a:avLst/>
        </a:prstGeom>
        <a:noFill/>
        <a:ln w="9525">
          <a:noFill/>
          <a:miter lim="800000"/>
          <a:headEnd/>
          <a:tailEnd/>
        </a:ln>
      </xdr:spPr>
    </xdr:pic>
    <xdr:clientData/>
  </xdr:twoCellAnchor>
  <xdr:twoCellAnchor>
    <xdr:from>
      <xdr:col>4</xdr:col>
      <xdr:colOff>9525</xdr:colOff>
      <xdr:row>143</xdr:row>
      <xdr:rowOff>38100</xdr:rowOff>
    </xdr:from>
    <xdr:to>
      <xdr:col>5</xdr:col>
      <xdr:colOff>142875</xdr:colOff>
      <xdr:row>144</xdr:row>
      <xdr:rowOff>47625</xdr:rowOff>
    </xdr:to>
    <xdr:pic>
      <xdr:nvPicPr>
        <xdr:cNvPr id="6159" name="Picture 15">
          <a:extLst>
            <a:ext uri="{FF2B5EF4-FFF2-40B4-BE49-F238E27FC236}">
              <a16:creationId xmlns:a16="http://schemas.microsoft.com/office/drawing/2014/main" xmlns="" id="{00000000-0008-0000-0900-00000F180000}"/>
            </a:ext>
          </a:extLst>
        </xdr:cNvPr>
        <xdr:cNvPicPr>
          <a:picLocks noChangeAspect="1" noChangeArrowheads="1"/>
        </xdr:cNvPicPr>
      </xdr:nvPicPr>
      <xdr:blipFill>
        <a:blip xmlns:r="http://schemas.openxmlformats.org/officeDocument/2006/relationships" r:embed="rId12" cstate="print">
          <a:clrChange>
            <a:clrFrom>
              <a:srgbClr val="FFFFFF"/>
            </a:clrFrom>
            <a:clrTo>
              <a:srgbClr val="FFFFFF">
                <a:alpha val="0"/>
              </a:srgbClr>
            </a:clrTo>
          </a:clrChange>
        </a:blip>
        <a:srcRect/>
        <a:stretch>
          <a:fillRect/>
        </a:stretch>
      </xdr:blipFill>
      <xdr:spPr bwMode="auto">
        <a:xfrm>
          <a:off x="2590800" y="29622750"/>
          <a:ext cx="742950" cy="209550"/>
        </a:xfrm>
        <a:prstGeom prst="rect">
          <a:avLst/>
        </a:prstGeom>
        <a:noFill/>
        <a:ln w="9525">
          <a:noFill/>
          <a:miter lim="800000"/>
          <a:headEnd/>
          <a:tailEnd/>
        </a:ln>
      </xdr:spPr>
    </xdr:pic>
    <xdr:clientData/>
  </xdr:twoCellAnchor>
  <xdr:twoCellAnchor>
    <xdr:from>
      <xdr:col>0</xdr:col>
      <xdr:colOff>0</xdr:colOff>
      <xdr:row>151</xdr:row>
      <xdr:rowOff>0</xdr:rowOff>
    </xdr:from>
    <xdr:to>
      <xdr:col>1</xdr:col>
      <xdr:colOff>142875</xdr:colOff>
      <xdr:row>152</xdr:row>
      <xdr:rowOff>19050</xdr:rowOff>
    </xdr:to>
    <xdr:pic>
      <xdr:nvPicPr>
        <xdr:cNvPr id="6160" name="Picture 16">
          <a:extLst>
            <a:ext uri="{FF2B5EF4-FFF2-40B4-BE49-F238E27FC236}">
              <a16:creationId xmlns:a16="http://schemas.microsoft.com/office/drawing/2014/main" xmlns="" id="{00000000-0008-0000-0900-000010180000}"/>
            </a:ext>
          </a:extLst>
        </xdr:cNvPr>
        <xdr:cNvPicPr>
          <a:picLocks noChangeAspect="1" noChangeArrowheads="1"/>
        </xdr:cNvPicPr>
      </xdr:nvPicPr>
      <xdr:blipFill>
        <a:blip xmlns:r="http://schemas.openxmlformats.org/officeDocument/2006/relationships" r:embed="rId13" cstate="print">
          <a:clrChange>
            <a:clrFrom>
              <a:srgbClr val="FFFFFF"/>
            </a:clrFrom>
            <a:clrTo>
              <a:srgbClr val="FFFFFF">
                <a:alpha val="0"/>
              </a:srgbClr>
            </a:clrTo>
          </a:clrChange>
        </a:blip>
        <a:srcRect/>
        <a:stretch>
          <a:fillRect/>
        </a:stretch>
      </xdr:blipFill>
      <xdr:spPr bwMode="auto">
        <a:xfrm>
          <a:off x="0" y="31175325"/>
          <a:ext cx="752475" cy="209550"/>
        </a:xfrm>
        <a:prstGeom prst="rect">
          <a:avLst/>
        </a:prstGeom>
        <a:noFill/>
        <a:ln w="9525">
          <a:noFill/>
          <a:miter lim="800000"/>
          <a:headEnd/>
          <a:tailEnd/>
        </a:ln>
      </xdr:spPr>
    </xdr:pic>
    <xdr:clientData/>
  </xdr:twoCellAnchor>
  <xdr:twoCellAnchor>
    <xdr:from>
      <xdr:col>2</xdr:col>
      <xdr:colOff>476250</xdr:colOff>
      <xdr:row>155</xdr:row>
      <xdr:rowOff>47625</xdr:rowOff>
    </xdr:from>
    <xdr:to>
      <xdr:col>3</xdr:col>
      <xdr:colOff>600075</xdr:colOff>
      <xdr:row>156</xdr:row>
      <xdr:rowOff>57150</xdr:rowOff>
    </xdr:to>
    <xdr:pic>
      <xdr:nvPicPr>
        <xdr:cNvPr id="6161" name="Picture 17">
          <a:extLst>
            <a:ext uri="{FF2B5EF4-FFF2-40B4-BE49-F238E27FC236}">
              <a16:creationId xmlns:a16="http://schemas.microsoft.com/office/drawing/2014/main" xmlns="" id="{00000000-0008-0000-0900-000011180000}"/>
            </a:ext>
          </a:extLst>
        </xdr:cNvPr>
        <xdr:cNvPicPr>
          <a:picLocks noChangeAspect="1" noChangeArrowheads="1"/>
        </xdr:cNvPicPr>
      </xdr:nvPicPr>
      <xdr:blipFill>
        <a:blip xmlns:r="http://schemas.openxmlformats.org/officeDocument/2006/relationships" r:embed="rId14" cstate="print">
          <a:clrChange>
            <a:clrFrom>
              <a:srgbClr val="FFFFFF"/>
            </a:clrFrom>
            <a:clrTo>
              <a:srgbClr val="FFFFFF">
                <a:alpha val="0"/>
              </a:srgbClr>
            </a:clrTo>
          </a:clrChange>
        </a:blip>
        <a:srcRect/>
        <a:stretch>
          <a:fillRect/>
        </a:stretch>
      </xdr:blipFill>
      <xdr:spPr bwMode="auto">
        <a:xfrm>
          <a:off x="1695450" y="32004000"/>
          <a:ext cx="876300" cy="209550"/>
        </a:xfrm>
        <a:prstGeom prst="rect">
          <a:avLst/>
        </a:prstGeom>
        <a:noFill/>
        <a:ln w="9525">
          <a:noFill/>
          <a:miter lim="800000"/>
          <a:headEnd/>
          <a:tailEnd/>
        </a:ln>
      </xdr:spPr>
    </xdr:pic>
    <xdr:clientData/>
  </xdr:twoCellAnchor>
  <xdr:twoCellAnchor>
    <xdr:from>
      <xdr:col>4</xdr:col>
      <xdr:colOff>285750</xdr:colOff>
      <xdr:row>157</xdr:row>
      <xdr:rowOff>76200</xdr:rowOff>
    </xdr:from>
    <xdr:to>
      <xdr:col>5</xdr:col>
      <xdr:colOff>533400</xdr:colOff>
      <xdr:row>159</xdr:row>
      <xdr:rowOff>57150</xdr:rowOff>
    </xdr:to>
    <xdr:pic>
      <xdr:nvPicPr>
        <xdr:cNvPr id="6162" name="Picture 18">
          <a:extLst>
            <a:ext uri="{FF2B5EF4-FFF2-40B4-BE49-F238E27FC236}">
              <a16:creationId xmlns:a16="http://schemas.microsoft.com/office/drawing/2014/main" xmlns="" id="{00000000-0008-0000-0900-000012180000}"/>
            </a:ext>
          </a:extLst>
        </xdr:cNvPr>
        <xdr:cNvPicPr>
          <a:picLocks noChangeAspect="1" noChangeArrowheads="1"/>
        </xdr:cNvPicPr>
      </xdr:nvPicPr>
      <xdr:blipFill>
        <a:blip xmlns:r="http://schemas.openxmlformats.org/officeDocument/2006/relationships" r:embed="rId15" cstate="print">
          <a:clrChange>
            <a:clrFrom>
              <a:srgbClr val="FFFFFF"/>
            </a:clrFrom>
            <a:clrTo>
              <a:srgbClr val="FFFFFF">
                <a:alpha val="0"/>
              </a:srgbClr>
            </a:clrTo>
          </a:clrChange>
        </a:blip>
        <a:srcRect/>
        <a:stretch>
          <a:fillRect/>
        </a:stretch>
      </xdr:blipFill>
      <xdr:spPr bwMode="auto">
        <a:xfrm>
          <a:off x="2867025" y="32432625"/>
          <a:ext cx="857250" cy="371475"/>
        </a:xfrm>
        <a:prstGeom prst="rect">
          <a:avLst/>
        </a:prstGeom>
        <a:noFill/>
        <a:ln w="9525">
          <a:noFill/>
          <a:miter lim="800000"/>
          <a:headEnd/>
          <a:tailEnd/>
        </a:ln>
      </xdr:spPr>
    </xdr:pic>
    <xdr:clientData/>
  </xdr:twoCellAnchor>
  <xdr:twoCellAnchor>
    <xdr:from>
      <xdr:col>4</xdr:col>
      <xdr:colOff>590550</xdr:colOff>
      <xdr:row>172</xdr:row>
      <xdr:rowOff>190500</xdr:rowOff>
    </xdr:from>
    <xdr:to>
      <xdr:col>7</xdr:col>
      <xdr:colOff>142875</xdr:colOff>
      <xdr:row>174</xdr:row>
      <xdr:rowOff>38100</xdr:rowOff>
    </xdr:to>
    <xdr:pic>
      <xdr:nvPicPr>
        <xdr:cNvPr id="6163" name="Picture 19">
          <a:extLst>
            <a:ext uri="{FF2B5EF4-FFF2-40B4-BE49-F238E27FC236}">
              <a16:creationId xmlns:a16="http://schemas.microsoft.com/office/drawing/2014/main" xmlns="" id="{00000000-0008-0000-0900-000013180000}"/>
            </a:ext>
          </a:extLst>
        </xdr:cNvPr>
        <xdr:cNvPicPr>
          <a:picLocks noChangeAspect="1" noChangeArrowheads="1"/>
        </xdr:cNvPicPr>
      </xdr:nvPicPr>
      <xdr:blipFill>
        <a:blip xmlns:r="http://schemas.openxmlformats.org/officeDocument/2006/relationships" r:embed="rId16" cstate="print">
          <a:clrChange>
            <a:clrFrom>
              <a:srgbClr val="FFFFFF"/>
            </a:clrFrom>
            <a:clrTo>
              <a:srgbClr val="FFFFFF">
                <a:alpha val="0"/>
              </a:srgbClr>
            </a:clrTo>
          </a:clrChange>
        </a:blip>
        <a:srcRect/>
        <a:stretch>
          <a:fillRect/>
        </a:stretch>
      </xdr:blipFill>
      <xdr:spPr bwMode="auto">
        <a:xfrm>
          <a:off x="3171825" y="35442525"/>
          <a:ext cx="1381125" cy="247650"/>
        </a:xfrm>
        <a:prstGeom prst="rect">
          <a:avLst/>
        </a:prstGeom>
        <a:noFill/>
        <a:ln w="9525">
          <a:noFill/>
          <a:miter lim="800000"/>
          <a:headEnd/>
          <a:tailEnd/>
        </a:ln>
      </xdr:spPr>
    </xdr:pic>
    <xdr:clientData/>
  </xdr:twoCellAnchor>
  <xdr:twoCellAnchor>
    <xdr:from>
      <xdr:col>1</xdr:col>
      <xdr:colOff>133350</xdr:colOff>
      <xdr:row>175</xdr:row>
      <xdr:rowOff>38100</xdr:rowOff>
    </xdr:from>
    <xdr:to>
      <xdr:col>1</xdr:col>
      <xdr:colOff>457200</xdr:colOff>
      <xdr:row>176</xdr:row>
      <xdr:rowOff>47625</xdr:rowOff>
    </xdr:to>
    <xdr:pic>
      <xdr:nvPicPr>
        <xdr:cNvPr id="6164" name="Picture 20">
          <a:extLst>
            <a:ext uri="{FF2B5EF4-FFF2-40B4-BE49-F238E27FC236}">
              <a16:creationId xmlns:a16="http://schemas.microsoft.com/office/drawing/2014/main" xmlns="" id="{00000000-0008-0000-0900-000014180000}"/>
            </a:ext>
          </a:extLst>
        </xdr:cNvPr>
        <xdr:cNvPicPr>
          <a:picLocks noChangeAspect="1" noChangeArrowheads="1"/>
        </xdr:cNvPicPr>
      </xdr:nvPicPr>
      <xdr:blipFill>
        <a:blip xmlns:r="http://schemas.openxmlformats.org/officeDocument/2006/relationships" r:embed="rId17" cstate="print">
          <a:clrChange>
            <a:clrFrom>
              <a:srgbClr val="FFFFFF"/>
            </a:clrFrom>
            <a:clrTo>
              <a:srgbClr val="FFFFFF">
                <a:alpha val="0"/>
              </a:srgbClr>
            </a:clrTo>
          </a:clrChange>
        </a:blip>
        <a:srcRect/>
        <a:stretch>
          <a:fillRect/>
        </a:stretch>
      </xdr:blipFill>
      <xdr:spPr bwMode="auto">
        <a:xfrm>
          <a:off x="742950" y="35880675"/>
          <a:ext cx="323850" cy="209550"/>
        </a:xfrm>
        <a:prstGeom prst="rect">
          <a:avLst/>
        </a:prstGeom>
        <a:noFill/>
        <a:ln w="9525">
          <a:noFill/>
          <a:miter lim="800000"/>
          <a:headEnd/>
          <a:tailEnd/>
        </a:ln>
      </xdr:spPr>
    </xdr:pic>
    <xdr:clientData/>
  </xdr:twoCellAnchor>
  <xdr:twoCellAnchor>
    <xdr:from>
      <xdr:col>1</xdr:col>
      <xdr:colOff>266700</xdr:colOff>
      <xdr:row>176</xdr:row>
      <xdr:rowOff>180975</xdr:rowOff>
    </xdr:from>
    <xdr:to>
      <xdr:col>3</xdr:col>
      <xdr:colOff>428625</xdr:colOff>
      <xdr:row>178</xdr:row>
      <xdr:rowOff>28575</xdr:rowOff>
    </xdr:to>
    <xdr:pic>
      <xdr:nvPicPr>
        <xdr:cNvPr id="6165" name="Picture 21">
          <a:extLst>
            <a:ext uri="{FF2B5EF4-FFF2-40B4-BE49-F238E27FC236}">
              <a16:creationId xmlns:a16="http://schemas.microsoft.com/office/drawing/2014/main" xmlns="" id="{00000000-0008-0000-0900-000015180000}"/>
            </a:ext>
          </a:extLst>
        </xdr:cNvPr>
        <xdr:cNvPicPr>
          <a:picLocks noChangeAspect="1" noChangeArrowheads="1"/>
        </xdr:cNvPicPr>
      </xdr:nvPicPr>
      <xdr:blipFill>
        <a:blip xmlns:r="http://schemas.openxmlformats.org/officeDocument/2006/relationships" r:embed="rId16" cstate="print">
          <a:clrChange>
            <a:clrFrom>
              <a:srgbClr val="FFFFFF"/>
            </a:clrFrom>
            <a:clrTo>
              <a:srgbClr val="FFFFFF">
                <a:alpha val="0"/>
              </a:srgbClr>
            </a:clrTo>
          </a:clrChange>
        </a:blip>
        <a:srcRect/>
        <a:stretch>
          <a:fillRect/>
        </a:stretch>
      </xdr:blipFill>
      <xdr:spPr bwMode="auto">
        <a:xfrm>
          <a:off x="876300" y="36223575"/>
          <a:ext cx="1524000" cy="247650"/>
        </a:xfrm>
        <a:prstGeom prst="rect">
          <a:avLst/>
        </a:prstGeom>
        <a:noFill/>
        <a:ln w="9525">
          <a:noFill/>
          <a:miter lim="800000"/>
          <a:headEnd/>
          <a:tailEnd/>
        </a:ln>
      </xdr:spPr>
    </xdr:pic>
    <xdr:clientData/>
  </xdr:twoCellAnchor>
  <xdr:twoCellAnchor>
    <xdr:from>
      <xdr:col>4</xdr:col>
      <xdr:colOff>0</xdr:colOff>
      <xdr:row>182</xdr:row>
      <xdr:rowOff>0</xdr:rowOff>
    </xdr:from>
    <xdr:to>
      <xdr:col>4</xdr:col>
      <xdr:colOff>38100</xdr:colOff>
      <xdr:row>183</xdr:row>
      <xdr:rowOff>9525</xdr:rowOff>
    </xdr:to>
    <xdr:pic>
      <xdr:nvPicPr>
        <xdr:cNvPr id="6166" name="Picture 22">
          <a:extLst>
            <a:ext uri="{FF2B5EF4-FFF2-40B4-BE49-F238E27FC236}">
              <a16:creationId xmlns:a16="http://schemas.microsoft.com/office/drawing/2014/main" xmlns="" id="{00000000-0008-0000-0900-000016180000}"/>
            </a:ext>
          </a:extLst>
        </xdr:cNvPr>
        <xdr:cNvPicPr>
          <a:picLocks noChangeAspect="1" noChangeArrowheads="1"/>
        </xdr:cNvPicPr>
      </xdr:nvPicPr>
      <xdr:blipFill>
        <a:blip xmlns:r="http://schemas.openxmlformats.org/officeDocument/2006/relationships" r:embed="rId18" cstate="print">
          <a:clrChange>
            <a:clrFrom>
              <a:srgbClr val="FFFFFF"/>
            </a:clrFrom>
            <a:clrTo>
              <a:srgbClr val="FFFFFF">
                <a:alpha val="0"/>
              </a:srgbClr>
            </a:clrTo>
          </a:clrChange>
        </a:blip>
        <a:srcRect/>
        <a:stretch>
          <a:fillRect/>
        </a:stretch>
      </xdr:blipFill>
      <xdr:spPr bwMode="auto">
        <a:xfrm>
          <a:off x="2581275" y="37223700"/>
          <a:ext cx="38100" cy="209550"/>
        </a:xfrm>
        <a:prstGeom prst="rect">
          <a:avLst/>
        </a:prstGeom>
        <a:noFill/>
        <a:ln w="9525">
          <a:noFill/>
          <a:miter lim="800000"/>
          <a:headEnd/>
          <a:tailEnd/>
        </a:ln>
      </xdr:spPr>
    </xdr:pic>
    <xdr:clientData/>
  </xdr:twoCellAnchor>
  <xdr:twoCellAnchor>
    <xdr:from>
      <xdr:col>3</xdr:col>
      <xdr:colOff>314325</xdr:colOff>
      <xdr:row>193</xdr:row>
      <xdr:rowOff>47625</xdr:rowOff>
    </xdr:from>
    <xdr:to>
      <xdr:col>3</xdr:col>
      <xdr:colOff>581025</xdr:colOff>
      <xdr:row>194</xdr:row>
      <xdr:rowOff>57150</xdr:rowOff>
    </xdr:to>
    <xdr:pic>
      <xdr:nvPicPr>
        <xdr:cNvPr id="6167" name="Picture 23">
          <a:extLst>
            <a:ext uri="{FF2B5EF4-FFF2-40B4-BE49-F238E27FC236}">
              <a16:creationId xmlns:a16="http://schemas.microsoft.com/office/drawing/2014/main" xmlns="" id="{00000000-0008-0000-0900-000017180000}"/>
            </a:ext>
          </a:extLst>
        </xdr:cNvPr>
        <xdr:cNvPicPr>
          <a:picLocks noChangeAspect="1" noChangeArrowheads="1"/>
        </xdr:cNvPicPr>
      </xdr:nvPicPr>
      <xdr:blipFill>
        <a:blip xmlns:r="http://schemas.openxmlformats.org/officeDocument/2006/relationships" r:embed="rId19" cstate="print">
          <a:clrChange>
            <a:clrFrom>
              <a:srgbClr val="FFFFFF"/>
            </a:clrFrom>
            <a:clrTo>
              <a:srgbClr val="FFFFFF">
                <a:alpha val="0"/>
              </a:srgbClr>
            </a:clrTo>
          </a:clrChange>
        </a:blip>
        <a:srcRect/>
        <a:stretch>
          <a:fillRect/>
        </a:stretch>
      </xdr:blipFill>
      <xdr:spPr bwMode="auto">
        <a:xfrm>
          <a:off x="2286000" y="39557325"/>
          <a:ext cx="266700" cy="209550"/>
        </a:xfrm>
        <a:prstGeom prst="rect">
          <a:avLst/>
        </a:prstGeom>
        <a:noFill/>
        <a:ln w="9525">
          <a:noFill/>
          <a:miter lim="800000"/>
          <a:headEnd/>
          <a:tailEnd/>
        </a:ln>
      </xdr:spPr>
    </xdr:pic>
    <xdr:clientData/>
  </xdr:twoCellAnchor>
  <xdr:twoCellAnchor>
    <xdr:from>
      <xdr:col>3</xdr:col>
      <xdr:colOff>352425</xdr:colOff>
      <xdr:row>194</xdr:row>
      <xdr:rowOff>9525</xdr:rowOff>
    </xdr:from>
    <xdr:to>
      <xdr:col>3</xdr:col>
      <xdr:colOff>600075</xdr:colOff>
      <xdr:row>195</xdr:row>
      <xdr:rowOff>19050</xdr:rowOff>
    </xdr:to>
    <xdr:pic>
      <xdr:nvPicPr>
        <xdr:cNvPr id="6168" name="Picture 24">
          <a:extLst>
            <a:ext uri="{FF2B5EF4-FFF2-40B4-BE49-F238E27FC236}">
              <a16:creationId xmlns:a16="http://schemas.microsoft.com/office/drawing/2014/main" xmlns="" id="{00000000-0008-0000-0900-000018180000}"/>
            </a:ext>
          </a:extLst>
        </xdr:cNvPr>
        <xdr:cNvPicPr>
          <a:picLocks noChangeAspect="1" noChangeArrowheads="1"/>
        </xdr:cNvPicPr>
      </xdr:nvPicPr>
      <xdr:blipFill>
        <a:blip xmlns:r="http://schemas.openxmlformats.org/officeDocument/2006/relationships" r:embed="rId20" cstate="print">
          <a:clrChange>
            <a:clrFrom>
              <a:srgbClr val="FFFFFF"/>
            </a:clrFrom>
            <a:clrTo>
              <a:srgbClr val="FFFFFF">
                <a:alpha val="0"/>
              </a:srgbClr>
            </a:clrTo>
          </a:clrChange>
        </a:blip>
        <a:srcRect/>
        <a:stretch>
          <a:fillRect/>
        </a:stretch>
      </xdr:blipFill>
      <xdr:spPr bwMode="auto">
        <a:xfrm>
          <a:off x="2324100" y="39719250"/>
          <a:ext cx="247650" cy="209550"/>
        </a:xfrm>
        <a:prstGeom prst="rect">
          <a:avLst/>
        </a:prstGeom>
        <a:noFill/>
        <a:ln w="9525">
          <a:noFill/>
          <a:miter lim="800000"/>
          <a:headEnd/>
          <a:tailEnd/>
        </a:ln>
      </xdr:spPr>
    </xdr:pic>
    <xdr:clientData/>
  </xdr:twoCellAnchor>
  <xdr:twoCellAnchor>
    <xdr:from>
      <xdr:col>3</xdr:col>
      <xdr:colOff>276225</xdr:colOff>
      <xdr:row>196</xdr:row>
      <xdr:rowOff>9525</xdr:rowOff>
    </xdr:from>
    <xdr:to>
      <xdr:col>3</xdr:col>
      <xdr:colOff>600075</xdr:colOff>
      <xdr:row>197</xdr:row>
      <xdr:rowOff>19050</xdr:rowOff>
    </xdr:to>
    <xdr:pic>
      <xdr:nvPicPr>
        <xdr:cNvPr id="6169" name="Picture 25">
          <a:extLst>
            <a:ext uri="{FF2B5EF4-FFF2-40B4-BE49-F238E27FC236}">
              <a16:creationId xmlns:a16="http://schemas.microsoft.com/office/drawing/2014/main" xmlns="" id="{00000000-0008-0000-0900-000019180000}"/>
            </a:ext>
          </a:extLst>
        </xdr:cNvPr>
        <xdr:cNvPicPr>
          <a:picLocks noChangeAspect="1" noChangeArrowheads="1"/>
        </xdr:cNvPicPr>
      </xdr:nvPicPr>
      <xdr:blipFill>
        <a:blip xmlns:r="http://schemas.openxmlformats.org/officeDocument/2006/relationships" r:embed="rId17" cstate="print">
          <a:clrChange>
            <a:clrFrom>
              <a:srgbClr val="FFFFFF"/>
            </a:clrFrom>
            <a:clrTo>
              <a:srgbClr val="FFFFFF">
                <a:alpha val="0"/>
              </a:srgbClr>
            </a:clrTo>
          </a:clrChange>
        </a:blip>
        <a:srcRect/>
        <a:stretch>
          <a:fillRect/>
        </a:stretch>
      </xdr:blipFill>
      <xdr:spPr bwMode="auto">
        <a:xfrm>
          <a:off x="2247900" y="40119300"/>
          <a:ext cx="323850" cy="209550"/>
        </a:xfrm>
        <a:prstGeom prst="rect">
          <a:avLst/>
        </a:prstGeom>
        <a:noFill/>
        <a:ln w="9525">
          <a:noFill/>
          <a:miter lim="800000"/>
          <a:headEnd/>
          <a:tailEnd/>
        </a:ln>
      </xdr:spPr>
    </xdr:pic>
    <xdr:clientData/>
  </xdr:twoCellAnchor>
  <xdr:twoCellAnchor>
    <xdr:from>
      <xdr:col>3</xdr:col>
      <xdr:colOff>371475</xdr:colOff>
      <xdr:row>198</xdr:row>
      <xdr:rowOff>0</xdr:rowOff>
    </xdr:from>
    <xdr:to>
      <xdr:col>4</xdr:col>
      <xdr:colOff>0</xdr:colOff>
      <xdr:row>199</xdr:row>
      <xdr:rowOff>9525</xdr:rowOff>
    </xdr:to>
    <xdr:pic>
      <xdr:nvPicPr>
        <xdr:cNvPr id="6170" name="Picture 26">
          <a:extLst>
            <a:ext uri="{FF2B5EF4-FFF2-40B4-BE49-F238E27FC236}">
              <a16:creationId xmlns:a16="http://schemas.microsoft.com/office/drawing/2014/main" xmlns="" id="{00000000-0008-0000-0900-00001A180000}"/>
            </a:ext>
          </a:extLst>
        </xdr:cNvPr>
        <xdr:cNvPicPr>
          <a:picLocks noChangeAspect="1" noChangeArrowheads="1"/>
        </xdr:cNvPicPr>
      </xdr:nvPicPr>
      <xdr:blipFill>
        <a:blip xmlns:r="http://schemas.openxmlformats.org/officeDocument/2006/relationships" r:embed="rId21" cstate="print">
          <a:clrChange>
            <a:clrFrom>
              <a:srgbClr val="FFFFFF"/>
            </a:clrFrom>
            <a:clrTo>
              <a:srgbClr val="FFFFFF">
                <a:alpha val="0"/>
              </a:srgbClr>
            </a:clrTo>
          </a:clrChange>
        </a:blip>
        <a:srcRect/>
        <a:stretch>
          <a:fillRect/>
        </a:stretch>
      </xdr:blipFill>
      <xdr:spPr bwMode="auto">
        <a:xfrm>
          <a:off x="2343150" y="40538400"/>
          <a:ext cx="238125" cy="209550"/>
        </a:xfrm>
        <a:prstGeom prst="rect">
          <a:avLst/>
        </a:prstGeom>
        <a:noFill/>
        <a:ln w="9525">
          <a:noFill/>
          <a:miter lim="800000"/>
          <a:headEnd/>
          <a:tailEnd/>
        </a:ln>
      </xdr:spPr>
    </xdr:pic>
    <xdr:clientData/>
  </xdr:twoCellAnchor>
  <xdr:twoCellAnchor>
    <xdr:from>
      <xdr:col>3</xdr:col>
      <xdr:colOff>476250</xdr:colOff>
      <xdr:row>199</xdr:row>
      <xdr:rowOff>171450</xdr:rowOff>
    </xdr:from>
    <xdr:to>
      <xdr:col>3</xdr:col>
      <xdr:colOff>590550</xdr:colOff>
      <xdr:row>200</xdr:row>
      <xdr:rowOff>180975</xdr:rowOff>
    </xdr:to>
    <xdr:pic>
      <xdr:nvPicPr>
        <xdr:cNvPr id="6171" name="Picture 27">
          <a:extLst>
            <a:ext uri="{FF2B5EF4-FFF2-40B4-BE49-F238E27FC236}">
              <a16:creationId xmlns:a16="http://schemas.microsoft.com/office/drawing/2014/main" xmlns="" id="{00000000-0008-0000-0900-00001B180000}"/>
            </a:ext>
          </a:extLst>
        </xdr:cNvPr>
        <xdr:cNvPicPr>
          <a:picLocks noChangeAspect="1" noChangeArrowheads="1"/>
        </xdr:cNvPicPr>
      </xdr:nvPicPr>
      <xdr:blipFill>
        <a:blip xmlns:r="http://schemas.openxmlformats.org/officeDocument/2006/relationships" r:embed="rId22" cstate="print">
          <a:clrChange>
            <a:clrFrom>
              <a:srgbClr val="FFFFFF"/>
            </a:clrFrom>
            <a:clrTo>
              <a:srgbClr val="FFFFFF">
                <a:alpha val="0"/>
              </a:srgbClr>
            </a:clrTo>
          </a:clrChange>
        </a:blip>
        <a:srcRect/>
        <a:stretch>
          <a:fillRect/>
        </a:stretch>
      </xdr:blipFill>
      <xdr:spPr bwMode="auto">
        <a:xfrm>
          <a:off x="2447925" y="40909875"/>
          <a:ext cx="114300" cy="209550"/>
        </a:xfrm>
        <a:prstGeom prst="rect">
          <a:avLst/>
        </a:prstGeom>
        <a:noFill/>
        <a:ln w="9525">
          <a:noFill/>
          <a:miter lim="800000"/>
          <a:headEnd/>
          <a:tailEnd/>
        </a:ln>
      </xdr:spPr>
    </xdr:pic>
    <xdr:clientData/>
  </xdr:twoCellAnchor>
  <xdr:twoCellAnchor>
    <xdr:from>
      <xdr:col>5</xdr:col>
      <xdr:colOff>47625</xdr:colOff>
      <xdr:row>219</xdr:row>
      <xdr:rowOff>104775</xdr:rowOff>
    </xdr:from>
    <xdr:to>
      <xdr:col>7</xdr:col>
      <xdr:colOff>200025</xdr:colOff>
      <xdr:row>221</xdr:row>
      <xdr:rowOff>95250</xdr:rowOff>
    </xdr:to>
    <xdr:pic>
      <xdr:nvPicPr>
        <xdr:cNvPr id="6172" name="Picture 28">
          <a:extLst>
            <a:ext uri="{FF2B5EF4-FFF2-40B4-BE49-F238E27FC236}">
              <a16:creationId xmlns:a16="http://schemas.microsoft.com/office/drawing/2014/main" xmlns="" id="{00000000-0008-0000-0900-00001C180000}"/>
            </a:ext>
          </a:extLst>
        </xdr:cNvPr>
        <xdr:cNvPicPr>
          <a:picLocks noChangeAspect="1" noChangeArrowheads="1"/>
        </xdr:cNvPicPr>
      </xdr:nvPicPr>
      <xdr:blipFill>
        <a:blip xmlns:r="http://schemas.openxmlformats.org/officeDocument/2006/relationships" r:embed="rId23" cstate="print">
          <a:clrChange>
            <a:clrFrom>
              <a:srgbClr val="FFFFFF"/>
            </a:clrFrom>
            <a:clrTo>
              <a:srgbClr val="FFFFFF">
                <a:alpha val="0"/>
              </a:srgbClr>
            </a:clrTo>
          </a:clrChange>
        </a:blip>
        <a:srcRect/>
        <a:stretch>
          <a:fillRect/>
        </a:stretch>
      </xdr:blipFill>
      <xdr:spPr bwMode="auto">
        <a:xfrm>
          <a:off x="3238500" y="44938950"/>
          <a:ext cx="1371600" cy="371475"/>
        </a:xfrm>
        <a:prstGeom prst="rect">
          <a:avLst/>
        </a:prstGeom>
        <a:noFill/>
        <a:ln w="9525">
          <a:noFill/>
          <a:miter lim="800000"/>
          <a:headEnd/>
          <a:tailEnd/>
        </a:ln>
      </xdr:spPr>
    </xdr:pic>
    <xdr:clientData/>
  </xdr:twoCellAnchor>
  <xdr:twoCellAnchor>
    <xdr:from>
      <xdr:col>6</xdr:col>
      <xdr:colOff>142875</xdr:colOff>
      <xdr:row>227</xdr:row>
      <xdr:rowOff>28575</xdr:rowOff>
    </xdr:from>
    <xdr:to>
      <xdr:col>7</xdr:col>
      <xdr:colOff>428625</xdr:colOff>
      <xdr:row>228</xdr:row>
      <xdr:rowOff>38100</xdr:rowOff>
    </xdr:to>
    <xdr:pic>
      <xdr:nvPicPr>
        <xdr:cNvPr id="6173" name="Picture 29">
          <a:extLst>
            <a:ext uri="{FF2B5EF4-FFF2-40B4-BE49-F238E27FC236}">
              <a16:creationId xmlns:a16="http://schemas.microsoft.com/office/drawing/2014/main" xmlns="" id="{00000000-0008-0000-0900-00001D180000}"/>
            </a:ext>
          </a:extLst>
        </xdr:cNvPr>
        <xdr:cNvPicPr>
          <a:picLocks noChangeAspect="1" noChangeArrowheads="1"/>
        </xdr:cNvPicPr>
      </xdr:nvPicPr>
      <xdr:blipFill>
        <a:blip xmlns:r="http://schemas.openxmlformats.org/officeDocument/2006/relationships" r:embed="rId24" cstate="print">
          <a:clrChange>
            <a:clrFrom>
              <a:srgbClr val="FFFFFF"/>
            </a:clrFrom>
            <a:clrTo>
              <a:srgbClr val="FFFFFF">
                <a:alpha val="0"/>
              </a:srgbClr>
            </a:clrTo>
          </a:clrChange>
        </a:blip>
        <a:srcRect/>
        <a:stretch>
          <a:fillRect/>
        </a:stretch>
      </xdr:blipFill>
      <xdr:spPr bwMode="auto">
        <a:xfrm>
          <a:off x="3943350" y="46415325"/>
          <a:ext cx="895350" cy="209550"/>
        </a:xfrm>
        <a:prstGeom prst="rect">
          <a:avLst/>
        </a:prstGeom>
        <a:noFill/>
        <a:ln w="9525">
          <a:noFill/>
          <a:miter lim="800000"/>
          <a:headEnd/>
          <a:tailEnd/>
        </a:ln>
      </xdr:spPr>
    </xdr:pic>
    <xdr:clientData/>
  </xdr:twoCellAnchor>
  <xdr:twoCellAnchor>
    <xdr:from>
      <xdr:col>3</xdr:col>
      <xdr:colOff>276225</xdr:colOff>
      <xdr:row>233</xdr:row>
      <xdr:rowOff>190500</xdr:rowOff>
    </xdr:from>
    <xdr:to>
      <xdr:col>6</xdr:col>
      <xdr:colOff>47625</xdr:colOff>
      <xdr:row>235</xdr:row>
      <xdr:rowOff>38100</xdr:rowOff>
    </xdr:to>
    <xdr:pic>
      <xdr:nvPicPr>
        <xdr:cNvPr id="6174" name="Picture 30">
          <a:extLst>
            <a:ext uri="{FF2B5EF4-FFF2-40B4-BE49-F238E27FC236}">
              <a16:creationId xmlns:a16="http://schemas.microsoft.com/office/drawing/2014/main" xmlns="" id="{00000000-0008-0000-0900-00001E180000}"/>
            </a:ext>
          </a:extLst>
        </xdr:cNvPr>
        <xdr:cNvPicPr>
          <a:picLocks noChangeAspect="1" noChangeArrowheads="1"/>
        </xdr:cNvPicPr>
      </xdr:nvPicPr>
      <xdr:blipFill>
        <a:blip xmlns:r="http://schemas.openxmlformats.org/officeDocument/2006/relationships" r:embed="rId25" cstate="print">
          <a:clrChange>
            <a:clrFrom>
              <a:srgbClr val="FFFFFF"/>
            </a:clrFrom>
            <a:clrTo>
              <a:srgbClr val="FFFFFF">
                <a:alpha val="0"/>
              </a:srgbClr>
            </a:clrTo>
          </a:clrChange>
        </a:blip>
        <a:srcRect/>
        <a:stretch>
          <a:fillRect/>
        </a:stretch>
      </xdr:blipFill>
      <xdr:spPr bwMode="auto">
        <a:xfrm>
          <a:off x="2247900" y="47748825"/>
          <a:ext cx="1600200" cy="247650"/>
        </a:xfrm>
        <a:prstGeom prst="rect">
          <a:avLst/>
        </a:prstGeom>
        <a:noFill/>
        <a:ln w="9525">
          <a:noFill/>
          <a:miter lim="800000"/>
          <a:headEnd/>
          <a:tailEnd/>
        </a:ln>
      </xdr:spPr>
    </xdr:pic>
    <xdr:clientData/>
  </xdr:twoCellAnchor>
  <xdr:twoCellAnchor>
    <xdr:from>
      <xdr:col>1</xdr:col>
      <xdr:colOff>76200</xdr:colOff>
      <xdr:row>236</xdr:row>
      <xdr:rowOff>28575</xdr:rowOff>
    </xdr:from>
    <xdr:to>
      <xdr:col>1</xdr:col>
      <xdr:colOff>323850</xdr:colOff>
      <xdr:row>237</xdr:row>
      <xdr:rowOff>38100</xdr:rowOff>
    </xdr:to>
    <xdr:pic>
      <xdr:nvPicPr>
        <xdr:cNvPr id="6175" name="Picture 31">
          <a:extLst>
            <a:ext uri="{FF2B5EF4-FFF2-40B4-BE49-F238E27FC236}">
              <a16:creationId xmlns:a16="http://schemas.microsoft.com/office/drawing/2014/main" xmlns="" id="{00000000-0008-0000-0900-00001F180000}"/>
            </a:ext>
          </a:extLst>
        </xdr:cNvPr>
        <xdr:cNvPicPr>
          <a:picLocks noChangeAspect="1" noChangeArrowheads="1"/>
        </xdr:cNvPicPr>
      </xdr:nvPicPr>
      <xdr:blipFill>
        <a:blip xmlns:r="http://schemas.openxmlformats.org/officeDocument/2006/relationships" r:embed="rId26" cstate="print">
          <a:clrChange>
            <a:clrFrom>
              <a:srgbClr val="FFFFFF"/>
            </a:clrFrom>
            <a:clrTo>
              <a:srgbClr val="FFFFFF">
                <a:alpha val="0"/>
              </a:srgbClr>
            </a:clrTo>
          </a:clrChange>
        </a:blip>
        <a:srcRect/>
        <a:stretch>
          <a:fillRect/>
        </a:stretch>
      </xdr:blipFill>
      <xdr:spPr bwMode="auto">
        <a:xfrm>
          <a:off x="685800" y="48186975"/>
          <a:ext cx="247650" cy="209550"/>
        </a:xfrm>
        <a:prstGeom prst="rect">
          <a:avLst/>
        </a:prstGeom>
        <a:noFill/>
        <a:ln w="9525">
          <a:noFill/>
          <a:miter lim="800000"/>
          <a:headEnd/>
          <a:tailEnd/>
        </a:ln>
      </xdr:spPr>
    </xdr:pic>
    <xdr:clientData/>
  </xdr:twoCellAnchor>
  <xdr:twoCellAnchor>
    <xdr:from>
      <xdr:col>1</xdr:col>
      <xdr:colOff>247650</xdr:colOff>
      <xdr:row>237</xdr:row>
      <xdr:rowOff>85725</xdr:rowOff>
    </xdr:from>
    <xdr:to>
      <xdr:col>3</xdr:col>
      <xdr:colOff>161925</xdr:colOff>
      <xdr:row>238</xdr:row>
      <xdr:rowOff>171450</xdr:rowOff>
    </xdr:to>
    <xdr:pic>
      <xdr:nvPicPr>
        <xdr:cNvPr id="6176" name="Picture 32">
          <a:extLst>
            <a:ext uri="{FF2B5EF4-FFF2-40B4-BE49-F238E27FC236}">
              <a16:creationId xmlns:a16="http://schemas.microsoft.com/office/drawing/2014/main" xmlns="" id="{00000000-0008-0000-0900-000020180000}"/>
            </a:ext>
          </a:extLst>
        </xdr:cNvPr>
        <xdr:cNvPicPr>
          <a:picLocks noChangeAspect="1" noChangeArrowheads="1"/>
        </xdr:cNvPicPr>
      </xdr:nvPicPr>
      <xdr:blipFill>
        <a:blip xmlns:r="http://schemas.openxmlformats.org/officeDocument/2006/relationships" r:embed="rId27" cstate="print">
          <a:clrChange>
            <a:clrFrom>
              <a:srgbClr val="FFFFFF"/>
            </a:clrFrom>
            <a:clrTo>
              <a:srgbClr val="FFFFFF">
                <a:alpha val="0"/>
              </a:srgbClr>
            </a:clrTo>
          </a:clrChange>
        </a:blip>
        <a:srcRect/>
        <a:stretch>
          <a:fillRect/>
        </a:stretch>
      </xdr:blipFill>
      <xdr:spPr bwMode="auto">
        <a:xfrm>
          <a:off x="857250" y="48444150"/>
          <a:ext cx="1276350" cy="285750"/>
        </a:xfrm>
        <a:prstGeom prst="rect">
          <a:avLst/>
        </a:prstGeom>
        <a:noFill/>
        <a:ln w="9525">
          <a:noFill/>
          <a:miter lim="800000"/>
          <a:headEnd/>
          <a:tailEnd/>
        </a:ln>
      </xdr:spPr>
    </xdr:pic>
    <xdr:clientData/>
  </xdr:twoCellAnchor>
  <xdr:twoCellAnchor>
    <xdr:from>
      <xdr:col>1</xdr:col>
      <xdr:colOff>142875</xdr:colOff>
      <xdr:row>241</xdr:row>
      <xdr:rowOff>9525</xdr:rowOff>
    </xdr:from>
    <xdr:to>
      <xdr:col>1</xdr:col>
      <xdr:colOff>390525</xdr:colOff>
      <xdr:row>242</xdr:row>
      <xdr:rowOff>19050</xdr:rowOff>
    </xdr:to>
    <xdr:pic>
      <xdr:nvPicPr>
        <xdr:cNvPr id="6177" name="Picture 33">
          <a:extLst>
            <a:ext uri="{FF2B5EF4-FFF2-40B4-BE49-F238E27FC236}">
              <a16:creationId xmlns:a16="http://schemas.microsoft.com/office/drawing/2014/main" xmlns="" id="{00000000-0008-0000-0900-000021180000}"/>
            </a:ext>
          </a:extLst>
        </xdr:cNvPr>
        <xdr:cNvPicPr>
          <a:picLocks noChangeAspect="1" noChangeArrowheads="1"/>
        </xdr:cNvPicPr>
      </xdr:nvPicPr>
      <xdr:blipFill>
        <a:blip xmlns:r="http://schemas.openxmlformats.org/officeDocument/2006/relationships" r:embed="rId28" cstate="print">
          <a:clrChange>
            <a:clrFrom>
              <a:srgbClr val="FFFFFF"/>
            </a:clrFrom>
            <a:clrTo>
              <a:srgbClr val="FFFFFF">
                <a:alpha val="0"/>
              </a:srgbClr>
            </a:clrTo>
          </a:clrChange>
        </a:blip>
        <a:srcRect/>
        <a:stretch>
          <a:fillRect/>
        </a:stretch>
      </xdr:blipFill>
      <xdr:spPr bwMode="auto">
        <a:xfrm>
          <a:off x="752475" y="49177575"/>
          <a:ext cx="247650" cy="209550"/>
        </a:xfrm>
        <a:prstGeom prst="rect">
          <a:avLst/>
        </a:prstGeom>
        <a:noFill/>
        <a:ln w="9525">
          <a:noFill/>
          <a:miter lim="800000"/>
          <a:headEnd/>
          <a:tailEnd/>
        </a:ln>
      </xdr:spPr>
    </xdr:pic>
    <xdr:clientData/>
  </xdr:twoCellAnchor>
  <xdr:twoCellAnchor>
    <xdr:from>
      <xdr:col>2</xdr:col>
      <xdr:colOff>247650</xdr:colOff>
      <xdr:row>242</xdr:row>
      <xdr:rowOff>190500</xdr:rowOff>
    </xdr:from>
    <xdr:to>
      <xdr:col>5</xdr:col>
      <xdr:colOff>400050</xdr:colOff>
      <xdr:row>244</xdr:row>
      <xdr:rowOff>47625</xdr:rowOff>
    </xdr:to>
    <xdr:pic>
      <xdr:nvPicPr>
        <xdr:cNvPr id="6178" name="Picture 34">
          <a:extLst>
            <a:ext uri="{FF2B5EF4-FFF2-40B4-BE49-F238E27FC236}">
              <a16:creationId xmlns:a16="http://schemas.microsoft.com/office/drawing/2014/main" xmlns="" id="{00000000-0008-0000-0900-000022180000}"/>
            </a:ext>
          </a:extLst>
        </xdr:cNvPr>
        <xdr:cNvPicPr>
          <a:picLocks noChangeAspect="1" noChangeArrowheads="1"/>
        </xdr:cNvPicPr>
      </xdr:nvPicPr>
      <xdr:blipFill>
        <a:blip xmlns:r="http://schemas.openxmlformats.org/officeDocument/2006/relationships" r:embed="rId29" cstate="print">
          <a:clrChange>
            <a:clrFrom>
              <a:srgbClr val="FFFFFF"/>
            </a:clrFrom>
            <a:clrTo>
              <a:srgbClr val="FFFFFF">
                <a:alpha val="0"/>
              </a:srgbClr>
            </a:clrTo>
          </a:clrChange>
        </a:blip>
        <a:srcRect/>
        <a:stretch>
          <a:fillRect/>
        </a:stretch>
      </xdr:blipFill>
      <xdr:spPr bwMode="auto">
        <a:xfrm>
          <a:off x="1466850" y="49558575"/>
          <a:ext cx="2124075" cy="257175"/>
        </a:xfrm>
        <a:prstGeom prst="rect">
          <a:avLst/>
        </a:prstGeom>
        <a:noFill/>
        <a:ln w="9525">
          <a:noFill/>
          <a:miter lim="800000"/>
          <a:headEnd/>
          <a:tailEnd/>
        </a:ln>
      </xdr:spPr>
    </xdr:pic>
    <xdr:clientData/>
  </xdr:twoCellAnchor>
  <xdr:twoCellAnchor>
    <xdr:from>
      <xdr:col>5</xdr:col>
      <xdr:colOff>428625</xdr:colOff>
      <xdr:row>248</xdr:row>
      <xdr:rowOff>19050</xdr:rowOff>
    </xdr:from>
    <xdr:to>
      <xdr:col>7</xdr:col>
      <xdr:colOff>76200</xdr:colOff>
      <xdr:row>249</xdr:row>
      <xdr:rowOff>38100</xdr:rowOff>
    </xdr:to>
    <xdr:pic>
      <xdr:nvPicPr>
        <xdr:cNvPr id="6179" name="Picture 35">
          <a:extLst>
            <a:ext uri="{FF2B5EF4-FFF2-40B4-BE49-F238E27FC236}">
              <a16:creationId xmlns:a16="http://schemas.microsoft.com/office/drawing/2014/main" xmlns="" id="{00000000-0008-0000-0900-000023180000}"/>
            </a:ext>
          </a:extLst>
        </xdr:cNvPr>
        <xdr:cNvPicPr>
          <a:picLocks noChangeAspect="1" noChangeArrowheads="1"/>
        </xdr:cNvPicPr>
      </xdr:nvPicPr>
      <xdr:blipFill>
        <a:blip xmlns:r="http://schemas.openxmlformats.org/officeDocument/2006/relationships" r:embed="rId30" cstate="print">
          <a:clrChange>
            <a:clrFrom>
              <a:srgbClr val="FFFFFF"/>
            </a:clrFrom>
            <a:clrTo>
              <a:srgbClr val="FFFFFF">
                <a:alpha val="0"/>
              </a:srgbClr>
            </a:clrTo>
          </a:clrChange>
        </a:blip>
        <a:srcRect/>
        <a:stretch>
          <a:fillRect/>
        </a:stretch>
      </xdr:blipFill>
      <xdr:spPr bwMode="auto">
        <a:xfrm>
          <a:off x="3619500" y="50587275"/>
          <a:ext cx="866775" cy="219075"/>
        </a:xfrm>
        <a:prstGeom prst="rect">
          <a:avLst/>
        </a:prstGeom>
        <a:noFill/>
        <a:ln w="9525">
          <a:noFill/>
          <a:miter lim="800000"/>
          <a:headEnd/>
          <a:tailEnd/>
        </a:ln>
      </xdr:spPr>
    </xdr:pic>
    <xdr:clientData/>
  </xdr:twoCellAnchor>
  <xdr:twoCellAnchor>
    <xdr:from>
      <xdr:col>4</xdr:col>
      <xdr:colOff>200025</xdr:colOff>
      <xdr:row>255</xdr:row>
      <xdr:rowOff>0</xdr:rowOff>
    </xdr:from>
    <xdr:to>
      <xdr:col>6</xdr:col>
      <xdr:colOff>419100</xdr:colOff>
      <xdr:row>256</xdr:row>
      <xdr:rowOff>57150</xdr:rowOff>
    </xdr:to>
    <xdr:pic>
      <xdr:nvPicPr>
        <xdr:cNvPr id="6180" name="Picture 36">
          <a:extLst>
            <a:ext uri="{FF2B5EF4-FFF2-40B4-BE49-F238E27FC236}">
              <a16:creationId xmlns:a16="http://schemas.microsoft.com/office/drawing/2014/main" xmlns="" id="{00000000-0008-0000-0900-000024180000}"/>
            </a:ext>
          </a:extLst>
        </xdr:cNvPr>
        <xdr:cNvPicPr>
          <a:picLocks noChangeAspect="1" noChangeArrowheads="1"/>
        </xdr:cNvPicPr>
      </xdr:nvPicPr>
      <xdr:blipFill>
        <a:blip xmlns:r="http://schemas.openxmlformats.org/officeDocument/2006/relationships" r:embed="rId31" cstate="print">
          <a:clrChange>
            <a:clrFrom>
              <a:srgbClr val="FFFFFF"/>
            </a:clrFrom>
            <a:clrTo>
              <a:srgbClr val="FFFFFF">
                <a:alpha val="0"/>
              </a:srgbClr>
            </a:clrTo>
          </a:clrChange>
        </a:blip>
        <a:srcRect/>
        <a:stretch>
          <a:fillRect/>
        </a:stretch>
      </xdr:blipFill>
      <xdr:spPr bwMode="auto">
        <a:xfrm>
          <a:off x="2781300" y="51977925"/>
          <a:ext cx="1438275" cy="257175"/>
        </a:xfrm>
        <a:prstGeom prst="rect">
          <a:avLst/>
        </a:prstGeom>
        <a:noFill/>
        <a:ln w="9525">
          <a:noFill/>
          <a:miter lim="800000"/>
          <a:headEnd/>
          <a:tailEnd/>
        </a:ln>
      </xdr:spPr>
    </xdr:pic>
    <xdr:clientData/>
  </xdr:twoCellAnchor>
  <xdr:twoCellAnchor>
    <xdr:from>
      <xdr:col>1</xdr:col>
      <xdr:colOff>66675</xdr:colOff>
      <xdr:row>257</xdr:row>
      <xdr:rowOff>38100</xdr:rowOff>
    </xdr:from>
    <xdr:to>
      <xdr:col>1</xdr:col>
      <xdr:colOff>381000</xdr:colOff>
      <xdr:row>258</xdr:row>
      <xdr:rowOff>47625</xdr:rowOff>
    </xdr:to>
    <xdr:pic>
      <xdr:nvPicPr>
        <xdr:cNvPr id="6181" name="Picture 37">
          <a:extLst>
            <a:ext uri="{FF2B5EF4-FFF2-40B4-BE49-F238E27FC236}">
              <a16:creationId xmlns:a16="http://schemas.microsoft.com/office/drawing/2014/main" xmlns="" id="{00000000-0008-0000-0900-000025180000}"/>
            </a:ext>
          </a:extLst>
        </xdr:cNvPr>
        <xdr:cNvPicPr>
          <a:picLocks noChangeAspect="1" noChangeArrowheads="1"/>
        </xdr:cNvPicPr>
      </xdr:nvPicPr>
      <xdr:blipFill>
        <a:blip xmlns:r="http://schemas.openxmlformats.org/officeDocument/2006/relationships" r:embed="rId32" cstate="print">
          <a:clrChange>
            <a:clrFrom>
              <a:srgbClr val="FFFFFF"/>
            </a:clrFrom>
            <a:clrTo>
              <a:srgbClr val="FFFFFF">
                <a:alpha val="0"/>
              </a:srgbClr>
            </a:clrTo>
          </a:clrChange>
        </a:blip>
        <a:srcRect/>
        <a:stretch>
          <a:fillRect/>
        </a:stretch>
      </xdr:blipFill>
      <xdr:spPr bwMode="auto">
        <a:xfrm>
          <a:off x="676275" y="52416075"/>
          <a:ext cx="314325" cy="209550"/>
        </a:xfrm>
        <a:prstGeom prst="rect">
          <a:avLst/>
        </a:prstGeom>
        <a:noFill/>
        <a:ln w="9525">
          <a:noFill/>
          <a:miter lim="800000"/>
          <a:headEnd/>
          <a:tailEnd/>
        </a:ln>
      </xdr:spPr>
    </xdr:pic>
    <xdr:clientData/>
  </xdr:twoCellAnchor>
  <xdr:twoCellAnchor>
    <xdr:from>
      <xdr:col>5</xdr:col>
      <xdr:colOff>38100</xdr:colOff>
      <xdr:row>257</xdr:row>
      <xdr:rowOff>38100</xdr:rowOff>
    </xdr:from>
    <xdr:to>
      <xdr:col>5</xdr:col>
      <xdr:colOff>352425</xdr:colOff>
      <xdr:row>258</xdr:row>
      <xdr:rowOff>47625</xdr:rowOff>
    </xdr:to>
    <xdr:pic>
      <xdr:nvPicPr>
        <xdr:cNvPr id="6182" name="Picture 38">
          <a:extLst>
            <a:ext uri="{FF2B5EF4-FFF2-40B4-BE49-F238E27FC236}">
              <a16:creationId xmlns:a16="http://schemas.microsoft.com/office/drawing/2014/main" xmlns="" id="{00000000-0008-0000-0900-000026180000}"/>
            </a:ext>
          </a:extLst>
        </xdr:cNvPr>
        <xdr:cNvPicPr>
          <a:picLocks noChangeAspect="1" noChangeArrowheads="1"/>
        </xdr:cNvPicPr>
      </xdr:nvPicPr>
      <xdr:blipFill>
        <a:blip xmlns:r="http://schemas.openxmlformats.org/officeDocument/2006/relationships" r:embed="rId33" cstate="print">
          <a:clrChange>
            <a:clrFrom>
              <a:srgbClr val="FFFFFF"/>
            </a:clrFrom>
            <a:clrTo>
              <a:srgbClr val="FFFFFF">
                <a:alpha val="0"/>
              </a:srgbClr>
            </a:clrTo>
          </a:clrChange>
        </a:blip>
        <a:srcRect/>
        <a:stretch>
          <a:fillRect/>
        </a:stretch>
      </xdr:blipFill>
      <xdr:spPr bwMode="auto">
        <a:xfrm>
          <a:off x="3228975" y="52416075"/>
          <a:ext cx="314325" cy="209550"/>
        </a:xfrm>
        <a:prstGeom prst="rect">
          <a:avLst/>
        </a:prstGeom>
        <a:noFill/>
        <a:ln w="9525">
          <a:noFill/>
          <a:miter lim="800000"/>
          <a:headEnd/>
          <a:tailEnd/>
        </a:ln>
      </xdr:spPr>
    </xdr:pic>
    <xdr:clientData/>
  </xdr:twoCellAnchor>
  <xdr:twoCellAnchor>
    <xdr:from>
      <xdr:col>2</xdr:col>
      <xdr:colOff>171450</xdr:colOff>
      <xdr:row>259</xdr:row>
      <xdr:rowOff>19050</xdr:rowOff>
    </xdr:from>
    <xdr:to>
      <xdr:col>2</xdr:col>
      <xdr:colOff>495300</xdr:colOff>
      <xdr:row>260</xdr:row>
      <xdr:rowOff>38100</xdr:rowOff>
    </xdr:to>
    <xdr:pic>
      <xdr:nvPicPr>
        <xdr:cNvPr id="6183" name="Picture 39">
          <a:extLst>
            <a:ext uri="{FF2B5EF4-FFF2-40B4-BE49-F238E27FC236}">
              <a16:creationId xmlns:a16="http://schemas.microsoft.com/office/drawing/2014/main" xmlns="" id="{00000000-0008-0000-0900-000027180000}"/>
            </a:ext>
          </a:extLst>
        </xdr:cNvPr>
        <xdr:cNvPicPr>
          <a:picLocks noChangeAspect="1" noChangeArrowheads="1"/>
        </xdr:cNvPicPr>
      </xdr:nvPicPr>
      <xdr:blipFill>
        <a:blip xmlns:r="http://schemas.openxmlformats.org/officeDocument/2006/relationships" r:embed="rId17" cstate="print">
          <a:clrChange>
            <a:clrFrom>
              <a:srgbClr val="FFFFFF"/>
            </a:clrFrom>
            <a:clrTo>
              <a:srgbClr val="FFFFFF">
                <a:alpha val="0"/>
              </a:srgbClr>
            </a:clrTo>
          </a:clrChange>
        </a:blip>
        <a:srcRect/>
        <a:stretch>
          <a:fillRect/>
        </a:stretch>
      </xdr:blipFill>
      <xdr:spPr bwMode="auto">
        <a:xfrm>
          <a:off x="1390650" y="52797075"/>
          <a:ext cx="323850" cy="219075"/>
        </a:xfrm>
        <a:prstGeom prst="rect">
          <a:avLst/>
        </a:prstGeom>
        <a:noFill/>
        <a:ln w="9525">
          <a:noFill/>
          <a:miter lim="800000"/>
          <a:headEnd/>
          <a:tailEnd/>
        </a:ln>
      </xdr:spPr>
    </xdr:pic>
    <xdr:clientData/>
  </xdr:twoCellAnchor>
  <xdr:twoCellAnchor>
    <xdr:from>
      <xdr:col>1</xdr:col>
      <xdr:colOff>314325</xdr:colOff>
      <xdr:row>260</xdr:row>
      <xdr:rowOff>180975</xdr:rowOff>
    </xdr:from>
    <xdr:to>
      <xdr:col>3</xdr:col>
      <xdr:colOff>533400</xdr:colOff>
      <xdr:row>262</xdr:row>
      <xdr:rowOff>47625</xdr:rowOff>
    </xdr:to>
    <xdr:pic>
      <xdr:nvPicPr>
        <xdr:cNvPr id="6184" name="Picture 40">
          <a:extLst>
            <a:ext uri="{FF2B5EF4-FFF2-40B4-BE49-F238E27FC236}">
              <a16:creationId xmlns:a16="http://schemas.microsoft.com/office/drawing/2014/main" xmlns="" id="{00000000-0008-0000-0900-000028180000}"/>
            </a:ext>
          </a:extLst>
        </xdr:cNvPr>
        <xdr:cNvPicPr>
          <a:picLocks noChangeAspect="1" noChangeArrowheads="1"/>
        </xdr:cNvPicPr>
      </xdr:nvPicPr>
      <xdr:blipFill>
        <a:blip xmlns:r="http://schemas.openxmlformats.org/officeDocument/2006/relationships" r:embed="rId31" cstate="print">
          <a:clrChange>
            <a:clrFrom>
              <a:srgbClr val="FFFFFF"/>
            </a:clrFrom>
            <a:clrTo>
              <a:srgbClr val="FFFFFF">
                <a:alpha val="0"/>
              </a:srgbClr>
            </a:clrTo>
          </a:clrChange>
        </a:blip>
        <a:srcRect/>
        <a:stretch>
          <a:fillRect/>
        </a:stretch>
      </xdr:blipFill>
      <xdr:spPr bwMode="auto">
        <a:xfrm>
          <a:off x="923925" y="53159025"/>
          <a:ext cx="1581150" cy="257175"/>
        </a:xfrm>
        <a:prstGeom prst="rect">
          <a:avLst/>
        </a:prstGeom>
        <a:noFill/>
        <a:ln w="9525">
          <a:noFill/>
          <a:miter lim="800000"/>
          <a:headEnd/>
          <a:tailEnd/>
        </a:ln>
      </xdr:spPr>
    </xdr:pic>
    <xdr:clientData/>
  </xdr:twoCellAnchor>
  <xdr:twoCellAnchor>
    <xdr:from>
      <xdr:col>5</xdr:col>
      <xdr:colOff>571500</xdr:colOff>
      <xdr:row>272</xdr:row>
      <xdr:rowOff>142875</xdr:rowOff>
    </xdr:from>
    <xdr:to>
      <xdr:col>6</xdr:col>
      <xdr:colOff>561975</xdr:colOff>
      <xdr:row>274</xdr:row>
      <xdr:rowOff>152400</xdr:rowOff>
    </xdr:to>
    <xdr:pic>
      <xdr:nvPicPr>
        <xdr:cNvPr id="6185" name="Picture 41">
          <a:extLst>
            <a:ext uri="{FF2B5EF4-FFF2-40B4-BE49-F238E27FC236}">
              <a16:creationId xmlns:a16="http://schemas.microsoft.com/office/drawing/2014/main" xmlns="" id="{00000000-0008-0000-0900-000029180000}"/>
            </a:ext>
          </a:extLst>
        </xdr:cNvPr>
        <xdr:cNvPicPr>
          <a:picLocks noChangeAspect="1" noChangeArrowheads="1"/>
        </xdr:cNvPicPr>
      </xdr:nvPicPr>
      <xdr:blipFill>
        <a:blip xmlns:r="http://schemas.openxmlformats.org/officeDocument/2006/relationships" r:embed="rId34" cstate="print">
          <a:clrChange>
            <a:clrFrom>
              <a:srgbClr val="FFFFFF"/>
            </a:clrFrom>
            <a:clrTo>
              <a:srgbClr val="FFFFFF">
                <a:alpha val="0"/>
              </a:srgbClr>
            </a:clrTo>
          </a:clrChange>
        </a:blip>
        <a:srcRect/>
        <a:stretch>
          <a:fillRect/>
        </a:stretch>
      </xdr:blipFill>
      <xdr:spPr bwMode="auto">
        <a:xfrm>
          <a:off x="3762375" y="55578375"/>
          <a:ext cx="600075" cy="400050"/>
        </a:xfrm>
        <a:prstGeom prst="rect">
          <a:avLst/>
        </a:prstGeom>
        <a:noFill/>
        <a:ln w="9525">
          <a:noFill/>
          <a:miter lim="800000"/>
          <a:headEnd/>
          <a:tailEnd/>
        </a:ln>
      </xdr:spPr>
    </xdr:pic>
    <xdr:clientData/>
  </xdr:twoCellAnchor>
  <xdr:twoCellAnchor>
    <xdr:from>
      <xdr:col>1</xdr:col>
      <xdr:colOff>123825</xdr:colOff>
      <xdr:row>275</xdr:row>
      <xdr:rowOff>9525</xdr:rowOff>
    </xdr:from>
    <xdr:to>
      <xdr:col>1</xdr:col>
      <xdr:colOff>438150</xdr:colOff>
      <xdr:row>276</xdr:row>
      <xdr:rowOff>19050</xdr:rowOff>
    </xdr:to>
    <xdr:pic>
      <xdr:nvPicPr>
        <xdr:cNvPr id="6186" name="Picture 42">
          <a:extLst>
            <a:ext uri="{FF2B5EF4-FFF2-40B4-BE49-F238E27FC236}">
              <a16:creationId xmlns:a16="http://schemas.microsoft.com/office/drawing/2014/main" xmlns="" id="{00000000-0008-0000-0900-00002A180000}"/>
            </a:ext>
          </a:extLst>
        </xdr:cNvPr>
        <xdr:cNvPicPr>
          <a:picLocks noChangeAspect="1" noChangeArrowheads="1"/>
        </xdr:cNvPicPr>
      </xdr:nvPicPr>
      <xdr:blipFill>
        <a:blip xmlns:r="http://schemas.openxmlformats.org/officeDocument/2006/relationships" r:embed="rId35" cstate="print">
          <a:clrChange>
            <a:clrFrom>
              <a:srgbClr val="FFFFFF"/>
            </a:clrFrom>
            <a:clrTo>
              <a:srgbClr val="FFFFFF">
                <a:alpha val="0"/>
              </a:srgbClr>
            </a:clrTo>
          </a:clrChange>
        </a:blip>
        <a:srcRect/>
        <a:stretch>
          <a:fillRect/>
        </a:stretch>
      </xdr:blipFill>
      <xdr:spPr bwMode="auto">
        <a:xfrm>
          <a:off x="733425" y="56026050"/>
          <a:ext cx="314325" cy="247650"/>
        </a:xfrm>
        <a:prstGeom prst="rect">
          <a:avLst/>
        </a:prstGeom>
        <a:noFill/>
        <a:ln w="9525">
          <a:noFill/>
          <a:miter lim="800000"/>
          <a:headEnd/>
          <a:tailEnd/>
        </a:ln>
      </xdr:spPr>
    </xdr:pic>
    <xdr:clientData/>
  </xdr:twoCellAnchor>
  <xdr:twoCellAnchor>
    <xdr:from>
      <xdr:col>2</xdr:col>
      <xdr:colOff>238125</xdr:colOff>
      <xdr:row>277</xdr:row>
      <xdr:rowOff>180975</xdr:rowOff>
    </xdr:from>
    <xdr:to>
      <xdr:col>2</xdr:col>
      <xdr:colOff>476250</xdr:colOff>
      <xdr:row>279</xdr:row>
      <xdr:rowOff>9525</xdr:rowOff>
    </xdr:to>
    <xdr:pic>
      <xdr:nvPicPr>
        <xdr:cNvPr id="6187" name="Picture 43">
          <a:extLst>
            <a:ext uri="{FF2B5EF4-FFF2-40B4-BE49-F238E27FC236}">
              <a16:creationId xmlns:a16="http://schemas.microsoft.com/office/drawing/2014/main" xmlns="" id="{00000000-0008-0000-0900-00002B180000}"/>
            </a:ext>
          </a:extLst>
        </xdr:cNvPr>
        <xdr:cNvPicPr>
          <a:picLocks noChangeAspect="1" noChangeArrowheads="1"/>
        </xdr:cNvPicPr>
      </xdr:nvPicPr>
      <xdr:blipFill>
        <a:blip xmlns:r="http://schemas.openxmlformats.org/officeDocument/2006/relationships" r:embed="rId36" cstate="print">
          <a:clrChange>
            <a:clrFrom>
              <a:srgbClr val="FFFFFF"/>
            </a:clrFrom>
            <a:clrTo>
              <a:srgbClr val="FFFFFF">
                <a:alpha val="0"/>
              </a:srgbClr>
            </a:clrTo>
          </a:clrChange>
        </a:blip>
        <a:srcRect/>
        <a:stretch>
          <a:fillRect/>
        </a:stretch>
      </xdr:blipFill>
      <xdr:spPr bwMode="auto">
        <a:xfrm>
          <a:off x="1457325" y="56626125"/>
          <a:ext cx="238125" cy="238125"/>
        </a:xfrm>
        <a:prstGeom prst="rect">
          <a:avLst/>
        </a:prstGeom>
        <a:noFill/>
        <a:ln w="9525">
          <a:noFill/>
          <a:miter lim="800000"/>
          <a:headEnd/>
          <a:tailEnd/>
        </a:ln>
      </xdr:spPr>
    </xdr:pic>
    <xdr:clientData/>
  </xdr:twoCellAnchor>
  <xdr:twoCellAnchor>
    <xdr:from>
      <xdr:col>1</xdr:col>
      <xdr:colOff>352425</xdr:colOff>
      <xdr:row>280</xdr:row>
      <xdr:rowOff>114300</xdr:rowOff>
    </xdr:from>
    <xdr:to>
      <xdr:col>2</xdr:col>
      <xdr:colOff>342900</xdr:colOff>
      <xdr:row>282</xdr:row>
      <xdr:rowOff>123825</xdr:rowOff>
    </xdr:to>
    <xdr:pic>
      <xdr:nvPicPr>
        <xdr:cNvPr id="6188" name="Picture 44">
          <a:extLst>
            <a:ext uri="{FF2B5EF4-FFF2-40B4-BE49-F238E27FC236}">
              <a16:creationId xmlns:a16="http://schemas.microsoft.com/office/drawing/2014/main" xmlns="" id="{00000000-0008-0000-0900-00002C180000}"/>
            </a:ext>
          </a:extLst>
        </xdr:cNvPr>
        <xdr:cNvPicPr>
          <a:picLocks noChangeAspect="1" noChangeArrowheads="1"/>
        </xdr:cNvPicPr>
      </xdr:nvPicPr>
      <xdr:blipFill>
        <a:blip xmlns:r="http://schemas.openxmlformats.org/officeDocument/2006/relationships" r:embed="rId34" cstate="print">
          <a:clrChange>
            <a:clrFrom>
              <a:srgbClr val="FFFFFF"/>
            </a:clrFrom>
            <a:clrTo>
              <a:srgbClr val="FFFFFF">
                <a:alpha val="0"/>
              </a:srgbClr>
            </a:clrTo>
          </a:clrChange>
        </a:blip>
        <a:srcRect/>
        <a:stretch>
          <a:fillRect/>
        </a:stretch>
      </xdr:blipFill>
      <xdr:spPr bwMode="auto">
        <a:xfrm>
          <a:off x="962025" y="57169050"/>
          <a:ext cx="600075" cy="419100"/>
        </a:xfrm>
        <a:prstGeom prst="rect">
          <a:avLst/>
        </a:prstGeom>
        <a:noFill/>
        <a:ln w="9525">
          <a:noFill/>
          <a:miter lim="800000"/>
          <a:headEnd/>
          <a:tailEnd/>
        </a:ln>
      </xdr:spPr>
    </xdr:pic>
    <xdr:clientData/>
  </xdr:twoCellAnchor>
  <xdr:twoCellAnchor>
    <xdr:from>
      <xdr:col>1</xdr:col>
      <xdr:colOff>47625</xdr:colOff>
      <xdr:row>283</xdr:row>
      <xdr:rowOff>19050</xdr:rowOff>
    </xdr:from>
    <xdr:to>
      <xdr:col>6</xdr:col>
      <xdr:colOff>514350</xdr:colOff>
      <xdr:row>284</xdr:row>
      <xdr:rowOff>28575</xdr:rowOff>
    </xdr:to>
    <xdr:pic>
      <xdr:nvPicPr>
        <xdr:cNvPr id="6189" name="Picture 45">
          <a:extLst>
            <a:ext uri="{FF2B5EF4-FFF2-40B4-BE49-F238E27FC236}">
              <a16:creationId xmlns:a16="http://schemas.microsoft.com/office/drawing/2014/main" xmlns="" id="{00000000-0008-0000-0900-00002D180000}"/>
            </a:ext>
          </a:extLst>
        </xdr:cNvPr>
        <xdr:cNvPicPr>
          <a:picLocks noChangeAspect="1" noChangeArrowheads="1"/>
        </xdr:cNvPicPr>
      </xdr:nvPicPr>
      <xdr:blipFill>
        <a:blip xmlns:r="http://schemas.openxmlformats.org/officeDocument/2006/relationships" r:embed="rId37" cstate="print">
          <a:clrChange>
            <a:clrFrom>
              <a:srgbClr val="FFFFFF"/>
            </a:clrFrom>
            <a:clrTo>
              <a:srgbClr val="FFFFFF">
                <a:alpha val="0"/>
              </a:srgbClr>
            </a:clrTo>
          </a:clrChange>
        </a:blip>
        <a:srcRect/>
        <a:stretch>
          <a:fillRect/>
        </a:stretch>
      </xdr:blipFill>
      <xdr:spPr bwMode="auto">
        <a:xfrm>
          <a:off x="657225" y="57673875"/>
          <a:ext cx="3657600" cy="209550"/>
        </a:xfrm>
        <a:prstGeom prst="rect">
          <a:avLst/>
        </a:prstGeom>
        <a:noFill/>
        <a:ln w="9525">
          <a:noFill/>
          <a:miter lim="800000"/>
          <a:headEnd/>
          <a:tailEnd/>
        </a:ln>
      </xdr:spPr>
    </xdr:pic>
    <xdr:clientData/>
  </xdr:twoCellAnchor>
  <xdr:twoCellAnchor>
    <xdr:from>
      <xdr:col>1</xdr:col>
      <xdr:colOff>438150</xdr:colOff>
      <xdr:row>293</xdr:row>
      <xdr:rowOff>123825</xdr:rowOff>
    </xdr:from>
    <xdr:to>
      <xdr:col>2</xdr:col>
      <xdr:colOff>428625</xdr:colOff>
      <xdr:row>295</xdr:row>
      <xdr:rowOff>142875</xdr:rowOff>
    </xdr:to>
    <xdr:pic>
      <xdr:nvPicPr>
        <xdr:cNvPr id="6190" name="Picture 46">
          <a:extLst>
            <a:ext uri="{FF2B5EF4-FFF2-40B4-BE49-F238E27FC236}">
              <a16:creationId xmlns:a16="http://schemas.microsoft.com/office/drawing/2014/main" xmlns="" id="{00000000-0008-0000-0900-00002E180000}"/>
            </a:ext>
          </a:extLst>
        </xdr:cNvPr>
        <xdr:cNvPicPr>
          <a:picLocks noChangeAspect="1" noChangeArrowheads="1"/>
        </xdr:cNvPicPr>
      </xdr:nvPicPr>
      <xdr:blipFill>
        <a:blip xmlns:r="http://schemas.openxmlformats.org/officeDocument/2006/relationships" r:embed="rId38" cstate="print">
          <a:clrChange>
            <a:clrFrom>
              <a:srgbClr val="FFFFFF"/>
            </a:clrFrom>
            <a:clrTo>
              <a:srgbClr val="FFFFFF">
                <a:alpha val="0"/>
              </a:srgbClr>
            </a:clrTo>
          </a:clrChange>
        </a:blip>
        <a:srcRect/>
        <a:stretch>
          <a:fillRect/>
        </a:stretch>
      </xdr:blipFill>
      <xdr:spPr bwMode="auto">
        <a:xfrm>
          <a:off x="1047750" y="59855100"/>
          <a:ext cx="600075" cy="400050"/>
        </a:xfrm>
        <a:prstGeom prst="rect">
          <a:avLst/>
        </a:prstGeom>
        <a:noFill/>
        <a:ln w="9525">
          <a:noFill/>
          <a:miter lim="800000"/>
          <a:headEnd/>
          <a:tailEnd/>
        </a:ln>
      </xdr:spPr>
    </xdr:pic>
    <xdr:clientData/>
  </xdr:twoCellAnchor>
  <xdr:twoCellAnchor>
    <xdr:from>
      <xdr:col>2</xdr:col>
      <xdr:colOff>85725</xdr:colOff>
      <xdr:row>296</xdr:row>
      <xdr:rowOff>28575</xdr:rowOff>
    </xdr:from>
    <xdr:to>
      <xdr:col>2</xdr:col>
      <xdr:colOff>400050</xdr:colOff>
      <xdr:row>297</xdr:row>
      <xdr:rowOff>38100</xdr:rowOff>
    </xdr:to>
    <xdr:pic>
      <xdr:nvPicPr>
        <xdr:cNvPr id="6191" name="Picture 47">
          <a:extLst>
            <a:ext uri="{FF2B5EF4-FFF2-40B4-BE49-F238E27FC236}">
              <a16:creationId xmlns:a16="http://schemas.microsoft.com/office/drawing/2014/main" xmlns="" id="{00000000-0008-0000-0900-00002F180000}"/>
            </a:ext>
          </a:extLst>
        </xdr:cNvPr>
        <xdr:cNvPicPr>
          <a:picLocks noChangeAspect="1" noChangeArrowheads="1"/>
        </xdr:cNvPicPr>
      </xdr:nvPicPr>
      <xdr:blipFill>
        <a:blip xmlns:r="http://schemas.openxmlformats.org/officeDocument/2006/relationships" r:embed="rId39" cstate="print">
          <a:clrChange>
            <a:clrFrom>
              <a:srgbClr val="FFFFFF"/>
            </a:clrFrom>
            <a:clrTo>
              <a:srgbClr val="FFFFFF">
                <a:alpha val="0"/>
              </a:srgbClr>
            </a:clrTo>
          </a:clrChange>
        </a:blip>
        <a:srcRect/>
        <a:stretch>
          <a:fillRect/>
        </a:stretch>
      </xdr:blipFill>
      <xdr:spPr bwMode="auto">
        <a:xfrm>
          <a:off x="1304925" y="60331350"/>
          <a:ext cx="314325" cy="209550"/>
        </a:xfrm>
        <a:prstGeom prst="rect">
          <a:avLst/>
        </a:prstGeom>
        <a:noFill/>
        <a:ln w="9525">
          <a:noFill/>
          <a:miter lim="800000"/>
          <a:headEnd/>
          <a:tailEnd/>
        </a:ln>
      </xdr:spPr>
    </xdr:pic>
    <xdr:clientData/>
  </xdr:twoCellAnchor>
  <xdr:twoCellAnchor>
    <xdr:from>
      <xdr:col>6</xdr:col>
      <xdr:colOff>323850</xdr:colOff>
      <xdr:row>296</xdr:row>
      <xdr:rowOff>57150</xdr:rowOff>
    </xdr:from>
    <xdr:to>
      <xdr:col>7</xdr:col>
      <xdr:colOff>38100</xdr:colOff>
      <xdr:row>297</xdr:row>
      <xdr:rowOff>66675</xdr:rowOff>
    </xdr:to>
    <xdr:pic>
      <xdr:nvPicPr>
        <xdr:cNvPr id="6192" name="Picture 48">
          <a:extLst>
            <a:ext uri="{FF2B5EF4-FFF2-40B4-BE49-F238E27FC236}">
              <a16:creationId xmlns:a16="http://schemas.microsoft.com/office/drawing/2014/main" xmlns="" id="{00000000-0008-0000-0900-000030180000}"/>
            </a:ext>
          </a:extLst>
        </xdr:cNvPr>
        <xdr:cNvPicPr>
          <a:picLocks noChangeAspect="1" noChangeArrowheads="1"/>
        </xdr:cNvPicPr>
      </xdr:nvPicPr>
      <xdr:blipFill>
        <a:blip xmlns:r="http://schemas.openxmlformats.org/officeDocument/2006/relationships" r:embed="rId40" cstate="print">
          <a:clrChange>
            <a:clrFrom>
              <a:srgbClr val="FFFFFF"/>
            </a:clrFrom>
            <a:clrTo>
              <a:srgbClr val="FFFFFF">
                <a:alpha val="0"/>
              </a:srgbClr>
            </a:clrTo>
          </a:clrChange>
        </a:blip>
        <a:srcRect/>
        <a:stretch>
          <a:fillRect/>
        </a:stretch>
      </xdr:blipFill>
      <xdr:spPr bwMode="auto">
        <a:xfrm>
          <a:off x="4124325" y="60359925"/>
          <a:ext cx="323850" cy="209550"/>
        </a:xfrm>
        <a:prstGeom prst="rect">
          <a:avLst/>
        </a:prstGeom>
        <a:noFill/>
        <a:ln w="9525">
          <a:noFill/>
          <a:miter lim="800000"/>
          <a:headEnd/>
          <a:tailEnd/>
        </a:ln>
      </xdr:spPr>
    </xdr:pic>
    <xdr:clientData/>
  </xdr:twoCellAnchor>
  <xdr:twoCellAnchor>
    <xdr:from>
      <xdr:col>2</xdr:col>
      <xdr:colOff>66675</xdr:colOff>
      <xdr:row>299</xdr:row>
      <xdr:rowOff>0</xdr:rowOff>
    </xdr:from>
    <xdr:to>
      <xdr:col>2</xdr:col>
      <xdr:colOff>304800</xdr:colOff>
      <xdr:row>300</xdr:row>
      <xdr:rowOff>19050</xdr:rowOff>
    </xdr:to>
    <xdr:pic>
      <xdr:nvPicPr>
        <xdr:cNvPr id="6193" name="Picture 49">
          <a:extLst>
            <a:ext uri="{FF2B5EF4-FFF2-40B4-BE49-F238E27FC236}">
              <a16:creationId xmlns:a16="http://schemas.microsoft.com/office/drawing/2014/main" xmlns="" id="{00000000-0008-0000-0900-000031180000}"/>
            </a:ext>
          </a:extLst>
        </xdr:cNvPr>
        <xdr:cNvPicPr>
          <a:picLocks noChangeAspect="1" noChangeArrowheads="1"/>
        </xdr:cNvPicPr>
      </xdr:nvPicPr>
      <xdr:blipFill>
        <a:blip xmlns:r="http://schemas.openxmlformats.org/officeDocument/2006/relationships" r:embed="rId36" cstate="print">
          <a:clrChange>
            <a:clrFrom>
              <a:srgbClr val="FFFFFF"/>
            </a:clrFrom>
            <a:clrTo>
              <a:srgbClr val="FFFFFF">
                <a:alpha val="0"/>
              </a:srgbClr>
            </a:clrTo>
          </a:clrChange>
        </a:blip>
        <a:srcRect/>
        <a:stretch>
          <a:fillRect/>
        </a:stretch>
      </xdr:blipFill>
      <xdr:spPr bwMode="auto">
        <a:xfrm>
          <a:off x="1285875" y="60893325"/>
          <a:ext cx="238125" cy="238125"/>
        </a:xfrm>
        <a:prstGeom prst="rect">
          <a:avLst/>
        </a:prstGeom>
        <a:noFill/>
        <a:ln w="9525">
          <a:noFill/>
          <a:miter lim="800000"/>
          <a:headEnd/>
          <a:tailEnd/>
        </a:ln>
      </xdr:spPr>
    </xdr:pic>
    <xdr:clientData/>
  </xdr:twoCellAnchor>
  <xdr:twoCellAnchor>
    <xdr:from>
      <xdr:col>1</xdr:col>
      <xdr:colOff>400050</xdr:colOff>
      <xdr:row>301</xdr:row>
      <xdr:rowOff>133350</xdr:rowOff>
    </xdr:from>
    <xdr:to>
      <xdr:col>2</xdr:col>
      <xdr:colOff>390525</xdr:colOff>
      <xdr:row>303</xdr:row>
      <xdr:rowOff>142875</xdr:rowOff>
    </xdr:to>
    <xdr:pic>
      <xdr:nvPicPr>
        <xdr:cNvPr id="6194" name="Picture 50">
          <a:extLst>
            <a:ext uri="{FF2B5EF4-FFF2-40B4-BE49-F238E27FC236}">
              <a16:creationId xmlns:a16="http://schemas.microsoft.com/office/drawing/2014/main" xmlns="" id="{00000000-0008-0000-0900-000032180000}"/>
            </a:ext>
          </a:extLst>
        </xdr:cNvPr>
        <xdr:cNvPicPr>
          <a:picLocks noChangeAspect="1" noChangeArrowheads="1"/>
        </xdr:cNvPicPr>
      </xdr:nvPicPr>
      <xdr:blipFill>
        <a:blip xmlns:r="http://schemas.openxmlformats.org/officeDocument/2006/relationships" r:embed="rId38" cstate="print">
          <a:clrChange>
            <a:clrFrom>
              <a:srgbClr val="FFFFFF"/>
            </a:clrFrom>
            <a:clrTo>
              <a:srgbClr val="FFFFFF">
                <a:alpha val="0"/>
              </a:srgbClr>
            </a:clrTo>
          </a:clrChange>
        </a:blip>
        <a:srcRect/>
        <a:stretch>
          <a:fillRect/>
        </a:stretch>
      </xdr:blipFill>
      <xdr:spPr bwMode="auto">
        <a:xfrm>
          <a:off x="1009650" y="61445775"/>
          <a:ext cx="600075" cy="400050"/>
        </a:xfrm>
        <a:prstGeom prst="rect">
          <a:avLst/>
        </a:prstGeom>
        <a:noFill/>
        <a:ln w="9525">
          <a:noFill/>
          <a:miter lim="800000"/>
          <a:headEnd/>
          <a:tailEnd/>
        </a:ln>
      </xdr:spPr>
    </xdr:pic>
    <xdr:clientData/>
  </xdr:twoCellAnchor>
  <xdr:twoCellAnchor>
    <xdr:from>
      <xdr:col>1</xdr:col>
      <xdr:colOff>38100</xdr:colOff>
      <xdr:row>305</xdr:row>
      <xdr:rowOff>9525</xdr:rowOff>
    </xdr:from>
    <xdr:to>
      <xdr:col>6</xdr:col>
      <xdr:colOff>504825</xdr:colOff>
      <xdr:row>306</xdr:row>
      <xdr:rowOff>19050</xdr:rowOff>
    </xdr:to>
    <xdr:pic>
      <xdr:nvPicPr>
        <xdr:cNvPr id="6195" name="Picture 51">
          <a:extLst>
            <a:ext uri="{FF2B5EF4-FFF2-40B4-BE49-F238E27FC236}">
              <a16:creationId xmlns:a16="http://schemas.microsoft.com/office/drawing/2014/main" xmlns="" id="{00000000-0008-0000-0900-000033180000}"/>
            </a:ext>
          </a:extLst>
        </xdr:cNvPr>
        <xdr:cNvPicPr>
          <a:picLocks noChangeAspect="1" noChangeArrowheads="1"/>
        </xdr:cNvPicPr>
      </xdr:nvPicPr>
      <xdr:blipFill>
        <a:blip xmlns:r="http://schemas.openxmlformats.org/officeDocument/2006/relationships" r:embed="rId37" cstate="print">
          <a:clrChange>
            <a:clrFrom>
              <a:srgbClr val="FFFFFF"/>
            </a:clrFrom>
            <a:clrTo>
              <a:srgbClr val="FFFFFF">
                <a:alpha val="0"/>
              </a:srgbClr>
            </a:clrTo>
          </a:clrChange>
        </a:blip>
        <a:srcRect/>
        <a:stretch>
          <a:fillRect/>
        </a:stretch>
      </xdr:blipFill>
      <xdr:spPr bwMode="auto">
        <a:xfrm>
          <a:off x="647700" y="62122050"/>
          <a:ext cx="3657600" cy="209550"/>
        </a:xfrm>
        <a:prstGeom prst="rect">
          <a:avLst/>
        </a:prstGeom>
        <a:noFill/>
        <a:ln w="9525">
          <a:noFill/>
          <a:miter lim="800000"/>
          <a:headEnd/>
          <a:tailEnd/>
        </a:ln>
      </xdr:spPr>
    </xdr:pic>
    <xdr:clientData/>
  </xdr:twoCellAnchor>
  <xdr:twoCellAnchor>
    <xdr:from>
      <xdr:col>0</xdr:col>
      <xdr:colOff>0</xdr:colOff>
      <xdr:row>316</xdr:row>
      <xdr:rowOff>0</xdr:rowOff>
    </xdr:from>
    <xdr:to>
      <xdr:col>1</xdr:col>
      <xdr:colOff>352425</xdr:colOff>
      <xdr:row>317</xdr:row>
      <xdr:rowOff>28575</xdr:rowOff>
    </xdr:to>
    <xdr:pic>
      <xdr:nvPicPr>
        <xdr:cNvPr id="6196" name="Picture 52">
          <a:extLst>
            <a:ext uri="{FF2B5EF4-FFF2-40B4-BE49-F238E27FC236}">
              <a16:creationId xmlns:a16="http://schemas.microsoft.com/office/drawing/2014/main" xmlns="" id="{00000000-0008-0000-0900-000034180000}"/>
            </a:ext>
          </a:extLst>
        </xdr:cNvPr>
        <xdr:cNvPicPr>
          <a:picLocks noChangeAspect="1" noChangeArrowheads="1"/>
        </xdr:cNvPicPr>
      </xdr:nvPicPr>
      <xdr:blipFill>
        <a:blip xmlns:r="http://schemas.openxmlformats.org/officeDocument/2006/relationships" r:embed="rId41" cstate="print">
          <a:clrChange>
            <a:clrFrom>
              <a:srgbClr val="FFFFFF"/>
            </a:clrFrom>
            <a:clrTo>
              <a:srgbClr val="FFFFFF">
                <a:alpha val="0"/>
              </a:srgbClr>
            </a:clrTo>
          </a:clrChange>
        </a:blip>
        <a:srcRect/>
        <a:stretch>
          <a:fillRect/>
        </a:stretch>
      </xdr:blipFill>
      <xdr:spPr bwMode="auto">
        <a:xfrm>
          <a:off x="0" y="64350900"/>
          <a:ext cx="962025" cy="219075"/>
        </a:xfrm>
        <a:prstGeom prst="rect">
          <a:avLst/>
        </a:prstGeom>
        <a:noFill/>
        <a:ln w="9525">
          <a:noFill/>
          <a:miter lim="800000"/>
          <a:headEnd/>
          <a:tailEnd/>
        </a:ln>
      </xdr:spPr>
    </xdr:pic>
    <xdr:clientData/>
  </xdr:twoCellAnchor>
  <xdr:twoCellAnchor>
    <xdr:from>
      <xdr:col>0</xdr:col>
      <xdr:colOff>209550</xdr:colOff>
      <xdr:row>318</xdr:row>
      <xdr:rowOff>19050</xdr:rowOff>
    </xdr:from>
    <xdr:to>
      <xdr:col>0</xdr:col>
      <xdr:colOff>561975</xdr:colOff>
      <xdr:row>319</xdr:row>
      <xdr:rowOff>28575</xdr:rowOff>
    </xdr:to>
    <xdr:pic>
      <xdr:nvPicPr>
        <xdr:cNvPr id="6197" name="Picture 53">
          <a:extLst>
            <a:ext uri="{FF2B5EF4-FFF2-40B4-BE49-F238E27FC236}">
              <a16:creationId xmlns:a16="http://schemas.microsoft.com/office/drawing/2014/main" xmlns="" id="{00000000-0008-0000-0900-000035180000}"/>
            </a:ext>
          </a:extLst>
        </xdr:cNvPr>
        <xdr:cNvPicPr>
          <a:picLocks noChangeAspect="1" noChangeArrowheads="1"/>
        </xdr:cNvPicPr>
      </xdr:nvPicPr>
      <xdr:blipFill>
        <a:blip xmlns:r="http://schemas.openxmlformats.org/officeDocument/2006/relationships" r:embed="rId42" cstate="print">
          <a:clrChange>
            <a:clrFrom>
              <a:srgbClr val="FFFFFF"/>
            </a:clrFrom>
            <a:clrTo>
              <a:srgbClr val="FFFFFF">
                <a:alpha val="0"/>
              </a:srgbClr>
            </a:clrTo>
          </a:clrChange>
        </a:blip>
        <a:srcRect/>
        <a:stretch>
          <a:fillRect/>
        </a:stretch>
      </xdr:blipFill>
      <xdr:spPr bwMode="auto">
        <a:xfrm>
          <a:off x="209550" y="64760475"/>
          <a:ext cx="352425" cy="209550"/>
        </a:xfrm>
        <a:prstGeom prst="rect">
          <a:avLst/>
        </a:prstGeom>
        <a:noFill/>
        <a:ln w="9525">
          <a:noFill/>
          <a:miter lim="800000"/>
          <a:headEnd/>
          <a:tailEnd/>
        </a:ln>
      </xdr:spPr>
    </xdr:pic>
    <xdr:clientData/>
  </xdr:twoCellAnchor>
  <xdr:twoCellAnchor>
    <xdr:from>
      <xdr:col>0</xdr:col>
      <xdr:colOff>428625</xdr:colOff>
      <xdr:row>319</xdr:row>
      <xdr:rowOff>0</xdr:rowOff>
    </xdr:from>
    <xdr:to>
      <xdr:col>0</xdr:col>
      <xdr:colOff>542925</xdr:colOff>
      <xdr:row>320</xdr:row>
      <xdr:rowOff>9525</xdr:rowOff>
    </xdr:to>
    <xdr:pic>
      <xdr:nvPicPr>
        <xdr:cNvPr id="6198" name="Picture 54">
          <a:extLst>
            <a:ext uri="{FF2B5EF4-FFF2-40B4-BE49-F238E27FC236}">
              <a16:creationId xmlns:a16="http://schemas.microsoft.com/office/drawing/2014/main" xmlns="" id="{00000000-0008-0000-0900-000036180000}"/>
            </a:ext>
          </a:extLst>
        </xdr:cNvPr>
        <xdr:cNvPicPr>
          <a:picLocks noChangeAspect="1" noChangeArrowheads="1"/>
        </xdr:cNvPicPr>
      </xdr:nvPicPr>
      <xdr:blipFill>
        <a:blip xmlns:r="http://schemas.openxmlformats.org/officeDocument/2006/relationships" r:embed="rId22" cstate="print">
          <a:clrChange>
            <a:clrFrom>
              <a:srgbClr val="FFFFFF"/>
            </a:clrFrom>
            <a:clrTo>
              <a:srgbClr val="FFFFFF">
                <a:alpha val="0"/>
              </a:srgbClr>
            </a:clrTo>
          </a:clrChange>
        </a:blip>
        <a:srcRect/>
        <a:stretch>
          <a:fillRect/>
        </a:stretch>
      </xdr:blipFill>
      <xdr:spPr bwMode="auto">
        <a:xfrm>
          <a:off x="428625" y="64941450"/>
          <a:ext cx="114300" cy="209550"/>
        </a:xfrm>
        <a:prstGeom prst="rect">
          <a:avLst/>
        </a:prstGeom>
        <a:noFill/>
        <a:ln w="9525">
          <a:noFill/>
          <a:miter lim="800000"/>
          <a:headEnd/>
          <a:tailEnd/>
        </a:ln>
      </xdr:spPr>
    </xdr:pic>
    <xdr:clientData/>
  </xdr:twoCellAnchor>
  <xdr:twoCellAnchor>
    <xdr:from>
      <xdr:col>1</xdr:col>
      <xdr:colOff>295275</xdr:colOff>
      <xdr:row>320</xdr:row>
      <xdr:rowOff>9525</xdr:rowOff>
    </xdr:from>
    <xdr:to>
      <xdr:col>3</xdr:col>
      <xdr:colOff>38100</xdr:colOff>
      <xdr:row>321</xdr:row>
      <xdr:rowOff>28575</xdr:rowOff>
    </xdr:to>
    <xdr:pic>
      <xdr:nvPicPr>
        <xdr:cNvPr id="6199" name="Picture 55">
          <a:extLst>
            <a:ext uri="{FF2B5EF4-FFF2-40B4-BE49-F238E27FC236}">
              <a16:creationId xmlns:a16="http://schemas.microsoft.com/office/drawing/2014/main" xmlns="" id="{00000000-0008-0000-0900-000037180000}"/>
            </a:ext>
          </a:extLst>
        </xdr:cNvPr>
        <xdr:cNvPicPr>
          <a:picLocks noChangeAspect="1" noChangeArrowheads="1"/>
        </xdr:cNvPicPr>
      </xdr:nvPicPr>
      <xdr:blipFill>
        <a:blip xmlns:r="http://schemas.openxmlformats.org/officeDocument/2006/relationships" r:embed="rId41" cstate="print">
          <a:clrChange>
            <a:clrFrom>
              <a:srgbClr val="FFFFFF"/>
            </a:clrFrom>
            <a:clrTo>
              <a:srgbClr val="FFFFFF">
                <a:alpha val="0"/>
              </a:srgbClr>
            </a:clrTo>
          </a:clrChange>
        </a:blip>
        <a:srcRect/>
        <a:stretch>
          <a:fillRect/>
        </a:stretch>
      </xdr:blipFill>
      <xdr:spPr bwMode="auto">
        <a:xfrm>
          <a:off x="904875" y="65151000"/>
          <a:ext cx="1104900" cy="219075"/>
        </a:xfrm>
        <a:prstGeom prst="rect">
          <a:avLst/>
        </a:prstGeom>
        <a:noFill/>
        <a:ln w="9525">
          <a:noFill/>
          <a:miter lim="800000"/>
          <a:headEnd/>
          <a:tailEnd/>
        </a:ln>
      </xdr:spPr>
    </xdr:pic>
    <xdr:clientData/>
  </xdr:twoCellAnchor>
  <xdr:twoCellAnchor>
    <xdr:from>
      <xdr:col>3</xdr:col>
      <xdr:colOff>238125</xdr:colOff>
      <xdr:row>322</xdr:row>
      <xdr:rowOff>66675</xdr:rowOff>
    </xdr:from>
    <xdr:to>
      <xdr:col>4</xdr:col>
      <xdr:colOff>447675</xdr:colOff>
      <xdr:row>325</xdr:row>
      <xdr:rowOff>47625</xdr:rowOff>
    </xdr:to>
    <xdr:pic>
      <xdr:nvPicPr>
        <xdr:cNvPr id="6200" name="Picture 56">
          <a:extLst>
            <a:ext uri="{FF2B5EF4-FFF2-40B4-BE49-F238E27FC236}">
              <a16:creationId xmlns:a16="http://schemas.microsoft.com/office/drawing/2014/main" xmlns="" id="{00000000-0008-0000-0900-000038180000}"/>
            </a:ext>
          </a:extLst>
        </xdr:cNvPr>
        <xdr:cNvPicPr>
          <a:picLocks noChangeAspect="1" noChangeArrowheads="1"/>
        </xdr:cNvPicPr>
      </xdr:nvPicPr>
      <xdr:blipFill>
        <a:blip xmlns:r="http://schemas.openxmlformats.org/officeDocument/2006/relationships" r:embed="rId43" cstate="print">
          <a:clrChange>
            <a:clrFrom>
              <a:srgbClr val="FFFFFF"/>
            </a:clrFrom>
            <a:clrTo>
              <a:srgbClr val="FFFFFF">
                <a:alpha val="0"/>
              </a:srgbClr>
            </a:clrTo>
          </a:clrChange>
        </a:blip>
        <a:srcRect/>
        <a:stretch>
          <a:fillRect/>
        </a:stretch>
      </xdr:blipFill>
      <xdr:spPr bwMode="auto">
        <a:xfrm>
          <a:off x="2209800" y="65598675"/>
          <a:ext cx="819150" cy="571500"/>
        </a:xfrm>
        <a:prstGeom prst="rect">
          <a:avLst/>
        </a:prstGeom>
        <a:noFill/>
        <a:ln w="9525">
          <a:noFill/>
          <a:miter lim="800000"/>
          <a:headEnd/>
          <a:tailEnd/>
        </a:ln>
      </xdr:spPr>
    </xdr:pic>
    <xdr:clientData/>
  </xdr:twoCellAnchor>
  <xdr:twoCellAnchor>
    <xdr:from>
      <xdr:col>2</xdr:col>
      <xdr:colOff>152400</xdr:colOff>
      <xdr:row>330</xdr:row>
      <xdr:rowOff>28575</xdr:rowOff>
    </xdr:from>
    <xdr:to>
      <xdr:col>3</xdr:col>
      <xdr:colOff>533400</xdr:colOff>
      <xdr:row>333</xdr:row>
      <xdr:rowOff>28575</xdr:rowOff>
    </xdr:to>
    <xdr:pic>
      <xdr:nvPicPr>
        <xdr:cNvPr id="6201" name="Picture 57">
          <a:extLst>
            <a:ext uri="{FF2B5EF4-FFF2-40B4-BE49-F238E27FC236}">
              <a16:creationId xmlns:a16="http://schemas.microsoft.com/office/drawing/2014/main" xmlns="" id="{00000000-0008-0000-0900-000039180000}"/>
            </a:ext>
          </a:extLst>
        </xdr:cNvPr>
        <xdr:cNvPicPr>
          <a:picLocks noChangeAspect="1" noChangeArrowheads="1"/>
        </xdr:cNvPicPr>
      </xdr:nvPicPr>
      <xdr:blipFill>
        <a:blip xmlns:r="http://schemas.openxmlformats.org/officeDocument/2006/relationships" r:embed="rId44" cstate="print">
          <a:clrChange>
            <a:clrFrom>
              <a:srgbClr val="FFFFFF"/>
            </a:clrFrom>
            <a:clrTo>
              <a:srgbClr val="FFFFFF">
                <a:alpha val="0"/>
              </a:srgbClr>
            </a:clrTo>
          </a:clrChange>
        </a:blip>
        <a:srcRect/>
        <a:stretch>
          <a:fillRect/>
        </a:stretch>
      </xdr:blipFill>
      <xdr:spPr bwMode="auto">
        <a:xfrm>
          <a:off x="1371600" y="67132200"/>
          <a:ext cx="1133475" cy="571500"/>
        </a:xfrm>
        <a:prstGeom prst="rect">
          <a:avLst/>
        </a:prstGeom>
        <a:noFill/>
        <a:ln w="9525">
          <a:noFill/>
          <a:miter lim="800000"/>
          <a:headEnd/>
          <a:tailEnd/>
        </a:ln>
      </xdr:spPr>
    </xdr:pic>
    <xdr:clientData/>
  </xdr:twoCellAnchor>
  <xdr:twoCellAnchor>
    <xdr:from>
      <xdr:col>0</xdr:col>
      <xdr:colOff>304800</xdr:colOff>
      <xdr:row>334</xdr:row>
      <xdr:rowOff>47625</xdr:rowOff>
    </xdr:from>
    <xdr:to>
      <xdr:col>1</xdr:col>
      <xdr:colOff>485775</xdr:colOff>
      <xdr:row>335</xdr:row>
      <xdr:rowOff>47625</xdr:rowOff>
    </xdr:to>
    <xdr:pic>
      <xdr:nvPicPr>
        <xdr:cNvPr id="6202" name="Picture 58">
          <a:extLst>
            <a:ext uri="{FF2B5EF4-FFF2-40B4-BE49-F238E27FC236}">
              <a16:creationId xmlns:a16="http://schemas.microsoft.com/office/drawing/2014/main" xmlns="" id="{00000000-0008-0000-0900-00003A180000}"/>
            </a:ext>
          </a:extLst>
        </xdr:cNvPr>
        <xdr:cNvPicPr>
          <a:picLocks noChangeAspect="1" noChangeArrowheads="1"/>
        </xdr:cNvPicPr>
      </xdr:nvPicPr>
      <xdr:blipFill>
        <a:blip xmlns:r="http://schemas.openxmlformats.org/officeDocument/2006/relationships" r:embed="rId45" cstate="print">
          <a:clrChange>
            <a:clrFrom>
              <a:srgbClr val="FFFFFF"/>
            </a:clrFrom>
            <a:clrTo>
              <a:srgbClr val="FFFFFF">
                <a:alpha val="0"/>
              </a:srgbClr>
            </a:clrTo>
          </a:clrChange>
        </a:blip>
        <a:srcRect/>
        <a:stretch>
          <a:fillRect/>
        </a:stretch>
      </xdr:blipFill>
      <xdr:spPr bwMode="auto">
        <a:xfrm>
          <a:off x="304800" y="67913250"/>
          <a:ext cx="790575" cy="200025"/>
        </a:xfrm>
        <a:prstGeom prst="rect">
          <a:avLst/>
        </a:prstGeom>
        <a:noFill/>
        <a:ln w="9525">
          <a:noFill/>
          <a:miter lim="800000"/>
          <a:headEnd/>
          <a:tailEnd/>
        </a:ln>
      </xdr:spPr>
    </xdr:pic>
    <xdr:clientData/>
  </xdr:twoCellAnchor>
  <xdr:twoCellAnchor>
    <xdr:from>
      <xdr:col>1</xdr:col>
      <xdr:colOff>142875</xdr:colOff>
      <xdr:row>335</xdr:row>
      <xdr:rowOff>47625</xdr:rowOff>
    </xdr:from>
    <xdr:to>
      <xdr:col>1</xdr:col>
      <xdr:colOff>400050</xdr:colOff>
      <xdr:row>336</xdr:row>
      <xdr:rowOff>66675</xdr:rowOff>
    </xdr:to>
    <xdr:pic>
      <xdr:nvPicPr>
        <xdr:cNvPr id="6203" name="Picture 59">
          <a:extLst>
            <a:ext uri="{FF2B5EF4-FFF2-40B4-BE49-F238E27FC236}">
              <a16:creationId xmlns:a16="http://schemas.microsoft.com/office/drawing/2014/main" xmlns="" id="{00000000-0008-0000-0900-00003B180000}"/>
            </a:ext>
          </a:extLst>
        </xdr:cNvPr>
        <xdr:cNvPicPr>
          <a:picLocks noChangeAspect="1" noChangeArrowheads="1"/>
        </xdr:cNvPicPr>
      </xdr:nvPicPr>
      <xdr:blipFill>
        <a:blip xmlns:r="http://schemas.openxmlformats.org/officeDocument/2006/relationships" r:embed="rId46" cstate="print">
          <a:clrChange>
            <a:clrFrom>
              <a:srgbClr val="FFFFFF"/>
            </a:clrFrom>
            <a:clrTo>
              <a:srgbClr val="FFFFFF">
                <a:alpha val="0"/>
              </a:srgbClr>
            </a:clrTo>
          </a:clrChange>
        </a:blip>
        <a:srcRect/>
        <a:stretch>
          <a:fillRect/>
        </a:stretch>
      </xdr:blipFill>
      <xdr:spPr bwMode="auto">
        <a:xfrm>
          <a:off x="752475" y="68113275"/>
          <a:ext cx="257175" cy="219075"/>
        </a:xfrm>
        <a:prstGeom prst="rect">
          <a:avLst/>
        </a:prstGeom>
        <a:noFill/>
        <a:ln w="9525">
          <a:noFill/>
          <a:miter lim="800000"/>
          <a:headEnd/>
          <a:tailEnd/>
        </a:ln>
      </xdr:spPr>
    </xdr:pic>
    <xdr:clientData/>
  </xdr:twoCellAnchor>
  <xdr:twoCellAnchor>
    <xdr:from>
      <xdr:col>1</xdr:col>
      <xdr:colOff>180975</xdr:colOff>
      <xdr:row>340</xdr:row>
      <xdr:rowOff>171450</xdr:rowOff>
    </xdr:from>
    <xdr:to>
      <xdr:col>2</xdr:col>
      <xdr:colOff>561975</xdr:colOff>
      <xdr:row>343</xdr:row>
      <xdr:rowOff>161925</xdr:rowOff>
    </xdr:to>
    <xdr:pic>
      <xdr:nvPicPr>
        <xdr:cNvPr id="6204" name="Picture 60">
          <a:extLst>
            <a:ext uri="{FF2B5EF4-FFF2-40B4-BE49-F238E27FC236}">
              <a16:creationId xmlns:a16="http://schemas.microsoft.com/office/drawing/2014/main" xmlns="" id="{00000000-0008-0000-0900-00003C180000}"/>
            </a:ext>
          </a:extLst>
        </xdr:cNvPr>
        <xdr:cNvPicPr>
          <a:picLocks noChangeAspect="1" noChangeArrowheads="1"/>
        </xdr:cNvPicPr>
      </xdr:nvPicPr>
      <xdr:blipFill>
        <a:blip xmlns:r="http://schemas.openxmlformats.org/officeDocument/2006/relationships" r:embed="rId44" cstate="print">
          <a:clrChange>
            <a:clrFrom>
              <a:srgbClr val="FFFFFF"/>
            </a:clrFrom>
            <a:clrTo>
              <a:srgbClr val="FFFFFF">
                <a:alpha val="0"/>
              </a:srgbClr>
            </a:clrTo>
          </a:clrChange>
        </a:blip>
        <a:srcRect/>
        <a:stretch>
          <a:fillRect/>
        </a:stretch>
      </xdr:blipFill>
      <xdr:spPr bwMode="auto">
        <a:xfrm>
          <a:off x="790575" y="69199125"/>
          <a:ext cx="990600" cy="581025"/>
        </a:xfrm>
        <a:prstGeom prst="rect">
          <a:avLst/>
        </a:prstGeom>
        <a:noFill/>
        <a:ln w="9525">
          <a:noFill/>
          <a:miter lim="800000"/>
          <a:headEnd/>
          <a:tailEnd/>
        </a:ln>
      </xdr:spPr>
    </xdr:pic>
    <xdr:clientData/>
  </xdr:twoCellAnchor>
  <xdr:twoCellAnchor>
    <xdr:from>
      <xdr:col>3</xdr:col>
      <xdr:colOff>76200</xdr:colOff>
      <xdr:row>348</xdr:row>
      <xdr:rowOff>28575</xdr:rowOff>
    </xdr:from>
    <xdr:to>
      <xdr:col>4</xdr:col>
      <xdr:colOff>428625</xdr:colOff>
      <xdr:row>349</xdr:row>
      <xdr:rowOff>38100</xdr:rowOff>
    </xdr:to>
    <xdr:pic>
      <xdr:nvPicPr>
        <xdr:cNvPr id="6205" name="Picture 61">
          <a:extLst>
            <a:ext uri="{FF2B5EF4-FFF2-40B4-BE49-F238E27FC236}">
              <a16:creationId xmlns:a16="http://schemas.microsoft.com/office/drawing/2014/main" xmlns="" id="{00000000-0008-0000-0900-00003D180000}"/>
            </a:ext>
          </a:extLst>
        </xdr:cNvPr>
        <xdr:cNvPicPr>
          <a:picLocks noChangeAspect="1" noChangeArrowheads="1"/>
        </xdr:cNvPicPr>
      </xdr:nvPicPr>
      <xdr:blipFill>
        <a:blip xmlns:r="http://schemas.openxmlformats.org/officeDocument/2006/relationships" r:embed="rId47" cstate="print">
          <a:clrChange>
            <a:clrFrom>
              <a:srgbClr val="FFFFFF"/>
            </a:clrFrom>
            <a:clrTo>
              <a:srgbClr val="FFFFFF">
                <a:alpha val="0"/>
              </a:srgbClr>
            </a:clrTo>
          </a:clrChange>
        </a:blip>
        <a:srcRect/>
        <a:stretch>
          <a:fillRect/>
        </a:stretch>
      </xdr:blipFill>
      <xdr:spPr bwMode="auto">
        <a:xfrm>
          <a:off x="2047875" y="70656450"/>
          <a:ext cx="962025" cy="209550"/>
        </a:xfrm>
        <a:prstGeom prst="rect">
          <a:avLst/>
        </a:prstGeom>
        <a:noFill/>
        <a:ln w="9525">
          <a:noFill/>
          <a:miter lim="800000"/>
          <a:headEnd/>
          <a:tailEnd/>
        </a:ln>
      </xdr:spPr>
    </xdr:pic>
    <xdr:clientData/>
  </xdr:twoCellAnchor>
  <xdr:twoCellAnchor>
    <xdr:from>
      <xdr:col>2</xdr:col>
      <xdr:colOff>581025</xdr:colOff>
      <xdr:row>75</xdr:row>
      <xdr:rowOff>95250</xdr:rowOff>
    </xdr:from>
    <xdr:to>
      <xdr:col>4</xdr:col>
      <xdr:colOff>571500</xdr:colOff>
      <xdr:row>76</xdr:row>
      <xdr:rowOff>95250</xdr:rowOff>
    </xdr:to>
    <xdr:pic>
      <xdr:nvPicPr>
        <xdr:cNvPr id="6206" name="Picture 62">
          <a:extLst>
            <a:ext uri="{FF2B5EF4-FFF2-40B4-BE49-F238E27FC236}">
              <a16:creationId xmlns:a16="http://schemas.microsoft.com/office/drawing/2014/main" xmlns="" id="{00000000-0008-0000-0900-00003E180000}"/>
            </a:ext>
          </a:extLst>
        </xdr:cNvPr>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800225" y="15621000"/>
          <a:ext cx="1352550" cy="200025"/>
        </a:xfrm>
        <a:prstGeom prst="rect">
          <a:avLst/>
        </a:prstGeom>
        <a:noFill/>
        <a:ln w="9525">
          <a:noFill/>
          <a:miter lim="800000"/>
          <a:headEnd/>
          <a:tailEnd/>
        </a:ln>
      </xdr:spPr>
    </xdr:pic>
    <xdr:clientData/>
  </xdr:twoCellAnchor>
  <xdr:twoCellAnchor>
    <xdr:from>
      <xdr:col>5</xdr:col>
      <xdr:colOff>209550</xdr:colOff>
      <xdr:row>74</xdr:row>
      <xdr:rowOff>190500</xdr:rowOff>
    </xdr:from>
    <xdr:to>
      <xdr:col>6</xdr:col>
      <xdr:colOff>542925</xdr:colOff>
      <xdr:row>76</xdr:row>
      <xdr:rowOff>104775</xdr:rowOff>
    </xdr:to>
    <xdr:pic>
      <xdr:nvPicPr>
        <xdr:cNvPr id="6207" name="Picture 63">
          <a:extLst>
            <a:ext uri="{FF2B5EF4-FFF2-40B4-BE49-F238E27FC236}">
              <a16:creationId xmlns:a16="http://schemas.microsoft.com/office/drawing/2014/main" xmlns="" id="{00000000-0008-0000-0900-00003F180000}"/>
            </a:ext>
          </a:extLst>
        </xdr:cNvPr>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3400425" y="15478125"/>
          <a:ext cx="942975" cy="352425"/>
        </a:xfrm>
        <a:prstGeom prst="rect">
          <a:avLst/>
        </a:prstGeom>
        <a:noFill/>
        <a:ln w="9525">
          <a:noFill/>
          <a:miter lim="800000"/>
          <a:headEnd/>
          <a:tailEnd/>
        </a:ln>
      </xdr:spPr>
    </xdr:pic>
    <xdr:clientData/>
  </xdr:twoCellAnchor>
  <xdr:oneCellAnchor>
    <xdr:from>
      <xdr:col>3</xdr:col>
      <xdr:colOff>219075</xdr:colOff>
      <xdr:row>121</xdr:row>
      <xdr:rowOff>9525</xdr:rowOff>
    </xdr:from>
    <xdr:ext cx="741613" cy="172227"/>
    <xdr:sp macro="" textlink="">
      <xdr:nvSpPr>
        <xdr:cNvPr id="6208" name="TextBox 64">
          <a:extLst>
            <a:ext uri="{FF2B5EF4-FFF2-40B4-BE49-F238E27FC236}">
              <a16:creationId xmlns:a16="http://schemas.microsoft.com/office/drawing/2014/main" xmlns="" id="{00000000-0008-0000-0900-000040180000}"/>
            </a:ext>
          </a:extLst>
        </xdr:cNvPr>
        <xdr:cNvSpPr txBox="1">
          <a:spLocks noChangeArrowheads="1"/>
        </xdr:cNvSpPr>
      </xdr:nvSpPr>
      <xdr:spPr bwMode="auto">
        <a:xfrm>
          <a:off x="2190750" y="25165050"/>
          <a:ext cx="741613" cy="172227"/>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u="none" strike="noStrike" baseline="0">
              <a:solidFill>
                <a:srgbClr val="000000"/>
              </a:solidFill>
              <a:latin typeface="Cambria Math"/>
              <a:ea typeface="Cambria Math"/>
            </a:rPr>
            <a:t>F=18AV^2</a:t>
          </a:r>
          <a:r>
            <a:rPr lang="el-GR" sz="1100" b="0" i="0" u="none" strike="noStrike" baseline="0">
              <a:solidFill>
                <a:srgbClr val="000000"/>
              </a:solidFill>
              <a:latin typeface="Calibri"/>
              <a:cs typeface="Calibri"/>
            </a:rPr>
            <a:t>θ</a:t>
          </a:r>
        </a:p>
      </xdr:txBody>
    </xdr:sp>
    <xdr:clientData/>
  </xdr:oneCellAnchor>
  <xdr:oneCellAnchor>
    <xdr:from>
      <xdr:col>2</xdr:col>
      <xdr:colOff>0</xdr:colOff>
      <xdr:row>129</xdr:row>
      <xdr:rowOff>0</xdr:rowOff>
    </xdr:from>
    <xdr:ext cx="741613" cy="172227"/>
    <xdr:sp macro="" textlink="">
      <xdr:nvSpPr>
        <xdr:cNvPr id="6209" name="TextBox 65">
          <a:extLst>
            <a:ext uri="{FF2B5EF4-FFF2-40B4-BE49-F238E27FC236}">
              <a16:creationId xmlns:a16="http://schemas.microsoft.com/office/drawing/2014/main" xmlns="" id="{00000000-0008-0000-0900-000041180000}"/>
            </a:ext>
          </a:extLst>
        </xdr:cNvPr>
        <xdr:cNvSpPr txBox="1">
          <a:spLocks noChangeArrowheads="1"/>
        </xdr:cNvSpPr>
      </xdr:nvSpPr>
      <xdr:spPr bwMode="auto">
        <a:xfrm>
          <a:off x="1219200" y="26822400"/>
          <a:ext cx="741613" cy="172227"/>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u="none" strike="noStrike" baseline="0">
              <a:solidFill>
                <a:srgbClr val="000000"/>
              </a:solidFill>
              <a:latin typeface="Cambria Math"/>
              <a:ea typeface="Cambria Math"/>
            </a:rPr>
            <a:t>F=18AV^2</a:t>
          </a:r>
          <a:r>
            <a:rPr lang="el-GR" sz="1100" b="0" i="0" u="none" strike="noStrike" baseline="0">
              <a:solidFill>
                <a:srgbClr val="000000"/>
              </a:solidFill>
              <a:latin typeface="Calibri"/>
              <a:cs typeface="Calibri"/>
            </a:rPr>
            <a:t>θ</a:t>
          </a:r>
        </a:p>
      </xdr:txBody>
    </xdr:sp>
    <xdr:clientData/>
  </xdr:oneCellAnchor>
  <xdr:oneCellAnchor>
    <xdr:from>
      <xdr:col>0</xdr:col>
      <xdr:colOff>76200</xdr:colOff>
      <xdr:row>147</xdr:row>
      <xdr:rowOff>19050</xdr:rowOff>
    </xdr:from>
    <xdr:ext cx="638175" cy="1114425"/>
    <xdr:sp macro="" textlink="">
      <xdr:nvSpPr>
        <xdr:cNvPr id="6210" name="TextBox 66">
          <a:extLst>
            <a:ext uri="{FF2B5EF4-FFF2-40B4-BE49-F238E27FC236}">
              <a16:creationId xmlns:a16="http://schemas.microsoft.com/office/drawing/2014/main" xmlns="" id="{00000000-0008-0000-0900-000042180000}"/>
            </a:ext>
          </a:extLst>
        </xdr:cNvPr>
        <xdr:cNvSpPr txBox="1">
          <a:spLocks noChangeArrowheads="1"/>
        </xdr:cNvSpPr>
      </xdr:nvSpPr>
      <xdr:spPr bwMode="auto">
        <a:xfrm>
          <a:off x="76200" y="30413325"/>
          <a:ext cx="638175" cy="111442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u="none" strike="noStrike" baseline="0">
              <a:solidFill>
                <a:srgbClr val="000000"/>
              </a:solidFill>
              <a:latin typeface="Cambria Math"/>
              <a:ea typeface="Cambria Math"/>
            </a:rPr>
            <a:t>x_1=A_f/h</a:t>
          </a:r>
        </a:p>
      </xdr:txBody>
    </xdr:sp>
    <xdr:clientData/>
  </xdr:oneCellAnchor>
  <xdr:oneCellAnchor>
    <xdr:from>
      <xdr:col>3</xdr:col>
      <xdr:colOff>142875</xdr:colOff>
      <xdr:row>189</xdr:row>
      <xdr:rowOff>161925</xdr:rowOff>
    </xdr:from>
    <xdr:ext cx="1943353" cy="165366"/>
    <xdr:sp macro="" textlink="">
      <xdr:nvSpPr>
        <xdr:cNvPr id="6211" name="TextBox 67">
          <a:extLst>
            <a:ext uri="{FF2B5EF4-FFF2-40B4-BE49-F238E27FC236}">
              <a16:creationId xmlns:a16="http://schemas.microsoft.com/office/drawing/2014/main" xmlns="" id="{00000000-0008-0000-0900-000043180000}"/>
            </a:ext>
          </a:extLst>
        </xdr:cNvPr>
        <xdr:cNvSpPr txBox="1">
          <a:spLocks noChangeArrowheads="1"/>
        </xdr:cNvSpPr>
      </xdr:nvSpPr>
      <xdr:spPr bwMode="auto">
        <a:xfrm>
          <a:off x="2114550" y="38881050"/>
          <a:ext cx="1943353" cy="165366"/>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u="none" strike="noStrike" baseline="0">
              <a:solidFill>
                <a:srgbClr val="000000"/>
              </a:solidFill>
              <a:latin typeface="Cambria Math"/>
              <a:ea typeface="Cambria Math"/>
            </a:rPr>
            <a:t>d_b=√((D^3×K_b)/(K_r×n×e))</a:t>
          </a:r>
        </a:p>
      </xdr:txBody>
    </xdr:sp>
    <xdr:clientData/>
  </xdr:oneCellAnchor>
  <xdr:oneCellAnchor>
    <xdr:from>
      <xdr:col>2</xdr:col>
      <xdr:colOff>209550</xdr:colOff>
      <xdr:row>204</xdr:row>
      <xdr:rowOff>19050</xdr:rowOff>
    </xdr:from>
    <xdr:ext cx="1943353" cy="165366"/>
    <xdr:sp macro="" textlink="">
      <xdr:nvSpPr>
        <xdr:cNvPr id="6212" name="TextBox 68">
          <a:extLst>
            <a:ext uri="{FF2B5EF4-FFF2-40B4-BE49-F238E27FC236}">
              <a16:creationId xmlns:a16="http://schemas.microsoft.com/office/drawing/2014/main" xmlns="" id="{00000000-0008-0000-0900-000044180000}"/>
            </a:ext>
          </a:extLst>
        </xdr:cNvPr>
        <xdr:cNvSpPr txBox="1">
          <a:spLocks noChangeArrowheads="1"/>
        </xdr:cNvSpPr>
      </xdr:nvSpPr>
      <xdr:spPr bwMode="auto">
        <a:xfrm>
          <a:off x="1428750" y="41757600"/>
          <a:ext cx="1943353" cy="165366"/>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u="none" strike="noStrike" baseline="0">
              <a:solidFill>
                <a:srgbClr val="000000"/>
              </a:solidFill>
              <a:latin typeface="Cambria Math"/>
              <a:ea typeface="Cambria Math"/>
            </a:rPr>
            <a:t>d_b=√((D^3×K_b)/(K_r×n×e))</a:t>
          </a:r>
        </a:p>
      </xdr:txBody>
    </xdr:sp>
    <xdr:clientData/>
  </xdr:oneCellAnchor>
  <mc:AlternateContent xmlns:mc="http://schemas.openxmlformats.org/markup-compatibility/2006">
    <mc:Choice xmlns:a14="http://schemas.microsoft.com/office/drawing/2010/main" Requires="a14">
      <xdr:twoCellAnchor>
        <xdr:from>
          <xdr:col>0</xdr:col>
          <xdr:colOff>266700</xdr:colOff>
          <xdr:row>49</xdr:row>
          <xdr:rowOff>152400</xdr:rowOff>
        </xdr:from>
        <xdr:to>
          <xdr:col>1</xdr:col>
          <xdr:colOff>45720</xdr:colOff>
          <xdr:row>51</xdr:row>
          <xdr:rowOff>60960</xdr:rowOff>
        </xdr:to>
        <xdr:sp macro="" textlink="">
          <xdr:nvSpPr>
            <xdr:cNvPr id="6145" name="Object 1" hidden="1">
              <a:extLst>
                <a:ext uri="{63B3BB69-23CF-44E3-9099-C40C66FF867C}">
                  <a14:compatExt spid="_x0000_s6145"/>
                </a:ext>
                <a:ext uri="{FF2B5EF4-FFF2-40B4-BE49-F238E27FC236}">
                  <a16:creationId xmlns:a16="http://schemas.microsoft.com/office/drawing/2014/main" xmlns="" id="{00000000-0008-0000-09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266700</xdr:colOff>
          <xdr:row>51</xdr:row>
          <xdr:rowOff>106680</xdr:rowOff>
        </xdr:from>
        <xdr:to>
          <xdr:col>0</xdr:col>
          <xdr:colOff>464820</xdr:colOff>
          <xdr:row>52</xdr:row>
          <xdr:rowOff>182880</xdr:rowOff>
        </xdr:to>
        <xdr:sp macro="" textlink="">
          <xdr:nvSpPr>
            <xdr:cNvPr id="6146" name="Object 2" hidden="1">
              <a:extLst>
                <a:ext uri="{63B3BB69-23CF-44E3-9099-C40C66FF867C}">
                  <a14:compatExt spid="_x0000_s6146"/>
                </a:ext>
                <a:ext uri="{FF2B5EF4-FFF2-40B4-BE49-F238E27FC236}">
                  <a16:creationId xmlns:a16="http://schemas.microsoft.com/office/drawing/2014/main" xmlns="" id="{00000000-0008-0000-0900-000002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2.vml"/><Relationship Id="rId1" Type="http://schemas.openxmlformats.org/officeDocument/2006/relationships/drawing" Target="../drawings/drawing1.xml"/><Relationship Id="rId6" Type="http://schemas.openxmlformats.org/officeDocument/2006/relationships/image" Target="../media/image2.wmf"/><Relationship Id="rId5" Type="http://schemas.openxmlformats.org/officeDocument/2006/relationships/oleObject" Target="../embeddings/oleObject2.bin"/><Relationship Id="rId4" Type="http://schemas.openxmlformats.org/officeDocument/2006/relationships/image" Target="../media/image1.w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2"/>
  <sheetViews>
    <sheetView tabSelected="1" zoomScale="102" zoomScaleNormal="102" workbookViewId="0">
      <selection activeCell="E72" sqref="E72"/>
    </sheetView>
  </sheetViews>
  <sheetFormatPr defaultColWidth="9.109375" defaultRowHeight="14.4" x14ac:dyDescent="0.3"/>
  <cols>
    <col min="1" max="1" width="9.109375" style="77"/>
    <col min="2" max="2" width="24.88671875" style="77" bestFit="1" customWidth="1"/>
    <col min="3" max="3" width="14.44140625" style="77" customWidth="1"/>
    <col min="4" max="4" width="44.44140625" style="77" customWidth="1"/>
    <col min="5" max="5" width="18.88671875" style="77" customWidth="1"/>
    <col min="6" max="6" width="11.33203125" style="77" bestFit="1" customWidth="1"/>
    <col min="7" max="16384" width="9.109375" style="77"/>
  </cols>
  <sheetData>
    <row r="1" spans="1:8" ht="18.75" customHeight="1" x14ac:dyDescent="0.3">
      <c r="A1" s="79"/>
      <c r="B1" s="80"/>
      <c r="C1" s="126" t="s">
        <v>130</v>
      </c>
      <c r="D1" s="127"/>
      <c r="E1" s="127"/>
      <c r="F1" s="128"/>
      <c r="G1" s="81"/>
      <c r="H1" s="82"/>
    </row>
    <row r="2" spans="1:8" ht="18.75" customHeight="1" x14ac:dyDescent="0.3">
      <c r="A2" s="79"/>
      <c r="B2" s="80"/>
      <c r="C2" s="129"/>
      <c r="D2" s="130"/>
      <c r="E2" s="130"/>
      <c r="F2" s="131"/>
      <c r="G2" s="81"/>
      <c r="H2" s="82"/>
    </row>
    <row r="3" spans="1:8" ht="18.75" customHeight="1" x14ac:dyDescent="0.3">
      <c r="A3" s="79"/>
      <c r="B3" s="80"/>
      <c r="C3" s="132" t="s">
        <v>131</v>
      </c>
      <c r="D3" s="133"/>
      <c r="E3" s="133"/>
      <c r="F3" s="134"/>
      <c r="G3" s="83"/>
      <c r="H3" s="82"/>
    </row>
    <row r="4" spans="1:8" ht="21" x14ac:dyDescent="0.3">
      <c r="A4" s="84"/>
      <c r="B4" s="84"/>
      <c r="C4" s="135" t="s">
        <v>3</v>
      </c>
      <c r="D4" s="135"/>
      <c r="E4" s="85" t="s">
        <v>4</v>
      </c>
      <c r="F4" s="85" t="s">
        <v>5</v>
      </c>
      <c r="G4" s="79"/>
      <c r="H4" s="79"/>
    </row>
    <row r="5" spans="1:8" ht="20.399999999999999" x14ac:dyDescent="0.3">
      <c r="A5" s="86"/>
      <c r="B5" s="84"/>
      <c r="C5" s="125" t="s">
        <v>6</v>
      </c>
      <c r="D5" s="125"/>
      <c r="E5" s="87">
        <v>72.459999999999994</v>
      </c>
      <c r="F5" s="88" t="s">
        <v>0</v>
      </c>
      <c r="G5" s="79"/>
      <c r="H5" s="79"/>
    </row>
    <row r="6" spans="1:8" ht="20.399999999999999" x14ac:dyDescent="0.3">
      <c r="A6" s="79"/>
      <c r="B6" s="80"/>
      <c r="C6" s="125" t="s">
        <v>7</v>
      </c>
      <c r="D6" s="125"/>
      <c r="E6" s="87">
        <v>70.8</v>
      </c>
      <c r="F6" s="88" t="s">
        <v>0</v>
      </c>
      <c r="G6" s="79"/>
      <c r="H6" s="79"/>
    </row>
    <row r="7" spans="1:8" ht="18" x14ac:dyDescent="0.3">
      <c r="A7" s="79"/>
      <c r="B7" s="80"/>
      <c r="C7" s="125" t="s">
        <v>8</v>
      </c>
      <c r="D7" s="125"/>
      <c r="E7" s="87">
        <v>11.42</v>
      </c>
      <c r="F7" s="88" t="s">
        <v>0</v>
      </c>
      <c r="G7" s="79"/>
      <c r="H7" s="79"/>
    </row>
    <row r="8" spans="1:8" ht="18" x14ac:dyDescent="0.3">
      <c r="A8" s="79"/>
      <c r="B8" s="80"/>
      <c r="C8" s="125" t="s">
        <v>9</v>
      </c>
      <c r="D8" s="125"/>
      <c r="E8" s="87">
        <v>4.4000000000000004</v>
      </c>
      <c r="F8" s="88" t="s">
        <v>0</v>
      </c>
      <c r="G8" s="79"/>
      <c r="H8" s="79"/>
    </row>
    <row r="9" spans="1:8" ht="20.399999999999999" x14ac:dyDescent="0.3">
      <c r="A9" s="79"/>
      <c r="B9" s="80"/>
      <c r="C9" s="125" t="s">
        <v>10</v>
      </c>
      <c r="D9" s="125"/>
      <c r="E9" s="87">
        <v>0.8</v>
      </c>
      <c r="F9" s="88"/>
      <c r="G9" s="79"/>
      <c r="H9" s="79"/>
    </row>
    <row r="10" spans="1:8" ht="18" x14ac:dyDescent="0.3">
      <c r="A10" s="79"/>
      <c r="B10" s="80"/>
      <c r="C10" s="125" t="s">
        <v>11</v>
      </c>
      <c r="D10" s="125"/>
      <c r="E10" s="87">
        <v>10</v>
      </c>
      <c r="F10" s="88" t="s">
        <v>12</v>
      </c>
      <c r="G10" s="79"/>
      <c r="H10" s="79"/>
    </row>
    <row r="11" spans="1:8" ht="20.399999999999999" x14ac:dyDescent="0.3">
      <c r="A11" s="79"/>
      <c r="B11" s="80"/>
      <c r="C11" s="125" t="s">
        <v>13</v>
      </c>
      <c r="D11" s="125"/>
      <c r="E11" s="89">
        <v>0.82474226804123718</v>
      </c>
      <c r="F11" s="88"/>
      <c r="G11" s="79"/>
      <c r="H11" s="79"/>
    </row>
    <row r="12" spans="1:8" ht="20.399999999999999" x14ac:dyDescent="0.3">
      <c r="A12" s="79"/>
      <c r="B12" s="80"/>
      <c r="C12" s="125" t="s">
        <v>14</v>
      </c>
      <c r="D12" s="125"/>
      <c r="E12" s="87">
        <v>0.97</v>
      </c>
      <c r="F12" s="88"/>
      <c r="G12" s="79"/>
      <c r="H12" s="79"/>
    </row>
    <row r="13" spans="1:8" ht="18" x14ac:dyDescent="0.3">
      <c r="A13" s="79"/>
      <c r="B13" s="80"/>
      <c r="C13" s="125" t="s">
        <v>15</v>
      </c>
      <c r="D13" s="125"/>
      <c r="E13" s="88">
        <v>1</v>
      </c>
      <c r="F13" s="88" t="s">
        <v>16</v>
      </c>
      <c r="G13" s="79"/>
      <c r="H13" s="79"/>
    </row>
    <row r="14" spans="1:8" ht="18" x14ac:dyDescent="0.3">
      <c r="A14" s="79"/>
      <c r="B14" s="80"/>
      <c r="C14" s="125" t="s">
        <v>17</v>
      </c>
      <c r="D14" s="125"/>
      <c r="E14" s="89">
        <v>2846</v>
      </c>
      <c r="F14" s="88" t="s">
        <v>18</v>
      </c>
      <c r="G14" s="79"/>
      <c r="H14" s="79"/>
    </row>
    <row r="15" spans="1:8" ht="18" x14ac:dyDescent="0.3">
      <c r="A15" s="79"/>
      <c r="B15" s="80"/>
      <c r="C15" s="125" t="s">
        <v>19</v>
      </c>
      <c r="D15" s="125"/>
      <c r="E15" s="89">
        <v>2846</v>
      </c>
      <c r="F15" s="88" t="s">
        <v>20</v>
      </c>
      <c r="G15" s="79"/>
      <c r="H15" s="79"/>
    </row>
    <row r="16" spans="1:8" ht="20.399999999999999" x14ac:dyDescent="0.3">
      <c r="A16" s="79"/>
      <c r="B16" s="80"/>
      <c r="C16" s="125" t="s">
        <v>21</v>
      </c>
      <c r="D16" s="125"/>
      <c r="E16" s="87">
        <v>0.85600000000000009</v>
      </c>
      <c r="F16" s="88"/>
      <c r="G16" s="79"/>
      <c r="H16" s="79"/>
    </row>
    <row r="17" spans="1:8" ht="18" x14ac:dyDescent="0.3">
      <c r="A17" s="79"/>
      <c r="B17" s="80"/>
      <c r="C17" s="125" t="s">
        <v>22</v>
      </c>
      <c r="D17" s="125"/>
      <c r="E17" s="87">
        <v>-0.44</v>
      </c>
      <c r="F17" s="88" t="s">
        <v>393</v>
      </c>
      <c r="G17" s="79"/>
      <c r="H17" s="79"/>
    </row>
    <row r="18" spans="1:8" ht="20.399999999999999" x14ac:dyDescent="0.3">
      <c r="A18" s="79"/>
      <c r="B18" s="80"/>
      <c r="C18" s="125" t="s">
        <v>23</v>
      </c>
      <c r="D18" s="125"/>
      <c r="E18" s="88">
        <f>E17/(E5)*100</f>
        <v>-0.60723157604195421</v>
      </c>
      <c r="F18" s="88" t="s">
        <v>24</v>
      </c>
      <c r="G18" s="79"/>
      <c r="H18" s="79"/>
    </row>
    <row r="19" spans="1:8" ht="20.399999999999999" x14ac:dyDescent="0.3">
      <c r="A19" s="79"/>
      <c r="B19" s="80"/>
      <c r="C19" s="125" t="s">
        <v>25</v>
      </c>
      <c r="D19" s="125"/>
      <c r="E19" s="87">
        <v>0</v>
      </c>
      <c r="F19" s="88" t="s">
        <v>26</v>
      </c>
      <c r="G19" s="79"/>
      <c r="H19" s="79"/>
    </row>
    <row r="20" spans="1:8" ht="20.399999999999999" x14ac:dyDescent="0.3">
      <c r="A20" s="79"/>
      <c r="B20" s="80"/>
      <c r="C20" s="125" t="s">
        <v>27</v>
      </c>
      <c r="D20" s="125"/>
      <c r="E20" s="87">
        <v>0</v>
      </c>
      <c r="F20" s="88" t="s">
        <v>26</v>
      </c>
      <c r="G20" s="79"/>
      <c r="H20" s="79"/>
    </row>
    <row r="21" spans="1:8" ht="18" x14ac:dyDescent="0.3">
      <c r="A21" s="79"/>
      <c r="B21" s="80"/>
      <c r="C21" s="125" t="s">
        <v>28</v>
      </c>
      <c r="D21" s="125"/>
      <c r="E21" s="90" t="s">
        <v>394</v>
      </c>
      <c r="F21" s="88" t="s">
        <v>29</v>
      </c>
      <c r="G21" s="79"/>
      <c r="H21" s="79"/>
    </row>
    <row r="22" spans="1:8" ht="18" x14ac:dyDescent="0.3">
      <c r="A22" s="79"/>
      <c r="B22" s="80"/>
      <c r="C22" s="125" t="s">
        <v>30</v>
      </c>
      <c r="D22" s="125"/>
      <c r="E22" s="91">
        <f>0.6*4.4</f>
        <v>2.64</v>
      </c>
      <c r="F22" s="88" t="s">
        <v>0</v>
      </c>
      <c r="G22" s="79"/>
      <c r="H22" s="79"/>
    </row>
    <row r="23" spans="1:8" ht="18" x14ac:dyDescent="0.3">
      <c r="A23" s="79"/>
      <c r="B23" s="80"/>
      <c r="C23" s="125" t="s">
        <v>31</v>
      </c>
      <c r="D23" s="125"/>
      <c r="E23" s="87">
        <v>0.89</v>
      </c>
      <c r="F23" s="88"/>
      <c r="G23" s="79"/>
      <c r="H23" s="79"/>
    </row>
    <row r="24" spans="1:8" ht="18" x14ac:dyDescent="0.3">
      <c r="A24" s="79"/>
      <c r="B24" s="80"/>
      <c r="C24" s="79"/>
      <c r="D24" s="92"/>
      <c r="E24" s="79"/>
      <c r="F24" s="79"/>
      <c r="G24" s="79"/>
      <c r="H24" s="79"/>
    </row>
    <row r="25" spans="1:8" ht="18" x14ac:dyDescent="0.3">
      <c r="A25" s="93"/>
      <c r="B25" s="94" t="s">
        <v>32</v>
      </c>
      <c r="C25" s="95" t="s">
        <v>33</v>
      </c>
      <c r="D25" s="96"/>
      <c r="E25" s="97" t="s">
        <v>34</v>
      </c>
      <c r="F25" s="95" t="s">
        <v>5</v>
      </c>
      <c r="G25" s="95" t="s">
        <v>35</v>
      </c>
      <c r="H25" s="97" t="s">
        <v>34</v>
      </c>
    </row>
    <row r="26" spans="1:8" ht="15.6" x14ac:dyDescent="0.3">
      <c r="A26" s="79"/>
      <c r="B26" s="80"/>
      <c r="C26" s="79"/>
      <c r="D26" s="98"/>
      <c r="E26" s="79"/>
      <c r="F26" s="79"/>
      <c r="G26" s="79"/>
      <c r="H26" s="79"/>
    </row>
    <row r="27" spans="1:8" ht="18" x14ac:dyDescent="0.3">
      <c r="A27" s="79"/>
      <c r="B27" s="99" t="s">
        <v>36</v>
      </c>
      <c r="C27" s="88" t="s">
        <v>37</v>
      </c>
      <c r="D27" s="100" t="s">
        <v>38</v>
      </c>
      <c r="E27" s="89">
        <f>0.5*E13*(E10*0.5144)^2*E34*E28</f>
        <v>27.325421440778584</v>
      </c>
      <c r="F27" s="88" t="s">
        <v>39</v>
      </c>
      <c r="G27" s="79">
        <f>E27*E30</f>
        <v>54.620976653126405</v>
      </c>
      <c r="H27" s="79"/>
    </row>
    <row r="28" spans="1:8" ht="18" x14ac:dyDescent="0.3">
      <c r="A28" s="79"/>
      <c r="B28" s="101" t="s">
        <v>40</v>
      </c>
      <c r="C28" s="88" t="s">
        <v>41</v>
      </c>
      <c r="D28" s="100" t="s">
        <v>42</v>
      </c>
      <c r="E28" s="89">
        <f>0.075/(LOG10(E29)-2)^2</f>
        <v>1.710511536598304E-3</v>
      </c>
      <c r="F28" s="88"/>
      <c r="G28" s="79"/>
      <c r="H28" s="79"/>
    </row>
    <row r="29" spans="1:8" ht="18" x14ac:dyDescent="0.3">
      <c r="A29" s="79"/>
      <c r="B29" s="101" t="s">
        <v>43</v>
      </c>
      <c r="C29" s="88" t="s">
        <v>44</v>
      </c>
      <c r="D29" s="100" t="s">
        <v>45</v>
      </c>
      <c r="E29" s="102">
        <v>418476853.93258423</v>
      </c>
      <c r="F29" s="88"/>
      <c r="G29" s="79"/>
      <c r="H29" s="79"/>
    </row>
    <row r="30" spans="1:8" ht="36" x14ac:dyDescent="0.3">
      <c r="A30" s="79"/>
      <c r="B30" s="101" t="s">
        <v>46</v>
      </c>
      <c r="C30" s="88" t="s">
        <v>47</v>
      </c>
      <c r="D30" s="103" t="s">
        <v>48</v>
      </c>
      <c r="E30" s="89">
        <f>E33*(0.93+E32*(E7/E31)^0.92497*(0.95-E11)^-0.521448*(1-E11+0.0225*E17)^0.6906)</f>
        <v>1.998907016731819</v>
      </c>
      <c r="F30" s="88"/>
      <c r="G30" s="79"/>
      <c r="H30" s="79"/>
    </row>
    <row r="31" spans="1:8" ht="18" x14ac:dyDescent="0.3">
      <c r="A31" s="79"/>
      <c r="B31" s="101" t="s">
        <v>49</v>
      </c>
      <c r="C31" s="88" t="s">
        <v>50</v>
      </c>
      <c r="D31" s="104" t="s">
        <v>389</v>
      </c>
      <c r="E31" s="89">
        <f>E5*((1-E11+(0.06*E11*E17))/(4*E11-1))</f>
        <v>4.837598565022418</v>
      </c>
      <c r="F31" s="88"/>
      <c r="G31" s="79"/>
      <c r="H31" s="79"/>
    </row>
    <row r="32" spans="1:8" ht="66" x14ac:dyDescent="0.3">
      <c r="A32" s="79"/>
      <c r="B32" s="105"/>
      <c r="C32" s="88" t="s">
        <v>51</v>
      </c>
      <c r="D32" s="106" t="s">
        <v>52</v>
      </c>
      <c r="E32" s="89">
        <f>IF(H32&gt;=0.05,H32^0.2228446,IF(H32&lt;=0.02,0.479948,48.2*(H32-0.02)^2.078+0.479948))</f>
        <v>0.53564503791404727</v>
      </c>
      <c r="F32" s="107"/>
      <c r="G32" s="88" t="s">
        <v>53</v>
      </c>
      <c r="H32" s="89">
        <f>E8/E5</f>
        <v>6.072315760419543E-2</v>
      </c>
    </row>
    <row r="33" spans="1:12" ht="18" x14ac:dyDescent="0.3">
      <c r="A33" s="79"/>
      <c r="B33" s="101"/>
      <c r="C33" s="108" t="s">
        <v>54</v>
      </c>
      <c r="D33" s="106" t="s">
        <v>55</v>
      </c>
      <c r="E33" s="89">
        <f>1+0.003*H33</f>
        <v>1.03</v>
      </c>
      <c r="F33" s="107"/>
      <c r="G33" s="88" t="s">
        <v>56</v>
      </c>
      <c r="H33" s="91">
        <v>10</v>
      </c>
    </row>
    <row r="34" spans="1:12" ht="36" x14ac:dyDescent="0.3">
      <c r="A34" s="79"/>
      <c r="B34" s="101" t="s">
        <v>57</v>
      </c>
      <c r="C34" s="88" t="s">
        <v>58</v>
      </c>
      <c r="D34" s="106" t="s">
        <v>59</v>
      </c>
      <c r="E34" s="89">
        <f>E5*(2*E8+E7)*E12^0.5*(0.453+0.4425*E9-0.2862*E12-0.003467*(E7/E8)+0.3696*E16)+2.38*E19/E9</f>
        <v>1207.4493915553494</v>
      </c>
      <c r="F34" s="107"/>
      <c r="G34" s="88" t="s">
        <v>60</v>
      </c>
      <c r="H34" s="89">
        <f>E19</f>
        <v>0</v>
      </c>
    </row>
    <row r="35" spans="1:12" s="113" customFormat="1" ht="15.6" x14ac:dyDescent="0.3">
      <c r="A35" s="109"/>
      <c r="B35" s="110"/>
      <c r="C35" s="109"/>
      <c r="D35" s="111"/>
      <c r="E35" s="112"/>
      <c r="F35" s="109"/>
      <c r="G35" s="88"/>
      <c r="H35" s="89"/>
    </row>
    <row r="36" spans="1:12" ht="18" x14ac:dyDescent="0.3">
      <c r="A36" s="79"/>
      <c r="B36" s="99" t="s">
        <v>61</v>
      </c>
      <c r="C36" s="88" t="s">
        <v>62</v>
      </c>
      <c r="D36" s="104" t="s">
        <v>63</v>
      </c>
      <c r="E36" s="89">
        <f>0.5*E13*(E10*0.5144)^2*H36*E37*E28</f>
        <v>0.77057523616786705</v>
      </c>
      <c r="F36" s="107" t="s">
        <v>39</v>
      </c>
      <c r="G36" s="88" t="s">
        <v>64</v>
      </c>
      <c r="H36" s="89">
        <v>22.7</v>
      </c>
      <c r="J36" s="77" t="s">
        <v>390</v>
      </c>
      <c r="K36" s="77" t="s">
        <v>391</v>
      </c>
      <c r="L36" s="77">
        <v>9.5</v>
      </c>
    </row>
    <row r="37" spans="1:12" ht="18" x14ac:dyDescent="0.3">
      <c r="A37" s="79"/>
      <c r="B37" s="101" t="s">
        <v>65</v>
      </c>
      <c r="C37" s="88" t="s">
        <v>66</v>
      </c>
      <c r="D37" s="104"/>
      <c r="E37" s="91">
        <v>1.5</v>
      </c>
      <c r="F37" s="88"/>
      <c r="G37" s="79"/>
      <c r="H37" s="114"/>
      <c r="K37" s="77" t="s">
        <v>392</v>
      </c>
      <c r="L37" s="77">
        <v>2.19211</v>
      </c>
    </row>
    <row r="38" spans="1:12" ht="15.6" x14ac:dyDescent="0.3">
      <c r="A38" s="79"/>
      <c r="B38" s="80"/>
      <c r="C38" s="79"/>
      <c r="D38" s="98"/>
      <c r="E38" s="115"/>
      <c r="F38" s="79"/>
      <c r="G38" s="79"/>
      <c r="H38" s="114"/>
    </row>
    <row r="39" spans="1:12" ht="18" x14ac:dyDescent="0.3">
      <c r="A39" s="79"/>
      <c r="B39" s="99" t="s">
        <v>67</v>
      </c>
      <c r="C39" s="88" t="s">
        <v>68</v>
      </c>
      <c r="D39" s="104" t="s">
        <v>69</v>
      </c>
      <c r="E39" s="89">
        <f>E40*E43*E44*E15*9.81*E13*EXP(E47*H39^E51+E49*COS(E45*H39^-2))</f>
        <v>38.467075021663156</v>
      </c>
      <c r="F39" s="107" t="s">
        <v>39</v>
      </c>
      <c r="G39" s="88" t="s">
        <v>70</v>
      </c>
      <c r="H39" s="89">
        <v>0.223</v>
      </c>
      <c r="J39" s="77" t="s">
        <v>390</v>
      </c>
      <c r="K39" s="77">
        <f>L36+L37</f>
        <v>11.69211</v>
      </c>
    </row>
    <row r="40" spans="1:12" ht="18" x14ac:dyDescent="0.3">
      <c r="A40" s="79"/>
      <c r="B40" s="101"/>
      <c r="C40" s="88" t="s">
        <v>71</v>
      </c>
      <c r="D40" s="104" t="s">
        <v>72</v>
      </c>
      <c r="E40" s="89">
        <f>2223105*E42^3.78613*H40^1.07961*(90-E52)^-1.37656</f>
        <v>3.4276934778435173</v>
      </c>
      <c r="F40" s="107"/>
      <c r="G40" s="88" t="s">
        <v>73</v>
      </c>
      <c r="H40" s="89">
        <f>E8/E7</f>
        <v>0.38528896672504381</v>
      </c>
    </row>
    <row r="41" spans="1:12" ht="15.6" x14ac:dyDescent="0.3">
      <c r="A41" s="79"/>
      <c r="B41" s="101"/>
      <c r="C41" s="88"/>
      <c r="D41" s="104"/>
      <c r="E41" s="89"/>
      <c r="F41" s="107"/>
      <c r="G41" s="88"/>
      <c r="H41" s="89"/>
    </row>
    <row r="42" spans="1:12" ht="48.6" x14ac:dyDescent="0.3">
      <c r="A42" s="79"/>
      <c r="B42" s="101"/>
      <c r="C42" s="88" t="s">
        <v>74</v>
      </c>
      <c r="D42" s="116" t="s">
        <v>75</v>
      </c>
      <c r="E42" s="89">
        <f>IF(H42&lt;0.11,0.229577*H42^0.33333,IF(H42&gt;0.25,0.5-0.0625*H45,H42))</f>
        <v>0.15760419541816176</v>
      </c>
      <c r="F42" s="107"/>
      <c r="G42" s="117" t="s">
        <v>76</v>
      </c>
      <c r="H42" s="89">
        <f>E7/E5</f>
        <v>0.15760419541816176</v>
      </c>
    </row>
    <row r="43" spans="1:12" ht="18" x14ac:dyDescent="0.3">
      <c r="A43" s="79"/>
      <c r="B43" s="101"/>
      <c r="C43" s="88" t="s">
        <v>77</v>
      </c>
      <c r="D43" s="104" t="s">
        <v>78</v>
      </c>
      <c r="E43" s="89">
        <f>EXP(-1.89*SQRT(E53))</f>
        <v>1</v>
      </c>
      <c r="F43" s="107"/>
      <c r="G43" s="88"/>
      <c r="H43" s="89"/>
    </row>
    <row r="44" spans="1:12" ht="18" x14ac:dyDescent="0.3">
      <c r="A44" s="79"/>
      <c r="B44" s="101"/>
      <c r="C44" s="88" t="s">
        <v>79</v>
      </c>
      <c r="D44" s="104" t="s">
        <v>80</v>
      </c>
      <c r="E44" s="89">
        <f>1-0.8*E20/(E7*E8*E12)</f>
        <v>1</v>
      </c>
      <c r="F44" s="107"/>
      <c r="G44" s="88"/>
      <c r="H44" s="89"/>
    </row>
    <row r="45" spans="1:12" ht="36" x14ac:dyDescent="0.3">
      <c r="A45" s="79"/>
      <c r="B45" s="101"/>
      <c r="C45" s="88" t="s">
        <v>81</v>
      </c>
      <c r="D45" s="106" t="s">
        <v>82</v>
      </c>
      <c r="E45" s="89">
        <f>IF(H45&lt;12,1.446*E11-0.03*H45,1.446*E11-0.36)</f>
        <v>1.0022270568906062</v>
      </c>
      <c r="F45" s="107"/>
      <c r="G45" s="88" t="s">
        <v>83</v>
      </c>
      <c r="H45" s="89">
        <f>E5/E7</f>
        <v>6.3450087565674247</v>
      </c>
    </row>
    <row r="46" spans="1:12" ht="15.6" x14ac:dyDescent="0.3">
      <c r="A46" s="79"/>
      <c r="B46" s="101"/>
      <c r="C46" s="88"/>
      <c r="D46" s="104"/>
      <c r="E46" s="89"/>
      <c r="F46" s="107"/>
      <c r="G46" s="88"/>
      <c r="H46" s="89"/>
    </row>
    <row r="47" spans="1:12" ht="35.4" x14ac:dyDescent="0.3">
      <c r="A47" s="79"/>
      <c r="B47" s="101"/>
      <c r="C47" s="88" t="s">
        <v>84</v>
      </c>
      <c r="D47" s="106" t="s">
        <v>85</v>
      </c>
      <c r="E47" s="89">
        <f>0.0140407*H47-1.75254*E14^0.333/E5-4.79323*H42-E48</f>
        <v>-2.0154484072047039</v>
      </c>
      <c r="F47" s="107"/>
      <c r="G47" s="88" t="s">
        <v>86</v>
      </c>
      <c r="H47" s="89">
        <f>E5/E8</f>
        <v>16.468181818181815</v>
      </c>
    </row>
    <row r="48" spans="1:12" ht="36.6" x14ac:dyDescent="0.3">
      <c r="A48" s="79"/>
      <c r="B48" s="101"/>
      <c r="C48" s="88" t="s">
        <v>87</v>
      </c>
      <c r="D48" s="106" t="s">
        <v>88</v>
      </c>
      <c r="E48" s="89">
        <f>IF(H48&gt;0.8,8.07981*H48-13.8673*H48^2+6.984388*H48^3,1.73014-0.7067*H48)</f>
        <v>1.1493945796577747</v>
      </c>
      <c r="F48" s="107"/>
      <c r="G48" s="88" t="s">
        <v>89</v>
      </c>
      <c r="H48" s="89">
        <f>E11</f>
        <v>0.82474226804123718</v>
      </c>
    </row>
    <row r="49" spans="1:9" ht="18" x14ac:dyDescent="0.3">
      <c r="A49" s="79"/>
      <c r="B49" s="101"/>
      <c r="C49" s="88" t="s">
        <v>90</v>
      </c>
      <c r="D49" s="104" t="s">
        <v>91</v>
      </c>
      <c r="E49" s="89">
        <f>E50*H48^2*EXP(-0.1*H39^-2)</f>
        <v>-0.1542371823661503</v>
      </c>
      <c r="F49" s="107"/>
      <c r="G49" s="88"/>
      <c r="H49" s="89"/>
    </row>
    <row r="50" spans="1:9" ht="34.799999999999997" x14ac:dyDescent="0.3">
      <c r="A50" s="79"/>
      <c r="B50" s="101"/>
      <c r="C50" s="88" t="s">
        <v>92</v>
      </c>
      <c r="D50" s="118" t="s">
        <v>93</v>
      </c>
      <c r="E50" s="89">
        <f>IF(H50&lt;512,-1.69385,IF(H50&gt;1727,0,-1.69385+(H50-8)/2.36))</f>
        <v>-1.6938500000000001</v>
      </c>
      <c r="F50" s="107"/>
      <c r="G50" s="88" t="s">
        <v>94</v>
      </c>
      <c r="H50" s="89">
        <f>E6^3/E14</f>
        <v>124.69954743499648</v>
      </c>
    </row>
    <row r="51" spans="1:9" ht="15.6" x14ac:dyDescent="0.3">
      <c r="A51" s="79"/>
      <c r="B51" s="101"/>
      <c r="C51" s="88" t="s">
        <v>95</v>
      </c>
      <c r="D51" s="104"/>
      <c r="E51" s="89">
        <v>-0.9</v>
      </c>
      <c r="F51" s="107"/>
      <c r="G51" s="88"/>
      <c r="H51" s="89"/>
    </row>
    <row r="52" spans="1:9" ht="18" x14ac:dyDescent="0.3">
      <c r="A52" s="79"/>
      <c r="B52" s="101" t="s">
        <v>96</v>
      </c>
      <c r="C52" s="88" t="s">
        <v>97</v>
      </c>
      <c r="D52" s="106"/>
      <c r="E52" s="91">
        <v>41</v>
      </c>
      <c r="F52" s="107"/>
      <c r="G52" s="88"/>
      <c r="H52" s="89"/>
    </row>
    <row r="53" spans="1:9" ht="18" x14ac:dyDescent="0.3">
      <c r="A53" s="79"/>
      <c r="B53" s="101"/>
      <c r="C53" s="88" t="s">
        <v>98</v>
      </c>
      <c r="D53" s="104" t="s">
        <v>99</v>
      </c>
      <c r="E53" s="89">
        <f>0.56*E19^1.5/(E7*E8*(0.31*SQRT(E19)+E8-H53))</f>
        <v>0</v>
      </c>
      <c r="F53" s="88"/>
      <c r="G53" s="88" t="s">
        <v>100</v>
      </c>
      <c r="H53" s="91">
        <v>0</v>
      </c>
    </row>
    <row r="54" spans="1:9" ht="15.6" x14ac:dyDescent="0.3">
      <c r="A54" s="79"/>
      <c r="B54" s="80"/>
      <c r="C54" s="79"/>
      <c r="D54" s="98"/>
      <c r="E54" s="114"/>
      <c r="F54" s="109"/>
      <c r="G54" s="109"/>
      <c r="H54" s="112"/>
      <c r="I54" s="113"/>
    </row>
    <row r="55" spans="1:9" ht="15.6" x14ac:dyDescent="0.3">
      <c r="A55" s="79"/>
      <c r="B55" s="80"/>
      <c r="C55" s="79"/>
      <c r="D55" s="98"/>
      <c r="E55" s="114"/>
      <c r="F55" s="109"/>
      <c r="G55" s="109"/>
      <c r="H55" s="112"/>
      <c r="I55" s="113"/>
    </row>
    <row r="56" spans="1:9" ht="46.8" x14ac:dyDescent="0.3">
      <c r="A56" s="79"/>
      <c r="B56" s="119" t="s">
        <v>101</v>
      </c>
      <c r="C56" s="88" t="s">
        <v>102</v>
      </c>
      <c r="D56" s="104" t="s">
        <v>103</v>
      </c>
      <c r="E56" s="89">
        <f>IF(E57=0,0,0.11*EXP(-3*E57^-2)*E58^3*H56^1.5*1.025*9.81/(1+E58^2))</f>
        <v>0</v>
      </c>
      <c r="F56" s="88" t="s">
        <v>39</v>
      </c>
      <c r="G56" s="88" t="s">
        <v>60</v>
      </c>
      <c r="H56" s="89">
        <f>E19</f>
        <v>0</v>
      </c>
    </row>
    <row r="57" spans="1:9" ht="18" x14ac:dyDescent="0.3">
      <c r="A57" s="79"/>
      <c r="B57" s="101"/>
      <c r="C57" s="88" t="s">
        <v>104</v>
      </c>
      <c r="D57" s="104" t="s">
        <v>105</v>
      </c>
      <c r="E57" s="89">
        <f>0.56*SQRT(H56)/(E8-1.5*H53)</f>
        <v>0</v>
      </c>
      <c r="F57" s="109"/>
      <c r="G57" s="109"/>
      <c r="H57" s="112"/>
    </row>
    <row r="58" spans="1:9" ht="18" x14ac:dyDescent="0.3">
      <c r="A58" s="79"/>
      <c r="B58" s="101"/>
      <c r="C58" s="88" t="s">
        <v>106</v>
      </c>
      <c r="D58" s="104" t="s">
        <v>107</v>
      </c>
      <c r="E58" s="89">
        <f>E10*0.5144/SQRT(9.81*(E8-H53-0.25*H56^0.5)+0.15*(E10*0.5144)^2)</f>
        <v>0.74926925016657608</v>
      </c>
      <c r="F58" s="109"/>
      <c r="G58" s="109"/>
      <c r="H58" s="112"/>
    </row>
    <row r="59" spans="1:9" s="113" customFormat="1" ht="15.6" x14ac:dyDescent="0.3">
      <c r="A59" s="109"/>
      <c r="B59" s="110"/>
      <c r="C59" s="109"/>
      <c r="D59" s="120"/>
      <c r="E59" s="112"/>
      <c r="F59" s="109"/>
      <c r="G59" s="109"/>
      <c r="H59" s="112"/>
    </row>
    <row r="60" spans="1:9" ht="46.8" x14ac:dyDescent="0.3">
      <c r="A60" s="79"/>
      <c r="B60" s="119" t="s">
        <v>108</v>
      </c>
      <c r="C60" s="88" t="s">
        <v>109</v>
      </c>
      <c r="D60" s="104" t="s">
        <v>110</v>
      </c>
      <c r="E60" s="89">
        <f>0.5*E13*(E10*0.5144)^2*H60*E61</f>
        <v>0</v>
      </c>
      <c r="F60" s="88" t="s">
        <v>39</v>
      </c>
      <c r="G60" s="121" t="s">
        <v>111</v>
      </c>
      <c r="H60" s="89">
        <f>E20</f>
        <v>0</v>
      </c>
    </row>
    <row r="61" spans="1:9" ht="18" x14ac:dyDescent="0.3">
      <c r="A61" s="79"/>
      <c r="B61" s="101"/>
      <c r="C61" s="88" t="s">
        <v>112</v>
      </c>
      <c r="D61" s="104" t="s">
        <v>113</v>
      </c>
      <c r="E61" s="89">
        <f>IF(E62&lt;5,0.2*(1-0.2*E62),0)</f>
        <v>0.2</v>
      </c>
      <c r="F61" s="88"/>
      <c r="G61" s="109"/>
      <c r="H61" s="112"/>
    </row>
    <row r="62" spans="1:9" ht="18" x14ac:dyDescent="0.3">
      <c r="A62" s="79"/>
      <c r="B62" s="101"/>
      <c r="C62" s="88" t="s">
        <v>114</v>
      </c>
      <c r="D62" s="104" t="s">
        <v>115</v>
      </c>
      <c r="E62" s="89">
        <v>0</v>
      </c>
      <c r="F62" s="88"/>
      <c r="G62" s="109"/>
      <c r="H62" s="112"/>
    </row>
    <row r="63" spans="1:9" s="113" customFormat="1" ht="15.6" x14ac:dyDescent="0.3">
      <c r="A63" s="109"/>
      <c r="B63" s="110"/>
      <c r="C63" s="109"/>
      <c r="D63" s="120"/>
      <c r="E63" s="112"/>
      <c r="F63" s="109"/>
      <c r="G63" s="109"/>
      <c r="H63" s="112"/>
    </row>
    <row r="64" spans="1:9" ht="31.2" x14ac:dyDescent="0.3">
      <c r="A64" s="79"/>
      <c r="B64" s="119" t="s">
        <v>116</v>
      </c>
      <c r="C64" s="88" t="s">
        <v>117</v>
      </c>
      <c r="D64" s="104" t="s">
        <v>118</v>
      </c>
      <c r="E64" s="89">
        <f>0.5*E13*(E10*0.5144)^2*E34*E65</f>
        <v>9.2969875278672962</v>
      </c>
      <c r="F64" s="88" t="s">
        <v>39</v>
      </c>
      <c r="G64" s="109"/>
      <c r="H64" s="112"/>
    </row>
    <row r="65" spans="1:8" ht="36" x14ac:dyDescent="0.3">
      <c r="A65" s="79"/>
      <c r="B65" s="101"/>
      <c r="C65" s="88" t="s">
        <v>119</v>
      </c>
      <c r="D65" s="106" t="s">
        <v>120</v>
      </c>
      <c r="E65" s="89">
        <f>0.006*(E5+100)^-0.16-0.00205+0.003*SQRT((E5/7.5)*E9^4*E43*(0.04-E66))</f>
        <v>5.8197105784782519E-4</v>
      </c>
      <c r="F65" s="107"/>
      <c r="G65" s="109"/>
      <c r="H65" s="112"/>
    </row>
    <row r="66" spans="1:8" ht="64.5" customHeight="1" x14ac:dyDescent="0.3">
      <c r="A66" s="79"/>
      <c r="B66" s="101"/>
      <c r="C66" s="88" t="s">
        <v>121</v>
      </c>
      <c r="D66" s="106" t="s">
        <v>122</v>
      </c>
      <c r="E66" s="89">
        <f>IF(H66&lt;=0.04,H66,0.04)</f>
        <v>0.04</v>
      </c>
      <c r="F66" s="107"/>
      <c r="G66" s="88" t="s">
        <v>123</v>
      </c>
      <c r="H66" s="89">
        <f>E8/E6</f>
        <v>6.2146892655367242E-2</v>
      </c>
    </row>
    <row r="67" spans="1:8" ht="15.6" x14ac:dyDescent="0.3">
      <c r="A67" s="79"/>
      <c r="B67" s="101"/>
      <c r="C67" s="88"/>
      <c r="D67" s="106"/>
      <c r="E67" s="89"/>
      <c r="F67" s="88"/>
      <c r="G67" s="79"/>
      <c r="H67" s="114"/>
    </row>
    <row r="68" spans="1:8" ht="18" x14ac:dyDescent="0.3">
      <c r="A68" s="79"/>
      <c r="B68" s="101" t="s">
        <v>124</v>
      </c>
      <c r="C68" s="88" t="s">
        <v>125</v>
      </c>
      <c r="D68" s="106"/>
      <c r="E68" s="89">
        <v>9.4499999999999993</v>
      </c>
      <c r="F68" s="88" t="s">
        <v>39</v>
      </c>
      <c r="G68" s="79"/>
      <c r="H68" s="114"/>
    </row>
    <row r="69" spans="1:8" ht="15.6" x14ac:dyDescent="0.3">
      <c r="A69" s="79"/>
      <c r="B69" s="80"/>
      <c r="C69" s="79"/>
      <c r="D69" s="122"/>
      <c r="E69" s="114"/>
      <c r="F69" s="79"/>
      <c r="G69" s="79"/>
      <c r="H69" s="114"/>
    </row>
    <row r="70" spans="1:8" ht="15.6" x14ac:dyDescent="0.3">
      <c r="A70" s="79"/>
      <c r="B70" s="80"/>
      <c r="C70" s="79"/>
      <c r="D70" s="122"/>
      <c r="E70" s="114"/>
      <c r="F70" s="79"/>
      <c r="G70" s="79"/>
      <c r="H70" s="114"/>
    </row>
    <row r="71" spans="1:8" ht="15.6" x14ac:dyDescent="0.3">
      <c r="A71" s="79"/>
      <c r="B71" s="80"/>
      <c r="C71" s="79"/>
      <c r="D71" s="98"/>
      <c r="E71" s="114"/>
      <c r="F71" s="79"/>
      <c r="G71" s="79"/>
      <c r="H71" s="114"/>
    </row>
    <row r="72" spans="1:8" ht="18" x14ac:dyDescent="0.3">
      <c r="A72" s="79"/>
      <c r="B72" s="123" t="s">
        <v>126</v>
      </c>
      <c r="C72" s="88" t="s">
        <v>127</v>
      </c>
      <c r="D72" s="88" t="s">
        <v>128</v>
      </c>
      <c r="E72" s="124">
        <f>E27*E30+E36+E56+E60+E64+E68+E39</f>
        <v>112.60561443882472</v>
      </c>
      <c r="F72" s="88" t="s">
        <v>39</v>
      </c>
      <c r="G72" s="79"/>
      <c r="H72" s="114"/>
    </row>
  </sheetData>
  <mergeCells count="22">
    <mergeCell ref="C23:D23"/>
    <mergeCell ref="C1:F2"/>
    <mergeCell ref="C3:F3"/>
    <mergeCell ref="C18:D18"/>
    <mergeCell ref="C19:D19"/>
    <mergeCell ref="C20:D20"/>
    <mergeCell ref="C21:D21"/>
    <mergeCell ref="C22:D22"/>
    <mergeCell ref="C13:D13"/>
    <mergeCell ref="C14:D14"/>
    <mergeCell ref="C11:D11"/>
    <mergeCell ref="C12:D12"/>
    <mergeCell ref="C4:D4"/>
    <mergeCell ref="C5:D5"/>
    <mergeCell ref="C6:D6"/>
    <mergeCell ref="C7:D7"/>
    <mergeCell ref="C15:D15"/>
    <mergeCell ref="C16:D16"/>
    <mergeCell ref="C17:D17"/>
    <mergeCell ref="C8:D8"/>
    <mergeCell ref="C9:D9"/>
    <mergeCell ref="C10:D10"/>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2"/>
  <sheetViews>
    <sheetView workbookViewId="0">
      <selection activeCell="F2" sqref="F2"/>
    </sheetView>
  </sheetViews>
  <sheetFormatPr defaultRowHeight="14.4" x14ac:dyDescent="0.3"/>
  <cols>
    <col min="1" max="1" width="10.88671875" customWidth="1"/>
  </cols>
  <sheetData>
    <row r="1" spans="1:21" ht="15.6" x14ac:dyDescent="0.3">
      <c r="A1" s="60" t="s">
        <v>2</v>
      </c>
      <c r="B1" s="6">
        <v>3</v>
      </c>
    </row>
    <row r="2" spans="1:21" ht="15.6" x14ac:dyDescent="0.3">
      <c r="A2" s="60" t="s">
        <v>354</v>
      </c>
      <c r="B2" s="6">
        <v>2</v>
      </c>
      <c r="C2" t="s">
        <v>0</v>
      </c>
    </row>
    <row r="3" spans="1:21" ht="15.6" x14ac:dyDescent="0.3">
      <c r="A3" s="60" t="s">
        <v>355</v>
      </c>
      <c r="B3" s="6">
        <f>0.2*B2</f>
        <v>0.4</v>
      </c>
    </row>
    <row r="4" spans="1:21" ht="15.6" x14ac:dyDescent="0.3">
      <c r="A4" s="60" t="s">
        <v>356</v>
      </c>
      <c r="B4" s="6">
        <v>0.5</v>
      </c>
    </row>
    <row r="5" spans="1:21" ht="15.6" x14ac:dyDescent="0.3">
      <c r="A5" s="60" t="s">
        <v>357</v>
      </c>
      <c r="B5" s="6">
        <v>0</v>
      </c>
    </row>
    <row r="6" spans="1:21" ht="15.6" x14ac:dyDescent="0.3">
      <c r="A6" s="60" t="s">
        <v>358</v>
      </c>
      <c r="B6" s="6">
        <v>0</v>
      </c>
    </row>
    <row r="7" spans="1:21" ht="15.6" x14ac:dyDescent="0.3">
      <c r="A7" s="60" t="s">
        <v>359</v>
      </c>
      <c r="B7" s="6">
        <f>B2/2</f>
        <v>1</v>
      </c>
      <c r="C7" t="s">
        <v>0</v>
      </c>
    </row>
    <row r="8" spans="1:21" ht="15.6" x14ac:dyDescent="0.3">
      <c r="A8" s="60" t="s">
        <v>360</v>
      </c>
      <c r="B8" s="76" t="e">
        <f>#REF!</f>
        <v>#REF!</v>
      </c>
      <c r="C8" t="s">
        <v>0</v>
      </c>
      <c r="O8" s="1"/>
      <c r="P8" s="1"/>
      <c r="Q8" s="1"/>
      <c r="R8" s="1"/>
      <c r="S8" s="1"/>
      <c r="T8" s="1"/>
      <c r="U8" s="1"/>
    </row>
    <row r="9" spans="1:21" ht="18" x14ac:dyDescent="0.4">
      <c r="A9" s="158" t="s">
        <v>361</v>
      </c>
      <c r="B9" s="160" t="s">
        <v>362</v>
      </c>
      <c r="C9" s="158" t="s">
        <v>363</v>
      </c>
      <c r="D9" s="158" t="s">
        <v>364</v>
      </c>
      <c r="E9" s="162" t="s">
        <v>365</v>
      </c>
      <c r="F9" s="163"/>
      <c r="O9" s="1"/>
      <c r="P9" s="1"/>
      <c r="Q9" s="1"/>
      <c r="R9" s="1"/>
      <c r="S9" s="1"/>
      <c r="T9" s="1"/>
      <c r="U9" s="1"/>
    </row>
    <row r="10" spans="1:21" ht="18" x14ac:dyDescent="0.4">
      <c r="A10" s="159"/>
      <c r="B10" s="161"/>
      <c r="C10" s="159"/>
      <c r="D10" s="159"/>
      <c r="E10" s="61" t="s">
        <v>366</v>
      </c>
      <c r="F10" s="61" t="s">
        <v>367</v>
      </c>
      <c r="I10" s="62" t="s">
        <v>361</v>
      </c>
      <c r="J10" s="62" t="s">
        <v>368</v>
      </c>
      <c r="K10" s="63" t="s">
        <v>369</v>
      </c>
      <c r="L10" s="62" t="s">
        <v>370</v>
      </c>
      <c r="M10" s="62" t="s">
        <v>371</v>
      </c>
      <c r="N10" s="62" t="s">
        <v>129</v>
      </c>
      <c r="O10" s="64" t="s">
        <v>372</v>
      </c>
      <c r="P10" s="62" t="s">
        <v>373</v>
      </c>
      <c r="U10" s="1"/>
    </row>
    <row r="11" spans="1:21" x14ac:dyDescent="0.3">
      <c r="A11" s="6">
        <v>0.2</v>
      </c>
      <c r="B11" s="4">
        <v>1.633</v>
      </c>
      <c r="C11" s="4">
        <v>0.61599999999999999</v>
      </c>
      <c r="D11" s="4">
        <v>0.35</v>
      </c>
      <c r="E11" s="4">
        <v>5.2600000000000001E-2</v>
      </c>
      <c r="F11" s="4">
        <v>4.0000000000000001E-3</v>
      </c>
      <c r="I11" s="6">
        <v>0.2</v>
      </c>
      <c r="J11" s="65">
        <f>B11*B2*B4/B1</f>
        <v>0.54433333333333334</v>
      </c>
      <c r="K11" s="66">
        <f>C11*J11</f>
        <v>0.33530933333333335</v>
      </c>
      <c r="L11" s="65">
        <f t="shared" ref="L11:L19" si="0">D11*J11</f>
        <v>0.19051666666666667</v>
      </c>
      <c r="M11" s="65">
        <f>I11*B7</f>
        <v>0.2</v>
      </c>
      <c r="N11" s="65">
        <f>(E11-F11*B1)*B2</f>
        <v>8.1199999999999994E-2</v>
      </c>
      <c r="O11" s="65">
        <f>J11-K11</f>
        <v>0.20902399999999999</v>
      </c>
      <c r="P11" s="65">
        <f>K11-L11</f>
        <v>0.14479266666666668</v>
      </c>
      <c r="U11" s="1"/>
    </row>
    <row r="12" spans="1:21" x14ac:dyDescent="0.3">
      <c r="A12" s="6">
        <v>0.3</v>
      </c>
      <c r="B12" s="4">
        <v>1.8320000000000001</v>
      </c>
      <c r="C12" s="4">
        <v>0.61099999999999999</v>
      </c>
      <c r="D12" s="4">
        <v>0.35</v>
      </c>
      <c r="E12" s="4">
        <v>4.6399999999999997E-2</v>
      </c>
      <c r="F12" s="4">
        <v>3.5000000000000001E-3</v>
      </c>
      <c r="G12" s="3"/>
      <c r="I12" s="6">
        <v>0.3</v>
      </c>
      <c r="J12" s="65">
        <f>B12*B2*B4/B1</f>
        <v>0.61066666666666669</v>
      </c>
      <c r="K12" s="66">
        <f t="shared" ref="K12:K19" si="1">C12*J12</f>
        <v>0.37311733333333336</v>
      </c>
      <c r="L12" s="65">
        <f t="shared" si="0"/>
        <v>0.21373333333333333</v>
      </c>
      <c r="M12" s="65">
        <f>I12*B7</f>
        <v>0.3</v>
      </c>
      <c r="N12" s="65">
        <f>(E12-F12*B1)*B2</f>
        <v>7.1799999999999989E-2</v>
      </c>
      <c r="O12" s="65">
        <f t="shared" ref="O12:P19" si="2">J12-K12</f>
        <v>0.23754933333333333</v>
      </c>
      <c r="P12" s="65">
        <f t="shared" si="2"/>
        <v>0.15938400000000003</v>
      </c>
      <c r="U12" s="1"/>
    </row>
    <row r="13" spans="1:21" x14ac:dyDescent="0.3">
      <c r="A13" s="6">
        <v>0.4</v>
      </c>
      <c r="B13" s="4">
        <v>2</v>
      </c>
      <c r="C13" s="4">
        <v>0.59899999999999998</v>
      </c>
      <c r="D13" s="4">
        <v>0.35</v>
      </c>
      <c r="E13" s="4">
        <v>4.02E-2</v>
      </c>
      <c r="F13" s="4">
        <v>3.0000000000000001E-3</v>
      </c>
      <c r="I13" s="6">
        <v>0.4</v>
      </c>
      <c r="J13" s="65">
        <f>B13*B2*B4/B1</f>
        <v>0.66666666666666663</v>
      </c>
      <c r="K13" s="66">
        <f t="shared" si="1"/>
        <v>0.39933333333333332</v>
      </c>
      <c r="L13" s="65">
        <f t="shared" si="0"/>
        <v>0.23333333333333331</v>
      </c>
      <c r="M13" s="65">
        <f>I13*B7</f>
        <v>0.4</v>
      </c>
      <c r="N13" s="65">
        <f>(E13-F13*B1)*B2</f>
        <v>6.2399999999999997E-2</v>
      </c>
      <c r="O13" s="65">
        <f t="shared" si="2"/>
        <v>0.26733333333333331</v>
      </c>
      <c r="P13" s="65">
        <f t="shared" si="2"/>
        <v>0.16600000000000001</v>
      </c>
      <c r="U13" s="1"/>
    </row>
    <row r="14" spans="1:21" x14ac:dyDescent="0.3">
      <c r="A14" s="6">
        <v>0.5</v>
      </c>
      <c r="B14" s="4">
        <v>2.12</v>
      </c>
      <c r="C14" s="4">
        <v>0.58299999999999996</v>
      </c>
      <c r="D14" s="4">
        <v>0.35499999999999998</v>
      </c>
      <c r="E14" s="4">
        <v>3.4000000000000002E-2</v>
      </c>
      <c r="F14" s="4">
        <v>2.5000000000000001E-3</v>
      </c>
      <c r="I14" s="6">
        <v>0.5</v>
      </c>
      <c r="J14" s="65">
        <f>B14*B2*B4/B1</f>
        <v>0.70666666666666667</v>
      </c>
      <c r="K14" s="66">
        <f t="shared" si="1"/>
        <v>0.41198666666666661</v>
      </c>
      <c r="L14" s="65">
        <f t="shared" si="0"/>
        <v>0.25086666666666663</v>
      </c>
      <c r="M14" s="65">
        <f>I14*B7</f>
        <v>0.5</v>
      </c>
      <c r="N14" s="65">
        <f>(E14-F14*B1)*B2</f>
        <v>5.3000000000000005E-2</v>
      </c>
      <c r="O14" s="65">
        <f t="shared" si="2"/>
        <v>0.29468000000000005</v>
      </c>
      <c r="P14" s="65">
        <f t="shared" si="2"/>
        <v>0.16111999999999999</v>
      </c>
      <c r="U14" s="1"/>
    </row>
    <row r="15" spans="1:21" x14ac:dyDescent="0.3">
      <c r="A15" s="6">
        <v>0.6</v>
      </c>
      <c r="B15" s="4">
        <v>2.1859999999999999</v>
      </c>
      <c r="C15" s="4">
        <v>0.55800000000000005</v>
      </c>
      <c r="D15" s="4">
        <v>0.38900000000000001</v>
      </c>
      <c r="E15" s="4">
        <v>2.7799999999999998E-2</v>
      </c>
      <c r="F15" s="4">
        <v>2E-3</v>
      </c>
      <c r="I15" s="6">
        <v>0.6</v>
      </c>
      <c r="J15" s="65">
        <f>B15*B2*B4/B1</f>
        <v>0.72866666666666668</v>
      </c>
      <c r="K15" s="66">
        <f t="shared" si="1"/>
        <v>0.40659600000000007</v>
      </c>
      <c r="L15" s="65">
        <f t="shared" si="0"/>
        <v>0.28345133333333333</v>
      </c>
      <c r="M15" s="65">
        <f>I15*B7</f>
        <v>0.6</v>
      </c>
      <c r="N15" s="65">
        <f>(E15-F15*B1)*B2</f>
        <v>4.36E-2</v>
      </c>
      <c r="O15" s="65">
        <f t="shared" si="2"/>
        <v>0.32207066666666662</v>
      </c>
      <c r="P15" s="65">
        <f t="shared" si="2"/>
        <v>0.12314466666666674</v>
      </c>
      <c r="U15" s="1"/>
    </row>
    <row r="16" spans="1:21" x14ac:dyDescent="0.3">
      <c r="A16" s="6">
        <v>0.7</v>
      </c>
      <c r="B16" s="4">
        <v>2.1680000000000001</v>
      </c>
      <c r="C16" s="4">
        <v>0.52600000000000002</v>
      </c>
      <c r="D16" s="4">
        <v>0.442</v>
      </c>
      <c r="E16" s="4">
        <v>2.1600000000000001E-2</v>
      </c>
      <c r="F16" s="4">
        <v>1.5E-3</v>
      </c>
      <c r="I16" s="6">
        <v>0.7</v>
      </c>
      <c r="J16" s="65">
        <f>B16*B2*B4/B1</f>
        <v>0.72266666666666668</v>
      </c>
      <c r="K16" s="66">
        <f t="shared" si="1"/>
        <v>0.38012266666666666</v>
      </c>
      <c r="L16" s="65">
        <f t="shared" si="0"/>
        <v>0.31941866666666668</v>
      </c>
      <c r="M16" s="65">
        <f>I16*B7</f>
        <v>0.7</v>
      </c>
      <c r="N16" s="65">
        <f>(E16-F16*B1)*B2</f>
        <v>3.4200000000000001E-2</v>
      </c>
      <c r="O16" s="65">
        <f t="shared" si="2"/>
        <v>0.34254400000000002</v>
      </c>
      <c r="P16" s="65">
        <f t="shared" si="2"/>
        <v>6.070399999999998E-2</v>
      </c>
      <c r="U16" s="1"/>
    </row>
    <row r="17" spans="1:25" x14ac:dyDescent="0.3">
      <c r="A17" s="6">
        <v>0.8</v>
      </c>
      <c r="B17" s="4">
        <v>2.1269999999999998</v>
      </c>
      <c r="C17" s="4">
        <v>0.48099999999999998</v>
      </c>
      <c r="D17" s="4">
        <v>0.47799999999999998</v>
      </c>
      <c r="E17" s="4">
        <v>1.54E-2</v>
      </c>
      <c r="F17" s="4">
        <v>1E-3</v>
      </c>
      <c r="I17" s="6">
        <v>0.8</v>
      </c>
      <c r="J17" s="65">
        <f>B17*B2*B4/B1</f>
        <v>0.70899999999999996</v>
      </c>
      <c r="K17" s="66">
        <f t="shared" si="1"/>
        <v>0.34102899999999997</v>
      </c>
      <c r="L17" s="65">
        <f t="shared" si="0"/>
        <v>0.33890199999999998</v>
      </c>
      <c r="M17" s="65">
        <f>I17*B7</f>
        <v>0.8</v>
      </c>
      <c r="N17" s="65">
        <f>(E17-F17*B1)*B2</f>
        <v>2.4800000000000003E-2</v>
      </c>
      <c r="O17" s="65">
        <f t="shared" si="2"/>
        <v>0.36797099999999999</v>
      </c>
      <c r="P17" s="65">
        <f t="shared" si="2"/>
        <v>2.12699999999999E-3</v>
      </c>
      <c r="U17" s="1"/>
    </row>
    <row r="18" spans="1:25" x14ac:dyDescent="0.3">
      <c r="A18" s="6">
        <v>0.9</v>
      </c>
      <c r="B18" s="4">
        <v>1.657</v>
      </c>
      <c r="C18" s="4">
        <v>0.4</v>
      </c>
      <c r="D18" s="4">
        <v>0.5</v>
      </c>
      <c r="E18" s="4">
        <v>9.1999999999999998E-3</v>
      </c>
      <c r="F18" s="4">
        <v>5.0000000000000001E-4</v>
      </c>
      <c r="I18" s="6">
        <v>0.9</v>
      </c>
      <c r="J18" s="65">
        <f>B18*B2*B4/B1</f>
        <v>0.55233333333333334</v>
      </c>
      <c r="K18" s="66">
        <f t="shared" si="1"/>
        <v>0.22093333333333334</v>
      </c>
      <c r="L18" s="65">
        <f t="shared" si="0"/>
        <v>0.27616666666666667</v>
      </c>
      <c r="M18" s="65">
        <f>I18*B7</f>
        <v>0.9</v>
      </c>
      <c r="N18" s="65">
        <f>(E18-F18*B1)*B2</f>
        <v>1.54E-2</v>
      </c>
      <c r="O18" s="65">
        <f t="shared" si="2"/>
        <v>0.33140000000000003</v>
      </c>
      <c r="P18" s="65">
        <f t="shared" si="2"/>
        <v>-5.5233333333333329E-2</v>
      </c>
      <c r="U18" s="1"/>
    </row>
    <row r="19" spans="1:25" x14ac:dyDescent="0.3">
      <c r="A19" s="6">
        <v>1</v>
      </c>
      <c r="B19" s="4">
        <v>0</v>
      </c>
      <c r="C19" s="4">
        <v>0</v>
      </c>
      <c r="D19" s="4">
        <v>0</v>
      </c>
      <c r="E19" s="4">
        <v>3.0000000000000001E-3</v>
      </c>
      <c r="F19" s="4">
        <v>0</v>
      </c>
      <c r="I19" s="6">
        <v>1</v>
      </c>
      <c r="J19" s="65">
        <f>B19*B2*B4/B1</f>
        <v>0</v>
      </c>
      <c r="K19" s="66">
        <f t="shared" si="1"/>
        <v>0</v>
      </c>
      <c r="L19" s="65">
        <f t="shared" si="0"/>
        <v>0</v>
      </c>
      <c r="M19" s="65">
        <f>I19*B7</f>
        <v>1</v>
      </c>
      <c r="N19" s="65">
        <f>(E19-F19*B1)*B2</f>
        <v>6.0000000000000001E-3</v>
      </c>
      <c r="O19" s="65">
        <f t="shared" si="2"/>
        <v>0</v>
      </c>
      <c r="P19" s="65">
        <f t="shared" si="2"/>
        <v>0</v>
      </c>
      <c r="U19" s="1"/>
    </row>
    <row r="20" spans="1:25" x14ac:dyDescent="0.3">
      <c r="M20" s="1"/>
      <c r="N20" s="78">
        <f>SUM(N11:N19)/9</f>
        <v>4.36E-2</v>
      </c>
      <c r="O20" s="1"/>
      <c r="P20" s="1"/>
      <c r="Q20" s="1"/>
      <c r="R20" s="1"/>
      <c r="S20" s="1"/>
      <c r="T20" s="1"/>
      <c r="U20" s="1"/>
    </row>
    <row r="24" spans="1:25" x14ac:dyDescent="0.3">
      <c r="A24" s="151" t="s">
        <v>374</v>
      </c>
      <c r="B24" s="67" t="s">
        <v>375</v>
      </c>
      <c r="C24" s="68">
        <v>-1</v>
      </c>
      <c r="D24" s="68">
        <v>-0.95</v>
      </c>
      <c r="E24" s="68">
        <v>-0.9</v>
      </c>
      <c r="F24" s="68">
        <v>-0.8</v>
      </c>
      <c r="G24" s="68">
        <v>-0.7</v>
      </c>
      <c r="H24" s="68">
        <v>-0.6</v>
      </c>
      <c r="I24" s="68">
        <v>-0.5</v>
      </c>
      <c r="J24" s="68">
        <v>-0.4</v>
      </c>
      <c r="K24" s="68">
        <v>-0.2</v>
      </c>
      <c r="L24" s="68">
        <v>0</v>
      </c>
      <c r="N24" s="154" t="s">
        <v>376</v>
      </c>
      <c r="O24" s="69" t="s">
        <v>375</v>
      </c>
      <c r="P24" s="5">
        <v>-1</v>
      </c>
      <c r="Q24" s="5">
        <v>-0.95</v>
      </c>
      <c r="R24" s="5">
        <v>-0.9</v>
      </c>
      <c r="S24" s="5">
        <v>-0.8</v>
      </c>
      <c r="T24" s="5">
        <v>-0.7</v>
      </c>
      <c r="U24" s="5">
        <v>-0.6</v>
      </c>
      <c r="V24" s="5">
        <v>-0.5</v>
      </c>
      <c r="W24" s="5">
        <v>-0.4</v>
      </c>
      <c r="X24" s="5">
        <v>-0.2</v>
      </c>
      <c r="Y24" s="5">
        <v>0</v>
      </c>
    </row>
    <row r="25" spans="1:25" x14ac:dyDescent="0.3">
      <c r="A25" s="152"/>
      <c r="B25" s="67" t="s">
        <v>377</v>
      </c>
      <c r="C25" s="68">
        <f>N11</f>
        <v>8.1199999999999994E-2</v>
      </c>
      <c r="D25" s="68">
        <f>N11</f>
        <v>8.1199999999999994E-2</v>
      </c>
      <c r="E25" s="68">
        <f>N11</f>
        <v>8.1199999999999994E-2</v>
      </c>
      <c r="F25" s="68">
        <f>N11</f>
        <v>8.1199999999999994E-2</v>
      </c>
      <c r="G25" s="68">
        <f>N11</f>
        <v>8.1199999999999994E-2</v>
      </c>
      <c r="H25" s="68">
        <f>N11</f>
        <v>8.1199999999999994E-2</v>
      </c>
      <c r="I25" s="68">
        <f>N11</f>
        <v>8.1199999999999994E-2</v>
      </c>
      <c r="J25" s="68">
        <f>N11</f>
        <v>8.1199999999999994E-2</v>
      </c>
      <c r="K25" s="68">
        <f>N11</f>
        <v>8.1199999999999994E-2</v>
      </c>
      <c r="L25" s="68">
        <f>N11</f>
        <v>8.1199999999999994E-2</v>
      </c>
      <c r="N25" s="154"/>
      <c r="O25" s="69" t="s">
        <v>377</v>
      </c>
      <c r="P25" s="5">
        <f>N12</f>
        <v>7.1799999999999989E-2</v>
      </c>
      <c r="Q25" s="5">
        <f>N12</f>
        <v>7.1799999999999989E-2</v>
      </c>
      <c r="R25" s="5">
        <f>N12</f>
        <v>7.1799999999999989E-2</v>
      </c>
      <c r="S25" s="5">
        <f>N12</f>
        <v>7.1799999999999989E-2</v>
      </c>
      <c r="T25" s="5">
        <f>N12</f>
        <v>7.1799999999999989E-2</v>
      </c>
      <c r="U25" s="5">
        <f>N12</f>
        <v>7.1799999999999989E-2</v>
      </c>
      <c r="V25" s="5">
        <f>N12</f>
        <v>7.1799999999999989E-2</v>
      </c>
      <c r="W25" s="5">
        <f>N12</f>
        <v>7.1799999999999989E-2</v>
      </c>
      <c r="X25" s="5">
        <f>N12</f>
        <v>7.1799999999999989E-2</v>
      </c>
      <c r="Y25" s="5">
        <f>N12</f>
        <v>7.1799999999999989E-2</v>
      </c>
    </row>
    <row r="26" spans="1:25" x14ac:dyDescent="0.3">
      <c r="A26" s="152"/>
      <c r="B26" s="67" t="s">
        <v>378</v>
      </c>
      <c r="C26" s="68">
        <v>0.28260000000000002</v>
      </c>
      <c r="D26" s="68">
        <v>0.26300000000000001</v>
      </c>
      <c r="E26" s="68">
        <v>0.24</v>
      </c>
      <c r="F26" s="68">
        <v>0.19670000000000001</v>
      </c>
      <c r="G26" s="68">
        <v>0.157</v>
      </c>
      <c r="H26" s="68">
        <v>0.1207</v>
      </c>
      <c r="I26" s="68">
        <v>8.7999999999999995E-2</v>
      </c>
      <c r="J26" s="68">
        <v>5.9200000000000003E-2</v>
      </c>
      <c r="K26" s="68">
        <v>1.72E-2</v>
      </c>
      <c r="L26" s="68">
        <v>0</v>
      </c>
      <c r="N26" s="154"/>
      <c r="O26" s="69" t="s">
        <v>378</v>
      </c>
      <c r="P26" s="5">
        <v>0.2306</v>
      </c>
      <c r="Q26" s="5">
        <v>0.20399999999999999</v>
      </c>
      <c r="R26" s="5">
        <v>0.17899999999999999</v>
      </c>
      <c r="S26" s="5">
        <v>0.1333</v>
      </c>
      <c r="T26" s="5">
        <v>9.4299999999999995E-2</v>
      </c>
      <c r="U26" s="5">
        <v>6.2300000000000001E-2</v>
      </c>
      <c r="V26" s="5">
        <v>3.7600000000000001E-2</v>
      </c>
      <c r="W26" s="5">
        <v>2.0199999999999999E-2</v>
      </c>
      <c r="X26" s="5">
        <v>3.3E-3</v>
      </c>
      <c r="Y26" s="5">
        <v>0</v>
      </c>
    </row>
    <row r="27" spans="1:25" x14ac:dyDescent="0.3">
      <c r="A27" s="152"/>
      <c r="B27" s="67" t="s">
        <v>379</v>
      </c>
      <c r="C27" s="68">
        <v>0</v>
      </c>
      <c r="D27" s="68">
        <v>6.4000000000000001E-2</v>
      </c>
      <c r="E27" s="68">
        <v>0.14549999999999999</v>
      </c>
      <c r="F27" s="68">
        <v>0.30599999999999999</v>
      </c>
      <c r="G27" s="68">
        <v>0.45350000000000001</v>
      </c>
      <c r="H27" s="68">
        <v>0.58420000000000005</v>
      </c>
      <c r="I27" s="68">
        <v>0.69950000000000001</v>
      </c>
      <c r="J27" s="68">
        <v>0.7984</v>
      </c>
      <c r="K27" s="68">
        <v>0.9446</v>
      </c>
      <c r="L27" s="68">
        <v>1</v>
      </c>
      <c r="N27" s="154"/>
      <c r="O27" s="69" t="s">
        <v>379</v>
      </c>
      <c r="P27" s="5">
        <v>0</v>
      </c>
      <c r="Q27" s="5">
        <v>0.08</v>
      </c>
      <c r="R27" s="5">
        <v>0.16700000000000001</v>
      </c>
      <c r="S27" s="5">
        <v>0.33600000000000002</v>
      </c>
      <c r="T27" s="5">
        <v>0.48849999999999999</v>
      </c>
      <c r="U27" s="5">
        <v>0.61950000000000005</v>
      </c>
      <c r="V27" s="5">
        <v>0.73350000000000004</v>
      </c>
      <c r="W27" s="5">
        <v>0.82650000000000001</v>
      </c>
      <c r="X27" s="5">
        <v>0.95830000000000004</v>
      </c>
      <c r="Y27" s="5">
        <v>1</v>
      </c>
    </row>
    <row r="28" spans="1:25" x14ac:dyDescent="0.3">
      <c r="A28" s="152"/>
      <c r="B28" s="70" t="s">
        <v>380</v>
      </c>
      <c r="C28" s="70">
        <f>C25*C26</f>
        <v>2.2947120000000001E-2</v>
      </c>
      <c r="D28" s="70">
        <f t="shared" ref="D28:L28" si="3">D25*D26</f>
        <v>2.1355599999999999E-2</v>
      </c>
      <c r="E28" s="70">
        <f t="shared" si="3"/>
        <v>1.9487999999999998E-2</v>
      </c>
      <c r="F28" s="70">
        <f t="shared" si="3"/>
        <v>1.597204E-2</v>
      </c>
      <c r="G28" s="70">
        <f t="shared" si="3"/>
        <v>1.27484E-2</v>
      </c>
      <c r="H28" s="70">
        <f t="shared" si="3"/>
        <v>9.8008399999999999E-3</v>
      </c>
      <c r="I28" s="70">
        <f t="shared" si="3"/>
        <v>7.1455999999999993E-3</v>
      </c>
      <c r="J28" s="70">
        <f t="shared" si="3"/>
        <v>4.8070400000000003E-3</v>
      </c>
      <c r="K28" s="70">
        <f t="shared" si="3"/>
        <v>1.39664E-3</v>
      </c>
      <c r="L28" s="70">
        <f t="shared" si="3"/>
        <v>0</v>
      </c>
      <c r="M28" s="3"/>
      <c r="N28" s="154"/>
      <c r="O28" s="7" t="s">
        <v>380</v>
      </c>
      <c r="P28" s="7">
        <f>P25*P26</f>
        <v>1.6557079999999998E-2</v>
      </c>
      <c r="Q28" s="7">
        <f t="shared" ref="Q28:Y28" si="4">Q25*Q26</f>
        <v>1.4647199999999997E-2</v>
      </c>
      <c r="R28" s="7">
        <f t="shared" si="4"/>
        <v>1.2852199999999998E-2</v>
      </c>
      <c r="S28" s="7">
        <f t="shared" si="4"/>
        <v>9.5709399999999983E-3</v>
      </c>
      <c r="T28" s="7">
        <f t="shared" si="4"/>
        <v>6.7707399999999982E-3</v>
      </c>
      <c r="U28" s="7">
        <f t="shared" si="4"/>
        <v>4.4731399999999996E-3</v>
      </c>
      <c r="V28" s="7">
        <f t="shared" si="4"/>
        <v>2.6996799999999999E-3</v>
      </c>
      <c r="W28" s="7">
        <f t="shared" si="4"/>
        <v>1.4503599999999997E-3</v>
      </c>
      <c r="X28" s="7">
        <f t="shared" si="4"/>
        <v>2.3693999999999996E-4</v>
      </c>
      <c r="Y28" s="7">
        <f t="shared" si="4"/>
        <v>0</v>
      </c>
    </row>
    <row r="29" spans="1:25" x14ac:dyDescent="0.3">
      <c r="A29" s="152"/>
      <c r="B29" s="70" t="s">
        <v>381</v>
      </c>
      <c r="C29" s="70">
        <f>(C26+C27)*C25</f>
        <v>2.2947120000000001E-2</v>
      </c>
      <c r="D29" s="70">
        <f t="shared" ref="D29:L29" si="5">(D26+D27)*D25</f>
        <v>2.65524E-2</v>
      </c>
      <c r="E29" s="70">
        <f t="shared" si="5"/>
        <v>3.1302599999999993E-2</v>
      </c>
      <c r="F29" s="70">
        <f t="shared" si="5"/>
        <v>4.081924E-2</v>
      </c>
      <c r="G29" s="70">
        <f t="shared" si="5"/>
        <v>4.9572600000000001E-2</v>
      </c>
      <c r="H29" s="70">
        <f t="shared" si="5"/>
        <v>5.7237880000000005E-2</v>
      </c>
      <c r="I29" s="70">
        <f t="shared" si="5"/>
        <v>6.3944999999999988E-2</v>
      </c>
      <c r="J29" s="70">
        <f t="shared" si="5"/>
        <v>6.9637119999999997E-2</v>
      </c>
      <c r="K29" s="70">
        <f t="shared" si="5"/>
        <v>7.809816E-2</v>
      </c>
      <c r="L29" s="70">
        <f t="shared" si="5"/>
        <v>8.1199999999999994E-2</v>
      </c>
      <c r="M29" s="3"/>
      <c r="N29" s="154"/>
      <c r="O29" s="7" t="s">
        <v>381</v>
      </c>
      <c r="P29" s="7">
        <f>(P26+P27)*P25</f>
        <v>1.6557079999999998E-2</v>
      </c>
      <c r="Q29" s="7">
        <f t="shared" ref="Q29:Y29" si="6">(Q26+Q27)*Q25</f>
        <v>2.0391199999999995E-2</v>
      </c>
      <c r="R29" s="7">
        <f t="shared" si="6"/>
        <v>2.4842799999999995E-2</v>
      </c>
      <c r="S29" s="7">
        <f t="shared" si="6"/>
        <v>3.3695740000000002E-2</v>
      </c>
      <c r="T29" s="7">
        <f t="shared" si="6"/>
        <v>4.1845039999999993E-2</v>
      </c>
      <c r="U29" s="7">
        <f t="shared" si="6"/>
        <v>4.8953239999999995E-2</v>
      </c>
      <c r="V29" s="7">
        <f t="shared" si="6"/>
        <v>5.5364979999999994E-2</v>
      </c>
      <c r="W29" s="7">
        <f t="shared" si="6"/>
        <v>6.0793059999999989E-2</v>
      </c>
      <c r="X29" s="7">
        <f t="shared" si="6"/>
        <v>6.9042879999999987E-2</v>
      </c>
      <c r="Y29" s="7">
        <f t="shared" si="6"/>
        <v>7.1799999999999989E-2</v>
      </c>
    </row>
    <row r="30" spans="1:25" x14ac:dyDescent="0.3">
      <c r="A30" s="152"/>
      <c r="B30" s="155"/>
      <c r="C30" s="156"/>
      <c r="D30" s="156"/>
      <c r="E30" s="156"/>
      <c r="F30" s="156"/>
      <c r="G30" s="156"/>
      <c r="H30" s="156"/>
      <c r="I30" s="156"/>
      <c r="J30" s="156"/>
      <c r="K30" s="156"/>
      <c r="L30" s="157"/>
      <c r="N30" s="154"/>
      <c r="O30" s="138"/>
      <c r="P30" s="139"/>
      <c r="Q30" s="139"/>
      <c r="R30" s="139"/>
      <c r="S30" s="139"/>
      <c r="T30" s="139"/>
      <c r="U30" s="139"/>
      <c r="V30" s="139"/>
      <c r="W30" s="139"/>
      <c r="X30" s="139"/>
      <c r="Y30" s="140"/>
    </row>
    <row r="31" spans="1:25" x14ac:dyDescent="0.3">
      <c r="A31" s="152"/>
      <c r="B31" s="67" t="s">
        <v>375</v>
      </c>
      <c r="C31" s="68">
        <v>1</v>
      </c>
      <c r="D31" s="68">
        <v>0.95</v>
      </c>
      <c r="E31" s="68">
        <v>0.9</v>
      </c>
      <c r="F31" s="68">
        <v>0.85</v>
      </c>
      <c r="G31" s="68">
        <v>0.8</v>
      </c>
      <c r="H31" s="68">
        <v>0.7</v>
      </c>
      <c r="I31" s="68">
        <v>0.6</v>
      </c>
      <c r="J31" s="68">
        <v>0.5</v>
      </c>
      <c r="K31" s="68">
        <v>0.4</v>
      </c>
      <c r="L31" s="68">
        <v>0.2</v>
      </c>
      <c r="M31" s="71"/>
      <c r="N31" s="154"/>
      <c r="O31" s="69" t="s">
        <v>375</v>
      </c>
      <c r="P31" s="5">
        <v>1</v>
      </c>
      <c r="Q31" s="5">
        <v>0.95</v>
      </c>
      <c r="R31" s="5">
        <v>0.9</v>
      </c>
      <c r="S31" s="5">
        <v>0.85</v>
      </c>
      <c r="T31" s="5">
        <v>0.8</v>
      </c>
      <c r="U31" s="5">
        <v>0.7</v>
      </c>
      <c r="V31" s="5">
        <v>0.6</v>
      </c>
      <c r="W31" s="5">
        <v>0.5</v>
      </c>
      <c r="X31" s="5">
        <v>0.4</v>
      </c>
      <c r="Y31" s="5">
        <v>0.2</v>
      </c>
    </row>
    <row r="32" spans="1:25" x14ac:dyDescent="0.3">
      <c r="A32" s="152"/>
      <c r="B32" s="67" t="s">
        <v>377</v>
      </c>
      <c r="C32" s="68">
        <f>N11</f>
        <v>8.1199999999999994E-2</v>
      </c>
      <c r="D32" s="68">
        <f>N11</f>
        <v>8.1199999999999994E-2</v>
      </c>
      <c r="E32" s="68">
        <f>N11</f>
        <v>8.1199999999999994E-2</v>
      </c>
      <c r="F32" s="68">
        <f>N11</f>
        <v>8.1199999999999994E-2</v>
      </c>
      <c r="G32" s="68">
        <f>N11</f>
        <v>8.1199999999999994E-2</v>
      </c>
      <c r="H32" s="68">
        <f>N11</f>
        <v>8.1199999999999994E-2</v>
      </c>
      <c r="I32" s="68">
        <f>N11</f>
        <v>8.1199999999999994E-2</v>
      </c>
      <c r="J32" s="68">
        <f>N11</f>
        <v>8.1199999999999994E-2</v>
      </c>
      <c r="K32" s="68">
        <f>N11</f>
        <v>8.1199999999999994E-2</v>
      </c>
      <c r="L32" s="68">
        <f>N11</f>
        <v>8.1199999999999994E-2</v>
      </c>
      <c r="M32" s="72"/>
      <c r="N32" s="154"/>
      <c r="O32" s="69" t="s">
        <v>377</v>
      </c>
      <c r="P32" s="5">
        <f>N12</f>
        <v>7.1799999999999989E-2</v>
      </c>
      <c r="Q32" s="5">
        <f>N12</f>
        <v>7.1799999999999989E-2</v>
      </c>
      <c r="R32" s="5">
        <f>N12</f>
        <v>7.1799999999999989E-2</v>
      </c>
      <c r="S32" s="5">
        <f>N12</f>
        <v>7.1799999999999989E-2</v>
      </c>
      <c r="T32" s="5">
        <f>N12</f>
        <v>7.1799999999999989E-2</v>
      </c>
      <c r="U32" s="5">
        <f>N12</f>
        <v>7.1799999999999989E-2</v>
      </c>
      <c r="V32" s="5">
        <f>N12</f>
        <v>7.1799999999999989E-2</v>
      </c>
      <c r="W32" s="5">
        <f>N12</f>
        <v>7.1799999999999989E-2</v>
      </c>
      <c r="X32" s="5">
        <f>N12</f>
        <v>7.1799999999999989E-2</v>
      </c>
      <c r="Y32" s="5">
        <f>N12</f>
        <v>7.1799999999999989E-2</v>
      </c>
    </row>
    <row r="33" spans="1:25" x14ac:dyDescent="0.3">
      <c r="A33" s="152"/>
      <c r="B33" s="67" t="s">
        <v>378</v>
      </c>
      <c r="C33" s="68">
        <v>0.35599999999999998</v>
      </c>
      <c r="D33" s="68">
        <v>0.28210000000000002</v>
      </c>
      <c r="E33" s="68">
        <v>0.23530000000000001</v>
      </c>
      <c r="F33" s="68">
        <v>0.2</v>
      </c>
      <c r="G33" s="68">
        <v>0.16850000000000001</v>
      </c>
      <c r="H33" s="68">
        <v>0.11799999999999999</v>
      </c>
      <c r="I33" s="68">
        <v>8.0399999999999999E-2</v>
      </c>
      <c r="J33" s="68">
        <v>5.1999999999999998E-2</v>
      </c>
      <c r="K33" s="68">
        <v>3.04E-2</v>
      </c>
      <c r="L33" s="68">
        <v>4.8999999999999998E-3</v>
      </c>
      <c r="M33" s="2"/>
      <c r="N33" s="154"/>
      <c r="O33" s="69" t="s">
        <v>378</v>
      </c>
      <c r="P33" s="5">
        <v>0.2923</v>
      </c>
      <c r="Q33" s="5">
        <v>0.21859999999999999</v>
      </c>
      <c r="R33" s="5">
        <v>0.17599999999999999</v>
      </c>
      <c r="S33" s="5">
        <v>0.14449999999999999</v>
      </c>
      <c r="T33" s="5">
        <v>0.1191</v>
      </c>
      <c r="U33" s="5">
        <v>7.9000000000000001E-2</v>
      </c>
      <c r="V33" s="5">
        <v>5.0299999999999997E-2</v>
      </c>
      <c r="W33" s="5">
        <v>0.03</v>
      </c>
      <c r="X33" s="5">
        <v>1.4800000000000001E-2</v>
      </c>
      <c r="Y33" s="5">
        <v>2.7000000000000001E-3</v>
      </c>
    </row>
    <row r="34" spans="1:25" x14ac:dyDescent="0.3">
      <c r="A34" s="152"/>
      <c r="B34" s="67" t="s">
        <v>379</v>
      </c>
      <c r="C34" s="68">
        <v>0</v>
      </c>
      <c r="D34" s="68">
        <v>0.156</v>
      </c>
      <c r="E34" s="68">
        <v>0.28399999999999997</v>
      </c>
      <c r="F34" s="68">
        <v>0.39050000000000001</v>
      </c>
      <c r="G34" s="68">
        <v>0.47770000000000001</v>
      </c>
      <c r="H34" s="68">
        <v>0.61899999999999999</v>
      </c>
      <c r="I34" s="68">
        <v>0.72770000000000001</v>
      </c>
      <c r="J34" s="68">
        <v>0.81699999999999995</v>
      </c>
      <c r="K34" s="68">
        <v>0.88749999999999996</v>
      </c>
      <c r="L34" s="68">
        <v>0.97499999999999998</v>
      </c>
      <c r="M34" s="2"/>
      <c r="N34" s="154"/>
      <c r="O34" s="69" t="s">
        <v>379</v>
      </c>
      <c r="P34" s="5">
        <v>0</v>
      </c>
      <c r="Q34" s="5">
        <v>0.189</v>
      </c>
      <c r="R34" s="5">
        <v>0.31969999999999998</v>
      </c>
      <c r="S34" s="5">
        <v>0.42649999999999999</v>
      </c>
      <c r="T34" s="5">
        <v>0.51300000000000001</v>
      </c>
      <c r="U34" s="5">
        <v>0.65049999999999997</v>
      </c>
      <c r="V34" s="5">
        <v>0.752</v>
      </c>
      <c r="W34" s="5">
        <v>0.83150000000000002</v>
      </c>
      <c r="X34" s="5">
        <v>0.89200000000000002</v>
      </c>
      <c r="Y34" s="5">
        <v>0.97499999999999998</v>
      </c>
    </row>
    <row r="35" spans="1:25" x14ac:dyDescent="0.3">
      <c r="A35" s="152"/>
      <c r="B35" s="70" t="s">
        <v>380</v>
      </c>
      <c r="C35" s="70">
        <f>C32*C33</f>
        <v>2.8907199999999997E-2</v>
      </c>
      <c r="D35" s="70">
        <f t="shared" ref="D35:L35" si="7">D32*D33</f>
        <v>2.290652E-2</v>
      </c>
      <c r="E35" s="70">
        <f t="shared" si="7"/>
        <v>1.9106359999999999E-2</v>
      </c>
      <c r="F35" s="70">
        <f t="shared" si="7"/>
        <v>1.6240000000000001E-2</v>
      </c>
      <c r="G35" s="70">
        <f t="shared" si="7"/>
        <v>1.36822E-2</v>
      </c>
      <c r="H35" s="70">
        <f t="shared" si="7"/>
        <v>9.5815999999999991E-3</v>
      </c>
      <c r="I35" s="70">
        <f t="shared" si="7"/>
        <v>6.5284799999999997E-3</v>
      </c>
      <c r="J35" s="70">
        <f t="shared" si="7"/>
        <v>4.2223999999999994E-3</v>
      </c>
      <c r="K35" s="70">
        <f t="shared" si="7"/>
        <v>2.4684799999999999E-3</v>
      </c>
      <c r="L35" s="70">
        <f t="shared" si="7"/>
        <v>3.9787999999999998E-4</v>
      </c>
      <c r="M35" s="71"/>
      <c r="N35" s="154"/>
      <c r="O35" s="7" t="s">
        <v>380</v>
      </c>
      <c r="P35" s="7">
        <f>P32*P33</f>
        <v>2.0987139999999998E-2</v>
      </c>
      <c r="Q35" s="7">
        <f t="shared" ref="Q35:Y35" si="8">Q32*Q33</f>
        <v>1.5695479999999998E-2</v>
      </c>
      <c r="R35" s="7">
        <f t="shared" si="8"/>
        <v>1.2636799999999997E-2</v>
      </c>
      <c r="S35" s="7">
        <f t="shared" si="8"/>
        <v>1.0375099999999998E-2</v>
      </c>
      <c r="T35" s="7">
        <f t="shared" si="8"/>
        <v>8.5513799999999991E-3</v>
      </c>
      <c r="U35" s="7">
        <f t="shared" si="8"/>
        <v>5.6721999999999988E-3</v>
      </c>
      <c r="V35" s="7">
        <f t="shared" si="8"/>
        <v>3.6115399999999995E-3</v>
      </c>
      <c r="W35" s="7">
        <f t="shared" si="8"/>
        <v>2.1539999999999997E-3</v>
      </c>
      <c r="X35" s="7">
        <f t="shared" si="8"/>
        <v>1.0626399999999999E-3</v>
      </c>
      <c r="Y35" s="7">
        <f t="shared" si="8"/>
        <v>1.9385999999999999E-4</v>
      </c>
    </row>
    <row r="36" spans="1:25" x14ac:dyDescent="0.3">
      <c r="A36" s="153"/>
      <c r="B36" s="70" t="s">
        <v>381</v>
      </c>
      <c r="C36" s="70">
        <f>(C33+C34)*C32</f>
        <v>2.8907199999999997E-2</v>
      </c>
      <c r="D36" s="70">
        <f t="shared" ref="D36:L36" si="9">(D33+D34)*D32</f>
        <v>3.5573720000000003E-2</v>
      </c>
      <c r="E36" s="70">
        <f t="shared" si="9"/>
        <v>4.2167159999999995E-2</v>
      </c>
      <c r="F36" s="70">
        <f t="shared" si="9"/>
        <v>4.7948600000000001E-2</v>
      </c>
      <c r="G36" s="70">
        <f t="shared" si="9"/>
        <v>5.2471439999999994E-2</v>
      </c>
      <c r="H36" s="70">
        <f t="shared" si="9"/>
        <v>5.9844399999999992E-2</v>
      </c>
      <c r="I36" s="70">
        <f t="shared" si="9"/>
        <v>6.5617720000000004E-2</v>
      </c>
      <c r="J36" s="70">
        <f t="shared" si="9"/>
        <v>7.0562799999999995E-2</v>
      </c>
      <c r="K36" s="70">
        <f t="shared" si="9"/>
        <v>7.4533479999999985E-2</v>
      </c>
      <c r="L36" s="70">
        <f t="shared" si="9"/>
        <v>7.9567879999999994E-2</v>
      </c>
      <c r="M36" s="71"/>
      <c r="N36" s="154"/>
      <c r="O36" s="7" t="s">
        <v>381</v>
      </c>
      <c r="P36" s="7">
        <f>(P33+P34)*P32</f>
        <v>2.0987139999999998E-2</v>
      </c>
      <c r="Q36" s="7">
        <f t="shared" ref="Q36:Y36" si="10">(Q33+Q34)*Q32</f>
        <v>2.9265679999999992E-2</v>
      </c>
      <c r="R36" s="7">
        <f t="shared" si="10"/>
        <v>3.5591259999999993E-2</v>
      </c>
      <c r="S36" s="7">
        <f t="shared" si="10"/>
        <v>4.0997799999999987E-2</v>
      </c>
      <c r="T36" s="7">
        <f t="shared" si="10"/>
        <v>4.5384779999999993E-2</v>
      </c>
      <c r="U36" s="7">
        <f t="shared" si="10"/>
        <v>5.237809999999999E-2</v>
      </c>
      <c r="V36" s="7">
        <f t="shared" si="10"/>
        <v>5.7605139999999992E-2</v>
      </c>
      <c r="W36" s="7">
        <f t="shared" si="10"/>
        <v>6.1855699999999993E-2</v>
      </c>
      <c r="X36" s="7">
        <f t="shared" si="10"/>
        <v>6.5108239999999998E-2</v>
      </c>
      <c r="Y36" s="7">
        <f t="shared" si="10"/>
        <v>7.0198859999999988E-2</v>
      </c>
    </row>
    <row r="40" spans="1:25" x14ac:dyDescent="0.3">
      <c r="A40" s="145" t="s">
        <v>382</v>
      </c>
      <c r="B40" s="73" t="s">
        <v>375</v>
      </c>
      <c r="C40" s="74">
        <v>-1</v>
      </c>
      <c r="D40" s="74">
        <v>-0.95</v>
      </c>
      <c r="E40" s="74">
        <v>-0.9</v>
      </c>
      <c r="F40" s="74">
        <v>-0.8</v>
      </c>
      <c r="G40" s="74">
        <v>-0.7</v>
      </c>
      <c r="H40" s="74">
        <v>-0.6</v>
      </c>
      <c r="I40" s="74">
        <v>-0.5</v>
      </c>
      <c r="J40" s="74">
        <v>-0.4</v>
      </c>
      <c r="K40" s="74">
        <v>-0.2</v>
      </c>
      <c r="L40" s="74">
        <v>0</v>
      </c>
      <c r="N40" s="141" t="s">
        <v>383</v>
      </c>
      <c r="O40" s="69" t="s">
        <v>375</v>
      </c>
      <c r="P40" s="5">
        <v>-1</v>
      </c>
      <c r="Q40" s="5">
        <v>-0.95</v>
      </c>
      <c r="R40" s="5">
        <v>-0.9</v>
      </c>
      <c r="S40" s="5">
        <v>-0.8</v>
      </c>
      <c r="T40" s="5">
        <v>-0.7</v>
      </c>
      <c r="U40" s="5">
        <v>-0.6</v>
      </c>
      <c r="V40" s="5">
        <v>-0.5</v>
      </c>
      <c r="W40" s="5">
        <v>-0.4</v>
      </c>
      <c r="X40" s="5">
        <v>-0.2</v>
      </c>
      <c r="Y40" s="5">
        <v>0</v>
      </c>
    </row>
    <row r="41" spans="1:25" x14ac:dyDescent="0.3">
      <c r="A41" s="146"/>
      <c r="B41" s="73" t="s">
        <v>377</v>
      </c>
      <c r="C41" s="74">
        <f>N13</f>
        <v>6.2399999999999997E-2</v>
      </c>
      <c r="D41" s="74">
        <f>N13</f>
        <v>6.2399999999999997E-2</v>
      </c>
      <c r="E41" s="74">
        <f>N13</f>
        <v>6.2399999999999997E-2</v>
      </c>
      <c r="F41" s="74">
        <f>N13</f>
        <v>6.2399999999999997E-2</v>
      </c>
      <c r="G41" s="74">
        <f>N13</f>
        <v>6.2399999999999997E-2</v>
      </c>
      <c r="H41" s="74">
        <f>N13</f>
        <v>6.2399999999999997E-2</v>
      </c>
      <c r="I41" s="74">
        <f>N13</f>
        <v>6.2399999999999997E-2</v>
      </c>
      <c r="J41" s="74">
        <f>N13</f>
        <v>6.2399999999999997E-2</v>
      </c>
      <c r="K41" s="74">
        <f>N13</f>
        <v>6.2399999999999997E-2</v>
      </c>
      <c r="L41" s="74">
        <f>N13</f>
        <v>6.2399999999999997E-2</v>
      </c>
      <c r="N41" s="141"/>
      <c r="O41" s="69" t="s">
        <v>377</v>
      </c>
      <c r="P41" s="5">
        <f>N14</f>
        <v>5.3000000000000005E-2</v>
      </c>
      <c r="Q41" s="5">
        <f>N14</f>
        <v>5.3000000000000005E-2</v>
      </c>
      <c r="R41" s="5">
        <f>N14</f>
        <v>5.3000000000000005E-2</v>
      </c>
      <c r="S41" s="5">
        <f>N14</f>
        <v>5.3000000000000005E-2</v>
      </c>
      <c r="T41" s="5">
        <f>N14</f>
        <v>5.3000000000000005E-2</v>
      </c>
      <c r="U41" s="5">
        <f>N14</f>
        <v>5.3000000000000005E-2</v>
      </c>
      <c r="V41" s="5">
        <f>N14</f>
        <v>5.3000000000000005E-2</v>
      </c>
      <c r="W41" s="5">
        <f>N14</f>
        <v>5.3000000000000005E-2</v>
      </c>
      <c r="X41" s="5">
        <f>N14</f>
        <v>5.3000000000000005E-2</v>
      </c>
      <c r="Y41" s="5">
        <f>N14</f>
        <v>5.3000000000000005E-2</v>
      </c>
    </row>
    <row r="42" spans="1:25" x14ac:dyDescent="0.3">
      <c r="A42" s="146"/>
      <c r="B42" s="73" t="s">
        <v>378</v>
      </c>
      <c r="C42" s="74">
        <v>0.1467</v>
      </c>
      <c r="D42" s="74">
        <v>0.12</v>
      </c>
      <c r="E42" s="74">
        <v>9.7199999999999995E-2</v>
      </c>
      <c r="F42" s="74">
        <v>6.3E-2</v>
      </c>
      <c r="G42" s="74">
        <v>3.95E-2</v>
      </c>
      <c r="H42" s="74">
        <v>2.1399999999999999E-2</v>
      </c>
      <c r="I42" s="74">
        <v>1.1599999999999999E-2</v>
      </c>
      <c r="J42" s="74">
        <v>4.4000000000000003E-3</v>
      </c>
      <c r="K42" s="74">
        <v>0</v>
      </c>
      <c r="L42" s="74">
        <v>0</v>
      </c>
      <c r="N42" s="141"/>
      <c r="O42" s="69" t="s">
        <v>378</v>
      </c>
      <c r="P42" s="5">
        <v>5.2200000000000003E-2</v>
      </c>
      <c r="Q42" s="5">
        <v>4.2000000000000003E-2</v>
      </c>
      <c r="R42" s="5">
        <v>3.3000000000000002E-2</v>
      </c>
      <c r="S42" s="5">
        <v>1.9E-2</v>
      </c>
      <c r="T42" s="5">
        <v>0.01</v>
      </c>
      <c r="U42" s="5">
        <v>4.0000000000000001E-3</v>
      </c>
      <c r="V42" s="5">
        <v>1.1999999999999999E-3</v>
      </c>
      <c r="W42" s="5">
        <v>0</v>
      </c>
      <c r="X42" s="5">
        <v>0</v>
      </c>
      <c r="Y42" s="5">
        <v>0</v>
      </c>
    </row>
    <row r="43" spans="1:25" x14ac:dyDescent="0.3">
      <c r="A43" s="146"/>
      <c r="B43" s="73" t="s">
        <v>379</v>
      </c>
      <c r="C43" s="74">
        <v>0</v>
      </c>
      <c r="D43" s="74">
        <v>9.0499999999999997E-2</v>
      </c>
      <c r="E43" s="74">
        <v>0.18099999999999999</v>
      </c>
      <c r="F43" s="74">
        <v>0.35</v>
      </c>
      <c r="G43" s="74">
        <v>0.504</v>
      </c>
      <c r="H43" s="74">
        <v>0.63529999999999998</v>
      </c>
      <c r="I43" s="74">
        <v>0.75249999999999995</v>
      </c>
      <c r="J43" s="74">
        <v>0.84150000000000003</v>
      </c>
      <c r="K43" s="74">
        <v>0.96450000000000002</v>
      </c>
      <c r="L43" s="74">
        <v>1</v>
      </c>
      <c r="N43" s="141"/>
      <c r="O43" s="69" t="s">
        <v>379</v>
      </c>
      <c r="P43" s="5">
        <v>0</v>
      </c>
      <c r="Q43" s="5">
        <v>9.5000000000000001E-2</v>
      </c>
      <c r="R43" s="5">
        <v>0.1865</v>
      </c>
      <c r="S43" s="5">
        <v>0.3569</v>
      </c>
      <c r="T43" s="5">
        <v>0.51400000000000001</v>
      </c>
      <c r="U43" s="5">
        <v>0.64390000000000003</v>
      </c>
      <c r="V43" s="5">
        <v>0.75800000000000001</v>
      </c>
      <c r="W43" s="5">
        <v>0.84560000000000002</v>
      </c>
      <c r="X43" s="5">
        <v>0.96389999999999998</v>
      </c>
      <c r="Y43" s="5">
        <v>1</v>
      </c>
    </row>
    <row r="44" spans="1:25" x14ac:dyDescent="0.3">
      <c r="A44" s="146"/>
      <c r="B44" s="75" t="s">
        <v>380</v>
      </c>
      <c r="C44" s="75">
        <f>C41*C42</f>
        <v>9.1540800000000002E-3</v>
      </c>
      <c r="D44" s="75">
        <f t="shared" ref="D44:L44" si="11">D41*D42</f>
        <v>7.487999999999999E-3</v>
      </c>
      <c r="E44" s="75">
        <f t="shared" si="11"/>
        <v>6.0652799999999993E-3</v>
      </c>
      <c r="F44" s="75">
        <f t="shared" si="11"/>
        <v>3.9312000000000001E-3</v>
      </c>
      <c r="G44" s="75">
        <f t="shared" si="11"/>
        <v>2.4648000000000001E-3</v>
      </c>
      <c r="H44" s="75">
        <f t="shared" si="11"/>
        <v>1.3353599999999998E-3</v>
      </c>
      <c r="I44" s="75">
        <f t="shared" si="11"/>
        <v>7.238399999999999E-4</v>
      </c>
      <c r="J44" s="75">
        <f t="shared" si="11"/>
        <v>2.7456000000000003E-4</v>
      </c>
      <c r="K44" s="75">
        <f t="shared" si="11"/>
        <v>0</v>
      </c>
      <c r="L44" s="75">
        <f t="shared" si="11"/>
        <v>0</v>
      </c>
      <c r="N44" s="141"/>
      <c r="O44" s="7" t="s">
        <v>380</v>
      </c>
      <c r="P44" s="7">
        <f>P41*P42</f>
        <v>2.7666000000000006E-3</v>
      </c>
      <c r="Q44" s="7">
        <f t="shared" ref="Q44:Y44" si="12">Q41*Q42</f>
        <v>2.2260000000000005E-3</v>
      </c>
      <c r="R44" s="7">
        <f t="shared" si="12"/>
        <v>1.7490000000000003E-3</v>
      </c>
      <c r="S44" s="7">
        <f t="shared" si="12"/>
        <v>1.0070000000000001E-3</v>
      </c>
      <c r="T44" s="7">
        <f t="shared" si="12"/>
        <v>5.3000000000000009E-4</v>
      </c>
      <c r="U44" s="7">
        <f t="shared" si="12"/>
        <v>2.1200000000000003E-4</v>
      </c>
      <c r="V44" s="7">
        <f t="shared" si="12"/>
        <v>6.3600000000000001E-5</v>
      </c>
      <c r="W44" s="7">
        <f t="shared" si="12"/>
        <v>0</v>
      </c>
      <c r="X44" s="7">
        <f t="shared" si="12"/>
        <v>0</v>
      </c>
      <c r="Y44" s="7">
        <f t="shared" si="12"/>
        <v>0</v>
      </c>
    </row>
    <row r="45" spans="1:25" x14ac:dyDescent="0.3">
      <c r="A45" s="146"/>
      <c r="B45" s="75" t="s">
        <v>381</v>
      </c>
      <c r="C45" s="75">
        <f>(C42+C43)*C41</f>
        <v>9.1540800000000002E-3</v>
      </c>
      <c r="D45" s="75">
        <f t="shared" ref="D45:L45" si="13">(D42+D43)*D41</f>
        <v>1.31352E-2</v>
      </c>
      <c r="E45" s="75">
        <f t="shared" si="13"/>
        <v>1.7359679999999999E-2</v>
      </c>
      <c r="F45" s="75">
        <f t="shared" si="13"/>
        <v>2.5771199999999998E-2</v>
      </c>
      <c r="G45" s="75">
        <f t="shared" si="13"/>
        <v>3.3914399999999997E-2</v>
      </c>
      <c r="H45" s="75">
        <f t="shared" si="13"/>
        <v>4.0978079999999993E-2</v>
      </c>
      <c r="I45" s="75">
        <f t="shared" si="13"/>
        <v>4.7679840000000001E-2</v>
      </c>
      <c r="J45" s="75">
        <f t="shared" si="13"/>
        <v>5.2784159999999997E-2</v>
      </c>
      <c r="K45" s="75">
        <f t="shared" si="13"/>
        <v>6.0184799999999997E-2</v>
      </c>
      <c r="L45" s="75">
        <f t="shared" si="13"/>
        <v>6.2399999999999997E-2</v>
      </c>
      <c r="N45" s="141"/>
      <c r="O45" s="7" t="s">
        <v>381</v>
      </c>
      <c r="P45" s="7">
        <f>(P42+P43)*P41</f>
        <v>2.7666000000000006E-3</v>
      </c>
      <c r="Q45" s="7">
        <f t="shared" ref="Q45:Y45" si="14">(Q42+Q43)*Q41</f>
        <v>7.261000000000001E-3</v>
      </c>
      <c r="R45" s="7">
        <f t="shared" si="14"/>
        <v>1.1633500000000001E-2</v>
      </c>
      <c r="S45" s="7">
        <f t="shared" si="14"/>
        <v>1.9922700000000002E-2</v>
      </c>
      <c r="T45" s="7">
        <f t="shared" si="14"/>
        <v>2.7772000000000005E-2</v>
      </c>
      <c r="U45" s="7">
        <f t="shared" si="14"/>
        <v>3.4338700000000007E-2</v>
      </c>
      <c r="V45" s="7">
        <f t="shared" si="14"/>
        <v>4.0237600000000005E-2</v>
      </c>
      <c r="W45" s="7">
        <f t="shared" si="14"/>
        <v>4.4816800000000004E-2</v>
      </c>
      <c r="X45" s="7">
        <f t="shared" si="14"/>
        <v>5.1086700000000006E-2</v>
      </c>
      <c r="Y45" s="7">
        <f t="shared" si="14"/>
        <v>5.3000000000000005E-2</v>
      </c>
    </row>
    <row r="46" spans="1:25" x14ac:dyDescent="0.3">
      <c r="A46" s="146"/>
      <c r="B46" s="148"/>
      <c r="C46" s="149"/>
      <c r="D46" s="149"/>
      <c r="E46" s="149"/>
      <c r="F46" s="149"/>
      <c r="G46" s="149"/>
      <c r="H46" s="149"/>
      <c r="I46" s="149"/>
      <c r="J46" s="149"/>
      <c r="K46" s="149"/>
      <c r="L46" s="150"/>
      <c r="N46" s="141"/>
      <c r="O46" s="138"/>
      <c r="P46" s="139"/>
      <c r="Q46" s="139"/>
      <c r="R46" s="139"/>
      <c r="S46" s="139"/>
      <c r="T46" s="139"/>
      <c r="U46" s="139"/>
      <c r="V46" s="139"/>
      <c r="W46" s="139"/>
      <c r="X46" s="139"/>
      <c r="Y46" s="140"/>
    </row>
    <row r="47" spans="1:25" x14ac:dyDescent="0.3">
      <c r="A47" s="146"/>
      <c r="B47" s="73" t="s">
        <v>375</v>
      </c>
      <c r="C47" s="74">
        <v>1</v>
      </c>
      <c r="D47" s="74">
        <v>0.95</v>
      </c>
      <c r="E47" s="74">
        <v>0.9</v>
      </c>
      <c r="F47" s="74">
        <v>0.85</v>
      </c>
      <c r="G47" s="74">
        <v>0.8</v>
      </c>
      <c r="H47" s="74">
        <v>0.7</v>
      </c>
      <c r="I47" s="74">
        <v>0.6</v>
      </c>
      <c r="J47" s="74">
        <v>0.5</v>
      </c>
      <c r="K47" s="74">
        <v>0.4</v>
      </c>
      <c r="L47" s="74">
        <v>0.2</v>
      </c>
      <c r="N47" s="141"/>
      <c r="O47" s="69" t="s">
        <v>375</v>
      </c>
      <c r="P47" s="5">
        <v>1</v>
      </c>
      <c r="Q47" s="5">
        <v>0.95</v>
      </c>
      <c r="R47" s="5">
        <v>0.9</v>
      </c>
      <c r="S47" s="5">
        <v>0.85</v>
      </c>
      <c r="T47" s="5">
        <v>0.8</v>
      </c>
      <c r="U47" s="5">
        <v>0.7</v>
      </c>
      <c r="V47" s="5">
        <v>0.6</v>
      </c>
      <c r="W47" s="5">
        <v>0.5</v>
      </c>
      <c r="X47" s="5">
        <v>0.4</v>
      </c>
      <c r="Y47" s="5">
        <v>0.2</v>
      </c>
    </row>
    <row r="48" spans="1:25" x14ac:dyDescent="0.3">
      <c r="A48" s="146"/>
      <c r="B48" s="73" t="s">
        <v>377</v>
      </c>
      <c r="C48" s="74">
        <f>N13</f>
        <v>6.2399999999999997E-2</v>
      </c>
      <c r="D48" s="74">
        <f>N13</f>
        <v>6.2399999999999997E-2</v>
      </c>
      <c r="E48" s="74">
        <f>N13</f>
        <v>6.2399999999999997E-2</v>
      </c>
      <c r="F48" s="74">
        <f>N13</f>
        <v>6.2399999999999997E-2</v>
      </c>
      <c r="G48" s="74">
        <f>N13</f>
        <v>6.2399999999999997E-2</v>
      </c>
      <c r="H48" s="74">
        <f>N13</f>
        <v>6.2399999999999997E-2</v>
      </c>
      <c r="I48" s="74">
        <f>N13</f>
        <v>6.2399999999999997E-2</v>
      </c>
      <c r="J48" s="74">
        <f>N13</f>
        <v>6.2399999999999997E-2</v>
      </c>
      <c r="K48" s="74">
        <f>N13</f>
        <v>6.2399999999999997E-2</v>
      </c>
      <c r="L48" s="74">
        <f>N13</f>
        <v>6.2399999999999997E-2</v>
      </c>
      <c r="N48" s="141"/>
      <c r="O48" s="69" t="s">
        <v>377</v>
      </c>
      <c r="P48" s="5">
        <f>N14</f>
        <v>5.3000000000000005E-2</v>
      </c>
      <c r="Q48" s="5">
        <f>N14</f>
        <v>5.3000000000000005E-2</v>
      </c>
      <c r="R48" s="5">
        <f>N14</f>
        <v>5.3000000000000005E-2</v>
      </c>
      <c r="S48" s="5">
        <f>N14</f>
        <v>5.3000000000000005E-2</v>
      </c>
      <c r="T48" s="5">
        <f>N14</f>
        <v>5.3000000000000005E-2</v>
      </c>
      <c r="U48" s="5">
        <f>N14</f>
        <v>5.3000000000000005E-2</v>
      </c>
      <c r="V48" s="5">
        <f>N14</f>
        <v>5.3000000000000005E-2</v>
      </c>
      <c r="W48" s="5">
        <f>N14</f>
        <v>5.3000000000000005E-2</v>
      </c>
      <c r="X48" s="5">
        <f>N14</f>
        <v>5.3000000000000005E-2</v>
      </c>
      <c r="Y48" s="5">
        <f>N14</f>
        <v>5.3000000000000005E-2</v>
      </c>
    </row>
    <row r="49" spans="1:25" x14ac:dyDescent="0.3">
      <c r="A49" s="146"/>
      <c r="B49" s="73" t="s">
        <v>378</v>
      </c>
      <c r="C49" s="74">
        <v>0.21809999999999999</v>
      </c>
      <c r="D49" s="74">
        <v>0.1467</v>
      </c>
      <c r="E49" s="74">
        <v>0.10879999999999999</v>
      </c>
      <c r="F49" s="74">
        <v>8.3299999999999999E-2</v>
      </c>
      <c r="G49" s="74">
        <v>6.3700000000000007E-2</v>
      </c>
      <c r="H49" s="74">
        <v>3.5700000000000003E-2</v>
      </c>
      <c r="I49" s="74">
        <v>1.89E-2</v>
      </c>
      <c r="J49" s="74">
        <v>8.9999999999999993E-3</v>
      </c>
      <c r="K49" s="74">
        <v>3.3E-3</v>
      </c>
      <c r="L49" s="74">
        <v>0</v>
      </c>
      <c r="N49" s="141"/>
      <c r="O49" s="69" t="s">
        <v>378</v>
      </c>
      <c r="P49" s="5">
        <v>0.1278</v>
      </c>
      <c r="Q49" s="5">
        <v>7.7799999999999994E-2</v>
      </c>
      <c r="R49" s="5">
        <v>0.05</v>
      </c>
      <c r="S49" s="5">
        <v>3.2800000000000003E-2</v>
      </c>
      <c r="T49" s="5">
        <v>2.1100000000000001E-2</v>
      </c>
      <c r="U49" s="5">
        <v>8.5000000000000006E-3</v>
      </c>
      <c r="V49" s="5">
        <v>3.3999999999999998E-3</v>
      </c>
      <c r="W49" s="5">
        <v>8.0000000000000004E-4</v>
      </c>
      <c r="X49" s="5">
        <v>0</v>
      </c>
      <c r="Y49" s="5">
        <v>0</v>
      </c>
    </row>
    <row r="50" spans="1:25" x14ac:dyDescent="0.3">
      <c r="A50" s="146"/>
      <c r="B50" s="73" t="s">
        <v>379</v>
      </c>
      <c r="C50" s="74">
        <v>0</v>
      </c>
      <c r="D50" s="74">
        <v>0.19350000000000001</v>
      </c>
      <c r="E50" s="74">
        <v>0.32350000000000001</v>
      </c>
      <c r="F50" s="74">
        <v>0.4335</v>
      </c>
      <c r="G50" s="74">
        <v>0.52200000000000002</v>
      </c>
      <c r="H50" s="74">
        <v>0.65900000000000003</v>
      </c>
      <c r="I50" s="74">
        <v>0.75929999999999997</v>
      </c>
      <c r="J50" s="74">
        <v>0.83450000000000002</v>
      </c>
      <c r="K50" s="74">
        <v>0.89329999999999998</v>
      </c>
      <c r="L50" s="74">
        <v>0.97250000000000003</v>
      </c>
      <c r="N50" s="141"/>
      <c r="O50" s="69" t="s">
        <v>379</v>
      </c>
      <c r="P50" s="5">
        <v>0</v>
      </c>
      <c r="Q50" s="5">
        <v>0.17499999999999999</v>
      </c>
      <c r="R50" s="5">
        <v>0.30559999999999998</v>
      </c>
      <c r="S50" s="5">
        <v>0.41349999999999998</v>
      </c>
      <c r="T50" s="5">
        <v>0.50390000000000001</v>
      </c>
      <c r="U50" s="5">
        <v>0.64300000000000002</v>
      </c>
      <c r="V50" s="5">
        <v>0.74780000000000002</v>
      </c>
      <c r="W50" s="5">
        <v>0.82750000000000001</v>
      </c>
      <c r="X50" s="5">
        <v>0.88800000000000001</v>
      </c>
      <c r="Y50" s="5">
        <v>0.97099999999999997</v>
      </c>
    </row>
    <row r="51" spans="1:25" x14ac:dyDescent="0.3">
      <c r="A51" s="146"/>
      <c r="B51" s="75" t="s">
        <v>380</v>
      </c>
      <c r="C51" s="75">
        <f>C48*C49</f>
        <v>1.3609439999999999E-2</v>
      </c>
      <c r="D51" s="75">
        <f t="shared" ref="D51:L51" si="15">D48*D49</f>
        <v>9.1540800000000002E-3</v>
      </c>
      <c r="E51" s="75">
        <f t="shared" si="15"/>
        <v>6.7891199999999992E-3</v>
      </c>
      <c r="F51" s="75">
        <f t="shared" si="15"/>
        <v>5.19792E-3</v>
      </c>
      <c r="G51" s="75">
        <f t="shared" si="15"/>
        <v>3.9748800000000001E-3</v>
      </c>
      <c r="H51" s="75">
        <f t="shared" si="15"/>
        <v>2.2276800000000001E-3</v>
      </c>
      <c r="I51" s="75">
        <f t="shared" si="15"/>
        <v>1.17936E-3</v>
      </c>
      <c r="J51" s="75">
        <f t="shared" si="15"/>
        <v>5.6159999999999988E-4</v>
      </c>
      <c r="K51" s="75">
        <f t="shared" si="15"/>
        <v>2.0591999999999998E-4</v>
      </c>
      <c r="L51" s="75">
        <f t="shared" si="15"/>
        <v>0</v>
      </c>
      <c r="N51" s="141"/>
      <c r="O51" s="7" t="s">
        <v>380</v>
      </c>
      <c r="P51" s="7">
        <f>P48*P49</f>
        <v>6.7734000000000006E-3</v>
      </c>
      <c r="Q51" s="7">
        <f t="shared" ref="Q51:Y51" si="16">Q48*Q49</f>
        <v>4.1234000000000002E-3</v>
      </c>
      <c r="R51" s="7">
        <f t="shared" si="16"/>
        <v>2.6500000000000004E-3</v>
      </c>
      <c r="S51" s="7">
        <f t="shared" si="16"/>
        <v>1.7384000000000004E-3</v>
      </c>
      <c r="T51" s="7">
        <f t="shared" si="16"/>
        <v>1.1183000000000002E-3</v>
      </c>
      <c r="U51" s="7">
        <f t="shared" si="16"/>
        <v>4.5050000000000005E-4</v>
      </c>
      <c r="V51" s="7">
        <f t="shared" si="16"/>
        <v>1.8020000000000002E-4</v>
      </c>
      <c r="W51" s="7">
        <f t="shared" si="16"/>
        <v>4.2400000000000007E-5</v>
      </c>
      <c r="X51" s="7">
        <f t="shared" si="16"/>
        <v>0</v>
      </c>
      <c r="Y51" s="7">
        <f t="shared" si="16"/>
        <v>0</v>
      </c>
    </row>
    <row r="52" spans="1:25" x14ac:dyDescent="0.3">
      <c r="A52" s="147"/>
      <c r="B52" s="75" t="s">
        <v>381</v>
      </c>
      <c r="C52" s="75">
        <f>(C49+C50)*C48</f>
        <v>1.3609439999999999E-2</v>
      </c>
      <c r="D52" s="75">
        <f t="shared" ref="D52:L52" si="17">(D49+D50)*D48</f>
        <v>2.1228479999999997E-2</v>
      </c>
      <c r="E52" s="75">
        <f t="shared" si="17"/>
        <v>2.6975519999999999E-2</v>
      </c>
      <c r="F52" s="75">
        <f t="shared" si="17"/>
        <v>3.2248320000000004E-2</v>
      </c>
      <c r="G52" s="75">
        <f t="shared" si="17"/>
        <v>3.6547679999999999E-2</v>
      </c>
      <c r="H52" s="75">
        <f t="shared" si="17"/>
        <v>4.3349279999999997E-2</v>
      </c>
      <c r="I52" s="75">
        <f t="shared" si="17"/>
        <v>4.8559680000000001E-2</v>
      </c>
      <c r="J52" s="75">
        <f t="shared" si="17"/>
        <v>5.2634399999999998E-2</v>
      </c>
      <c r="K52" s="75">
        <f t="shared" si="17"/>
        <v>5.5947839999999992E-2</v>
      </c>
      <c r="L52" s="75">
        <f t="shared" si="17"/>
        <v>6.0684000000000002E-2</v>
      </c>
      <c r="N52" s="141"/>
      <c r="O52" s="7" t="s">
        <v>381</v>
      </c>
      <c r="P52" s="7">
        <f>(P49+P50)*P48</f>
        <v>6.7734000000000006E-3</v>
      </c>
      <c r="Q52" s="7">
        <f t="shared" ref="Q52:Y52" si="18">(Q49+Q50)*Q48</f>
        <v>1.33984E-2</v>
      </c>
      <c r="R52" s="7">
        <f t="shared" si="18"/>
        <v>1.88468E-2</v>
      </c>
      <c r="S52" s="7">
        <f t="shared" si="18"/>
        <v>2.3653900000000002E-2</v>
      </c>
      <c r="T52" s="7">
        <f t="shared" si="18"/>
        <v>2.7825000000000003E-2</v>
      </c>
      <c r="U52" s="7">
        <f t="shared" si="18"/>
        <v>3.4529500000000005E-2</v>
      </c>
      <c r="V52" s="7">
        <f t="shared" si="18"/>
        <v>3.9813600000000005E-2</v>
      </c>
      <c r="W52" s="7">
        <f t="shared" si="18"/>
        <v>4.3899900000000006E-2</v>
      </c>
      <c r="X52" s="7">
        <f t="shared" si="18"/>
        <v>4.7064000000000009E-2</v>
      </c>
      <c r="Y52" s="7">
        <f t="shared" si="18"/>
        <v>5.1463000000000002E-2</v>
      </c>
    </row>
    <row r="56" spans="1:25" x14ac:dyDescent="0.3">
      <c r="A56" s="142" t="s">
        <v>384</v>
      </c>
      <c r="B56" s="69" t="s">
        <v>375</v>
      </c>
      <c r="C56" s="5">
        <v>-1</v>
      </c>
      <c r="D56" s="5">
        <v>-0.95</v>
      </c>
      <c r="E56" s="5">
        <v>-0.9</v>
      </c>
      <c r="F56" s="5">
        <v>-0.8</v>
      </c>
      <c r="G56" s="5">
        <v>-0.7</v>
      </c>
      <c r="H56" s="5">
        <v>-0.6</v>
      </c>
      <c r="I56" s="5">
        <v>-0.5</v>
      </c>
      <c r="J56" s="5">
        <v>-0.4</v>
      </c>
      <c r="K56" s="5">
        <v>-0.2</v>
      </c>
      <c r="L56" s="5">
        <v>0</v>
      </c>
      <c r="N56" s="141" t="s">
        <v>385</v>
      </c>
      <c r="O56" s="69" t="s">
        <v>375</v>
      </c>
      <c r="P56" s="68">
        <v>-1</v>
      </c>
      <c r="Q56" s="68">
        <v>-0.95</v>
      </c>
      <c r="R56" s="68">
        <v>-0.9</v>
      </c>
      <c r="S56" s="68">
        <v>-0.8</v>
      </c>
      <c r="T56" s="68">
        <v>-0.7</v>
      </c>
      <c r="U56" s="68">
        <v>-0.6</v>
      </c>
      <c r="V56" s="68">
        <v>-0.5</v>
      </c>
      <c r="W56" s="68">
        <v>-0.4</v>
      </c>
      <c r="X56" s="68">
        <v>-0.2</v>
      </c>
      <c r="Y56" s="68">
        <v>0</v>
      </c>
    </row>
    <row r="57" spans="1:25" x14ac:dyDescent="0.3">
      <c r="A57" s="143"/>
      <c r="B57" s="69" t="s">
        <v>377</v>
      </c>
      <c r="C57" s="5">
        <f>N15</f>
        <v>4.36E-2</v>
      </c>
      <c r="D57" s="5">
        <f>N15</f>
        <v>4.36E-2</v>
      </c>
      <c r="E57" s="5">
        <f>N15</f>
        <v>4.36E-2</v>
      </c>
      <c r="F57" s="5">
        <f>N15</f>
        <v>4.36E-2</v>
      </c>
      <c r="G57" s="5">
        <f>N15</f>
        <v>4.36E-2</v>
      </c>
      <c r="H57" s="5">
        <f>N15</f>
        <v>4.36E-2</v>
      </c>
      <c r="I57" s="5">
        <f>N15</f>
        <v>4.36E-2</v>
      </c>
      <c r="J57" s="5">
        <f>N15</f>
        <v>4.36E-2</v>
      </c>
      <c r="K57" s="5">
        <f>N15</f>
        <v>4.36E-2</v>
      </c>
      <c r="L57" s="5">
        <f>N15</f>
        <v>4.36E-2</v>
      </c>
      <c r="N57" s="141"/>
      <c r="O57" s="69" t="s">
        <v>377</v>
      </c>
      <c r="P57" s="68">
        <f>N16</f>
        <v>3.4200000000000001E-2</v>
      </c>
      <c r="Q57" s="68">
        <f>N16</f>
        <v>3.4200000000000001E-2</v>
      </c>
      <c r="R57" s="68">
        <f>N16</f>
        <v>3.4200000000000001E-2</v>
      </c>
      <c r="S57" s="68">
        <f>N16</f>
        <v>3.4200000000000001E-2</v>
      </c>
      <c r="T57" s="68">
        <f>N16</f>
        <v>3.4200000000000001E-2</v>
      </c>
      <c r="U57" s="68">
        <f>N16</f>
        <v>3.4200000000000001E-2</v>
      </c>
      <c r="V57" s="68">
        <f>N16</f>
        <v>3.4200000000000001E-2</v>
      </c>
      <c r="W57" s="68">
        <f>N16</f>
        <v>3.4200000000000001E-2</v>
      </c>
      <c r="X57" s="68">
        <f>N16</f>
        <v>3.4200000000000001E-2</v>
      </c>
      <c r="Y57" s="68">
        <f>N16</f>
        <v>3.4200000000000001E-2</v>
      </c>
    </row>
    <row r="58" spans="1:25" x14ac:dyDescent="0.3">
      <c r="A58" s="143"/>
      <c r="B58" s="69" t="s">
        <v>378</v>
      </c>
      <c r="C58" s="5">
        <v>0</v>
      </c>
      <c r="D58" s="5">
        <v>0</v>
      </c>
      <c r="E58" s="5">
        <v>0</v>
      </c>
      <c r="F58" s="5">
        <v>0</v>
      </c>
      <c r="G58" s="5">
        <v>0</v>
      </c>
      <c r="H58" s="5">
        <v>0</v>
      </c>
      <c r="I58" s="5">
        <v>0</v>
      </c>
      <c r="J58" s="5">
        <v>0</v>
      </c>
      <c r="K58" s="5">
        <v>0</v>
      </c>
      <c r="L58" s="5">
        <v>0</v>
      </c>
      <c r="N58" s="141"/>
      <c r="O58" s="69" t="s">
        <v>378</v>
      </c>
      <c r="P58" s="68">
        <v>0</v>
      </c>
      <c r="Q58" s="68">
        <v>0</v>
      </c>
      <c r="R58" s="68">
        <v>0</v>
      </c>
      <c r="S58" s="68">
        <v>0</v>
      </c>
      <c r="T58" s="68">
        <v>0</v>
      </c>
      <c r="U58" s="68">
        <v>0</v>
      </c>
      <c r="V58" s="68">
        <v>0</v>
      </c>
      <c r="W58" s="68">
        <v>0</v>
      </c>
      <c r="X58" s="68">
        <v>0</v>
      </c>
      <c r="Y58" s="68">
        <v>0</v>
      </c>
    </row>
    <row r="59" spans="1:25" x14ac:dyDescent="0.3">
      <c r="A59" s="143"/>
      <c r="B59" s="69" t="s">
        <v>379</v>
      </c>
      <c r="C59" s="5">
        <v>0</v>
      </c>
      <c r="D59" s="5">
        <v>9.6500000000000002E-2</v>
      </c>
      <c r="E59" s="5">
        <v>0.1885</v>
      </c>
      <c r="F59" s="5">
        <v>0.35849999999999999</v>
      </c>
      <c r="G59" s="5">
        <v>0.51100000000000001</v>
      </c>
      <c r="H59" s="5">
        <v>0.64149999999999996</v>
      </c>
      <c r="I59" s="5">
        <v>0.753</v>
      </c>
      <c r="J59" s="5">
        <v>0.84260000000000002</v>
      </c>
      <c r="K59" s="5">
        <v>0.96130000000000004</v>
      </c>
      <c r="L59" s="5">
        <v>1</v>
      </c>
      <c r="N59" s="141"/>
      <c r="O59" s="69" t="s">
        <v>379</v>
      </c>
      <c r="P59" s="68">
        <v>0</v>
      </c>
      <c r="Q59" s="68">
        <v>9.7500000000000003E-2</v>
      </c>
      <c r="R59" s="68">
        <v>0.19</v>
      </c>
      <c r="S59" s="68">
        <v>0.36</v>
      </c>
      <c r="T59" s="68">
        <v>0.51</v>
      </c>
      <c r="U59" s="68">
        <v>0.64</v>
      </c>
      <c r="V59" s="68">
        <v>0.75</v>
      </c>
      <c r="W59" s="68">
        <v>0.84</v>
      </c>
      <c r="X59" s="68">
        <v>0.96</v>
      </c>
      <c r="Y59" s="68">
        <v>1</v>
      </c>
    </row>
    <row r="60" spans="1:25" x14ac:dyDescent="0.3">
      <c r="A60" s="143"/>
      <c r="B60" s="7" t="s">
        <v>380</v>
      </c>
      <c r="C60" s="7">
        <f>C57*C58</f>
        <v>0</v>
      </c>
      <c r="D60" s="7">
        <f t="shared" ref="D60:L60" si="19">D57*D58</f>
        <v>0</v>
      </c>
      <c r="E60" s="7">
        <f t="shared" si="19"/>
        <v>0</v>
      </c>
      <c r="F60" s="7">
        <f t="shared" si="19"/>
        <v>0</v>
      </c>
      <c r="G60" s="7">
        <f t="shared" si="19"/>
        <v>0</v>
      </c>
      <c r="H60" s="7">
        <f t="shared" si="19"/>
        <v>0</v>
      </c>
      <c r="I60" s="7">
        <f t="shared" si="19"/>
        <v>0</v>
      </c>
      <c r="J60" s="7">
        <f t="shared" si="19"/>
        <v>0</v>
      </c>
      <c r="K60" s="7">
        <f t="shared" si="19"/>
        <v>0</v>
      </c>
      <c r="L60" s="7">
        <f t="shared" si="19"/>
        <v>0</v>
      </c>
      <c r="N60" s="141"/>
      <c r="O60" s="7" t="s">
        <v>380</v>
      </c>
      <c r="P60" s="70">
        <f>P57*P58</f>
        <v>0</v>
      </c>
      <c r="Q60" s="70">
        <f>Q57*Q58</f>
        <v>0</v>
      </c>
      <c r="R60" s="70">
        <f t="shared" ref="R60:Y60" si="20">R57*R58</f>
        <v>0</v>
      </c>
      <c r="S60" s="70">
        <f t="shared" si="20"/>
        <v>0</v>
      </c>
      <c r="T60" s="70">
        <f t="shared" si="20"/>
        <v>0</v>
      </c>
      <c r="U60" s="70">
        <f t="shared" si="20"/>
        <v>0</v>
      </c>
      <c r="V60" s="70">
        <f t="shared" si="20"/>
        <v>0</v>
      </c>
      <c r="W60" s="70">
        <f t="shared" si="20"/>
        <v>0</v>
      </c>
      <c r="X60" s="70">
        <f t="shared" si="20"/>
        <v>0</v>
      </c>
      <c r="Y60" s="70">
        <f t="shared" si="20"/>
        <v>0</v>
      </c>
    </row>
    <row r="61" spans="1:25" x14ac:dyDescent="0.3">
      <c r="A61" s="143"/>
      <c r="B61" s="7" t="s">
        <v>381</v>
      </c>
      <c r="C61" s="7">
        <f>(C58+C59)*C57</f>
        <v>0</v>
      </c>
      <c r="D61" s="7">
        <f t="shared" ref="D61:L61" si="21">(D58+D59)*D57</f>
        <v>4.2074E-3</v>
      </c>
      <c r="E61" s="7">
        <f t="shared" si="21"/>
        <v>8.2185999999999995E-3</v>
      </c>
      <c r="F61" s="7">
        <f t="shared" si="21"/>
        <v>1.5630599999999998E-2</v>
      </c>
      <c r="G61" s="7">
        <f t="shared" si="21"/>
        <v>2.22796E-2</v>
      </c>
      <c r="H61" s="7">
        <f t="shared" si="21"/>
        <v>2.7969399999999998E-2</v>
      </c>
      <c r="I61" s="7">
        <f t="shared" si="21"/>
        <v>3.28308E-2</v>
      </c>
      <c r="J61" s="7">
        <f t="shared" si="21"/>
        <v>3.6737360000000004E-2</v>
      </c>
      <c r="K61" s="7">
        <f t="shared" si="21"/>
        <v>4.1912680000000001E-2</v>
      </c>
      <c r="L61" s="7">
        <f t="shared" si="21"/>
        <v>4.36E-2</v>
      </c>
      <c r="M61" s="3"/>
      <c r="N61" s="141"/>
      <c r="O61" s="7" t="s">
        <v>381</v>
      </c>
      <c r="P61" s="70">
        <f>(P58+P59)*P57</f>
        <v>0</v>
      </c>
      <c r="Q61" s="70">
        <f t="shared" ref="Q61:Y61" si="22">(Q58+Q59)*Q57</f>
        <v>3.3345000000000002E-3</v>
      </c>
      <c r="R61" s="70">
        <f t="shared" si="22"/>
        <v>6.4980000000000003E-3</v>
      </c>
      <c r="S61" s="70">
        <f t="shared" si="22"/>
        <v>1.2312E-2</v>
      </c>
      <c r="T61" s="70">
        <f t="shared" si="22"/>
        <v>1.7442000000000003E-2</v>
      </c>
      <c r="U61" s="70">
        <f t="shared" si="22"/>
        <v>2.1888000000000001E-2</v>
      </c>
      <c r="V61" s="70">
        <f t="shared" si="22"/>
        <v>2.5649999999999999E-2</v>
      </c>
      <c r="W61" s="70">
        <f t="shared" si="22"/>
        <v>2.8728E-2</v>
      </c>
      <c r="X61" s="70">
        <f t="shared" si="22"/>
        <v>3.2832E-2</v>
      </c>
      <c r="Y61" s="70">
        <f t="shared" si="22"/>
        <v>3.4200000000000001E-2</v>
      </c>
    </row>
    <row r="62" spans="1:25" x14ac:dyDescent="0.3">
      <c r="A62" s="143"/>
      <c r="B62" s="138"/>
      <c r="C62" s="139"/>
      <c r="D62" s="139"/>
      <c r="E62" s="139"/>
      <c r="F62" s="139"/>
      <c r="G62" s="139"/>
      <c r="H62" s="139"/>
      <c r="I62" s="139"/>
      <c r="J62" s="139"/>
      <c r="K62" s="139"/>
      <c r="L62" s="140"/>
      <c r="M62" s="3"/>
      <c r="N62" s="141"/>
      <c r="O62" s="138"/>
      <c r="P62" s="139"/>
      <c r="Q62" s="139"/>
      <c r="R62" s="139"/>
      <c r="S62" s="139"/>
      <c r="T62" s="139"/>
      <c r="U62" s="139"/>
      <c r="V62" s="139"/>
      <c r="W62" s="139"/>
      <c r="X62" s="139"/>
      <c r="Y62" s="140"/>
    </row>
    <row r="63" spans="1:25" x14ac:dyDescent="0.3">
      <c r="A63" s="143"/>
      <c r="B63" s="69" t="s">
        <v>375</v>
      </c>
      <c r="C63" s="5">
        <v>1</v>
      </c>
      <c r="D63" s="5">
        <v>0.95</v>
      </c>
      <c r="E63" s="5">
        <v>0.9</v>
      </c>
      <c r="F63" s="5">
        <v>0.85</v>
      </c>
      <c r="G63" s="5">
        <v>0.8</v>
      </c>
      <c r="H63" s="5">
        <v>0.7</v>
      </c>
      <c r="I63" s="5">
        <v>0.6</v>
      </c>
      <c r="J63" s="5">
        <v>0.5</v>
      </c>
      <c r="K63" s="5">
        <v>0.4</v>
      </c>
      <c r="L63" s="5">
        <v>0.2</v>
      </c>
      <c r="N63" s="141"/>
      <c r="O63" s="69" t="s">
        <v>375</v>
      </c>
      <c r="P63" s="68">
        <v>1</v>
      </c>
      <c r="Q63" s="68">
        <v>0.95</v>
      </c>
      <c r="R63" s="68">
        <v>0.9</v>
      </c>
      <c r="S63" s="68">
        <v>0.85</v>
      </c>
      <c r="T63" s="68">
        <v>0.8</v>
      </c>
      <c r="U63" s="68">
        <v>0.7</v>
      </c>
      <c r="V63" s="68">
        <v>0.6</v>
      </c>
      <c r="W63" s="68">
        <v>0.5</v>
      </c>
      <c r="X63" s="68">
        <v>0.4</v>
      </c>
      <c r="Y63" s="68">
        <v>0.2</v>
      </c>
    </row>
    <row r="64" spans="1:25" x14ac:dyDescent="0.3">
      <c r="A64" s="143"/>
      <c r="B64" s="69" t="s">
        <v>377</v>
      </c>
      <c r="C64" s="5">
        <f>N15</f>
        <v>4.36E-2</v>
      </c>
      <c r="D64" s="5">
        <f>N15</f>
        <v>4.36E-2</v>
      </c>
      <c r="E64" s="5">
        <f>N15</f>
        <v>4.36E-2</v>
      </c>
      <c r="F64" s="5">
        <f>N15</f>
        <v>4.36E-2</v>
      </c>
      <c r="G64" s="5">
        <f>N15</f>
        <v>4.36E-2</v>
      </c>
      <c r="H64" s="5">
        <f>N15</f>
        <v>4.36E-2</v>
      </c>
      <c r="I64" s="5">
        <f>N15</f>
        <v>4.36E-2</v>
      </c>
      <c r="J64" s="5">
        <f>N15</f>
        <v>4.36E-2</v>
      </c>
      <c r="K64" s="5">
        <f>N15</f>
        <v>4.36E-2</v>
      </c>
      <c r="L64" s="5">
        <f>N15</f>
        <v>4.36E-2</v>
      </c>
      <c r="N64" s="141"/>
      <c r="O64" s="69" t="s">
        <v>377</v>
      </c>
      <c r="P64" s="68">
        <f>N16</f>
        <v>3.4200000000000001E-2</v>
      </c>
      <c r="Q64" s="68">
        <f>N16</f>
        <v>3.4200000000000001E-2</v>
      </c>
      <c r="R64" s="68">
        <f>N16</f>
        <v>3.4200000000000001E-2</v>
      </c>
      <c r="S64" s="68">
        <f>N16</f>
        <v>3.4200000000000001E-2</v>
      </c>
      <c r="T64" s="68">
        <f>N16</f>
        <v>3.4200000000000001E-2</v>
      </c>
      <c r="U64" s="68">
        <f>N16</f>
        <v>3.4200000000000001E-2</v>
      </c>
      <c r="V64" s="68">
        <f>N16</f>
        <v>3.4200000000000001E-2</v>
      </c>
      <c r="W64" s="68">
        <f>N16</f>
        <v>3.4200000000000001E-2</v>
      </c>
      <c r="X64" s="68">
        <f>N16</f>
        <v>3.4200000000000001E-2</v>
      </c>
      <c r="Y64" s="68">
        <f>N16</f>
        <v>3.4200000000000001E-2</v>
      </c>
    </row>
    <row r="65" spans="1:25" x14ac:dyDescent="0.3">
      <c r="A65" s="143"/>
      <c r="B65" s="69" t="s">
        <v>378</v>
      </c>
      <c r="C65" s="5">
        <v>3.8199999999999998E-2</v>
      </c>
      <c r="D65" s="5">
        <v>1.6899999999999998E-2</v>
      </c>
      <c r="E65" s="5">
        <v>6.7000000000000002E-3</v>
      </c>
      <c r="F65" s="5">
        <v>2.2000000000000001E-3</v>
      </c>
      <c r="G65" s="5">
        <v>5.9999999999999995E-4</v>
      </c>
      <c r="H65" s="5">
        <v>0</v>
      </c>
      <c r="I65" s="5">
        <v>0</v>
      </c>
      <c r="J65" s="5">
        <v>0</v>
      </c>
      <c r="K65" s="5">
        <v>0</v>
      </c>
      <c r="L65" s="5">
        <v>0</v>
      </c>
      <c r="N65" s="141"/>
      <c r="O65" s="69" t="s">
        <v>378</v>
      </c>
      <c r="P65" s="68">
        <v>0</v>
      </c>
      <c r="Q65" s="68">
        <v>0</v>
      </c>
      <c r="R65" s="68">
        <v>0</v>
      </c>
      <c r="S65" s="68">
        <v>0</v>
      </c>
      <c r="T65" s="68">
        <v>0</v>
      </c>
      <c r="U65" s="68">
        <v>0</v>
      </c>
      <c r="V65" s="68">
        <v>0</v>
      </c>
      <c r="W65" s="68">
        <v>0</v>
      </c>
      <c r="X65" s="68">
        <v>0</v>
      </c>
      <c r="Y65" s="68">
        <v>0</v>
      </c>
    </row>
    <row r="66" spans="1:25" x14ac:dyDescent="0.3">
      <c r="A66" s="143"/>
      <c r="B66" s="69" t="s">
        <v>379</v>
      </c>
      <c r="C66" s="5">
        <v>0</v>
      </c>
      <c r="D66" s="5">
        <v>0.14849999999999999</v>
      </c>
      <c r="E66" s="5">
        <v>0.27200000000000002</v>
      </c>
      <c r="F66" s="5">
        <v>0.3775</v>
      </c>
      <c r="G66" s="5">
        <v>0.46200000000000002</v>
      </c>
      <c r="H66" s="5">
        <v>0.60599999999999998</v>
      </c>
      <c r="I66" s="5">
        <v>0.72</v>
      </c>
      <c r="J66" s="5">
        <v>0.80900000000000005</v>
      </c>
      <c r="K66" s="5">
        <v>0.879</v>
      </c>
      <c r="L66" s="5">
        <v>0.96899999999999997</v>
      </c>
      <c r="N66" s="141"/>
      <c r="O66" s="69" t="s">
        <v>379</v>
      </c>
      <c r="P66" s="68">
        <v>0</v>
      </c>
      <c r="Q66" s="68">
        <v>0.124</v>
      </c>
      <c r="R66" s="68">
        <v>0.23369999999999999</v>
      </c>
      <c r="S66" s="68">
        <v>0.33</v>
      </c>
      <c r="T66" s="68">
        <v>0.41399999999999998</v>
      </c>
      <c r="U66" s="68">
        <v>0.5615</v>
      </c>
      <c r="V66" s="68">
        <v>0.68400000000000005</v>
      </c>
      <c r="W66" s="68">
        <v>0.78500000000000003</v>
      </c>
      <c r="X66" s="68">
        <v>0.86599999999999999</v>
      </c>
      <c r="Y66" s="68">
        <v>0.96750000000000003</v>
      </c>
    </row>
    <row r="67" spans="1:25" x14ac:dyDescent="0.3">
      <c r="A67" s="143"/>
      <c r="B67" s="7" t="s">
        <v>380</v>
      </c>
      <c r="C67" s="7">
        <f>C64*C65</f>
        <v>1.66552E-3</v>
      </c>
      <c r="D67" s="7">
        <f t="shared" ref="D67:L67" si="23">D64*D65</f>
        <v>7.3683999999999989E-4</v>
      </c>
      <c r="E67" s="7">
        <f t="shared" si="23"/>
        <v>2.9211999999999999E-4</v>
      </c>
      <c r="F67" s="7">
        <f t="shared" si="23"/>
        <v>9.5920000000000003E-5</v>
      </c>
      <c r="G67" s="7">
        <f t="shared" si="23"/>
        <v>2.6159999999999997E-5</v>
      </c>
      <c r="H67" s="7">
        <f t="shared" si="23"/>
        <v>0</v>
      </c>
      <c r="I67" s="7">
        <f t="shared" si="23"/>
        <v>0</v>
      </c>
      <c r="J67" s="7">
        <f t="shared" si="23"/>
        <v>0</v>
      </c>
      <c r="K67" s="7">
        <f t="shared" si="23"/>
        <v>0</v>
      </c>
      <c r="L67" s="7">
        <f t="shared" si="23"/>
        <v>0</v>
      </c>
      <c r="N67" s="141"/>
      <c r="O67" s="7" t="s">
        <v>380</v>
      </c>
      <c r="P67" s="70">
        <f>P64*P65</f>
        <v>0</v>
      </c>
      <c r="Q67" s="70">
        <f t="shared" ref="Q67:Y67" si="24">Q64*Q65</f>
        <v>0</v>
      </c>
      <c r="R67" s="70">
        <f t="shared" si="24"/>
        <v>0</v>
      </c>
      <c r="S67" s="70">
        <f t="shared" si="24"/>
        <v>0</v>
      </c>
      <c r="T67" s="70">
        <f t="shared" si="24"/>
        <v>0</v>
      </c>
      <c r="U67" s="70">
        <f t="shared" si="24"/>
        <v>0</v>
      </c>
      <c r="V67" s="70">
        <f t="shared" si="24"/>
        <v>0</v>
      </c>
      <c r="W67" s="70">
        <f t="shared" si="24"/>
        <v>0</v>
      </c>
      <c r="X67" s="70">
        <f t="shared" si="24"/>
        <v>0</v>
      </c>
      <c r="Y67" s="70">
        <f t="shared" si="24"/>
        <v>0</v>
      </c>
    </row>
    <row r="68" spans="1:25" x14ac:dyDescent="0.3">
      <c r="A68" s="144"/>
      <c r="B68" s="7" t="s">
        <v>381</v>
      </c>
      <c r="C68" s="7">
        <f>(C65+C66)*C64</f>
        <v>1.66552E-3</v>
      </c>
      <c r="D68" s="7">
        <f t="shared" ref="D68:L68" si="25">(D65+D66)*D64</f>
        <v>7.2114399999999995E-3</v>
      </c>
      <c r="E68" s="7">
        <f t="shared" si="25"/>
        <v>1.215132E-2</v>
      </c>
      <c r="F68" s="7">
        <f t="shared" si="25"/>
        <v>1.6554920000000001E-2</v>
      </c>
      <c r="G68" s="7">
        <f t="shared" si="25"/>
        <v>2.0169360000000001E-2</v>
      </c>
      <c r="H68" s="7">
        <f t="shared" si="25"/>
        <v>2.64216E-2</v>
      </c>
      <c r="I68" s="7">
        <f t="shared" si="25"/>
        <v>3.1391999999999996E-2</v>
      </c>
      <c r="J68" s="7">
        <f t="shared" si="25"/>
        <v>3.5272400000000002E-2</v>
      </c>
      <c r="K68" s="7">
        <f t="shared" si="25"/>
        <v>3.8324400000000002E-2</v>
      </c>
      <c r="L68" s="7">
        <f t="shared" si="25"/>
        <v>4.2248399999999998E-2</v>
      </c>
      <c r="M68" s="3"/>
      <c r="N68" s="141"/>
      <c r="O68" s="7" t="s">
        <v>381</v>
      </c>
      <c r="P68" s="70">
        <f>(P65+P66)*P64</f>
        <v>0</v>
      </c>
      <c r="Q68" s="70">
        <f t="shared" ref="Q68:Y68" si="26">(Q65+Q66)*Q64</f>
        <v>4.2408000000000003E-3</v>
      </c>
      <c r="R68" s="70">
        <f t="shared" si="26"/>
        <v>7.9925399999999994E-3</v>
      </c>
      <c r="S68" s="70">
        <f t="shared" si="26"/>
        <v>1.1286000000000001E-2</v>
      </c>
      <c r="T68" s="70">
        <f t="shared" si="26"/>
        <v>1.4158799999999999E-2</v>
      </c>
      <c r="U68" s="70">
        <f t="shared" si="26"/>
        <v>1.92033E-2</v>
      </c>
      <c r="V68" s="70">
        <f t="shared" si="26"/>
        <v>2.3392800000000002E-2</v>
      </c>
      <c r="W68" s="70">
        <f t="shared" si="26"/>
        <v>2.6847000000000003E-2</v>
      </c>
      <c r="X68" s="70">
        <f t="shared" si="26"/>
        <v>2.96172E-2</v>
      </c>
      <c r="Y68" s="70">
        <f t="shared" si="26"/>
        <v>3.30885E-2</v>
      </c>
    </row>
    <row r="69" spans="1:25" x14ac:dyDescent="0.3">
      <c r="M69" s="3"/>
      <c r="N69" s="36"/>
      <c r="O69" s="36"/>
      <c r="P69" s="36"/>
      <c r="Q69" s="36"/>
      <c r="R69" s="36"/>
      <c r="S69" s="36"/>
      <c r="T69" s="36"/>
      <c r="U69" s="36"/>
      <c r="V69" s="36"/>
      <c r="W69" s="36"/>
      <c r="X69" s="36"/>
      <c r="Y69" s="36"/>
    </row>
    <row r="71" spans="1:25" x14ac:dyDescent="0.3">
      <c r="R71" s="29"/>
    </row>
    <row r="73" spans="1:25" x14ac:dyDescent="0.3">
      <c r="A73" s="141" t="s">
        <v>386</v>
      </c>
      <c r="B73" s="69" t="s">
        <v>375</v>
      </c>
      <c r="C73" s="68">
        <v>-1</v>
      </c>
      <c r="D73" s="68">
        <v>-0.95</v>
      </c>
      <c r="E73" s="68">
        <v>-0.9</v>
      </c>
      <c r="F73" s="68">
        <v>-0.8</v>
      </c>
      <c r="G73" s="68">
        <v>-0.7</v>
      </c>
      <c r="H73" s="68">
        <v>-0.6</v>
      </c>
      <c r="I73" s="68">
        <v>-0.5</v>
      </c>
      <c r="J73" s="68">
        <v>-0.4</v>
      </c>
      <c r="K73" s="68">
        <v>-0.2</v>
      </c>
      <c r="L73" s="68">
        <v>0</v>
      </c>
      <c r="N73" s="141" t="s">
        <v>387</v>
      </c>
      <c r="O73" s="69" t="s">
        <v>375</v>
      </c>
      <c r="P73" s="68">
        <v>-1</v>
      </c>
      <c r="Q73" s="68">
        <v>-0.95</v>
      </c>
      <c r="R73" s="68">
        <v>-0.9</v>
      </c>
      <c r="S73" s="68">
        <v>-0.8</v>
      </c>
      <c r="T73" s="68">
        <v>-0.7</v>
      </c>
      <c r="U73" s="68">
        <v>-0.6</v>
      </c>
      <c r="V73" s="68">
        <v>-0.5</v>
      </c>
      <c r="W73" s="68">
        <v>-0.4</v>
      </c>
      <c r="X73" s="68">
        <v>-0.2</v>
      </c>
      <c r="Y73" s="68">
        <v>0</v>
      </c>
    </row>
    <row r="74" spans="1:25" x14ac:dyDescent="0.3">
      <c r="A74" s="141"/>
      <c r="B74" s="69" t="s">
        <v>377</v>
      </c>
      <c r="C74" s="68">
        <f>N17</f>
        <v>2.4800000000000003E-2</v>
      </c>
      <c r="D74" s="68">
        <f>N17</f>
        <v>2.4800000000000003E-2</v>
      </c>
      <c r="E74" s="68">
        <f>N17</f>
        <v>2.4800000000000003E-2</v>
      </c>
      <c r="F74" s="68">
        <f>N17</f>
        <v>2.4800000000000003E-2</v>
      </c>
      <c r="G74" s="68">
        <f>N17</f>
        <v>2.4800000000000003E-2</v>
      </c>
      <c r="H74" s="68">
        <f>N17</f>
        <v>2.4800000000000003E-2</v>
      </c>
      <c r="I74" s="68">
        <f>N17</f>
        <v>2.4800000000000003E-2</v>
      </c>
      <c r="J74" s="68">
        <f>N17</f>
        <v>2.4800000000000003E-2</v>
      </c>
      <c r="K74" s="68">
        <f>N17</f>
        <v>2.4800000000000003E-2</v>
      </c>
      <c r="L74" s="68">
        <f>N17</f>
        <v>2.4800000000000003E-2</v>
      </c>
      <c r="N74" s="141"/>
      <c r="O74" s="69" t="s">
        <v>377</v>
      </c>
      <c r="P74" s="68">
        <f>N18</f>
        <v>1.54E-2</v>
      </c>
      <c r="Q74" s="68">
        <f>N18</f>
        <v>1.54E-2</v>
      </c>
      <c r="R74" s="68">
        <f>N18</f>
        <v>1.54E-2</v>
      </c>
      <c r="S74" s="68">
        <f>N18</f>
        <v>1.54E-2</v>
      </c>
      <c r="T74" s="68">
        <f>N18</f>
        <v>1.54E-2</v>
      </c>
      <c r="U74" s="68">
        <f>N18</f>
        <v>1.54E-2</v>
      </c>
      <c r="V74" s="68">
        <f>N18</f>
        <v>1.54E-2</v>
      </c>
      <c r="W74" s="68">
        <f>N18</f>
        <v>1.54E-2</v>
      </c>
      <c r="X74" s="68">
        <f>N18</f>
        <v>1.54E-2</v>
      </c>
      <c r="Y74" s="68">
        <f>N18</f>
        <v>1.54E-2</v>
      </c>
    </row>
    <row r="75" spans="1:25" x14ac:dyDescent="0.3">
      <c r="A75" s="141"/>
      <c r="B75" s="69" t="s">
        <v>378</v>
      </c>
      <c r="C75" s="68">
        <v>0</v>
      </c>
      <c r="D75" s="68">
        <v>0</v>
      </c>
      <c r="E75" s="68">
        <v>0</v>
      </c>
      <c r="F75" s="68">
        <v>0</v>
      </c>
      <c r="G75" s="68">
        <v>0</v>
      </c>
      <c r="H75" s="68">
        <v>0</v>
      </c>
      <c r="I75" s="68">
        <v>0</v>
      </c>
      <c r="J75" s="68">
        <v>0</v>
      </c>
      <c r="K75" s="68">
        <v>0</v>
      </c>
      <c r="L75" s="68">
        <v>0</v>
      </c>
      <c r="N75" s="141"/>
      <c r="O75" s="69" t="s">
        <v>378</v>
      </c>
      <c r="P75" s="68">
        <v>0</v>
      </c>
      <c r="Q75" s="68">
        <v>0</v>
      </c>
      <c r="R75" s="68">
        <v>0</v>
      </c>
      <c r="S75" s="68">
        <v>0</v>
      </c>
      <c r="T75" s="68">
        <v>0</v>
      </c>
      <c r="U75" s="68">
        <v>0</v>
      </c>
      <c r="V75" s="68">
        <v>0</v>
      </c>
      <c r="W75" s="68">
        <v>0</v>
      </c>
      <c r="X75" s="68">
        <v>0</v>
      </c>
      <c r="Y75" s="68">
        <v>0</v>
      </c>
    </row>
    <row r="76" spans="1:25" x14ac:dyDescent="0.3">
      <c r="A76" s="141"/>
      <c r="B76" s="69" t="s">
        <v>379</v>
      </c>
      <c r="C76" s="68">
        <v>0</v>
      </c>
      <c r="D76" s="68">
        <v>9.7500000000000003E-2</v>
      </c>
      <c r="E76" s="68">
        <v>0.19</v>
      </c>
      <c r="F76" s="68">
        <v>0.36</v>
      </c>
      <c r="G76" s="68">
        <v>0.51</v>
      </c>
      <c r="H76" s="68">
        <v>0.64</v>
      </c>
      <c r="I76" s="68">
        <v>0.75</v>
      </c>
      <c r="J76" s="68">
        <v>0.84</v>
      </c>
      <c r="K76" s="68">
        <v>0.96</v>
      </c>
      <c r="L76" s="68">
        <v>1</v>
      </c>
      <c r="N76" s="141"/>
      <c r="O76" s="69" t="s">
        <v>379</v>
      </c>
      <c r="P76" s="68">
        <v>0</v>
      </c>
      <c r="Q76" s="68">
        <v>9.7500000000000003E-2</v>
      </c>
      <c r="R76" s="68">
        <v>0.19</v>
      </c>
      <c r="S76" s="68">
        <v>0.36</v>
      </c>
      <c r="T76" s="68">
        <v>0.51</v>
      </c>
      <c r="U76" s="68">
        <v>0.64</v>
      </c>
      <c r="V76" s="68">
        <v>0.75</v>
      </c>
      <c r="W76" s="68">
        <v>0.84</v>
      </c>
      <c r="X76" s="68">
        <v>0.96</v>
      </c>
      <c r="Y76" s="68">
        <v>1</v>
      </c>
    </row>
    <row r="77" spans="1:25" x14ac:dyDescent="0.3">
      <c r="A77" s="141"/>
      <c r="B77" s="7" t="s">
        <v>380</v>
      </c>
      <c r="C77" s="70">
        <f>C74*C75</f>
        <v>0</v>
      </c>
      <c r="D77" s="70">
        <f t="shared" ref="D77:L77" si="27">D74*D75</f>
        <v>0</v>
      </c>
      <c r="E77" s="70">
        <f t="shared" si="27"/>
        <v>0</v>
      </c>
      <c r="F77" s="70">
        <f t="shared" si="27"/>
        <v>0</v>
      </c>
      <c r="G77" s="70">
        <f t="shared" si="27"/>
        <v>0</v>
      </c>
      <c r="H77" s="70">
        <f t="shared" si="27"/>
        <v>0</v>
      </c>
      <c r="I77" s="70">
        <f t="shared" si="27"/>
        <v>0</v>
      </c>
      <c r="J77" s="70">
        <f t="shared" si="27"/>
        <v>0</v>
      </c>
      <c r="K77" s="70">
        <f t="shared" si="27"/>
        <v>0</v>
      </c>
      <c r="L77" s="70">
        <f t="shared" si="27"/>
        <v>0</v>
      </c>
      <c r="N77" s="141"/>
      <c r="O77" s="7" t="s">
        <v>380</v>
      </c>
      <c r="P77" s="70">
        <f>P74*P75</f>
        <v>0</v>
      </c>
      <c r="Q77" s="70">
        <f t="shared" ref="Q77:Y77" si="28">Q74*Q75</f>
        <v>0</v>
      </c>
      <c r="R77" s="70">
        <f t="shared" si="28"/>
        <v>0</v>
      </c>
      <c r="S77" s="70">
        <f t="shared" si="28"/>
        <v>0</v>
      </c>
      <c r="T77" s="70">
        <f t="shared" si="28"/>
        <v>0</v>
      </c>
      <c r="U77" s="70">
        <f t="shared" si="28"/>
        <v>0</v>
      </c>
      <c r="V77" s="70">
        <f t="shared" si="28"/>
        <v>0</v>
      </c>
      <c r="W77" s="70">
        <f t="shared" si="28"/>
        <v>0</v>
      </c>
      <c r="X77" s="70">
        <f t="shared" si="28"/>
        <v>0</v>
      </c>
      <c r="Y77" s="70">
        <f t="shared" si="28"/>
        <v>0</v>
      </c>
    </row>
    <row r="78" spans="1:25" x14ac:dyDescent="0.3">
      <c r="A78" s="141"/>
      <c r="B78" s="7" t="s">
        <v>381</v>
      </c>
      <c r="C78" s="70">
        <f>(C75+C76)*C74</f>
        <v>0</v>
      </c>
      <c r="D78" s="70">
        <f t="shared" ref="D78:L78" si="29">(D75+D76)*D74</f>
        <v>2.4180000000000004E-3</v>
      </c>
      <c r="E78" s="70">
        <f t="shared" si="29"/>
        <v>4.7120000000000009E-3</v>
      </c>
      <c r="F78" s="70">
        <f t="shared" si="29"/>
        <v>8.9280000000000002E-3</v>
      </c>
      <c r="G78" s="70">
        <f t="shared" si="29"/>
        <v>1.2648000000000001E-2</v>
      </c>
      <c r="H78" s="70">
        <f t="shared" si="29"/>
        <v>1.5872000000000001E-2</v>
      </c>
      <c r="I78" s="70">
        <f t="shared" si="29"/>
        <v>1.8600000000000002E-2</v>
      </c>
      <c r="J78" s="70">
        <f t="shared" si="29"/>
        <v>2.0832E-2</v>
      </c>
      <c r="K78" s="70">
        <f t="shared" si="29"/>
        <v>2.3808000000000003E-2</v>
      </c>
      <c r="L78" s="70">
        <f t="shared" si="29"/>
        <v>2.4800000000000003E-2</v>
      </c>
      <c r="N78" s="141"/>
      <c r="O78" s="7" t="s">
        <v>381</v>
      </c>
      <c r="P78" s="70">
        <f>(P75+P76)*P74</f>
        <v>0</v>
      </c>
      <c r="Q78" s="70">
        <f t="shared" ref="Q78:Y78" si="30">(Q75+Q76)*Q74</f>
        <v>1.5015E-3</v>
      </c>
      <c r="R78" s="70">
        <f t="shared" si="30"/>
        <v>2.9260000000000002E-3</v>
      </c>
      <c r="S78" s="70">
        <f t="shared" si="30"/>
        <v>5.5440000000000003E-3</v>
      </c>
      <c r="T78" s="70">
        <f t="shared" si="30"/>
        <v>7.8539999999999999E-3</v>
      </c>
      <c r="U78" s="70">
        <f t="shared" si="30"/>
        <v>9.8560000000000002E-3</v>
      </c>
      <c r="V78" s="70">
        <f t="shared" si="30"/>
        <v>1.1550000000000001E-2</v>
      </c>
      <c r="W78" s="70">
        <f t="shared" si="30"/>
        <v>1.2936E-2</v>
      </c>
      <c r="X78" s="70">
        <f t="shared" si="30"/>
        <v>1.4784E-2</v>
      </c>
      <c r="Y78" s="70">
        <f t="shared" si="30"/>
        <v>1.54E-2</v>
      </c>
    </row>
    <row r="79" spans="1:25" x14ac:dyDescent="0.3">
      <c r="A79" s="141"/>
      <c r="B79" s="138"/>
      <c r="C79" s="139"/>
      <c r="D79" s="139"/>
      <c r="E79" s="139"/>
      <c r="F79" s="139"/>
      <c r="G79" s="139"/>
      <c r="H79" s="139"/>
      <c r="I79" s="139"/>
      <c r="J79" s="139"/>
      <c r="K79" s="139"/>
      <c r="L79" s="140"/>
      <c r="N79" s="141"/>
      <c r="O79" s="138"/>
      <c r="P79" s="139"/>
      <c r="Q79" s="139"/>
      <c r="R79" s="139"/>
      <c r="S79" s="139"/>
      <c r="T79" s="139"/>
      <c r="U79" s="139"/>
      <c r="V79" s="139"/>
      <c r="W79" s="139"/>
      <c r="X79" s="139"/>
      <c r="Y79" s="140"/>
    </row>
    <row r="80" spans="1:25" x14ac:dyDescent="0.3">
      <c r="A80" s="141"/>
      <c r="B80" s="69" t="s">
        <v>375</v>
      </c>
      <c r="C80" s="68">
        <v>1</v>
      </c>
      <c r="D80" s="68">
        <v>0.95</v>
      </c>
      <c r="E80" s="68">
        <v>0.9</v>
      </c>
      <c r="F80" s="68">
        <v>0.85</v>
      </c>
      <c r="G80" s="68">
        <v>0.8</v>
      </c>
      <c r="H80" s="68">
        <v>0.7</v>
      </c>
      <c r="I80" s="68">
        <v>0.6</v>
      </c>
      <c r="J80" s="68">
        <v>0.5</v>
      </c>
      <c r="K80" s="68">
        <v>0.4</v>
      </c>
      <c r="L80" s="68">
        <v>0.2</v>
      </c>
      <c r="N80" s="141"/>
      <c r="O80" s="69" t="s">
        <v>375</v>
      </c>
      <c r="P80" s="68">
        <v>1</v>
      </c>
      <c r="Q80" s="68">
        <v>0.95</v>
      </c>
      <c r="R80" s="68">
        <v>0.9</v>
      </c>
      <c r="S80" s="68">
        <v>0.85</v>
      </c>
      <c r="T80" s="68">
        <v>0.8</v>
      </c>
      <c r="U80" s="68">
        <v>0.7</v>
      </c>
      <c r="V80" s="68">
        <v>0.6</v>
      </c>
      <c r="W80" s="68">
        <v>0.5</v>
      </c>
      <c r="X80" s="68">
        <v>0.4</v>
      </c>
      <c r="Y80" s="68">
        <v>0.2</v>
      </c>
    </row>
    <row r="81" spans="1:25" x14ac:dyDescent="0.3">
      <c r="A81" s="141"/>
      <c r="B81" s="69" t="s">
        <v>377</v>
      </c>
      <c r="C81" s="68">
        <f>N17</f>
        <v>2.4800000000000003E-2</v>
      </c>
      <c r="D81" s="68">
        <f>N17</f>
        <v>2.4800000000000003E-2</v>
      </c>
      <c r="E81" s="68">
        <f>N17</f>
        <v>2.4800000000000003E-2</v>
      </c>
      <c r="F81" s="68">
        <f>N17</f>
        <v>2.4800000000000003E-2</v>
      </c>
      <c r="G81" s="68">
        <f>N17</f>
        <v>2.4800000000000003E-2</v>
      </c>
      <c r="H81" s="68">
        <f>N17</f>
        <v>2.4800000000000003E-2</v>
      </c>
      <c r="I81" s="68">
        <f>N17</f>
        <v>2.4800000000000003E-2</v>
      </c>
      <c r="J81" s="68">
        <f>N17</f>
        <v>2.4800000000000003E-2</v>
      </c>
      <c r="K81" s="68">
        <f>N17</f>
        <v>2.4800000000000003E-2</v>
      </c>
      <c r="L81" s="68">
        <f>N17</f>
        <v>2.4800000000000003E-2</v>
      </c>
      <c r="N81" s="141"/>
      <c r="O81" s="69" t="s">
        <v>377</v>
      </c>
      <c r="P81" s="68">
        <f>N18</f>
        <v>1.54E-2</v>
      </c>
      <c r="Q81" s="68">
        <f>N18</f>
        <v>1.54E-2</v>
      </c>
      <c r="R81" s="68">
        <f>N18</f>
        <v>1.54E-2</v>
      </c>
      <c r="S81" s="68">
        <f>N18</f>
        <v>1.54E-2</v>
      </c>
      <c r="T81" s="68">
        <f>N18</f>
        <v>1.54E-2</v>
      </c>
      <c r="U81" s="68">
        <f>N18</f>
        <v>1.54E-2</v>
      </c>
      <c r="V81" s="68">
        <f>N18</f>
        <v>1.54E-2</v>
      </c>
      <c r="W81" s="68">
        <f>N18</f>
        <v>1.54E-2</v>
      </c>
      <c r="X81" s="68">
        <f>N18</f>
        <v>1.54E-2</v>
      </c>
      <c r="Y81" s="68">
        <f>N18</f>
        <v>1.54E-2</v>
      </c>
    </row>
    <row r="82" spans="1:25" x14ac:dyDescent="0.3">
      <c r="A82" s="141"/>
      <c r="B82" s="69" t="s">
        <v>378</v>
      </c>
      <c r="C82" s="68">
        <v>0</v>
      </c>
      <c r="D82" s="68">
        <v>0</v>
      </c>
      <c r="E82" s="68">
        <v>0</v>
      </c>
      <c r="F82" s="68">
        <v>0</v>
      </c>
      <c r="G82" s="68">
        <v>0</v>
      </c>
      <c r="H82" s="68">
        <v>0</v>
      </c>
      <c r="I82" s="68">
        <v>0</v>
      </c>
      <c r="J82" s="68">
        <v>0</v>
      </c>
      <c r="K82" s="68">
        <v>0</v>
      </c>
      <c r="L82" s="68">
        <v>0</v>
      </c>
      <c r="N82" s="141"/>
      <c r="O82" s="69" t="s">
        <v>378</v>
      </c>
      <c r="P82" s="68">
        <v>0</v>
      </c>
      <c r="Q82" s="68">
        <v>0</v>
      </c>
      <c r="R82" s="68">
        <v>0</v>
      </c>
      <c r="S82" s="68">
        <v>0</v>
      </c>
      <c r="T82" s="68">
        <v>0</v>
      </c>
      <c r="U82" s="68">
        <v>0</v>
      </c>
      <c r="V82" s="68">
        <v>0</v>
      </c>
      <c r="W82" s="68">
        <v>0</v>
      </c>
      <c r="X82" s="68">
        <v>0</v>
      </c>
      <c r="Y82" s="68">
        <v>0</v>
      </c>
    </row>
    <row r="83" spans="1:25" x14ac:dyDescent="0.3">
      <c r="A83" s="141"/>
      <c r="B83" s="69" t="s">
        <v>379</v>
      </c>
      <c r="C83" s="68">
        <v>0</v>
      </c>
      <c r="D83" s="68">
        <v>0.105</v>
      </c>
      <c r="E83" s="68">
        <v>0.20280000000000001</v>
      </c>
      <c r="F83" s="68">
        <v>0.29249999999999998</v>
      </c>
      <c r="G83" s="68">
        <v>0.3765</v>
      </c>
      <c r="H83" s="68">
        <v>0.52649999999999997</v>
      </c>
      <c r="I83" s="68">
        <v>0.65449999999999997</v>
      </c>
      <c r="J83" s="68">
        <v>0.76349999999999996</v>
      </c>
      <c r="K83" s="68">
        <v>0.85199999999999998</v>
      </c>
      <c r="L83" s="68">
        <v>0.96350000000000002</v>
      </c>
      <c r="N83" s="141"/>
      <c r="O83" s="69" t="s">
        <v>379</v>
      </c>
      <c r="P83" s="68">
        <v>0</v>
      </c>
      <c r="Q83" s="68">
        <v>9.7500000000000003E-2</v>
      </c>
      <c r="R83" s="68">
        <v>0.19</v>
      </c>
      <c r="S83" s="68">
        <v>0.27750000000000002</v>
      </c>
      <c r="T83" s="68">
        <v>0.36</v>
      </c>
      <c r="U83" s="68">
        <v>0.51</v>
      </c>
      <c r="V83" s="68">
        <v>0.64</v>
      </c>
      <c r="W83" s="68">
        <v>0.75</v>
      </c>
      <c r="X83" s="68">
        <v>0.84</v>
      </c>
      <c r="Y83" s="68">
        <v>0.96</v>
      </c>
    </row>
    <row r="84" spans="1:25" x14ac:dyDescent="0.3">
      <c r="A84" s="141"/>
      <c r="B84" s="7" t="s">
        <v>380</v>
      </c>
      <c r="C84" s="70">
        <f>C81*C82</f>
        <v>0</v>
      </c>
      <c r="D84" s="70">
        <f t="shared" ref="D84:L84" si="31">D81*D82</f>
        <v>0</v>
      </c>
      <c r="E84" s="70">
        <f t="shared" si="31"/>
        <v>0</v>
      </c>
      <c r="F84" s="70">
        <f t="shared" si="31"/>
        <v>0</v>
      </c>
      <c r="G84" s="70">
        <f t="shared" si="31"/>
        <v>0</v>
      </c>
      <c r="H84" s="70">
        <f t="shared" si="31"/>
        <v>0</v>
      </c>
      <c r="I84" s="70">
        <f t="shared" si="31"/>
        <v>0</v>
      </c>
      <c r="J84" s="70">
        <f t="shared" si="31"/>
        <v>0</v>
      </c>
      <c r="K84" s="70">
        <f t="shared" si="31"/>
        <v>0</v>
      </c>
      <c r="L84" s="70">
        <f t="shared" si="31"/>
        <v>0</v>
      </c>
      <c r="N84" s="141"/>
      <c r="O84" s="7" t="s">
        <v>380</v>
      </c>
      <c r="P84" s="70">
        <f>P81*P82</f>
        <v>0</v>
      </c>
      <c r="Q84" s="70">
        <f t="shared" ref="Q84:Y84" si="32">Q81*Q82</f>
        <v>0</v>
      </c>
      <c r="R84" s="70">
        <f t="shared" si="32"/>
        <v>0</v>
      </c>
      <c r="S84" s="70">
        <f t="shared" si="32"/>
        <v>0</v>
      </c>
      <c r="T84" s="70">
        <f t="shared" si="32"/>
        <v>0</v>
      </c>
      <c r="U84" s="70">
        <f t="shared" si="32"/>
        <v>0</v>
      </c>
      <c r="V84" s="70">
        <f t="shared" si="32"/>
        <v>0</v>
      </c>
      <c r="W84" s="70">
        <f t="shared" si="32"/>
        <v>0</v>
      </c>
      <c r="X84" s="70">
        <f t="shared" si="32"/>
        <v>0</v>
      </c>
      <c r="Y84" s="70">
        <f t="shared" si="32"/>
        <v>0</v>
      </c>
    </row>
    <row r="85" spans="1:25" x14ac:dyDescent="0.3">
      <c r="A85" s="141"/>
      <c r="B85" s="7" t="s">
        <v>381</v>
      </c>
      <c r="C85" s="70">
        <f>(C82+C83)*C81</f>
        <v>0</v>
      </c>
      <c r="D85" s="70">
        <f t="shared" ref="D85:K85" si="33">(D82+D83)*D81</f>
        <v>2.604E-3</v>
      </c>
      <c r="E85" s="70">
        <f t="shared" si="33"/>
        <v>5.0294400000000005E-3</v>
      </c>
      <c r="F85" s="70">
        <f t="shared" si="33"/>
        <v>7.254E-3</v>
      </c>
      <c r="G85" s="70">
        <f t="shared" si="33"/>
        <v>9.3372000000000004E-3</v>
      </c>
      <c r="H85" s="70">
        <f t="shared" si="33"/>
        <v>1.30572E-2</v>
      </c>
      <c r="I85" s="70">
        <f t="shared" si="33"/>
        <v>1.6231600000000002E-2</v>
      </c>
      <c r="J85" s="70">
        <f t="shared" si="33"/>
        <v>1.8934800000000002E-2</v>
      </c>
      <c r="K85" s="70">
        <f t="shared" si="33"/>
        <v>2.1129600000000002E-2</v>
      </c>
      <c r="L85" s="70">
        <f>(L82+L83)*L81</f>
        <v>2.3894800000000004E-2</v>
      </c>
      <c r="N85" s="141"/>
      <c r="O85" s="7" t="s">
        <v>381</v>
      </c>
      <c r="P85" s="70">
        <f>(P82+P83)*P81</f>
        <v>0</v>
      </c>
      <c r="Q85" s="70">
        <f t="shared" ref="Q85:X85" si="34">(Q82+Q83)*Q81</f>
        <v>1.5015E-3</v>
      </c>
      <c r="R85" s="70">
        <f t="shared" si="34"/>
        <v>2.9260000000000002E-3</v>
      </c>
      <c r="S85" s="70">
        <f t="shared" si="34"/>
        <v>4.2735000000000004E-3</v>
      </c>
      <c r="T85" s="70">
        <f t="shared" si="34"/>
        <v>5.5440000000000003E-3</v>
      </c>
      <c r="U85" s="70">
        <f t="shared" si="34"/>
        <v>7.8539999999999999E-3</v>
      </c>
      <c r="V85" s="70">
        <f t="shared" si="34"/>
        <v>9.8560000000000002E-3</v>
      </c>
      <c r="W85" s="70">
        <f t="shared" si="34"/>
        <v>1.1550000000000001E-2</v>
      </c>
      <c r="X85" s="70">
        <f t="shared" si="34"/>
        <v>1.2936E-2</v>
      </c>
      <c r="Y85" s="70">
        <f>(Y82+Y83)*Y81</f>
        <v>1.4784E-2</v>
      </c>
    </row>
    <row r="90" spans="1:25" x14ac:dyDescent="0.3">
      <c r="A90" s="141" t="s">
        <v>388</v>
      </c>
      <c r="B90" s="69" t="s">
        <v>375</v>
      </c>
      <c r="C90" s="68">
        <v>-1</v>
      </c>
      <c r="D90" s="68">
        <v>-0.95</v>
      </c>
      <c r="E90" s="68">
        <v>-0.9</v>
      </c>
      <c r="F90" s="68">
        <v>-0.8</v>
      </c>
      <c r="G90" s="68">
        <v>-0.7</v>
      </c>
      <c r="H90" s="68">
        <v>-0.6</v>
      </c>
      <c r="I90" s="68">
        <v>-0.5</v>
      </c>
      <c r="J90" s="68">
        <v>-0.4</v>
      </c>
      <c r="K90" s="68">
        <v>-0.2</v>
      </c>
      <c r="L90" s="68">
        <v>0</v>
      </c>
    </row>
    <row r="91" spans="1:25" x14ac:dyDescent="0.3">
      <c r="A91" s="141"/>
      <c r="B91" s="69" t="s">
        <v>377</v>
      </c>
      <c r="C91" s="68">
        <f>N19</f>
        <v>6.0000000000000001E-3</v>
      </c>
      <c r="D91" s="68">
        <f>N19</f>
        <v>6.0000000000000001E-3</v>
      </c>
      <c r="E91" s="68">
        <f>N19</f>
        <v>6.0000000000000001E-3</v>
      </c>
      <c r="F91" s="68">
        <f>N19</f>
        <v>6.0000000000000001E-3</v>
      </c>
      <c r="G91" s="68">
        <f>N19</f>
        <v>6.0000000000000001E-3</v>
      </c>
      <c r="H91" s="68">
        <f>N19</f>
        <v>6.0000000000000001E-3</v>
      </c>
      <c r="I91" s="68">
        <f>N19</f>
        <v>6.0000000000000001E-3</v>
      </c>
      <c r="J91" s="68">
        <f>N19</f>
        <v>6.0000000000000001E-3</v>
      </c>
      <c r="K91" s="68">
        <f>N19</f>
        <v>6.0000000000000001E-3</v>
      </c>
      <c r="L91" s="68">
        <f>N19</f>
        <v>6.0000000000000001E-3</v>
      </c>
    </row>
    <row r="92" spans="1:25" x14ac:dyDescent="0.3">
      <c r="A92" s="141"/>
      <c r="B92" s="69" t="s">
        <v>378</v>
      </c>
      <c r="C92" s="68">
        <v>0</v>
      </c>
      <c r="D92" s="68">
        <v>0</v>
      </c>
      <c r="E92" s="68">
        <v>0</v>
      </c>
      <c r="F92" s="68">
        <v>0</v>
      </c>
      <c r="G92" s="68">
        <v>0</v>
      </c>
      <c r="H92" s="68">
        <v>0</v>
      </c>
      <c r="I92" s="68">
        <v>0</v>
      </c>
      <c r="J92" s="68">
        <v>0</v>
      </c>
      <c r="K92" s="68">
        <v>0</v>
      </c>
      <c r="L92" s="68">
        <v>0</v>
      </c>
    </row>
    <row r="93" spans="1:25" x14ac:dyDescent="0.3">
      <c r="A93" s="141"/>
      <c r="B93" s="69" t="s">
        <v>379</v>
      </c>
      <c r="C93" s="68">
        <v>0</v>
      </c>
      <c r="D93" s="68">
        <v>9.7500000000000003E-2</v>
      </c>
      <c r="E93" s="68">
        <v>0.19</v>
      </c>
      <c r="F93" s="68">
        <v>0.36</v>
      </c>
      <c r="G93" s="68">
        <v>0.51</v>
      </c>
      <c r="H93" s="68">
        <v>0.64</v>
      </c>
      <c r="I93" s="68">
        <v>0.75</v>
      </c>
      <c r="J93" s="68">
        <v>0.84</v>
      </c>
      <c r="K93" s="68">
        <v>0.96</v>
      </c>
      <c r="L93" s="68">
        <v>1</v>
      </c>
      <c r="M93" s="3"/>
    </row>
    <row r="94" spans="1:25" x14ac:dyDescent="0.3">
      <c r="A94" s="141"/>
      <c r="B94" s="7" t="s">
        <v>380</v>
      </c>
      <c r="C94" s="70">
        <f>C91*C92</f>
        <v>0</v>
      </c>
      <c r="D94" s="70">
        <f t="shared" ref="D94:L94" si="35">D91*D92</f>
        <v>0</v>
      </c>
      <c r="E94" s="70">
        <f t="shared" si="35"/>
        <v>0</v>
      </c>
      <c r="F94" s="70">
        <f t="shared" si="35"/>
        <v>0</v>
      </c>
      <c r="G94" s="70">
        <f t="shared" si="35"/>
        <v>0</v>
      </c>
      <c r="H94" s="70">
        <f t="shared" si="35"/>
        <v>0</v>
      </c>
      <c r="I94" s="70">
        <f t="shared" si="35"/>
        <v>0</v>
      </c>
      <c r="J94" s="70">
        <f t="shared" si="35"/>
        <v>0</v>
      </c>
      <c r="K94" s="70">
        <f t="shared" si="35"/>
        <v>0</v>
      </c>
      <c r="L94" s="70">
        <f t="shared" si="35"/>
        <v>0</v>
      </c>
      <c r="M94" s="3"/>
    </row>
    <row r="95" spans="1:25" x14ac:dyDescent="0.3">
      <c r="A95" s="141"/>
      <c r="B95" s="7" t="s">
        <v>381</v>
      </c>
      <c r="C95" s="70">
        <f>(C92+C93)*C91</f>
        <v>0</v>
      </c>
      <c r="D95" s="70">
        <f t="shared" ref="D95:L95" si="36">(D92+D93)*D91</f>
        <v>5.8500000000000002E-4</v>
      </c>
      <c r="E95" s="70">
        <f t="shared" si="36"/>
        <v>1.14E-3</v>
      </c>
      <c r="F95" s="70">
        <f t="shared" si="36"/>
        <v>2.16E-3</v>
      </c>
      <c r="G95" s="70">
        <f t="shared" si="36"/>
        <v>3.0600000000000002E-3</v>
      </c>
      <c r="H95" s="70">
        <f t="shared" si="36"/>
        <v>3.8400000000000001E-3</v>
      </c>
      <c r="I95" s="70">
        <f t="shared" si="36"/>
        <v>4.5000000000000005E-3</v>
      </c>
      <c r="J95" s="70">
        <f t="shared" si="36"/>
        <v>5.0400000000000002E-3</v>
      </c>
      <c r="K95" s="70">
        <f t="shared" si="36"/>
        <v>5.7599999999999995E-3</v>
      </c>
      <c r="L95" s="70">
        <f t="shared" si="36"/>
        <v>6.0000000000000001E-3</v>
      </c>
    </row>
    <row r="96" spans="1:25" x14ac:dyDescent="0.3">
      <c r="A96" s="141"/>
      <c r="B96" s="138"/>
      <c r="C96" s="139"/>
      <c r="D96" s="139"/>
      <c r="E96" s="139"/>
      <c r="F96" s="139"/>
      <c r="G96" s="139"/>
      <c r="H96" s="139"/>
      <c r="I96" s="139"/>
      <c r="J96" s="139"/>
      <c r="K96" s="139"/>
      <c r="L96" s="140"/>
    </row>
    <row r="97" spans="1:12" x14ac:dyDescent="0.3">
      <c r="A97" s="141"/>
      <c r="B97" s="69" t="s">
        <v>375</v>
      </c>
      <c r="C97" s="68">
        <v>1</v>
      </c>
      <c r="D97" s="68">
        <v>0.95</v>
      </c>
      <c r="E97" s="68">
        <v>0.9</v>
      </c>
      <c r="F97" s="68">
        <v>0.85</v>
      </c>
      <c r="G97" s="68">
        <v>0.8</v>
      </c>
      <c r="H97" s="68">
        <v>0.7</v>
      </c>
      <c r="I97" s="68">
        <v>0.6</v>
      </c>
      <c r="J97" s="68">
        <v>0.5</v>
      </c>
      <c r="K97" s="68">
        <v>0.4</v>
      </c>
      <c r="L97" s="68">
        <v>0.2</v>
      </c>
    </row>
    <row r="98" spans="1:12" x14ac:dyDescent="0.3">
      <c r="A98" s="141"/>
      <c r="B98" s="69" t="s">
        <v>377</v>
      </c>
      <c r="C98" s="68">
        <f>N19</f>
        <v>6.0000000000000001E-3</v>
      </c>
      <c r="D98" s="68">
        <f>N19</f>
        <v>6.0000000000000001E-3</v>
      </c>
      <c r="E98" s="68">
        <f>N19</f>
        <v>6.0000000000000001E-3</v>
      </c>
      <c r="F98" s="68">
        <f>N19</f>
        <v>6.0000000000000001E-3</v>
      </c>
      <c r="G98" s="68">
        <f>N19</f>
        <v>6.0000000000000001E-3</v>
      </c>
      <c r="H98" s="68">
        <f>N19</f>
        <v>6.0000000000000001E-3</v>
      </c>
      <c r="I98" s="68">
        <f>N19</f>
        <v>6.0000000000000001E-3</v>
      </c>
      <c r="J98" s="68">
        <f>N19</f>
        <v>6.0000000000000001E-3</v>
      </c>
      <c r="K98" s="68">
        <f>N19</f>
        <v>6.0000000000000001E-3</v>
      </c>
      <c r="L98" s="68">
        <f>N19</f>
        <v>6.0000000000000001E-3</v>
      </c>
    </row>
    <row r="99" spans="1:12" x14ac:dyDescent="0.3">
      <c r="A99" s="141"/>
      <c r="B99" s="69" t="s">
        <v>378</v>
      </c>
      <c r="C99" s="68">
        <v>0</v>
      </c>
      <c r="D99" s="68">
        <v>0</v>
      </c>
      <c r="E99" s="68">
        <v>0</v>
      </c>
      <c r="F99" s="68">
        <v>0</v>
      </c>
      <c r="G99" s="68">
        <v>0</v>
      </c>
      <c r="H99" s="68">
        <v>0</v>
      </c>
      <c r="I99" s="68">
        <v>0</v>
      </c>
      <c r="J99" s="68">
        <v>0</v>
      </c>
      <c r="K99" s="68">
        <v>0</v>
      </c>
      <c r="L99" s="68">
        <v>0</v>
      </c>
    </row>
    <row r="100" spans="1:12" x14ac:dyDescent="0.3">
      <c r="A100" s="141"/>
      <c r="B100" s="69" t="s">
        <v>379</v>
      </c>
      <c r="C100" s="68">
        <v>0</v>
      </c>
      <c r="D100" s="68">
        <v>9.7500000000000003E-2</v>
      </c>
      <c r="E100" s="68">
        <v>0.19</v>
      </c>
      <c r="F100" s="68">
        <v>0.27750000000000002</v>
      </c>
      <c r="G100" s="68">
        <v>0.36</v>
      </c>
      <c r="H100" s="68">
        <v>0.51</v>
      </c>
      <c r="I100" s="68">
        <v>0.64</v>
      </c>
      <c r="J100" s="68">
        <v>0.75</v>
      </c>
      <c r="K100" s="68">
        <v>0.84</v>
      </c>
      <c r="L100" s="68">
        <v>0.96</v>
      </c>
    </row>
    <row r="101" spans="1:12" x14ac:dyDescent="0.3">
      <c r="A101" s="141"/>
      <c r="B101" s="7" t="s">
        <v>380</v>
      </c>
      <c r="C101" s="70">
        <f>C98*C99</f>
        <v>0</v>
      </c>
      <c r="D101" s="70">
        <f t="shared" ref="D101:L101" si="37">D98*D99</f>
        <v>0</v>
      </c>
      <c r="E101" s="70">
        <f t="shared" si="37"/>
        <v>0</v>
      </c>
      <c r="F101" s="70">
        <f t="shared" si="37"/>
        <v>0</v>
      </c>
      <c r="G101" s="70">
        <f t="shared" si="37"/>
        <v>0</v>
      </c>
      <c r="H101" s="70">
        <f t="shared" si="37"/>
        <v>0</v>
      </c>
      <c r="I101" s="70">
        <f t="shared" si="37"/>
        <v>0</v>
      </c>
      <c r="J101" s="70">
        <f t="shared" si="37"/>
        <v>0</v>
      </c>
      <c r="K101" s="70">
        <f t="shared" si="37"/>
        <v>0</v>
      </c>
      <c r="L101" s="70">
        <f t="shared" si="37"/>
        <v>0</v>
      </c>
    </row>
    <row r="102" spans="1:12" x14ac:dyDescent="0.3">
      <c r="A102" s="141"/>
      <c r="B102" s="7" t="s">
        <v>381</v>
      </c>
      <c r="C102" s="70">
        <f>(C99+C100)*C98</f>
        <v>0</v>
      </c>
      <c r="D102" s="70">
        <f t="shared" ref="D102:K102" si="38">(D99+D100)*D98</f>
        <v>5.8500000000000002E-4</v>
      </c>
      <c r="E102" s="70">
        <f t="shared" si="38"/>
        <v>1.14E-3</v>
      </c>
      <c r="F102" s="70">
        <f t="shared" si="38"/>
        <v>1.6650000000000002E-3</v>
      </c>
      <c r="G102" s="70">
        <f t="shared" si="38"/>
        <v>2.16E-3</v>
      </c>
      <c r="H102" s="70">
        <f t="shared" si="38"/>
        <v>3.0600000000000002E-3</v>
      </c>
      <c r="I102" s="70">
        <f t="shared" si="38"/>
        <v>3.8400000000000001E-3</v>
      </c>
      <c r="J102" s="70">
        <f t="shared" si="38"/>
        <v>4.5000000000000005E-3</v>
      </c>
      <c r="K102" s="70">
        <f t="shared" si="38"/>
        <v>5.0400000000000002E-3</v>
      </c>
      <c r="L102" s="70">
        <f>(L99+L100)*L98</f>
        <v>5.7599999999999995E-3</v>
      </c>
    </row>
  </sheetData>
  <mergeCells count="23">
    <mergeCell ref="A9:A10"/>
    <mergeCell ref="B9:B10"/>
    <mergeCell ref="C9:C10"/>
    <mergeCell ref="D9:D10"/>
    <mergeCell ref="E9:F9"/>
    <mergeCell ref="O30:Y30"/>
    <mergeCell ref="A40:A52"/>
    <mergeCell ref="N40:N52"/>
    <mergeCell ref="B46:L46"/>
    <mergeCell ref="O46:Y46"/>
    <mergeCell ref="A24:A36"/>
    <mergeCell ref="N24:N36"/>
    <mergeCell ref="B30:L30"/>
    <mergeCell ref="A90:A102"/>
    <mergeCell ref="B96:L96"/>
    <mergeCell ref="A56:A68"/>
    <mergeCell ref="N56:N68"/>
    <mergeCell ref="B62:L62"/>
    <mergeCell ref="O62:Y62"/>
    <mergeCell ref="A73:A85"/>
    <mergeCell ref="N73:N85"/>
    <mergeCell ref="B79:L79"/>
    <mergeCell ref="O79:Y7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73"/>
  <sheetViews>
    <sheetView topLeftCell="A256" workbookViewId="0">
      <selection activeCell="E353" sqref="E353"/>
    </sheetView>
  </sheetViews>
  <sheetFormatPr defaultRowHeight="14.4" x14ac:dyDescent="0.3"/>
  <cols>
    <col min="3" max="3" width="11.33203125" customWidth="1"/>
  </cols>
  <sheetData>
    <row r="1" spans="1:11" x14ac:dyDescent="0.3">
      <c r="A1" s="137" t="s">
        <v>132</v>
      </c>
      <c r="B1" s="137"/>
      <c r="C1" s="137"/>
      <c r="D1" s="137"/>
      <c r="E1" s="137"/>
      <c r="F1" s="137"/>
      <c r="G1" s="137"/>
      <c r="H1" s="137"/>
      <c r="I1" s="137"/>
    </row>
    <row r="2" spans="1:11" x14ac:dyDescent="0.3">
      <c r="A2" s="137"/>
      <c r="B2" s="137"/>
      <c r="C2" s="137"/>
      <c r="D2" s="137"/>
      <c r="E2" s="137"/>
      <c r="F2" s="137"/>
      <c r="G2" s="137"/>
      <c r="H2" s="137"/>
      <c r="I2" s="137"/>
    </row>
    <row r="3" spans="1:11" ht="17.399999999999999" x14ac:dyDescent="0.3">
      <c r="A3" s="10"/>
    </row>
    <row r="4" spans="1:11" ht="17.399999999999999" x14ac:dyDescent="0.3">
      <c r="A4" s="10"/>
    </row>
    <row r="5" spans="1:11" ht="15" x14ac:dyDescent="0.3">
      <c r="A5" s="11" t="s">
        <v>133</v>
      </c>
      <c r="B5" s="2"/>
      <c r="C5" s="2"/>
      <c r="D5" s="2"/>
      <c r="E5" s="2"/>
      <c r="F5" s="2"/>
      <c r="G5" s="2"/>
      <c r="H5" s="2"/>
      <c r="I5" s="2"/>
    </row>
    <row r="6" spans="1:11" ht="15.6" x14ac:dyDescent="0.3">
      <c r="A6" s="136" t="s">
        <v>134</v>
      </c>
      <c r="B6" s="136"/>
      <c r="C6" s="2"/>
      <c r="D6" s="2"/>
      <c r="E6" s="2"/>
      <c r="F6" s="12">
        <v>66</v>
      </c>
      <c r="G6" s="2" t="s">
        <v>0</v>
      </c>
      <c r="H6" s="58"/>
      <c r="I6" s="59"/>
      <c r="J6" s="2"/>
      <c r="K6" s="2"/>
    </row>
    <row r="7" spans="1:11" ht="15.6" x14ac:dyDescent="0.3">
      <c r="A7" s="136" t="s">
        <v>135</v>
      </c>
      <c r="B7" s="136"/>
      <c r="C7" s="2"/>
      <c r="D7" s="2"/>
      <c r="E7" s="2"/>
      <c r="F7" s="13">
        <v>14</v>
      </c>
      <c r="G7" s="2" t="s">
        <v>0</v>
      </c>
      <c r="H7" s="2"/>
      <c r="I7" s="2"/>
      <c r="J7" s="2"/>
      <c r="K7" s="2"/>
    </row>
    <row r="8" spans="1:11" ht="15.6" x14ac:dyDescent="0.3">
      <c r="A8" s="136" t="s">
        <v>136</v>
      </c>
      <c r="B8" s="136"/>
      <c r="C8" s="2"/>
      <c r="D8" s="2"/>
      <c r="E8" s="2"/>
      <c r="F8" s="13">
        <v>3.8</v>
      </c>
      <c r="G8" s="2" t="s">
        <v>0</v>
      </c>
      <c r="H8" s="2"/>
      <c r="I8" s="2"/>
      <c r="J8" s="2"/>
      <c r="K8" s="2"/>
    </row>
    <row r="9" spans="1:11" ht="15.6" x14ac:dyDescent="0.3">
      <c r="A9" s="136" t="s">
        <v>137</v>
      </c>
      <c r="B9" s="136"/>
      <c r="C9" s="2"/>
      <c r="D9" s="2"/>
      <c r="E9" s="2"/>
      <c r="F9" s="13">
        <v>0.8</v>
      </c>
      <c r="G9" s="2" t="s">
        <v>0</v>
      </c>
      <c r="H9" s="2"/>
      <c r="I9" s="2"/>
      <c r="J9" s="2"/>
      <c r="K9" s="2"/>
    </row>
    <row r="10" spans="1:11" ht="15.6" x14ac:dyDescent="0.3">
      <c r="A10" s="136" t="s">
        <v>138</v>
      </c>
      <c r="B10" s="136"/>
      <c r="C10" s="2"/>
      <c r="D10" s="2"/>
      <c r="E10" s="2"/>
      <c r="F10" s="12">
        <v>10</v>
      </c>
      <c r="G10" s="2" t="s">
        <v>1</v>
      </c>
      <c r="H10" s="2"/>
      <c r="I10" s="2"/>
      <c r="J10" s="2"/>
      <c r="K10" s="2"/>
    </row>
    <row r="11" spans="1:11" ht="15.6" x14ac:dyDescent="0.3">
      <c r="A11" s="14"/>
      <c r="B11" s="2"/>
      <c r="C11" s="2"/>
      <c r="D11" s="2"/>
      <c r="E11" s="2"/>
      <c r="F11" s="13">
        <f>F10</f>
        <v>10</v>
      </c>
      <c r="G11" s="15" t="s">
        <v>1</v>
      </c>
      <c r="H11" s="2"/>
      <c r="I11" s="2"/>
      <c r="J11" s="2"/>
      <c r="K11" s="2"/>
    </row>
    <row r="12" spans="1:11" x14ac:dyDescent="0.3">
      <c r="A12" s="2"/>
      <c r="B12" s="2"/>
      <c r="C12" s="2"/>
      <c r="D12" s="2"/>
      <c r="E12" s="2"/>
      <c r="F12" s="2"/>
      <c r="G12" s="2"/>
      <c r="H12" s="2"/>
      <c r="I12" s="2"/>
    </row>
    <row r="13" spans="1:11" ht="15.6" x14ac:dyDescent="0.3">
      <c r="A13" s="16"/>
    </row>
    <row r="14" spans="1:11" ht="15.6" x14ac:dyDescent="0.3">
      <c r="A14" s="16"/>
    </row>
    <row r="15" spans="1:11" ht="15" x14ac:dyDescent="0.3">
      <c r="A15" s="17" t="s">
        <v>140</v>
      </c>
    </row>
    <row r="16" spans="1:11" ht="15" x14ac:dyDescent="0.3">
      <c r="A16" s="18"/>
    </row>
    <row r="17" spans="1:6" ht="15.6" x14ac:dyDescent="0.3">
      <c r="A17" s="19" t="s">
        <v>141</v>
      </c>
    </row>
    <row r="18" spans="1:6" ht="15.6" x14ac:dyDescent="0.3">
      <c r="A18" s="20" t="s">
        <v>142</v>
      </c>
    </row>
    <row r="19" spans="1:6" ht="18.600000000000001" x14ac:dyDescent="0.3">
      <c r="C19" s="16" t="s">
        <v>143</v>
      </c>
      <c r="F19" s="16" t="s">
        <v>144</v>
      </c>
    </row>
    <row r="21" spans="1:6" ht="18" x14ac:dyDescent="0.3">
      <c r="A21" s="21" t="s">
        <v>145</v>
      </c>
    </row>
    <row r="22" spans="1:6" ht="18" x14ac:dyDescent="0.3">
      <c r="A22" s="21" t="s">
        <v>146</v>
      </c>
    </row>
    <row r="23" spans="1:6" ht="18" x14ac:dyDescent="0.3">
      <c r="A23" s="16" t="s">
        <v>147</v>
      </c>
    </row>
    <row r="24" spans="1:6" ht="18" x14ac:dyDescent="0.3">
      <c r="A24" s="16" t="s">
        <v>148</v>
      </c>
    </row>
    <row r="25" spans="1:6" ht="15.6" x14ac:dyDescent="0.3">
      <c r="A25" s="16"/>
    </row>
    <row r="27" spans="1:6" ht="18.600000000000001" x14ac:dyDescent="0.3">
      <c r="A27" s="16" t="s">
        <v>149</v>
      </c>
      <c r="B27" s="16"/>
      <c r="C27" s="16"/>
      <c r="D27" s="22">
        <f>1*1.75*F6*F8/100</f>
        <v>4.3889999999999993</v>
      </c>
      <c r="E27" s="16" t="s">
        <v>144</v>
      </c>
    </row>
    <row r="29" spans="1:6" ht="15.6" x14ac:dyDescent="0.3">
      <c r="A29" s="19" t="s">
        <v>150</v>
      </c>
    </row>
    <row r="30" spans="1:6" ht="15.6" x14ac:dyDescent="0.3">
      <c r="A30" s="16" t="s">
        <v>151</v>
      </c>
    </row>
    <row r="33" spans="1:6" ht="15.6" x14ac:dyDescent="0.3">
      <c r="A33" s="16" t="s">
        <v>152</v>
      </c>
    </row>
    <row r="34" spans="1:6" ht="15.6" x14ac:dyDescent="0.3">
      <c r="A34" s="23"/>
    </row>
    <row r="35" spans="1:6" ht="18.600000000000001" x14ac:dyDescent="0.3">
      <c r="A35" s="23"/>
      <c r="B35" s="24" t="s">
        <v>153</v>
      </c>
      <c r="C35" s="25">
        <f>(F6*F8)/60</f>
        <v>4.18</v>
      </c>
      <c r="D35" s="16" t="s">
        <v>154</v>
      </c>
    </row>
    <row r="36" spans="1:6" ht="15.6" x14ac:dyDescent="0.3">
      <c r="A36" s="19" t="s">
        <v>155</v>
      </c>
    </row>
    <row r="37" spans="1:6" x14ac:dyDescent="0.3">
      <c r="A37" t="s">
        <v>156</v>
      </c>
    </row>
    <row r="39" spans="1:6" ht="18.600000000000001" x14ac:dyDescent="0.3">
      <c r="F39" s="16" t="s">
        <v>154</v>
      </c>
    </row>
    <row r="40" spans="1:6" ht="15.6" x14ac:dyDescent="0.3">
      <c r="A40" s="16"/>
    </row>
    <row r="41" spans="1:6" ht="18.600000000000001" x14ac:dyDescent="0.3">
      <c r="A41" s="16" t="s">
        <v>157</v>
      </c>
      <c r="C41" s="22">
        <f>F8*F6/100*(1+25*(F7/F6)^2)</f>
        <v>5.3292121212121213</v>
      </c>
      <c r="D41" s="16" t="s">
        <v>154</v>
      </c>
    </row>
    <row r="43" spans="1:6" x14ac:dyDescent="0.3">
      <c r="A43" t="s">
        <v>158</v>
      </c>
    </row>
    <row r="44" spans="1:6" ht="15.6" x14ac:dyDescent="0.3">
      <c r="A44" s="16"/>
      <c r="C44" t="s">
        <v>159</v>
      </c>
      <c r="D44" s="22">
        <f>C41</f>
        <v>5.3292121212121213</v>
      </c>
    </row>
    <row r="45" spans="1:6" ht="15.6" x14ac:dyDescent="0.3">
      <c r="A45" s="16"/>
    </row>
    <row r="46" spans="1:6" ht="15.6" x14ac:dyDescent="0.3">
      <c r="A46" s="21"/>
    </row>
    <row r="47" spans="1:6" ht="15" x14ac:dyDescent="0.3">
      <c r="A47" s="17" t="s">
        <v>160</v>
      </c>
    </row>
    <row r="48" spans="1:6" ht="18" x14ac:dyDescent="0.3">
      <c r="A48" s="21" t="s">
        <v>161</v>
      </c>
    </row>
    <row r="49" spans="1:6" ht="15.6" x14ac:dyDescent="0.3">
      <c r="A49" s="21"/>
    </row>
    <row r="51" spans="1:6" ht="18.600000000000001" x14ac:dyDescent="0.3">
      <c r="A51" s="21" t="s">
        <v>162</v>
      </c>
      <c r="C51" s="21" t="s">
        <v>163</v>
      </c>
    </row>
    <row r="53" spans="1:6" ht="18.600000000000001" x14ac:dyDescent="0.3">
      <c r="A53" s="21" t="s">
        <v>164</v>
      </c>
      <c r="C53" s="21" t="s">
        <v>165</v>
      </c>
    </row>
    <row r="55" spans="1:6" ht="18.600000000000001" x14ac:dyDescent="0.3">
      <c r="A55" s="16" t="s">
        <v>166</v>
      </c>
    </row>
    <row r="56" spans="1:6" ht="18.600000000000001" x14ac:dyDescent="0.3">
      <c r="A56" s="16" t="s">
        <v>167</v>
      </c>
    </row>
    <row r="57" spans="1:6" x14ac:dyDescent="0.3">
      <c r="A57" t="s">
        <v>168</v>
      </c>
    </row>
    <row r="58" spans="1:6" x14ac:dyDescent="0.3">
      <c r="A58" t="s">
        <v>169</v>
      </c>
    </row>
    <row r="59" spans="1:6" x14ac:dyDescent="0.3">
      <c r="A59" t="s">
        <v>170</v>
      </c>
    </row>
    <row r="60" spans="1:6" ht="16.8" x14ac:dyDescent="0.35">
      <c r="A60" s="16" t="s">
        <v>171</v>
      </c>
      <c r="D60" t="s">
        <v>172</v>
      </c>
      <c r="E60" s="26">
        <v>280</v>
      </c>
      <c r="F60" t="s">
        <v>173</v>
      </c>
    </row>
    <row r="61" spans="1:6" ht="16.8" x14ac:dyDescent="0.35">
      <c r="A61" s="16" t="s">
        <v>174</v>
      </c>
      <c r="D61" t="s">
        <v>175</v>
      </c>
      <c r="E61" s="26">
        <v>735</v>
      </c>
      <c r="F61" t="s">
        <v>173</v>
      </c>
    </row>
    <row r="62" spans="1:6" ht="15.6" x14ac:dyDescent="0.3">
      <c r="A62" s="16" t="s">
        <v>176</v>
      </c>
    </row>
    <row r="65" spans="1:6" ht="15.6" x14ac:dyDescent="0.3">
      <c r="A65" s="16"/>
    </row>
    <row r="66" spans="1:6" ht="15.6" x14ac:dyDescent="0.3">
      <c r="A66" s="16"/>
      <c r="D66" s="27" t="s">
        <v>153</v>
      </c>
      <c r="E66" s="22">
        <f>(235/E60)^0.75</f>
        <v>0.8768642683052339</v>
      </c>
    </row>
    <row r="67" spans="1:6" ht="16.2" x14ac:dyDescent="0.3">
      <c r="A67" s="28" t="s">
        <v>177</v>
      </c>
    </row>
    <row r="68" spans="1:6" x14ac:dyDescent="0.3">
      <c r="A68" s="29" t="s">
        <v>178</v>
      </c>
      <c r="B68" s="29"/>
      <c r="C68" s="29"/>
      <c r="D68" s="29"/>
    </row>
    <row r="69" spans="1:6" ht="16.2" x14ac:dyDescent="0.3">
      <c r="A69" s="30" t="s">
        <v>179</v>
      </c>
    </row>
    <row r="70" spans="1:6" ht="16.2" x14ac:dyDescent="0.3">
      <c r="A70" s="28"/>
    </row>
    <row r="71" spans="1:6" ht="15.6" x14ac:dyDescent="0.3">
      <c r="A71" s="31" t="s">
        <v>180</v>
      </c>
    </row>
    <row r="72" spans="1:6" ht="16.2" x14ac:dyDescent="0.3">
      <c r="A72" s="32" t="s">
        <v>181</v>
      </c>
    </row>
    <row r="73" spans="1:6" ht="16.2" x14ac:dyDescent="0.3">
      <c r="A73" s="33" t="s">
        <v>182</v>
      </c>
    </row>
    <row r="74" spans="1:6" ht="16.8" x14ac:dyDescent="0.35">
      <c r="A74" s="16" t="s">
        <v>183</v>
      </c>
      <c r="D74" t="s">
        <v>172</v>
      </c>
      <c r="E74" s="34">
        <v>390</v>
      </c>
      <c r="F74" t="s">
        <v>173</v>
      </c>
    </row>
    <row r="75" spans="1:6" ht="16.8" x14ac:dyDescent="0.35">
      <c r="A75" s="16" t="s">
        <v>174</v>
      </c>
      <c r="D75" t="s">
        <v>175</v>
      </c>
      <c r="E75" s="34">
        <v>660</v>
      </c>
      <c r="F75" t="s">
        <v>173</v>
      </c>
    </row>
    <row r="76" spans="1:6" ht="15.6" x14ac:dyDescent="0.3">
      <c r="A76" s="16" t="s">
        <v>176</v>
      </c>
    </row>
    <row r="77" spans="1:6" ht="15.6" x14ac:dyDescent="0.3">
      <c r="A77" s="16"/>
    </row>
    <row r="78" spans="1:6" ht="15.6" x14ac:dyDescent="0.3">
      <c r="A78" s="16"/>
      <c r="F78" s="22">
        <f>(235/E74)^0.75</f>
        <v>0.68391549197635904</v>
      </c>
    </row>
    <row r="80" spans="1:6" ht="15" x14ac:dyDescent="0.3">
      <c r="A80" s="17" t="s">
        <v>184</v>
      </c>
    </row>
    <row r="81" spans="1:9" ht="15.6" x14ac:dyDescent="0.3">
      <c r="A81" s="21"/>
    </row>
    <row r="82" spans="1:9" ht="18.600000000000001" x14ac:dyDescent="0.3">
      <c r="A82" s="21" t="s">
        <v>185</v>
      </c>
      <c r="D82" s="26">
        <v>1.65</v>
      </c>
    </row>
    <row r="83" spans="1:9" ht="15.6" x14ac:dyDescent="0.3">
      <c r="A83" s="21" t="s">
        <v>186</v>
      </c>
    </row>
    <row r="84" spans="1:9" ht="15.6" x14ac:dyDescent="0.3">
      <c r="A84" s="21" t="s">
        <v>187</v>
      </c>
      <c r="E84" s="22">
        <f>D82*fuck</f>
        <v>2.9653330335731263</v>
      </c>
      <c r="F84" s="35" t="s">
        <v>188</v>
      </c>
      <c r="G84" s="8">
        <v>4000</v>
      </c>
      <c r="H84" t="s">
        <v>189</v>
      </c>
      <c r="I84" t="s">
        <v>190</v>
      </c>
    </row>
    <row r="85" spans="1:9" ht="15.6" x14ac:dyDescent="0.3">
      <c r="A85" s="16" t="s">
        <v>191</v>
      </c>
      <c r="E85" s="22">
        <f>SQRT(D44/D82)</f>
        <v>1.7971715354988644</v>
      </c>
      <c r="F85" s="35" t="s">
        <v>188</v>
      </c>
      <c r="G85" s="8">
        <v>2500</v>
      </c>
      <c r="H85" t="s">
        <v>189</v>
      </c>
      <c r="I85" t="s">
        <v>190</v>
      </c>
    </row>
    <row r="86" spans="1:9" ht="15.6" x14ac:dyDescent="0.3">
      <c r="A86" s="16"/>
      <c r="E86" s="36"/>
    </row>
    <row r="87" spans="1:9" ht="15" x14ac:dyDescent="0.3">
      <c r="A87" s="17" t="s">
        <v>192</v>
      </c>
    </row>
    <row r="88" spans="1:9" ht="15.6" x14ac:dyDescent="0.3">
      <c r="A88" s="37"/>
    </row>
    <row r="89" spans="1:9" ht="15.6" x14ac:dyDescent="0.3">
      <c r="A89" s="38" t="s">
        <v>193</v>
      </c>
    </row>
    <row r="90" spans="1:9" ht="15.6" x14ac:dyDescent="0.3">
      <c r="A90" s="39" t="s">
        <v>194</v>
      </c>
    </row>
    <row r="91" spans="1:9" ht="15.6" x14ac:dyDescent="0.3">
      <c r="A91" s="39"/>
    </row>
    <row r="92" spans="1:9" ht="18.600000000000001" x14ac:dyDescent="0.3">
      <c r="A92" s="21" t="s">
        <v>195</v>
      </c>
    </row>
    <row r="93" spans="1:9" ht="18.600000000000001" x14ac:dyDescent="0.3">
      <c r="A93" s="21" t="s">
        <v>196</v>
      </c>
      <c r="B93" s="9">
        <f>D44</f>
        <v>5.3292121212121213</v>
      </c>
      <c r="C93" s="16" t="s">
        <v>154</v>
      </c>
    </row>
    <row r="94" spans="1:9" ht="15.6" x14ac:dyDescent="0.3">
      <c r="A94" s="21"/>
      <c r="C94" s="16"/>
    </row>
    <row r="95" spans="1:9" ht="18" x14ac:dyDescent="0.3">
      <c r="A95" s="21" t="s">
        <v>197</v>
      </c>
    </row>
    <row r="96" spans="1:9" ht="15.6" x14ac:dyDescent="0.3">
      <c r="A96" s="21" t="s">
        <v>198</v>
      </c>
    </row>
    <row r="97" spans="1:3" ht="15.6" x14ac:dyDescent="0.3">
      <c r="A97" s="21" t="s">
        <v>199</v>
      </c>
      <c r="B97" s="9">
        <f>(D82+2)/3</f>
        <v>1.2166666666666666</v>
      </c>
    </row>
    <row r="98" spans="1:3" ht="15.6" x14ac:dyDescent="0.3">
      <c r="A98" s="21"/>
    </row>
    <row r="99" spans="1:3" ht="18" x14ac:dyDescent="0.3">
      <c r="A99" s="21" t="s">
        <v>200</v>
      </c>
    </row>
    <row r="100" spans="1:3" ht="15.6" x14ac:dyDescent="0.3">
      <c r="A100" s="21" t="s">
        <v>201</v>
      </c>
    </row>
    <row r="101" spans="1:3" ht="18" x14ac:dyDescent="0.3">
      <c r="A101" s="21" t="s">
        <v>202</v>
      </c>
    </row>
    <row r="102" spans="1:3" ht="15.6" x14ac:dyDescent="0.3">
      <c r="A102" s="21" t="s">
        <v>203</v>
      </c>
    </row>
    <row r="103" spans="1:3" ht="18" x14ac:dyDescent="0.3">
      <c r="A103" s="21" t="s">
        <v>204</v>
      </c>
    </row>
    <row r="104" spans="1:3" ht="15.6" x14ac:dyDescent="0.3">
      <c r="A104" s="21" t="s">
        <v>205</v>
      </c>
    </row>
    <row r="105" spans="1:3" ht="18" x14ac:dyDescent="0.3">
      <c r="A105" s="21" t="s">
        <v>206</v>
      </c>
      <c r="B105" s="40">
        <f>132*1*1.1*B97*1*B93*(F11)^2</f>
        <v>94145.861333333334</v>
      </c>
      <c r="C105" t="s">
        <v>207</v>
      </c>
    </row>
    <row r="106" spans="1:3" ht="15.6" x14ac:dyDescent="0.3">
      <c r="A106" s="16"/>
    </row>
    <row r="107" spans="1:3" ht="15.6" x14ac:dyDescent="0.3">
      <c r="A107" s="16" t="s">
        <v>208</v>
      </c>
    </row>
    <row r="108" spans="1:3" ht="18" x14ac:dyDescent="0.3">
      <c r="A108" s="21" t="s">
        <v>209</v>
      </c>
    </row>
    <row r="109" spans="1:3" ht="15.6" x14ac:dyDescent="0.3">
      <c r="A109" s="16" t="s">
        <v>210</v>
      </c>
    </row>
    <row r="110" spans="1:3" ht="18" x14ac:dyDescent="0.3">
      <c r="A110" s="21" t="s">
        <v>211</v>
      </c>
    </row>
    <row r="111" spans="1:3" ht="15.6" x14ac:dyDescent="0.3">
      <c r="A111" s="21" t="s">
        <v>212</v>
      </c>
      <c r="B111" s="9">
        <f>fuck</f>
        <v>1.7971715354988644</v>
      </c>
    </row>
    <row r="112" spans="1:3" ht="15.6" x14ac:dyDescent="0.3">
      <c r="A112" s="21" t="s">
        <v>213</v>
      </c>
    </row>
    <row r="113" spans="1:4" ht="18" x14ac:dyDescent="0.3">
      <c r="A113" s="21" t="s">
        <v>214</v>
      </c>
      <c r="B113" s="21"/>
      <c r="C113" s="21"/>
      <c r="D113" s="9">
        <v>0.25</v>
      </c>
    </row>
    <row r="114" spans="1:4" ht="15.6" x14ac:dyDescent="0.3">
      <c r="A114" s="21"/>
    </row>
    <row r="115" spans="1:4" ht="15.6" x14ac:dyDescent="0.3">
      <c r="A115" s="16" t="s">
        <v>215</v>
      </c>
    </row>
    <row r="116" spans="1:4" ht="15.6" x14ac:dyDescent="0.3">
      <c r="A116" s="21" t="s">
        <v>216</v>
      </c>
      <c r="B116" s="40">
        <f>B111*(0.33-D113)</f>
        <v>0.14377372283990919</v>
      </c>
      <c r="C116" t="s">
        <v>217</v>
      </c>
    </row>
    <row r="117" spans="1:4" ht="15.6" x14ac:dyDescent="0.3">
      <c r="A117" s="21" t="s">
        <v>218</v>
      </c>
    </row>
    <row r="118" spans="1:4" ht="18" x14ac:dyDescent="0.3">
      <c r="A118" s="21" t="s">
        <v>219</v>
      </c>
      <c r="B118" s="21"/>
      <c r="C118" s="9">
        <f>B116*B105</f>
        <v>13535.70097386319</v>
      </c>
      <c r="D118" t="s">
        <v>220</v>
      </c>
    </row>
    <row r="119" spans="1:4" ht="15.6" x14ac:dyDescent="0.3">
      <c r="A119" s="41"/>
    </row>
    <row r="120" spans="1:4" ht="15.6" x14ac:dyDescent="0.3">
      <c r="A120" s="42" t="s">
        <v>221</v>
      </c>
    </row>
    <row r="121" spans="1:4" ht="15.6" x14ac:dyDescent="0.3">
      <c r="A121" s="43" t="s">
        <v>222</v>
      </c>
    </row>
    <row r="123" spans="1:4" ht="15.6" x14ac:dyDescent="0.3">
      <c r="A123" s="16"/>
      <c r="C123" t="s">
        <v>223</v>
      </c>
    </row>
    <row r="124" spans="1:4" ht="18" x14ac:dyDescent="0.35">
      <c r="A124" s="16"/>
      <c r="C124" s="44" t="s">
        <v>224</v>
      </c>
      <c r="D124" t="s">
        <v>225</v>
      </c>
    </row>
    <row r="125" spans="1:4" ht="16.2" x14ac:dyDescent="0.3">
      <c r="A125" s="16" t="s">
        <v>139</v>
      </c>
      <c r="D125" t="s">
        <v>226</v>
      </c>
    </row>
    <row r="126" spans="1:4" ht="16.2" x14ac:dyDescent="0.3">
      <c r="A126" s="16"/>
      <c r="D126" t="s">
        <v>227</v>
      </c>
    </row>
    <row r="127" spans="1:4" ht="15.6" x14ac:dyDescent="0.3">
      <c r="A127" s="16" t="s">
        <v>139</v>
      </c>
      <c r="D127" t="s">
        <v>228</v>
      </c>
    </row>
    <row r="128" spans="1:4" ht="15.6" x14ac:dyDescent="0.3">
      <c r="A128" s="16"/>
    </row>
    <row r="129" spans="1:5" ht="15.6" x14ac:dyDescent="0.3">
      <c r="A129" s="16" t="s">
        <v>139</v>
      </c>
    </row>
    <row r="130" spans="1:5" ht="15.6" x14ac:dyDescent="0.3">
      <c r="A130" s="16" t="s">
        <v>229</v>
      </c>
    </row>
    <row r="131" spans="1:5" ht="15.6" x14ac:dyDescent="0.3">
      <c r="A131" s="45"/>
      <c r="B131" t="s">
        <v>153</v>
      </c>
      <c r="C131" s="9">
        <f>18*B93*F11^2*35</f>
        <v>335740.36363636371</v>
      </c>
    </row>
    <row r="132" spans="1:5" x14ac:dyDescent="0.3">
      <c r="A132" s="45"/>
    </row>
    <row r="134" spans="1:5" ht="15.6" x14ac:dyDescent="0.3">
      <c r="A134" s="16" t="s">
        <v>230</v>
      </c>
    </row>
    <row r="136" spans="1:5" ht="15.6" x14ac:dyDescent="0.3">
      <c r="A136" s="16"/>
      <c r="C136" t="s">
        <v>231</v>
      </c>
    </row>
    <row r="137" spans="1:5" ht="15.6" x14ac:dyDescent="0.3">
      <c r="A137" s="16" t="s">
        <v>232</v>
      </c>
      <c r="E137" t="s">
        <v>233</v>
      </c>
    </row>
    <row r="138" spans="1:5" ht="15.6" x14ac:dyDescent="0.3">
      <c r="A138" s="16" t="s">
        <v>139</v>
      </c>
      <c r="E138" t="s">
        <v>234</v>
      </c>
    </row>
    <row r="139" spans="1:5" ht="15.6" x14ac:dyDescent="0.3">
      <c r="A139" s="16"/>
      <c r="E139" t="s">
        <v>235</v>
      </c>
    </row>
    <row r="140" spans="1:5" ht="15.6" x14ac:dyDescent="0.3">
      <c r="A140" s="16"/>
    </row>
    <row r="141" spans="1:5" ht="15.6" x14ac:dyDescent="0.3">
      <c r="A141" s="16" t="s">
        <v>152</v>
      </c>
      <c r="C141" t="s">
        <v>236</v>
      </c>
      <c r="D141" s="9">
        <f>(0.195+0.305*SIN(0.61))*E85</f>
        <v>0.66445848275864405</v>
      </c>
    </row>
    <row r="143" spans="1:5" ht="15.6" x14ac:dyDescent="0.3">
      <c r="A143" s="16" t="s">
        <v>237</v>
      </c>
    </row>
    <row r="144" spans="1:5" ht="15.6" x14ac:dyDescent="0.3">
      <c r="A144" s="16" t="s">
        <v>238</v>
      </c>
    </row>
    <row r="145" spans="1:8" ht="16.2" x14ac:dyDescent="0.3">
      <c r="A145" s="45"/>
      <c r="D145" t="s">
        <v>153</v>
      </c>
      <c r="E145" s="9">
        <f>0.25*D44</f>
        <v>1.3323030303030303</v>
      </c>
      <c r="F145" t="s">
        <v>239</v>
      </c>
    </row>
    <row r="147" spans="1:8" ht="15.6" x14ac:dyDescent="0.3">
      <c r="A147" s="16" t="s">
        <v>240</v>
      </c>
    </row>
    <row r="148" spans="1:8" x14ac:dyDescent="0.3">
      <c r="A148" s="45"/>
    </row>
    <row r="149" spans="1:8" x14ac:dyDescent="0.3">
      <c r="A149" s="45"/>
    </row>
    <row r="150" spans="1:8" ht="15.6" x14ac:dyDescent="0.3">
      <c r="A150" t="s">
        <v>153</v>
      </c>
      <c r="B150" s="9">
        <f>E145/E84</f>
        <v>0.44929288387471611</v>
      </c>
      <c r="C150" t="s">
        <v>0</v>
      </c>
    </row>
    <row r="151" spans="1:8" ht="15.6" x14ac:dyDescent="0.3">
      <c r="A151" s="16" t="s">
        <v>241</v>
      </c>
    </row>
    <row r="152" spans="1:8" x14ac:dyDescent="0.3">
      <c r="A152" s="45"/>
    </row>
    <row r="153" spans="1:8" ht="15.6" x14ac:dyDescent="0.3">
      <c r="A153" s="45" t="s">
        <v>153</v>
      </c>
      <c r="B153" s="9">
        <f>D141-B150</f>
        <v>0.21516559888392794</v>
      </c>
    </row>
    <row r="155" spans="1:8" ht="15.6" x14ac:dyDescent="0.3">
      <c r="A155" s="16" t="s">
        <v>242</v>
      </c>
    </row>
    <row r="156" spans="1:8" ht="15.6" x14ac:dyDescent="0.3">
      <c r="H156" s="16"/>
    </row>
    <row r="157" spans="1:8" ht="15.6" x14ac:dyDescent="0.3">
      <c r="D157" t="s">
        <v>153</v>
      </c>
      <c r="E157">
        <f>B153*C131</f>
        <v>72239.776411325947</v>
      </c>
      <c r="F157" t="s">
        <v>220</v>
      </c>
      <c r="H157" s="16"/>
    </row>
    <row r="159" spans="1:8" ht="15.6" x14ac:dyDescent="0.3">
      <c r="A159" s="16" t="s">
        <v>243</v>
      </c>
    </row>
    <row r="160" spans="1:8" x14ac:dyDescent="0.3">
      <c r="A160" s="45"/>
    </row>
    <row r="161" spans="1:7" ht="16.2" x14ac:dyDescent="0.3">
      <c r="A161" s="45"/>
      <c r="E161" t="s">
        <v>153</v>
      </c>
      <c r="F161">
        <f>B105/(1000*h)</f>
        <v>31.748832346122942</v>
      </c>
      <c r="G161" t="s">
        <v>244</v>
      </c>
    </row>
    <row r="162" spans="1:7" x14ac:dyDescent="0.3">
      <c r="A162" s="45"/>
    </row>
    <row r="163" spans="1:7" x14ac:dyDescent="0.3">
      <c r="A163" t="s">
        <v>245</v>
      </c>
    </row>
    <row r="164" spans="1:7" x14ac:dyDescent="0.3">
      <c r="A164" t="s">
        <v>246</v>
      </c>
    </row>
    <row r="165" spans="1:7" x14ac:dyDescent="0.3">
      <c r="A165" t="s">
        <v>247</v>
      </c>
    </row>
    <row r="166" spans="1:7" x14ac:dyDescent="0.3">
      <c r="A166" t="s">
        <v>248</v>
      </c>
      <c r="B166" s="22">
        <f>B105/2</f>
        <v>47072.930666666667</v>
      </c>
      <c r="C166" t="s">
        <v>207</v>
      </c>
    </row>
    <row r="167" spans="1:7" x14ac:dyDescent="0.3">
      <c r="A167" t="s">
        <v>249</v>
      </c>
    </row>
    <row r="168" spans="1:7" x14ac:dyDescent="0.3">
      <c r="A168" t="s">
        <v>250</v>
      </c>
      <c r="B168" s="22">
        <f>B166-B170</f>
        <v>14881.321666666667</v>
      </c>
      <c r="C168" t="s">
        <v>207</v>
      </c>
    </row>
    <row r="169" spans="1:7" x14ac:dyDescent="0.3">
      <c r="A169" t="s">
        <v>251</v>
      </c>
    </row>
    <row r="170" spans="1:7" x14ac:dyDescent="0.3">
      <c r="A170" t="s">
        <v>252</v>
      </c>
      <c r="B170" s="22">
        <v>32191.609</v>
      </c>
      <c r="C170" t="s">
        <v>207</v>
      </c>
    </row>
    <row r="171" spans="1:7" x14ac:dyDescent="0.3">
      <c r="A171" s="45"/>
      <c r="D171" s="36"/>
    </row>
    <row r="172" spans="1:7" ht="15" x14ac:dyDescent="0.3">
      <c r="A172" s="17" t="s">
        <v>253</v>
      </c>
    </row>
    <row r="173" spans="1:7" ht="15.6" x14ac:dyDescent="0.3">
      <c r="A173" s="42" t="s">
        <v>254</v>
      </c>
    </row>
    <row r="174" spans="1:7" ht="15.6" x14ac:dyDescent="0.3">
      <c r="A174" s="43" t="s">
        <v>255</v>
      </c>
    </row>
    <row r="176" spans="1:7" ht="15.6" x14ac:dyDescent="0.3">
      <c r="A176" s="16" t="s">
        <v>231</v>
      </c>
      <c r="C176" s="16" t="s">
        <v>256</v>
      </c>
      <c r="F176">
        <f>E66</f>
        <v>0.8768642683052339</v>
      </c>
    </row>
    <row r="177" spans="1:8" ht="15.6" x14ac:dyDescent="0.3">
      <c r="A177" s="16" t="s">
        <v>257</v>
      </c>
    </row>
    <row r="178" spans="1:8" ht="15.6" x14ac:dyDescent="0.3">
      <c r="A178" s="16" t="s">
        <v>152</v>
      </c>
    </row>
    <row r="179" spans="1:8" ht="15.6" x14ac:dyDescent="0.3">
      <c r="A179" s="16" t="s">
        <v>258</v>
      </c>
      <c r="B179" t="s">
        <v>153</v>
      </c>
      <c r="C179" s="9">
        <f>4.2*(C118*F176)^(1/3)</f>
        <v>95.804740448056094</v>
      </c>
      <c r="D179" t="s">
        <v>189</v>
      </c>
    </row>
    <row r="180" spans="1:8" x14ac:dyDescent="0.3">
      <c r="A180" s="45"/>
    </row>
    <row r="181" spans="1:8" x14ac:dyDescent="0.3">
      <c r="A181" s="45"/>
    </row>
    <row r="182" spans="1:8" ht="15.6" x14ac:dyDescent="0.3">
      <c r="A182" s="16"/>
    </row>
    <row r="183" spans="1:8" ht="15.6" x14ac:dyDescent="0.3">
      <c r="A183" s="46" t="s">
        <v>259</v>
      </c>
      <c r="B183" s="47"/>
      <c r="C183" s="47"/>
      <c r="D183" s="47"/>
      <c r="E183" s="12">
        <v>120</v>
      </c>
      <c r="F183" t="s">
        <v>260</v>
      </c>
      <c r="G183" s="36"/>
    </row>
    <row r="185" spans="1:8" ht="18" x14ac:dyDescent="0.3">
      <c r="A185" s="16" t="s">
        <v>261</v>
      </c>
      <c r="E185">
        <f>(68/F176)</f>
        <v>77.549060279793949</v>
      </c>
    </row>
    <row r="186" spans="1:8" ht="18" x14ac:dyDescent="0.3">
      <c r="A186" s="16" t="s">
        <v>262</v>
      </c>
      <c r="E186">
        <f>0.77*E183</f>
        <v>92.4</v>
      </c>
      <c r="F186" t="s">
        <v>189</v>
      </c>
    </row>
    <row r="187" spans="1:8" ht="18" x14ac:dyDescent="0.3">
      <c r="A187" s="16" t="s">
        <v>263</v>
      </c>
      <c r="D187" s="48">
        <f>0.8*E183</f>
        <v>96</v>
      </c>
      <c r="E187" t="s">
        <v>189</v>
      </c>
      <c r="F187" s="9" t="s">
        <v>264</v>
      </c>
      <c r="G187" s="9" t="s">
        <v>353</v>
      </c>
      <c r="H187" s="9"/>
    </row>
    <row r="188" spans="1:8" ht="15" x14ac:dyDescent="0.3">
      <c r="A188" s="17" t="s">
        <v>265</v>
      </c>
    </row>
    <row r="189" spans="1:8" ht="15.6" x14ac:dyDescent="0.3">
      <c r="A189" s="19" t="s">
        <v>266</v>
      </c>
    </row>
    <row r="191" spans="1:8" ht="15.6" x14ac:dyDescent="0.3">
      <c r="A191" s="16" t="s">
        <v>231</v>
      </c>
    </row>
    <row r="192" spans="1:8" ht="15.6" x14ac:dyDescent="0.3">
      <c r="A192" s="16" t="s">
        <v>267</v>
      </c>
    </row>
    <row r="193" spans="1:8" ht="15.6" x14ac:dyDescent="0.3">
      <c r="A193" s="16" t="s">
        <v>257</v>
      </c>
    </row>
    <row r="194" spans="1:8" ht="15.6" x14ac:dyDescent="0.3">
      <c r="A194" s="16" t="s">
        <v>139</v>
      </c>
      <c r="E194" t="s">
        <v>268</v>
      </c>
    </row>
    <row r="195" spans="1:8" ht="15.6" x14ac:dyDescent="0.3">
      <c r="A195" s="16" t="s">
        <v>269</v>
      </c>
      <c r="E195" t="s">
        <v>270</v>
      </c>
    </row>
    <row r="196" spans="1:8" ht="15.6" x14ac:dyDescent="0.3">
      <c r="A196" s="16"/>
      <c r="D196" s="27" t="s">
        <v>153</v>
      </c>
      <c r="E196">
        <v>8</v>
      </c>
    </row>
    <row r="197" spans="1:8" ht="15.6" x14ac:dyDescent="0.3">
      <c r="A197" s="16" t="s">
        <v>271</v>
      </c>
      <c r="E197" s="16" t="s">
        <v>272</v>
      </c>
    </row>
    <row r="198" spans="1:8" ht="15.6" x14ac:dyDescent="0.35">
      <c r="D198" s="27" t="s">
        <v>273</v>
      </c>
      <c r="E198" t="s">
        <v>274</v>
      </c>
    </row>
    <row r="199" spans="1:8" ht="15.6" x14ac:dyDescent="0.3">
      <c r="A199" s="16" t="s">
        <v>269</v>
      </c>
      <c r="E199" s="16" t="s">
        <v>275</v>
      </c>
    </row>
    <row r="200" spans="1:8" ht="15.6" x14ac:dyDescent="0.3">
      <c r="A200" s="16"/>
      <c r="E200" t="s">
        <v>276</v>
      </c>
    </row>
    <row r="201" spans="1:8" ht="15.6" x14ac:dyDescent="0.3">
      <c r="A201" s="16" t="s">
        <v>271</v>
      </c>
      <c r="E201" s="16" t="s">
        <v>277</v>
      </c>
    </row>
    <row r="202" spans="1:8" ht="15.6" x14ac:dyDescent="0.3">
      <c r="A202" s="16" t="s">
        <v>139</v>
      </c>
      <c r="E202" t="s">
        <v>278</v>
      </c>
      <c r="H202" s="35" t="s">
        <v>279</v>
      </c>
    </row>
    <row r="203" spans="1:8" ht="15.6" x14ac:dyDescent="0.3">
      <c r="A203" s="16"/>
      <c r="D203" t="s">
        <v>153</v>
      </c>
      <c r="E203" s="49">
        <f>(E183/2 +80)</f>
        <v>140</v>
      </c>
      <c r="F203" t="s">
        <v>189</v>
      </c>
    </row>
    <row r="204" spans="1:8" ht="15.6" x14ac:dyDescent="0.3">
      <c r="A204" s="16"/>
    </row>
    <row r="205" spans="1:8" ht="15.6" x14ac:dyDescent="0.3">
      <c r="A205" s="16"/>
    </row>
    <row r="206" spans="1:8" ht="15.6" x14ac:dyDescent="0.3">
      <c r="A206" s="16" t="s">
        <v>152</v>
      </c>
    </row>
    <row r="208" spans="1:8" ht="15.6" x14ac:dyDescent="0.3">
      <c r="A208" s="16"/>
      <c r="C208" t="s">
        <v>153</v>
      </c>
      <c r="D208">
        <f>0.62*((E183^3*E66)/(E66*E196*E203))^0.5</f>
        <v>24.35311655033675</v>
      </c>
      <c r="E208" t="s">
        <v>189</v>
      </c>
    </row>
    <row r="209" spans="1:8" ht="15.6" x14ac:dyDescent="0.3">
      <c r="A209" s="50" t="s">
        <v>280</v>
      </c>
      <c r="B209" s="47"/>
      <c r="C209" s="47"/>
      <c r="D209" s="26">
        <v>30</v>
      </c>
      <c r="E209" t="s">
        <v>189</v>
      </c>
    </row>
    <row r="210" spans="1:8" ht="15.6" x14ac:dyDescent="0.3">
      <c r="A210" s="16"/>
    </row>
    <row r="211" spans="1:8" ht="15.6" x14ac:dyDescent="0.35">
      <c r="A211" s="16" t="s">
        <v>281</v>
      </c>
      <c r="F211" t="s">
        <v>282</v>
      </c>
      <c r="G211" t="s">
        <v>283</v>
      </c>
    </row>
    <row r="212" spans="1:8" x14ac:dyDescent="0.3">
      <c r="F212" s="27" t="s">
        <v>153</v>
      </c>
      <c r="G212">
        <f>0.9*D209</f>
        <v>27</v>
      </c>
      <c r="H212" t="s">
        <v>189</v>
      </c>
    </row>
    <row r="213" spans="1:8" ht="16.2" x14ac:dyDescent="0.35">
      <c r="A213" s="16" t="s">
        <v>284</v>
      </c>
      <c r="F213" t="s">
        <v>282</v>
      </c>
      <c r="G213" s="26">
        <v>30</v>
      </c>
      <c r="H213" t="s">
        <v>189</v>
      </c>
    </row>
    <row r="214" spans="1:8" ht="18" x14ac:dyDescent="0.3">
      <c r="A214" s="21" t="s">
        <v>285</v>
      </c>
      <c r="G214">
        <f>0.65*G213</f>
        <v>19.5</v>
      </c>
      <c r="H214" t="s">
        <v>189</v>
      </c>
    </row>
    <row r="215" spans="1:8" ht="18" x14ac:dyDescent="0.3">
      <c r="A215" s="21" t="s">
        <v>286</v>
      </c>
      <c r="F215">
        <f>0.67*G213</f>
        <v>20.100000000000001</v>
      </c>
      <c r="G215" t="s">
        <v>189</v>
      </c>
    </row>
    <row r="216" spans="1:8" ht="15.6" x14ac:dyDescent="0.3">
      <c r="A216" s="51"/>
    </row>
    <row r="217" spans="1:8" ht="15" x14ac:dyDescent="0.3">
      <c r="A217" s="17" t="s">
        <v>287</v>
      </c>
    </row>
    <row r="218" spans="1:8" ht="15.6" x14ac:dyDescent="0.3">
      <c r="A218" s="42" t="s">
        <v>288</v>
      </c>
    </row>
    <row r="219" spans="1:8" x14ac:dyDescent="0.3">
      <c r="A219" s="45" t="s">
        <v>289</v>
      </c>
    </row>
    <row r="220" spans="1:8" x14ac:dyDescent="0.3">
      <c r="A220" s="45"/>
    </row>
    <row r="221" spans="1:8" x14ac:dyDescent="0.3">
      <c r="A221" s="45"/>
    </row>
    <row r="222" spans="1:8" x14ac:dyDescent="0.3">
      <c r="A222" s="45"/>
    </row>
    <row r="223" spans="1:8" x14ac:dyDescent="0.3">
      <c r="A223" s="45"/>
      <c r="F223" s="27" t="s">
        <v>153</v>
      </c>
      <c r="G223">
        <f>0.2*F6*0.01+0.4</f>
        <v>0.53200000000000003</v>
      </c>
      <c r="H223" t="s">
        <v>0</v>
      </c>
    </row>
    <row r="224" spans="1:8" ht="15.6" x14ac:dyDescent="0.3">
      <c r="A224" s="16"/>
      <c r="F224" s="27" t="s">
        <v>153</v>
      </c>
      <c r="G224" s="52">
        <f>G223*1000</f>
        <v>532</v>
      </c>
      <c r="H224" t="s">
        <v>189</v>
      </c>
    </row>
    <row r="225" spans="1:9" ht="15.6" x14ac:dyDescent="0.3">
      <c r="A225" s="16"/>
      <c r="G225" s="9">
        <v>500</v>
      </c>
      <c r="H225" t="s">
        <v>189</v>
      </c>
    </row>
    <row r="227" spans="1:9" ht="15.6" x14ac:dyDescent="0.3">
      <c r="A227" s="19" t="s">
        <v>290</v>
      </c>
    </row>
    <row r="228" spans="1:9" ht="15.6" x14ac:dyDescent="0.3">
      <c r="A228" s="20" t="s">
        <v>291</v>
      </c>
    </row>
    <row r="229" spans="1:9" ht="15" x14ac:dyDescent="0.3">
      <c r="A229" s="19"/>
      <c r="G229" t="s">
        <v>153</v>
      </c>
      <c r="H229">
        <f>1.5*G225</f>
        <v>750</v>
      </c>
      <c r="I229" t="s">
        <v>0</v>
      </c>
    </row>
    <row r="230" spans="1:9" ht="15.6" x14ac:dyDescent="0.3">
      <c r="A230" s="16"/>
    </row>
    <row r="232" spans="1:9" ht="15" x14ac:dyDescent="0.3">
      <c r="A232" s="17" t="s">
        <v>292</v>
      </c>
    </row>
    <row r="233" spans="1:9" ht="15.6" x14ac:dyDescent="0.3">
      <c r="A233" s="19" t="s">
        <v>293</v>
      </c>
    </row>
    <row r="234" spans="1:9" ht="15.6" x14ac:dyDescent="0.3">
      <c r="A234" s="20" t="s">
        <v>294</v>
      </c>
    </row>
    <row r="235" spans="1:9" ht="15.6" x14ac:dyDescent="0.3">
      <c r="A235" s="16"/>
    </row>
    <row r="236" spans="1:9" ht="15.6" x14ac:dyDescent="0.3">
      <c r="A236" s="16" t="s">
        <v>139</v>
      </c>
      <c r="D236" t="s">
        <v>153</v>
      </c>
    </row>
    <row r="237" spans="1:9" ht="15.6" x14ac:dyDescent="0.3">
      <c r="A237" s="16" t="s">
        <v>231</v>
      </c>
      <c r="C237" s="16" t="s">
        <v>295</v>
      </c>
      <c r="H237">
        <f>G223</f>
        <v>0.53200000000000003</v>
      </c>
      <c r="I237" t="s">
        <v>0</v>
      </c>
    </row>
    <row r="238" spans="1:9" ht="15.6" x14ac:dyDescent="0.3">
      <c r="A238" s="16"/>
    </row>
    <row r="240" spans="1:9" ht="16.2" x14ac:dyDescent="0.3">
      <c r="A240" s="16" t="s">
        <v>296</v>
      </c>
      <c r="B240" t="s">
        <v>153</v>
      </c>
      <c r="C240">
        <f>10*F8+(B105*0.001/B93)</f>
        <v>55.665999999999997</v>
      </c>
      <c r="D240" t="s">
        <v>244</v>
      </c>
    </row>
    <row r="241" spans="1:9" ht="15.6" x14ac:dyDescent="0.3">
      <c r="A241" s="16"/>
    </row>
    <row r="242" spans="1:9" ht="15.6" x14ac:dyDescent="0.3">
      <c r="A242" s="16" t="s">
        <v>297</v>
      </c>
      <c r="C242" s="16" t="s">
        <v>298</v>
      </c>
      <c r="E242">
        <f>F78</f>
        <v>0.68391549197635904</v>
      </c>
    </row>
    <row r="243" spans="1:9" ht="15.6" x14ac:dyDescent="0.3">
      <c r="A243" s="16"/>
    </row>
    <row r="244" spans="1:9" ht="15.6" x14ac:dyDescent="0.3">
      <c r="A244" s="16" t="s">
        <v>296</v>
      </c>
      <c r="B244" s="16" t="s">
        <v>152</v>
      </c>
    </row>
    <row r="245" spans="1:9" ht="15.6" x14ac:dyDescent="0.3">
      <c r="A245" s="16"/>
    </row>
    <row r="246" spans="1:9" ht="15.6" x14ac:dyDescent="0.3">
      <c r="A246" s="16" t="s">
        <v>296</v>
      </c>
      <c r="C246" t="s">
        <v>153</v>
      </c>
      <c r="D246">
        <f>1.74*H237*(C240*E242)^(0.5)+2.5</f>
        <v>8.2115911096680918</v>
      </c>
      <c r="E246" t="s">
        <v>189</v>
      </c>
    </row>
    <row r="247" spans="1:9" ht="15.6" x14ac:dyDescent="0.3">
      <c r="A247" s="16" t="s">
        <v>299</v>
      </c>
      <c r="F247" s="26">
        <v>9</v>
      </c>
      <c r="G247" t="s">
        <v>189</v>
      </c>
      <c r="I247" s="36"/>
    </row>
    <row r="248" spans="1:9" ht="15.6" x14ac:dyDescent="0.3">
      <c r="A248" s="16"/>
    </row>
    <row r="249" spans="1:9" ht="15.6" x14ac:dyDescent="0.3">
      <c r="A249" s="19" t="s">
        <v>300</v>
      </c>
    </row>
    <row r="250" spans="1:9" ht="15.6" x14ac:dyDescent="0.3">
      <c r="A250" s="16"/>
      <c r="F250" t="s">
        <v>153</v>
      </c>
      <c r="G250">
        <f>F247*0.7</f>
        <v>6.3</v>
      </c>
      <c r="H250" t="s">
        <v>189</v>
      </c>
    </row>
    <row r="251" spans="1:9" x14ac:dyDescent="0.3">
      <c r="G251" s="53"/>
    </row>
    <row r="252" spans="1:9" ht="18" x14ac:dyDescent="0.3">
      <c r="B252" s="16" t="s">
        <v>301</v>
      </c>
      <c r="F252" s="26">
        <v>7</v>
      </c>
      <c r="G252" t="s">
        <v>189</v>
      </c>
    </row>
    <row r="254" spans="1:9" ht="15.6" x14ac:dyDescent="0.3">
      <c r="A254" s="37"/>
    </row>
    <row r="255" spans="1:9" ht="15" x14ac:dyDescent="0.3">
      <c r="A255" s="17" t="s">
        <v>302</v>
      </c>
    </row>
    <row r="256" spans="1:9" ht="15.6" x14ac:dyDescent="0.3">
      <c r="A256" s="16" t="s">
        <v>303</v>
      </c>
      <c r="F256" s="36"/>
      <c r="G256" s="36"/>
    </row>
    <row r="257" spans="1:9" ht="15.6" x14ac:dyDescent="0.3">
      <c r="D257" s="16"/>
    </row>
    <row r="258" spans="1:9" ht="15.6" x14ac:dyDescent="0.3">
      <c r="A258" s="16" t="s">
        <v>231</v>
      </c>
      <c r="C258" s="16" t="s">
        <v>304</v>
      </c>
      <c r="G258" t="s">
        <v>153</v>
      </c>
      <c r="H258">
        <f>B166</f>
        <v>47072.930666666667</v>
      </c>
      <c r="I258" t="s">
        <v>207</v>
      </c>
    </row>
    <row r="259" spans="1:9" ht="15.6" x14ac:dyDescent="0.3">
      <c r="H259" s="16" t="s">
        <v>305</v>
      </c>
    </row>
    <row r="260" spans="1:9" ht="15.6" x14ac:dyDescent="0.3">
      <c r="A260" s="45"/>
      <c r="D260" s="16" t="s">
        <v>306</v>
      </c>
      <c r="F260">
        <f>E66</f>
        <v>0.8768642683052339</v>
      </c>
    </row>
    <row r="262" spans="1:9" ht="15.6" x14ac:dyDescent="0.3">
      <c r="A262" s="16" t="s">
        <v>152</v>
      </c>
    </row>
    <row r="264" spans="1:9" x14ac:dyDescent="0.3">
      <c r="B264" t="s">
        <v>153</v>
      </c>
      <c r="C264">
        <f>0.35*(H258*F260)^0.5</f>
        <v>71.108226921968637</v>
      </c>
      <c r="D264" t="s">
        <v>307</v>
      </c>
    </row>
    <row r="265" spans="1:9" ht="15.6" x14ac:dyDescent="0.3">
      <c r="A265" s="16" t="s">
        <v>308</v>
      </c>
    </row>
    <row r="266" spans="1:9" ht="16.2" x14ac:dyDescent="0.35">
      <c r="A266" s="45" t="s">
        <v>139</v>
      </c>
      <c r="B266" t="s">
        <v>309</v>
      </c>
      <c r="C266" s="26">
        <v>100</v>
      </c>
      <c r="D266" t="s">
        <v>189</v>
      </c>
      <c r="E266" s="36"/>
    </row>
    <row r="267" spans="1:9" ht="15.6" x14ac:dyDescent="0.3">
      <c r="A267" s="16"/>
    </row>
    <row r="268" spans="1:9" ht="15" x14ac:dyDescent="0.3">
      <c r="A268" s="17" t="s">
        <v>310</v>
      </c>
    </row>
    <row r="269" spans="1:9" ht="15.6" x14ac:dyDescent="0.3">
      <c r="A269" s="19" t="s">
        <v>311</v>
      </c>
    </row>
    <row r="270" spans="1:9" ht="16.2" x14ac:dyDescent="0.35">
      <c r="A270" s="54"/>
      <c r="B270" t="s">
        <v>312</v>
      </c>
      <c r="C270" s="55">
        <v>22</v>
      </c>
      <c r="D270" t="s">
        <v>189</v>
      </c>
      <c r="E270" s="56" t="s">
        <v>313</v>
      </c>
    </row>
    <row r="271" spans="1:9" ht="15.6" x14ac:dyDescent="0.3">
      <c r="A271" s="16" t="s">
        <v>314</v>
      </c>
    </row>
    <row r="272" spans="1:9" ht="18" x14ac:dyDescent="0.3">
      <c r="A272" s="16" t="s">
        <v>315</v>
      </c>
      <c r="E272">
        <v>22</v>
      </c>
      <c r="F272" t="s">
        <v>189</v>
      </c>
      <c r="G272" s="36"/>
    </row>
    <row r="274" spans="1:9" ht="15.6" x14ac:dyDescent="0.3">
      <c r="A274" s="19" t="s">
        <v>316</v>
      </c>
    </row>
    <row r="276" spans="1:9" ht="18" x14ac:dyDescent="0.3">
      <c r="A276" s="16" t="s">
        <v>231</v>
      </c>
      <c r="C276" s="16" t="s">
        <v>317</v>
      </c>
    </row>
    <row r="277" spans="1:9" x14ac:dyDescent="0.3">
      <c r="G277" t="s">
        <v>153</v>
      </c>
      <c r="H277">
        <f>B105/2</f>
        <v>47072.930666666667</v>
      </c>
      <c r="I277" t="s">
        <v>207</v>
      </c>
    </row>
    <row r="279" spans="1:9" ht="16.2" x14ac:dyDescent="0.3">
      <c r="D279" s="16" t="s">
        <v>318</v>
      </c>
      <c r="G279">
        <v>2.5</v>
      </c>
      <c r="H279" t="s">
        <v>173</v>
      </c>
    </row>
    <row r="280" spans="1:9" ht="15.6" x14ac:dyDescent="0.3">
      <c r="G280" s="16" t="s">
        <v>319</v>
      </c>
    </row>
    <row r="281" spans="1:9" x14ac:dyDescent="0.3">
      <c r="A281" s="45"/>
    </row>
    <row r="282" spans="1:9" ht="16.2" x14ac:dyDescent="0.3">
      <c r="A282" s="16" t="s">
        <v>152</v>
      </c>
      <c r="D282" t="s">
        <v>153</v>
      </c>
      <c r="E282">
        <f>H277/G279</f>
        <v>18829.172266666668</v>
      </c>
      <c r="F282" t="s">
        <v>320</v>
      </c>
    </row>
    <row r="283" spans="1:9" x14ac:dyDescent="0.3">
      <c r="A283" s="45"/>
    </row>
    <row r="284" spans="1:9" ht="15.6" x14ac:dyDescent="0.3">
      <c r="A284" s="16" t="s">
        <v>321</v>
      </c>
    </row>
    <row r="285" spans="1:9" ht="15.6" x14ac:dyDescent="0.35">
      <c r="A285" s="16" t="s">
        <v>322</v>
      </c>
      <c r="D285" t="s">
        <v>323</v>
      </c>
      <c r="E285">
        <f>2*E272+E183</f>
        <v>164</v>
      </c>
      <c r="F285" t="s">
        <v>189</v>
      </c>
      <c r="G285" s="36"/>
    </row>
    <row r="286" spans="1:9" ht="15.6" x14ac:dyDescent="0.3">
      <c r="G286" s="16"/>
    </row>
    <row r="287" spans="1:9" ht="18" x14ac:dyDescent="0.3">
      <c r="A287" s="16" t="s">
        <v>324</v>
      </c>
      <c r="D287" t="s">
        <v>153</v>
      </c>
      <c r="E287">
        <f>E282/E285</f>
        <v>114.81202601626018</v>
      </c>
      <c r="F287" t="s">
        <v>189</v>
      </c>
    </row>
    <row r="288" spans="1:9" x14ac:dyDescent="0.3">
      <c r="A288" s="45" t="s">
        <v>325</v>
      </c>
    </row>
    <row r="289" spans="1:9" ht="15.6" x14ac:dyDescent="0.3">
      <c r="A289" s="16" t="s">
        <v>326</v>
      </c>
    </row>
    <row r="290" spans="1:9" ht="18" x14ac:dyDescent="0.3">
      <c r="A290" s="16" t="s">
        <v>327</v>
      </c>
      <c r="E290" s="26">
        <v>165</v>
      </c>
      <c r="F290" t="s">
        <v>189</v>
      </c>
      <c r="G290" s="36"/>
    </row>
    <row r="293" spans="1:9" ht="15.6" x14ac:dyDescent="0.3">
      <c r="A293" s="19" t="s">
        <v>328</v>
      </c>
    </row>
    <row r="295" spans="1:9" x14ac:dyDescent="0.3">
      <c r="A295" s="45"/>
    </row>
    <row r="297" spans="1:9" ht="15.6" x14ac:dyDescent="0.3">
      <c r="B297" s="16" t="s">
        <v>231</v>
      </c>
      <c r="D297" s="16" t="s">
        <v>329</v>
      </c>
    </row>
    <row r="298" spans="1:9" x14ac:dyDescent="0.3">
      <c r="A298" s="45"/>
      <c r="G298" t="s">
        <v>153</v>
      </c>
      <c r="H298">
        <f>B170</f>
        <v>32191.609</v>
      </c>
      <c r="I298" t="s">
        <v>207</v>
      </c>
    </row>
    <row r="299" spans="1:9" ht="15.6" x14ac:dyDescent="0.3">
      <c r="A299" s="16"/>
    </row>
    <row r="300" spans="1:9" ht="16.2" x14ac:dyDescent="0.3">
      <c r="D300" s="16" t="s">
        <v>318</v>
      </c>
      <c r="G300">
        <v>2.5</v>
      </c>
      <c r="H300" t="s">
        <v>173</v>
      </c>
    </row>
    <row r="301" spans="1:9" ht="15.6" x14ac:dyDescent="0.3">
      <c r="G301" s="16" t="s">
        <v>319</v>
      </c>
    </row>
    <row r="303" spans="1:9" ht="15.6" x14ac:dyDescent="0.3">
      <c r="A303" s="16" t="s">
        <v>152</v>
      </c>
    </row>
    <row r="305" spans="1:7" ht="16.2" x14ac:dyDescent="0.3">
      <c r="B305" s="27" t="s">
        <v>153</v>
      </c>
      <c r="C305">
        <f>H298/G300</f>
        <v>12876.643599999999</v>
      </c>
      <c r="D305" t="s">
        <v>320</v>
      </c>
    </row>
    <row r="306" spans="1:7" ht="15.6" x14ac:dyDescent="0.3">
      <c r="A306" s="16" t="s">
        <v>321</v>
      </c>
    </row>
    <row r="307" spans="1:7" x14ac:dyDescent="0.3">
      <c r="A307" s="45"/>
    </row>
    <row r="308" spans="1:7" ht="15.6" x14ac:dyDescent="0.35">
      <c r="A308" s="16" t="s">
        <v>330</v>
      </c>
      <c r="D308" t="s">
        <v>331</v>
      </c>
      <c r="E308" t="s">
        <v>189</v>
      </c>
      <c r="F308" s="36"/>
    </row>
    <row r="309" spans="1:7" x14ac:dyDescent="0.3">
      <c r="D309">
        <f>E285</f>
        <v>164</v>
      </c>
      <c r="E309" t="s">
        <v>189</v>
      </c>
    </row>
    <row r="311" spans="1:7" ht="18" x14ac:dyDescent="0.3">
      <c r="A311" s="16" t="s">
        <v>332</v>
      </c>
      <c r="E311">
        <f>C305/D309</f>
        <v>78.516119512195118</v>
      </c>
      <c r="F311" t="s">
        <v>189</v>
      </c>
    </row>
    <row r="312" spans="1:7" x14ac:dyDescent="0.3">
      <c r="A312" s="45"/>
    </row>
    <row r="313" spans="1:7" ht="16.2" x14ac:dyDescent="0.35">
      <c r="A313" s="16" t="s">
        <v>333</v>
      </c>
      <c r="D313" t="s">
        <v>334</v>
      </c>
      <c r="E313" s="26">
        <v>135</v>
      </c>
      <c r="F313" t="s">
        <v>189</v>
      </c>
      <c r="G313" s="36"/>
    </row>
    <row r="315" spans="1:7" ht="15" x14ac:dyDescent="0.3">
      <c r="A315" s="17" t="s">
        <v>335</v>
      </c>
    </row>
    <row r="316" spans="1:7" ht="15.6" x14ac:dyDescent="0.3">
      <c r="A316" s="16" t="s">
        <v>336</v>
      </c>
    </row>
    <row r="318" spans="1:7" ht="15.6" x14ac:dyDescent="0.3">
      <c r="A318" s="16" t="s">
        <v>337</v>
      </c>
    </row>
    <row r="319" spans="1:7" ht="15.6" x14ac:dyDescent="0.3">
      <c r="B319" s="16" t="s">
        <v>338</v>
      </c>
    </row>
    <row r="320" spans="1:7" ht="15.6" x14ac:dyDescent="0.3">
      <c r="B320" s="26">
        <v>10</v>
      </c>
      <c r="C320" t="s">
        <v>339</v>
      </c>
      <c r="D320" s="36"/>
      <c r="E320">
        <f>B320*10</f>
        <v>100</v>
      </c>
      <c r="F320" t="s">
        <v>189</v>
      </c>
    </row>
    <row r="321" spans="1:8" ht="15.6" x14ac:dyDescent="0.3">
      <c r="A321" s="16" t="s">
        <v>152</v>
      </c>
    </row>
    <row r="322" spans="1:8" x14ac:dyDescent="0.3">
      <c r="A322" s="45"/>
      <c r="C322">
        <f>0.4*B320^2</f>
        <v>40</v>
      </c>
    </row>
    <row r="323" spans="1:8" ht="15.6" x14ac:dyDescent="0.3">
      <c r="A323" s="16" t="s">
        <v>340</v>
      </c>
    </row>
    <row r="325" spans="1:8" ht="15.6" x14ac:dyDescent="0.3">
      <c r="A325" s="16"/>
    </row>
    <row r="326" spans="1:8" x14ac:dyDescent="0.3">
      <c r="D326" s="27" t="s">
        <v>153</v>
      </c>
      <c r="E326">
        <f>(C322*4/3.14156)^0.5</f>
        <v>7.1365335531312111</v>
      </c>
      <c r="F326" t="s">
        <v>339</v>
      </c>
    </row>
    <row r="327" spans="1:8" x14ac:dyDescent="0.3">
      <c r="A327" s="45"/>
      <c r="D327" s="27" t="s">
        <v>153</v>
      </c>
      <c r="E327">
        <f>E326*10</f>
        <v>71.365335531312112</v>
      </c>
      <c r="F327" t="s">
        <v>189</v>
      </c>
    </row>
    <row r="328" spans="1:8" ht="15.6" x14ac:dyDescent="0.3">
      <c r="A328" s="16" t="s">
        <v>341</v>
      </c>
    </row>
    <row r="329" spans="1:8" ht="15.6" x14ac:dyDescent="0.3">
      <c r="A329" s="45" t="s">
        <v>342</v>
      </c>
      <c r="B329" s="26">
        <v>100</v>
      </c>
      <c r="C329" t="s">
        <v>189</v>
      </c>
      <c r="D329" s="36"/>
    </row>
    <row r="330" spans="1:8" ht="15.6" x14ac:dyDescent="0.3">
      <c r="A330" s="16" t="s">
        <v>343</v>
      </c>
    </row>
    <row r="335" spans="1:8" ht="15.6" x14ac:dyDescent="0.3">
      <c r="A335" s="16" t="s">
        <v>344</v>
      </c>
      <c r="C335" s="16" t="s">
        <v>345</v>
      </c>
      <c r="G335" s="9">
        <v>100</v>
      </c>
      <c r="H335" t="s">
        <v>346</v>
      </c>
    </row>
    <row r="336" spans="1:8" ht="15.6" x14ac:dyDescent="0.3">
      <c r="C336" s="16" t="s">
        <v>347</v>
      </c>
      <c r="G336" s="9">
        <f>(F7/2)*1000</f>
        <v>7000</v>
      </c>
      <c r="H336" t="s">
        <v>260</v>
      </c>
    </row>
    <row r="339" spans="1:6" x14ac:dyDescent="0.3">
      <c r="A339" s="45"/>
    </row>
    <row r="340" spans="1:6" x14ac:dyDescent="0.3">
      <c r="A340" s="45"/>
    </row>
    <row r="342" spans="1:6" ht="15.6" x14ac:dyDescent="0.3">
      <c r="A342" s="16" t="s">
        <v>229</v>
      </c>
    </row>
    <row r="343" spans="1:6" ht="15.6" x14ac:dyDescent="0.3">
      <c r="D343" t="s">
        <v>153</v>
      </c>
      <c r="E343" s="9">
        <f>0.38*((G335^3)/G336)^0.5</f>
        <v>4.541868715470696</v>
      </c>
      <c r="F343" t="s">
        <v>189</v>
      </c>
    </row>
    <row r="345" spans="1:6" ht="15.6" x14ac:dyDescent="0.3">
      <c r="A345" s="16" t="s">
        <v>348</v>
      </c>
    </row>
    <row r="346" spans="1:6" ht="15.6" x14ac:dyDescent="0.3">
      <c r="A346" s="16" t="s">
        <v>349</v>
      </c>
    </row>
    <row r="348" spans="1:6" ht="16.2" x14ac:dyDescent="0.35">
      <c r="B348" t="s">
        <v>350</v>
      </c>
      <c r="C348" s="9">
        <v>10</v>
      </c>
      <c r="D348" t="s">
        <v>189</v>
      </c>
    </row>
    <row r="349" spans="1:6" ht="15.6" x14ac:dyDescent="0.3">
      <c r="A349" s="16" t="s">
        <v>351</v>
      </c>
    </row>
    <row r="351" spans="1:6" ht="15.6" x14ac:dyDescent="0.3">
      <c r="A351" s="45"/>
      <c r="C351" t="s">
        <v>153</v>
      </c>
      <c r="D351" s="9">
        <f>1.25*C348</f>
        <v>12.5</v>
      </c>
      <c r="E351" t="s">
        <v>189</v>
      </c>
    </row>
    <row r="352" spans="1:6" ht="18" x14ac:dyDescent="0.3">
      <c r="A352" s="16" t="s">
        <v>352</v>
      </c>
      <c r="E352" s="9">
        <v>15</v>
      </c>
      <c r="F352" t="s">
        <v>189</v>
      </c>
    </row>
    <row r="354" spans="1:1" ht="15.6" x14ac:dyDescent="0.3">
      <c r="A354" s="16"/>
    </row>
    <row r="355" spans="1:1" ht="15.6" x14ac:dyDescent="0.3">
      <c r="A355" s="16"/>
    </row>
    <row r="358" spans="1:1" ht="15.6" x14ac:dyDescent="0.3">
      <c r="A358" s="57"/>
    </row>
    <row r="360" spans="1:1" ht="15.6" x14ac:dyDescent="0.3">
      <c r="A360" s="16"/>
    </row>
    <row r="361" spans="1:1" ht="15.6" x14ac:dyDescent="0.3">
      <c r="A361" s="16"/>
    </row>
    <row r="362" spans="1:1" ht="15.6" x14ac:dyDescent="0.3">
      <c r="A362" s="16"/>
    </row>
    <row r="363" spans="1:1" ht="15.6" x14ac:dyDescent="0.3">
      <c r="A363" s="16"/>
    </row>
    <row r="364" spans="1:1" ht="15.6" x14ac:dyDescent="0.3">
      <c r="A364" s="16"/>
    </row>
    <row r="365" spans="1:1" x14ac:dyDescent="0.3">
      <c r="A365" s="45"/>
    </row>
    <row r="366" spans="1:1" x14ac:dyDescent="0.3">
      <c r="A366" s="45"/>
    </row>
    <row r="368" spans="1:1" ht="15.6" x14ac:dyDescent="0.3">
      <c r="A368" s="16"/>
    </row>
    <row r="369" spans="1:1" ht="15.6" x14ac:dyDescent="0.3">
      <c r="A369" s="16"/>
    </row>
    <row r="370" spans="1:1" ht="15.6" x14ac:dyDescent="0.3">
      <c r="A370" s="16"/>
    </row>
    <row r="371" spans="1:1" ht="15.6" x14ac:dyDescent="0.3">
      <c r="A371" s="16"/>
    </row>
    <row r="372" spans="1:1" x14ac:dyDescent="0.3">
      <c r="A372" s="45"/>
    </row>
    <row r="373" spans="1:1" x14ac:dyDescent="0.3">
      <c r="A373" s="45"/>
    </row>
  </sheetData>
  <mergeCells count="6">
    <mergeCell ref="A10:B10"/>
    <mergeCell ref="A1:I2"/>
    <mergeCell ref="A6:B6"/>
    <mergeCell ref="A7:B7"/>
    <mergeCell ref="A8:B8"/>
    <mergeCell ref="A9:B9"/>
  </mergeCells>
  <pageMargins left="0.7" right="0.7" top="0.75" bottom="0.75" header="0.3" footer="0.3"/>
  <drawing r:id="rId1"/>
  <legacyDrawing r:id="rId2"/>
  <oleObjects>
    <mc:AlternateContent xmlns:mc="http://schemas.openxmlformats.org/markup-compatibility/2006">
      <mc:Choice Requires="x14">
        <oleObject progId="Equation.3" shapeId="6145" r:id="rId3">
          <objectPr defaultSize="0" autoPict="0" r:id="rId4">
            <anchor moveWithCells="1" sizeWithCells="1">
              <from>
                <xdr:col>0</xdr:col>
                <xdr:colOff>266700</xdr:colOff>
                <xdr:row>49</xdr:row>
                <xdr:rowOff>152400</xdr:rowOff>
              </from>
              <to>
                <xdr:col>1</xdr:col>
                <xdr:colOff>45720</xdr:colOff>
                <xdr:row>51</xdr:row>
                <xdr:rowOff>60960</xdr:rowOff>
              </to>
            </anchor>
          </objectPr>
        </oleObject>
      </mc:Choice>
      <mc:Fallback>
        <oleObject progId="Equation.3" shapeId="6145" r:id="rId3"/>
      </mc:Fallback>
    </mc:AlternateContent>
    <mc:AlternateContent xmlns:mc="http://schemas.openxmlformats.org/markup-compatibility/2006">
      <mc:Choice Requires="x14">
        <oleObject progId="Equation.3" shapeId="6146" r:id="rId5">
          <objectPr defaultSize="0" autoPict="0" r:id="rId6">
            <anchor moveWithCells="1" sizeWithCells="1">
              <from>
                <xdr:col>0</xdr:col>
                <xdr:colOff>266700</xdr:colOff>
                <xdr:row>51</xdr:row>
                <xdr:rowOff>106680</xdr:rowOff>
              </from>
              <to>
                <xdr:col>0</xdr:col>
                <xdr:colOff>464820</xdr:colOff>
                <xdr:row>52</xdr:row>
                <xdr:rowOff>182880</xdr:rowOff>
              </to>
            </anchor>
          </objectPr>
        </oleObject>
      </mc:Choice>
      <mc:Fallback>
        <oleObject progId="Equation.3" shapeId="6146" r:id="rId5"/>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Resistance &amp; Power</vt:lpstr>
      <vt:lpstr>Yface &amp;yback</vt:lpstr>
      <vt:lpstr>rudder calculation</vt:lpstr>
      <vt:lpstr>fuck</vt:lpstr>
      <vt:lpstr>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Shifat Mahmud</dc:creator>
  <cp:lastModifiedBy>ASUS</cp:lastModifiedBy>
  <dcterms:created xsi:type="dcterms:W3CDTF">2015-10-28T23:49:56Z</dcterms:created>
  <dcterms:modified xsi:type="dcterms:W3CDTF">2020-12-22T13:30:08Z</dcterms:modified>
</cp:coreProperties>
</file>