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gaspe\Dropbox\Documents\FAKS\Magistrska\thesis_gasper_kojek_results\"/>
    </mc:Choice>
  </mc:AlternateContent>
  <xr:revisionPtr revIDLastSave="0" documentId="13_ncr:1_{9992A960-140F-44CA-ABE6-C4660666B9B5}" xr6:coauthVersionLast="40" xr6:coauthVersionMax="40" xr10:uidLastSave="{00000000-0000-0000-0000-000000000000}"/>
  <bookViews>
    <workbookView xWindow="-120" yWindow="-120" windowWidth="38640" windowHeight="21240" activeTab="1" xr2:uid="{00000000-000D-0000-FFFF-FFFF00000000}"/>
  </bookViews>
  <sheets>
    <sheet name="Ble_4.1_invariance" sheetId="1" r:id="rId1"/>
    <sheet name="Tests" sheetId="2" r:id="rId2"/>
    <sheet name="Timer_measurements" sheetId="9" r:id="rId3"/>
    <sheet name="Ble_4.1_invariance_wo_timer" sheetId="10" r:id="rId4"/>
  </sheets>
  <calcPr calcId="181029"/>
</workbook>
</file>

<file path=xl/calcChain.xml><?xml version="1.0" encoding="utf-8"?>
<calcChain xmlns="http://schemas.openxmlformats.org/spreadsheetml/2006/main">
  <c r="J11" i="9" l="1"/>
  <c r="I11" i="9"/>
  <c r="J10" i="9"/>
  <c r="I10" i="9"/>
  <c r="C10" i="9"/>
  <c r="J17" i="9" s="1"/>
  <c r="C11" i="9"/>
  <c r="B11" i="9"/>
  <c r="B10" i="9"/>
  <c r="F103" i="10" l="1"/>
  <c r="K103" i="10" s="1"/>
  <c r="P103" i="10" s="1"/>
  <c r="F101" i="10"/>
  <c r="K101" i="10" s="1"/>
  <c r="P101" i="10" s="1"/>
  <c r="F99" i="10"/>
  <c r="F95" i="10"/>
  <c r="K95" i="10" s="1"/>
  <c r="P95" i="10" s="1"/>
  <c r="F93" i="10"/>
  <c r="K93" i="10" s="1"/>
  <c r="P93" i="10" s="1"/>
  <c r="G89" i="10"/>
  <c r="L89" i="10" s="1"/>
  <c r="Q89" i="10" s="1"/>
  <c r="D88" i="10"/>
  <c r="I88" i="10" s="1"/>
  <c r="N88" i="10" s="1"/>
  <c r="F86" i="10"/>
  <c r="K86" i="10" s="1"/>
  <c r="P86" i="10" s="1"/>
  <c r="C85" i="10"/>
  <c r="E81" i="10"/>
  <c r="J81" i="10" s="1"/>
  <c r="O81" i="10" s="1"/>
  <c r="G79" i="10"/>
  <c r="D78" i="10"/>
  <c r="F74" i="10"/>
  <c r="K74" i="10" s="1"/>
  <c r="P74" i="10" s="1"/>
  <c r="C73" i="10"/>
  <c r="H73" i="10" s="1"/>
  <c r="M73" i="10" s="1"/>
  <c r="E71" i="10"/>
  <c r="H62" i="10"/>
  <c r="I62" i="10" s="1"/>
  <c r="J62" i="10" s="1"/>
  <c r="E59" i="10"/>
  <c r="K50" i="10"/>
  <c r="L50" i="10" s="1"/>
  <c r="M50" i="10" s="1"/>
  <c r="H47" i="10"/>
  <c r="B49" i="10"/>
  <c r="C49" i="10" s="1"/>
  <c r="D49" i="10" s="1"/>
  <c r="K39" i="10"/>
  <c r="L39" i="10" s="1"/>
  <c r="M39" i="10" s="1"/>
  <c r="H36" i="10"/>
  <c r="B38" i="10"/>
  <c r="C38" i="10" s="1"/>
  <c r="D38" i="10" s="1"/>
  <c r="N23" i="10"/>
  <c r="H25" i="10"/>
  <c r="I25" i="10" s="1"/>
  <c r="J25" i="10" s="1"/>
  <c r="B27" i="10"/>
  <c r="C27" i="10" s="1"/>
  <c r="D27" i="10" s="1"/>
  <c r="N12" i="10"/>
  <c r="H14" i="10"/>
  <c r="I14" i="10" s="1"/>
  <c r="J14" i="10" s="1"/>
  <c r="E11" i="10"/>
  <c r="E103" i="10"/>
  <c r="J103" i="10" s="1"/>
  <c r="O103" i="10" s="1"/>
  <c r="E101" i="10"/>
  <c r="J101" i="10" s="1"/>
  <c r="O101" i="10" s="1"/>
  <c r="E99" i="10"/>
  <c r="E95" i="10"/>
  <c r="J95" i="10" s="1"/>
  <c r="O95" i="10" s="1"/>
  <c r="E93" i="10"/>
  <c r="J93" i="10" s="1"/>
  <c r="O93" i="10" s="1"/>
  <c r="F89" i="10"/>
  <c r="K89" i="10" s="1"/>
  <c r="P89" i="10" s="1"/>
  <c r="C88" i="10"/>
  <c r="H88" i="10" s="1"/>
  <c r="M88" i="10" s="1"/>
  <c r="E86" i="10"/>
  <c r="J86" i="10" s="1"/>
  <c r="O86" i="10" s="1"/>
  <c r="G82" i="10"/>
  <c r="L82" i="10" s="1"/>
  <c r="Q82" i="10" s="1"/>
  <c r="D81" i="10"/>
  <c r="I81" i="10" s="1"/>
  <c r="N81" i="10" s="1"/>
  <c r="F79" i="10"/>
  <c r="K79" i="10" s="1"/>
  <c r="P79" i="10" s="1"/>
  <c r="C78" i="10"/>
  <c r="E74" i="10"/>
  <c r="J74" i="10" s="1"/>
  <c r="O74" i="10" s="1"/>
  <c r="G72" i="10"/>
  <c r="L72" i="10" s="1"/>
  <c r="Q72" i="10" s="1"/>
  <c r="D71" i="10"/>
  <c r="H61" i="10"/>
  <c r="I61" i="10" s="1"/>
  <c r="J61" i="10" s="1"/>
  <c r="E58" i="10"/>
  <c r="K49" i="10"/>
  <c r="L49" i="10" s="1"/>
  <c r="M49" i="10" s="1"/>
  <c r="E51" i="10"/>
  <c r="F51" i="10" s="1"/>
  <c r="G51" i="10" s="1"/>
  <c r="B48" i="10"/>
  <c r="K38" i="10"/>
  <c r="L38" i="10" s="1"/>
  <c r="M38" i="10" s="1"/>
  <c r="H35" i="10"/>
  <c r="B37" i="10"/>
  <c r="C37" i="10" s="1"/>
  <c r="D37" i="10" s="1"/>
  <c r="K27" i="10"/>
  <c r="L27" i="10" s="1"/>
  <c r="M27" i="10" s="1"/>
  <c r="H24" i="10"/>
  <c r="B26" i="10"/>
  <c r="C26" i="10" s="1"/>
  <c r="D26" i="10" s="1"/>
  <c r="N11" i="10"/>
  <c r="H13" i="10"/>
  <c r="I13" i="10" s="1"/>
  <c r="J13" i="10" s="1"/>
  <c r="B15" i="10"/>
  <c r="C15" i="10" s="1"/>
  <c r="D15" i="10" s="1"/>
  <c r="D103" i="10"/>
  <c r="I103" i="10" s="1"/>
  <c r="N103" i="10" s="1"/>
  <c r="D101" i="10"/>
  <c r="I101" i="10" s="1"/>
  <c r="N101" i="10" s="1"/>
  <c r="D99" i="10"/>
  <c r="D95" i="10"/>
  <c r="I95" i="10" s="1"/>
  <c r="N95" i="10" s="1"/>
  <c r="D93" i="10"/>
  <c r="I93" i="10" s="1"/>
  <c r="N93" i="10" s="1"/>
  <c r="E89" i="10"/>
  <c r="J89" i="10" s="1"/>
  <c r="O89" i="10" s="1"/>
  <c r="G87" i="10"/>
  <c r="L87" i="10" s="1"/>
  <c r="Q87" i="10" s="1"/>
  <c r="D86" i="10"/>
  <c r="I86" i="10" s="1"/>
  <c r="N86" i="10" s="1"/>
  <c r="F82" i="10"/>
  <c r="K82" i="10" s="1"/>
  <c r="P82" i="10" s="1"/>
  <c r="C81" i="10"/>
  <c r="H81" i="10" s="1"/>
  <c r="M81" i="10" s="1"/>
  <c r="E79" i="10"/>
  <c r="J79" i="10" s="1"/>
  <c r="O79" i="10" s="1"/>
  <c r="G75" i="10"/>
  <c r="L75" i="10" s="1"/>
  <c r="Q75" i="10" s="1"/>
  <c r="D74" i="10"/>
  <c r="I74" i="10" s="1"/>
  <c r="N74" i="10" s="1"/>
  <c r="F72" i="10"/>
  <c r="K72" i="10" s="1"/>
  <c r="P72" i="10" s="1"/>
  <c r="C71" i="10"/>
  <c r="H60" i="10"/>
  <c r="I60" i="10" s="1"/>
  <c r="J60" i="10" s="1"/>
  <c r="B62" i="10"/>
  <c r="C62" i="10" s="1"/>
  <c r="D62" i="10" s="1"/>
  <c r="K48" i="10"/>
  <c r="L48" i="10" s="1"/>
  <c r="M48" i="10" s="1"/>
  <c r="E50" i="10"/>
  <c r="F50" i="10" s="1"/>
  <c r="G50" i="10" s="1"/>
  <c r="B47" i="10"/>
  <c r="K37" i="10"/>
  <c r="L37" i="10" s="1"/>
  <c r="M37" i="10" s="1"/>
  <c r="E39" i="10"/>
  <c r="F39" i="10" s="1"/>
  <c r="G39" i="10" s="1"/>
  <c r="B36" i="10"/>
  <c r="C36" i="10" s="1"/>
  <c r="D36" i="10" s="1"/>
  <c r="K26" i="10"/>
  <c r="L26" i="10" s="1"/>
  <c r="M26" i="10" s="1"/>
  <c r="H23" i="10"/>
  <c r="B25" i="10"/>
  <c r="C25" i="10" s="1"/>
  <c r="D25" i="10" s="1"/>
  <c r="K15" i="10"/>
  <c r="L15" i="10" s="1"/>
  <c r="M15" i="10" s="1"/>
  <c r="H12" i="10"/>
  <c r="I12" i="10" s="1"/>
  <c r="J12" i="10" s="1"/>
  <c r="B14" i="10"/>
  <c r="C14" i="10" s="1"/>
  <c r="D14" i="10" s="1"/>
  <c r="C103" i="10"/>
  <c r="H103" i="10" s="1"/>
  <c r="M103" i="10" s="1"/>
  <c r="C101" i="10"/>
  <c r="H101" i="10" s="1"/>
  <c r="M101" i="10" s="1"/>
  <c r="C99" i="10"/>
  <c r="C95" i="10"/>
  <c r="H95" i="10" s="1"/>
  <c r="M95" i="10" s="1"/>
  <c r="C93" i="10"/>
  <c r="H93" i="10" s="1"/>
  <c r="M93" i="10" s="1"/>
  <c r="D89" i="10"/>
  <c r="I89" i="10" s="1"/>
  <c r="N89" i="10" s="1"/>
  <c r="F87" i="10"/>
  <c r="C86" i="10"/>
  <c r="E82" i="10"/>
  <c r="J82" i="10" s="1"/>
  <c r="O82" i="10" s="1"/>
  <c r="G80" i="10"/>
  <c r="L80" i="10" s="1"/>
  <c r="Q80" i="10" s="1"/>
  <c r="D79" i="10"/>
  <c r="I79" i="10" s="1"/>
  <c r="N79" i="10" s="1"/>
  <c r="F75" i="10"/>
  <c r="K75" i="10" s="1"/>
  <c r="P75" i="10" s="1"/>
  <c r="C74" i="10"/>
  <c r="H74" i="10" s="1"/>
  <c r="M74" i="10" s="1"/>
  <c r="E72" i="10"/>
  <c r="J72" i="10" s="1"/>
  <c r="O72" i="10" s="1"/>
  <c r="K62" i="10"/>
  <c r="L62" i="10" s="1"/>
  <c r="M62" i="10" s="1"/>
  <c r="H59" i="10"/>
  <c r="I59" i="10" s="1"/>
  <c r="J59" i="10" s="1"/>
  <c r="B61" i="10"/>
  <c r="C61" i="10" s="1"/>
  <c r="D61" i="10" s="1"/>
  <c r="K47" i="10"/>
  <c r="E49" i="10"/>
  <c r="F49" i="10" s="1"/>
  <c r="G49" i="10" s="1"/>
  <c r="N39" i="10"/>
  <c r="O39" i="10" s="1"/>
  <c r="P39" i="10" s="1"/>
  <c r="K36" i="10"/>
  <c r="E38" i="10"/>
  <c r="F38" i="10" s="1"/>
  <c r="G38" i="10" s="1"/>
  <c r="B35" i="10"/>
  <c r="K25" i="10"/>
  <c r="L25" i="10" s="1"/>
  <c r="M25" i="10" s="1"/>
  <c r="E27" i="10"/>
  <c r="F27" i="10" s="1"/>
  <c r="G27" i="10" s="1"/>
  <c r="B24" i="10"/>
  <c r="K14" i="10"/>
  <c r="L14" i="10" s="1"/>
  <c r="M14" i="10" s="1"/>
  <c r="H11" i="10"/>
  <c r="B13" i="10"/>
  <c r="C13" i="10" s="1"/>
  <c r="D13" i="10" s="1"/>
  <c r="F102" i="10"/>
  <c r="K102" i="10" s="1"/>
  <c r="P102" i="10" s="1"/>
  <c r="F100" i="10"/>
  <c r="K100" i="10" s="1"/>
  <c r="P100" i="10" s="1"/>
  <c r="F96" i="10"/>
  <c r="K96" i="10" s="1"/>
  <c r="P96" i="10" s="1"/>
  <c r="F94" i="10"/>
  <c r="K94" i="10" s="1"/>
  <c r="P94" i="10" s="1"/>
  <c r="F92" i="10"/>
  <c r="C89" i="10"/>
  <c r="H89" i="10" s="1"/>
  <c r="M89" i="10" s="1"/>
  <c r="E87" i="10"/>
  <c r="J87" i="10" s="1"/>
  <c r="O87" i="10" s="1"/>
  <c r="G85" i="10"/>
  <c r="D82" i="10"/>
  <c r="I82" i="10" s="1"/>
  <c r="N82" i="10" s="1"/>
  <c r="F80" i="10"/>
  <c r="C79" i="10"/>
  <c r="E75" i="10"/>
  <c r="J75" i="10" s="1"/>
  <c r="O75" i="10" s="1"/>
  <c r="G73" i="10"/>
  <c r="L73" i="10" s="1"/>
  <c r="Q73" i="10" s="1"/>
  <c r="D72" i="10"/>
  <c r="I72" i="10" s="1"/>
  <c r="N72" i="10" s="1"/>
  <c r="K61" i="10"/>
  <c r="L61" i="10" s="1"/>
  <c r="M61" i="10" s="1"/>
  <c r="H58" i="10"/>
  <c r="B60" i="10"/>
  <c r="C60" i="10" s="1"/>
  <c r="D60" i="10" s="1"/>
  <c r="H51" i="10"/>
  <c r="I51" i="10" s="1"/>
  <c r="J51" i="10" s="1"/>
  <c r="E48" i="10"/>
  <c r="N38" i="10"/>
  <c r="O38" i="10" s="1"/>
  <c r="P38" i="10" s="1"/>
  <c r="K35" i="10"/>
  <c r="E37" i="10"/>
  <c r="F37" i="10" s="1"/>
  <c r="G37" i="10" s="1"/>
  <c r="N27" i="10"/>
  <c r="O27" i="10" s="1"/>
  <c r="P27" i="10" s="1"/>
  <c r="K24" i="10"/>
  <c r="E26" i="10"/>
  <c r="F26" i="10" s="1"/>
  <c r="G26" i="10" s="1"/>
  <c r="B23" i="10"/>
  <c r="K13" i="10"/>
  <c r="L13" i="10" s="1"/>
  <c r="M13" i="10" s="1"/>
  <c r="E15" i="10"/>
  <c r="F15" i="10" s="1"/>
  <c r="G15" i="10" s="1"/>
  <c r="B12" i="10"/>
  <c r="C12" i="10" s="1"/>
  <c r="D12" i="10" s="1"/>
  <c r="E102" i="10"/>
  <c r="J102" i="10" s="1"/>
  <c r="O102" i="10" s="1"/>
  <c r="E100" i="10"/>
  <c r="J100" i="10" s="1"/>
  <c r="O100" i="10" s="1"/>
  <c r="E96" i="10"/>
  <c r="J96" i="10" s="1"/>
  <c r="O96" i="10" s="1"/>
  <c r="E94" i="10"/>
  <c r="J94" i="10" s="1"/>
  <c r="O94" i="10" s="1"/>
  <c r="E92" i="10"/>
  <c r="G88" i="10"/>
  <c r="L88" i="10" s="1"/>
  <c r="Q88" i="10" s="1"/>
  <c r="D87" i="10"/>
  <c r="I87" i="10" s="1"/>
  <c r="N87" i="10" s="1"/>
  <c r="F85" i="10"/>
  <c r="C82" i="10"/>
  <c r="H82" i="10" s="1"/>
  <c r="M82" i="10" s="1"/>
  <c r="E80" i="10"/>
  <c r="J80" i="10" s="1"/>
  <c r="O80" i="10" s="1"/>
  <c r="G78" i="10"/>
  <c r="D75" i="10"/>
  <c r="I75" i="10" s="1"/>
  <c r="N75" i="10" s="1"/>
  <c r="F73" i="10"/>
  <c r="K73" i="10" s="1"/>
  <c r="P73" i="10" s="1"/>
  <c r="C72" i="10"/>
  <c r="H72" i="10" s="1"/>
  <c r="M72" i="10" s="1"/>
  <c r="K60" i="10"/>
  <c r="L60" i="10" s="1"/>
  <c r="M60" i="10" s="1"/>
  <c r="E62" i="10"/>
  <c r="F62" i="10" s="1"/>
  <c r="G62" i="10" s="1"/>
  <c r="B59" i="10"/>
  <c r="H50" i="10"/>
  <c r="I50" i="10" s="1"/>
  <c r="J50" i="10" s="1"/>
  <c r="E47" i="10"/>
  <c r="N37" i="10"/>
  <c r="O37" i="10" s="1"/>
  <c r="P37" i="10" s="1"/>
  <c r="H39" i="10"/>
  <c r="I39" i="10" s="1"/>
  <c r="J39" i="10" s="1"/>
  <c r="E36" i="10"/>
  <c r="N26" i="10"/>
  <c r="O26" i="10" s="1"/>
  <c r="P26" i="10" s="1"/>
  <c r="K23" i="10"/>
  <c r="E25" i="10"/>
  <c r="F25" i="10" s="1"/>
  <c r="G25" i="10" s="1"/>
  <c r="N15" i="10"/>
  <c r="O15" i="10" s="1"/>
  <c r="P15" i="10" s="1"/>
  <c r="K12" i="10"/>
  <c r="L12" i="10" s="1"/>
  <c r="M12" i="10" s="1"/>
  <c r="E14" i="10"/>
  <c r="F14" i="10" s="1"/>
  <c r="G14" i="10" s="1"/>
  <c r="B11" i="10"/>
  <c r="D102" i="10"/>
  <c r="I102" i="10" s="1"/>
  <c r="N102" i="10" s="1"/>
  <c r="D100" i="10"/>
  <c r="I100" i="10" s="1"/>
  <c r="N100" i="10" s="1"/>
  <c r="D96" i="10"/>
  <c r="I96" i="10" s="1"/>
  <c r="N96" i="10" s="1"/>
  <c r="D94" i="10"/>
  <c r="I94" i="10" s="1"/>
  <c r="N94" i="10" s="1"/>
  <c r="D92" i="10"/>
  <c r="F88" i="10"/>
  <c r="K88" i="10" s="1"/>
  <c r="P88" i="10" s="1"/>
  <c r="C87" i="10"/>
  <c r="H87" i="10" s="1"/>
  <c r="M87" i="10" s="1"/>
  <c r="E85" i="10"/>
  <c r="G81" i="10"/>
  <c r="L81" i="10" s="1"/>
  <c r="Q81" i="10" s="1"/>
  <c r="D80" i="10"/>
  <c r="I80" i="10" s="1"/>
  <c r="N80" i="10" s="1"/>
  <c r="F78" i="10"/>
  <c r="C75" i="10"/>
  <c r="H75" i="10" s="1"/>
  <c r="M75" i="10" s="1"/>
  <c r="E73" i="10"/>
  <c r="J73" i="10" s="1"/>
  <c r="O73" i="10" s="1"/>
  <c r="G71" i="10"/>
  <c r="K59" i="10"/>
  <c r="E61" i="10"/>
  <c r="F61" i="10" s="1"/>
  <c r="G61" i="10" s="1"/>
  <c r="B58" i="10"/>
  <c r="H49" i="10"/>
  <c r="I49" i="10" s="1"/>
  <c r="J49" i="10" s="1"/>
  <c r="B51" i="10"/>
  <c r="C51" i="10" s="1"/>
  <c r="D51" i="10" s="1"/>
  <c r="N36" i="10"/>
  <c r="O36" i="10" s="1"/>
  <c r="P36" i="10" s="1"/>
  <c r="H38" i="10"/>
  <c r="I38" i="10" s="1"/>
  <c r="J38" i="10" s="1"/>
  <c r="E35" i="10"/>
  <c r="N25" i="10"/>
  <c r="O25" i="10" s="1"/>
  <c r="P25" i="10" s="1"/>
  <c r="H27" i="10"/>
  <c r="I27" i="10" s="1"/>
  <c r="J27" i="10" s="1"/>
  <c r="E24" i="10"/>
  <c r="N14" i="10"/>
  <c r="O14" i="10" s="1"/>
  <c r="P14" i="10" s="1"/>
  <c r="K11" i="10"/>
  <c r="E13" i="10"/>
  <c r="F13" i="10" s="1"/>
  <c r="G13" i="10" s="1"/>
  <c r="I2" i="10"/>
  <c r="C102" i="10"/>
  <c r="H102" i="10" s="1"/>
  <c r="M102" i="10" s="1"/>
  <c r="C100" i="10"/>
  <c r="H100" i="10" s="1"/>
  <c r="M100" i="10" s="1"/>
  <c r="C96" i="10"/>
  <c r="H96" i="10" s="1"/>
  <c r="M96" i="10" s="1"/>
  <c r="C94" i="10"/>
  <c r="H94" i="10" s="1"/>
  <c r="M94" i="10" s="1"/>
  <c r="C92" i="10"/>
  <c r="E88" i="10"/>
  <c r="G86" i="10"/>
  <c r="D85" i="10"/>
  <c r="F81" i="10"/>
  <c r="K81" i="10" s="1"/>
  <c r="P81" i="10" s="1"/>
  <c r="C80" i="10"/>
  <c r="H80" i="10" s="1"/>
  <c r="M80" i="10" s="1"/>
  <c r="E78" i="10"/>
  <c r="G74" i="10"/>
  <c r="L74" i="10" s="1"/>
  <c r="Q74" i="10" s="1"/>
  <c r="D73" i="10"/>
  <c r="I73" i="10" s="1"/>
  <c r="N73" i="10" s="1"/>
  <c r="F71" i="10"/>
  <c r="K58" i="10"/>
  <c r="E60" i="10"/>
  <c r="F60" i="10" s="1"/>
  <c r="G60" i="10" s="1"/>
  <c r="K51" i="10"/>
  <c r="L51" i="10" s="1"/>
  <c r="M51" i="10" s="1"/>
  <c r="H48" i="10"/>
  <c r="B50" i="10"/>
  <c r="C50" i="10" s="1"/>
  <c r="D50" i="10" s="1"/>
  <c r="N35" i="10"/>
  <c r="H37" i="10"/>
  <c r="I37" i="10" s="1"/>
  <c r="J37" i="10" s="1"/>
  <c r="B39" i="10"/>
  <c r="C39" i="10" s="1"/>
  <c r="D39" i="10" s="1"/>
  <c r="N24" i="10"/>
  <c r="H26" i="10"/>
  <c r="I26" i="10" s="1"/>
  <c r="J26" i="10" s="1"/>
  <c r="E23" i="10"/>
  <c r="N13" i="10"/>
  <c r="O13" i="10" s="1"/>
  <c r="P13" i="10" s="1"/>
  <c r="H15" i="10"/>
  <c r="I15" i="10" s="1"/>
  <c r="J15" i="10" s="1"/>
  <c r="E12" i="10"/>
  <c r="F12" i="10" s="1"/>
  <c r="G12" i="10" s="1"/>
  <c r="N106" i="2"/>
  <c r="B64" i="10" l="1"/>
  <c r="C59" i="10"/>
  <c r="D59" i="10" s="1"/>
  <c r="C98" i="10"/>
  <c r="H92" i="10"/>
  <c r="C97" i="10"/>
  <c r="O11" i="10"/>
  <c r="N17" i="10"/>
  <c r="E105" i="10"/>
  <c r="E104" i="10"/>
  <c r="J99" i="10"/>
  <c r="N29" i="10"/>
  <c r="O23" i="10"/>
  <c r="N41" i="10"/>
  <c r="N40" i="10"/>
  <c r="O35" i="10"/>
  <c r="E28" i="10"/>
  <c r="F24" i="10"/>
  <c r="G24" i="10" s="1"/>
  <c r="C58" i="10"/>
  <c r="B63" i="10"/>
  <c r="E41" i="10"/>
  <c r="F36" i="10"/>
  <c r="G36" i="10" s="1"/>
  <c r="E52" i="10"/>
  <c r="F48" i="10"/>
  <c r="G48" i="10" s="1"/>
  <c r="C83" i="10"/>
  <c r="H79" i="10"/>
  <c r="M79" i="10" s="1"/>
  <c r="C90" i="10"/>
  <c r="H86" i="10"/>
  <c r="M86" i="10" s="1"/>
  <c r="E77" i="10"/>
  <c r="E76" i="10"/>
  <c r="J71" i="10"/>
  <c r="C104" i="10"/>
  <c r="H99" i="10"/>
  <c r="C105" i="10"/>
  <c r="J78" i="10"/>
  <c r="E84" i="10"/>
  <c r="E83" i="10"/>
  <c r="J85" i="10"/>
  <c r="E91" i="10"/>
  <c r="C11" i="10"/>
  <c r="B16" i="10"/>
  <c r="B17" i="10"/>
  <c r="J92" i="10"/>
  <c r="E98" i="10"/>
  <c r="E97" i="10"/>
  <c r="B29" i="10"/>
  <c r="C23" i="10"/>
  <c r="F84" i="10"/>
  <c r="K80" i="10"/>
  <c r="P80" i="10" s="1"/>
  <c r="C35" i="10"/>
  <c r="B40" i="10"/>
  <c r="B41" i="10"/>
  <c r="F91" i="10"/>
  <c r="K87" i="10"/>
  <c r="P87" i="10" s="1"/>
  <c r="C47" i="10"/>
  <c r="B52" i="10"/>
  <c r="H28" i="10"/>
  <c r="I24" i="10"/>
  <c r="J24" i="10" s="1"/>
  <c r="F58" i="10"/>
  <c r="E64" i="10"/>
  <c r="H40" i="10"/>
  <c r="I36" i="10"/>
  <c r="J36" i="10" s="1"/>
  <c r="L58" i="10"/>
  <c r="K63" i="10"/>
  <c r="H53" i="10"/>
  <c r="I48" i="10"/>
  <c r="J48" i="10" s="1"/>
  <c r="K64" i="10"/>
  <c r="L59" i="10"/>
  <c r="M59" i="10" s="1"/>
  <c r="D105" i="10"/>
  <c r="I99" i="10"/>
  <c r="D104" i="10"/>
  <c r="E17" i="10"/>
  <c r="E16" i="10"/>
  <c r="F11" i="10"/>
  <c r="G90" i="10"/>
  <c r="L86" i="10"/>
  <c r="Q86" i="10" s="1"/>
  <c r="F23" i="10"/>
  <c r="E29" i="10"/>
  <c r="F35" i="10"/>
  <c r="E40" i="10"/>
  <c r="L71" i="10"/>
  <c r="G77" i="10"/>
  <c r="G76" i="10"/>
  <c r="F47" i="10"/>
  <c r="E53" i="10"/>
  <c r="L78" i="10"/>
  <c r="G84" i="10"/>
  <c r="K28" i="10"/>
  <c r="L24" i="10"/>
  <c r="M24" i="10" s="1"/>
  <c r="I58" i="10"/>
  <c r="H63" i="10"/>
  <c r="H64" i="10"/>
  <c r="G91" i="10"/>
  <c r="L85" i="10"/>
  <c r="K41" i="10"/>
  <c r="L36" i="10"/>
  <c r="M36" i="10" s="1"/>
  <c r="D76" i="10"/>
  <c r="I71" i="10"/>
  <c r="D77" i="10"/>
  <c r="D84" i="10"/>
  <c r="D83" i="10"/>
  <c r="I78" i="10"/>
  <c r="I85" i="10"/>
  <c r="D91" i="10"/>
  <c r="D90" i="10"/>
  <c r="D97" i="10"/>
  <c r="I92" i="10"/>
  <c r="D98" i="10"/>
  <c r="H16" i="10"/>
  <c r="I11" i="10"/>
  <c r="H17" i="10"/>
  <c r="I23" i="10"/>
  <c r="H29" i="10"/>
  <c r="I35" i="10"/>
  <c r="H41" i="10"/>
  <c r="N16" i="10"/>
  <c r="O12" i="10"/>
  <c r="P12" i="10" s="1"/>
  <c r="H52" i="10"/>
  <c r="I47" i="10"/>
  <c r="G83" i="10"/>
  <c r="L79" i="10"/>
  <c r="Q79" i="10" s="1"/>
  <c r="F104" i="10"/>
  <c r="K99" i="10"/>
  <c r="F105" i="10"/>
  <c r="N28" i="10"/>
  <c r="O24" i="10"/>
  <c r="P24" i="10" s="1"/>
  <c r="K71" i="10"/>
  <c r="F76" i="10"/>
  <c r="F77" i="10"/>
  <c r="E90" i="10"/>
  <c r="J88" i="10"/>
  <c r="O88" i="10" s="1"/>
  <c r="K17" i="10"/>
  <c r="L11" i="10"/>
  <c r="K16" i="10"/>
  <c r="K78" i="10"/>
  <c r="F83" i="10"/>
  <c r="L23" i="10"/>
  <c r="K29" i="10"/>
  <c r="F90" i="10"/>
  <c r="K85" i="10"/>
  <c r="L35" i="10"/>
  <c r="K40" i="10"/>
  <c r="F97" i="10"/>
  <c r="F98" i="10"/>
  <c r="K92" i="10"/>
  <c r="B28" i="10"/>
  <c r="C24" i="10"/>
  <c r="D24" i="10" s="1"/>
  <c r="L47" i="10"/>
  <c r="K53" i="10"/>
  <c r="K52" i="10"/>
  <c r="H71" i="10"/>
  <c r="C77" i="10"/>
  <c r="C76" i="10"/>
  <c r="B53" i="10"/>
  <c r="C48" i="10"/>
  <c r="D48" i="10" s="1"/>
  <c r="H78" i="10"/>
  <c r="C84" i="10"/>
  <c r="E63" i="10"/>
  <c r="F59" i="10"/>
  <c r="G59" i="10" s="1"/>
  <c r="C91" i="10"/>
  <c r="H85" i="10"/>
  <c r="D105" i="1"/>
  <c r="E105" i="1"/>
  <c r="F105" i="1"/>
  <c r="D98" i="1"/>
  <c r="E98" i="1"/>
  <c r="F98" i="1"/>
  <c r="D97" i="1"/>
  <c r="E97" i="1"/>
  <c r="F97" i="1"/>
  <c r="D91" i="1"/>
  <c r="E91" i="1"/>
  <c r="F91" i="1"/>
  <c r="G91" i="1"/>
  <c r="D84" i="1"/>
  <c r="E84" i="1"/>
  <c r="F84" i="1"/>
  <c r="G84" i="1"/>
  <c r="D77" i="1"/>
  <c r="E77" i="1"/>
  <c r="F77" i="1"/>
  <c r="G77" i="1"/>
  <c r="C105" i="1"/>
  <c r="C98" i="1"/>
  <c r="C91" i="1"/>
  <c r="C84" i="1"/>
  <c r="C77" i="1"/>
  <c r="E64" i="1"/>
  <c r="H64" i="1"/>
  <c r="K64" i="1"/>
  <c r="E53" i="1"/>
  <c r="H53" i="1"/>
  <c r="K53" i="1"/>
  <c r="B64" i="1"/>
  <c r="B53" i="1"/>
  <c r="E41" i="1"/>
  <c r="H41" i="1"/>
  <c r="K41" i="1"/>
  <c r="N41" i="1"/>
  <c r="B41" i="1"/>
  <c r="E29" i="1"/>
  <c r="H29" i="1"/>
  <c r="K29" i="1"/>
  <c r="N29" i="1"/>
  <c r="E17" i="1"/>
  <c r="H17" i="1"/>
  <c r="K17" i="1"/>
  <c r="N17" i="1"/>
  <c r="B29" i="1"/>
  <c r="B17" i="1"/>
  <c r="D114" i="2"/>
  <c r="E114" i="2"/>
  <c r="F114" i="2"/>
  <c r="G114" i="2"/>
  <c r="H114" i="2"/>
  <c r="I114" i="2"/>
  <c r="J114" i="2"/>
  <c r="K114" i="2"/>
  <c r="L114" i="2"/>
  <c r="M114" i="2"/>
  <c r="N114" i="2"/>
  <c r="D107" i="2"/>
  <c r="E107" i="2"/>
  <c r="F107" i="2"/>
  <c r="G107" i="2"/>
  <c r="H107" i="2"/>
  <c r="I107" i="2"/>
  <c r="J107" i="2"/>
  <c r="K107" i="2"/>
  <c r="L107" i="2"/>
  <c r="M107" i="2"/>
  <c r="N107" i="2"/>
  <c r="D100" i="2"/>
  <c r="E100" i="2"/>
  <c r="F100" i="2"/>
  <c r="G100" i="2"/>
  <c r="H100" i="2"/>
  <c r="I100" i="2"/>
  <c r="J100" i="2"/>
  <c r="K100" i="2"/>
  <c r="L100" i="2"/>
  <c r="M100" i="2"/>
  <c r="N100" i="2"/>
  <c r="D88" i="2"/>
  <c r="E88" i="2"/>
  <c r="F88" i="2"/>
  <c r="G88" i="2"/>
  <c r="H88" i="2"/>
  <c r="I88" i="2"/>
  <c r="J88" i="2"/>
  <c r="K88" i="2"/>
  <c r="L88" i="2"/>
  <c r="M88" i="2"/>
  <c r="N88" i="2"/>
  <c r="D81" i="2"/>
  <c r="E81" i="2"/>
  <c r="F81" i="2"/>
  <c r="G81" i="2"/>
  <c r="H81" i="2"/>
  <c r="I81" i="2"/>
  <c r="J81" i="2"/>
  <c r="K81" i="2"/>
  <c r="L81" i="2"/>
  <c r="M81" i="2"/>
  <c r="N81" i="2"/>
  <c r="D74" i="2"/>
  <c r="E74" i="2"/>
  <c r="F74" i="2"/>
  <c r="G74" i="2"/>
  <c r="H74" i="2"/>
  <c r="I74" i="2"/>
  <c r="J74" i="2"/>
  <c r="K74" i="2"/>
  <c r="L74" i="2"/>
  <c r="M74" i="2"/>
  <c r="N74" i="2"/>
  <c r="C114" i="2"/>
  <c r="C107" i="2"/>
  <c r="C100" i="2"/>
  <c r="C88" i="2"/>
  <c r="C81" i="2"/>
  <c r="C74" i="2"/>
  <c r="D60" i="2"/>
  <c r="E60" i="2"/>
  <c r="F60" i="2"/>
  <c r="G60" i="2"/>
  <c r="H60" i="2"/>
  <c r="I60" i="2"/>
  <c r="J60" i="2"/>
  <c r="K60" i="2"/>
  <c r="L60" i="2"/>
  <c r="M60" i="2"/>
  <c r="N60" i="2"/>
  <c r="D53" i="2"/>
  <c r="E53" i="2"/>
  <c r="F53" i="2"/>
  <c r="G53" i="2"/>
  <c r="H53" i="2"/>
  <c r="I53" i="2"/>
  <c r="J53" i="2"/>
  <c r="K53" i="2"/>
  <c r="L53" i="2"/>
  <c r="M53" i="2"/>
  <c r="N53" i="2"/>
  <c r="D46" i="2"/>
  <c r="E46" i="2"/>
  <c r="F46" i="2"/>
  <c r="G46" i="2"/>
  <c r="H46" i="2"/>
  <c r="I46" i="2"/>
  <c r="J46" i="2"/>
  <c r="K46" i="2"/>
  <c r="L46" i="2"/>
  <c r="M46" i="2"/>
  <c r="N46" i="2"/>
  <c r="AB46" i="2"/>
  <c r="C52" i="2"/>
  <c r="C53" i="2"/>
  <c r="C59" i="2"/>
  <c r="C60" i="2"/>
  <c r="C46" i="2"/>
  <c r="D32" i="2"/>
  <c r="E32" i="2"/>
  <c r="F32" i="2"/>
  <c r="G32" i="2"/>
  <c r="H32" i="2"/>
  <c r="I32" i="2"/>
  <c r="J32" i="2"/>
  <c r="K32" i="2"/>
  <c r="L32" i="2"/>
  <c r="M32" i="2"/>
  <c r="N32" i="2"/>
  <c r="C32" i="2"/>
  <c r="D25" i="2"/>
  <c r="E25" i="2"/>
  <c r="F25" i="2"/>
  <c r="G25" i="2"/>
  <c r="H25" i="2"/>
  <c r="I25" i="2"/>
  <c r="J25" i="2"/>
  <c r="K25" i="2"/>
  <c r="L25" i="2"/>
  <c r="M25" i="2"/>
  <c r="N25" i="2"/>
  <c r="W25" i="2"/>
  <c r="C25" i="2"/>
  <c r="D18" i="2"/>
  <c r="E18" i="2"/>
  <c r="F18" i="2"/>
  <c r="G18" i="2"/>
  <c r="H18" i="2"/>
  <c r="I18" i="2"/>
  <c r="J18" i="2"/>
  <c r="K18" i="2"/>
  <c r="L18" i="2"/>
  <c r="M18" i="2"/>
  <c r="N18" i="2"/>
  <c r="Y18" i="2"/>
  <c r="C18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D112" i="2"/>
  <c r="Z112" i="2"/>
  <c r="AF112" i="2" s="1"/>
  <c r="Y112" i="2"/>
  <c r="AE112" i="2" s="1"/>
  <c r="X112" i="2"/>
  <c r="W112" i="2"/>
  <c r="AC112" i="2" s="1"/>
  <c r="V112" i="2"/>
  <c r="AB112" i="2" s="1"/>
  <c r="U112" i="2"/>
  <c r="AA112" i="2" s="1"/>
  <c r="Z111" i="2"/>
  <c r="AF111" i="2" s="1"/>
  <c r="Y111" i="2"/>
  <c r="AE111" i="2" s="1"/>
  <c r="X111" i="2"/>
  <c r="AD111" i="2" s="1"/>
  <c r="W111" i="2"/>
  <c r="AC111" i="2" s="1"/>
  <c r="V111" i="2"/>
  <c r="AB111" i="2" s="1"/>
  <c r="U111" i="2"/>
  <c r="AD110" i="2"/>
  <c r="Z110" i="2"/>
  <c r="AF110" i="2" s="1"/>
  <c r="Y110" i="2"/>
  <c r="AE110" i="2" s="1"/>
  <c r="X110" i="2"/>
  <c r="W110" i="2"/>
  <c r="AC110" i="2" s="1"/>
  <c r="V110" i="2"/>
  <c r="AB110" i="2" s="1"/>
  <c r="U110" i="2"/>
  <c r="AA110" i="2" s="1"/>
  <c r="Z109" i="2"/>
  <c r="AF109" i="2" s="1"/>
  <c r="Y109" i="2"/>
  <c r="AE109" i="2" s="1"/>
  <c r="X109" i="2"/>
  <c r="AD109" i="2" s="1"/>
  <c r="W109" i="2"/>
  <c r="AC109" i="2" s="1"/>
  <c r="V109" i="2"/>
  <c r="AB109" i="2" s="1"/>
  <c r="U109" i="2"/>
  <c r="AA109" i="2" s="1"/>
  <c r="AD108" i="2"/>
  <c r="Z108" i="2"/>
  <c r="Y108" i="2"/>
  <c r="X108" i="2"/>
  <c r="W108" i="2"/>
  <c r="V108" i="2"/>
  <c r="U108" i="2"/>
  <c r="M106" i="2"/>
  <c r="L106" i="2"/>
  <c r="K106" i="2"/>
  <c r="J106" i="2"/>
  <c r="I106" i="2"/>
  <c r="H106" i="2"/>
  <c r="G106" i="2"/>
  <c r="F106" i="2"/>
  <c r="E106" i="2"/>
  <c r="D106" i="2"/>
  <c r="C106" i="2"/>
  <c r="AA105" i="2"/>
  <c r="Z105" i="2"/>
  <c r="Y105" i="2"/>
  <c r="X105" i="2"/>
  <c r="AD105" i="2" s="1"/>
  <c r="W105" i="2"/>
  <c r="AC105" i="2" s="1"/>
  <c r="V105" i="2"/>
  <c r="AB105" i="2" s="1"/>
  <c r="U105" i="2"/>
  <c r="Z104" i="2"/>
  <c r="AF104" i="2" s="1"/>
  <c r="Y104" i="2"/>
  <c r="AE104" i="2" s="1"/>
  <c r="X104" i="2"/>
  <c r="W104" i="2"/>
  <c r="AC104" i="2" s="1"/>
  <c r="V104" i="2"/>
  <c r="AB104" i="2" s="1"/>
  <c r="U104" i="2"/>
  <c r="AA104" i="2" s="1"/>
  <c r="AB103" i="2"/>
  <c r="AA103" i="2"/>
  <c r="Z103" i="2"/>
  <c r="AF103" i="2" s="1"/>
  <c r="Y103" i="2"/>
  <c r="AE103" i="2" s="1"/>
  <c r="X103" i="2"/>
  <c r="AD103" i="2" s="1"/>
  <c r="W103" i="2"/>
  <c r="AC103" i="2" s="1"/>
  <c r="V103" i="2"/>
  <c r="U103" i="2"/>
  <c r="Z102" i="2"/>
  <c r="AF102" i="2" s="1"/>
  <c r="Y102" i="2"/>
  <c r="X102" i="2"/>
  <c r="AD102" i="2" s="1"/>
  <c r="W102" i="2"/>
  <c r="AC102" i="2" s="1"/>
  <c r="V102" i="2"/>
  <c r="AB102" i="2" s="1"/>
  <c r="U102" i="2"/>
  <c r="AB101" i="2"/>
  <c r="Z101" i="2"/>
  <c r="AF101" i="2" s="1"/>
  <c r="Y101" i="2"/>
  <c r="AE101" i="2" s="1"/>
  <c r="X101" i="2"/>
  <c r="W101" i="2"/>
  <c r="V101" i="2"/>
  <c r="U101" i="2"/>
  <c r="U107" i="2" s="1"/>
  <c r="N99" i="2"/>
  <c r="M99" i="2"/>
  <c r="L99" i="2"/>
  <c r="K99" i="2"/>
  <c r="J99" i="2"/>
  <c r="I99" i="2"/>
  <c r="H99" i="2"/>
  <c r="G99" i="2"/>
  <c r="F99" i="2"/>
  <c r="E99" i="2"/>
  <c r="D99" i="2"/>
  <c r="C99" i="2"/>
  <c r="Z98" i="2"/>
  <c r="AF98" i="2" s="1"/>
  <c r="Y98" i="2"/>
  <c r="AE98" i="2" s="1"/>
  <c r="X98" i="2"/>
  <c r="AD98" i="2" s="1"/>
  <c r="W98" i="2"/>
  <c r="AC98" i="2" s="1"/>
  <c r="V98" i="2"/>
  <c r="AB98" i="2" s="1"/>
  <c r="U98" i="2"/>
  <c r="AA98" i="2" s="1"/>
  <c r="Z97" i="2"/>
  <c r="AF97" i="2" s="1"/>
  <c r="Y97" i="2"/>
  <c r="AE97" i="2" s="1"/>
  <c r="X97" i="2"/>
  <c r="AD97" i="2" s="1"/>
  <c r="W97" i="2"/>
  <c r="AC97" i="2" s="1"/>
  <c r="V97" i="2"/>
  <c r="AB97" i="2" s="1"/>
  <c r="U97" i="2"/>
  <c r="AA97" i="2" s="1"/>
  <c r="Z96" i="2"/>
  <c r="AF96" i="2" s="1"/>
  <c r="Y96" i="2"/>
  <c r="AE96" i="2" s="1"/>
  <c r="X96" i="2"/>
  <c r="AD96" i="2" s="1"/>
  <c r="W96" i="2"/>
  <c r="AC96" i="2" s="1"/>
  <c r="V96" i="2"/>
  <c r="AB96" i="2" s="1"/>
  <c r="U96" i="2"/>
  <c r="AA96" i="2" s="1"/>
  <c r="AF95" i="2"/>
  <c r="Z95" i="2"/>
  <c r="Y95" i="2"/>
  <c r="AE95" i="2" s="1"/>
  <c r="X95" i="2"/>
  <c r="AD95" i="2" s="1"/>
  <c r="W95" i="2"/>
  <c r="AC95" i="2" s="1"/>
  <c r="V95" i="2"/>
  <c r="AB95" i="2" s="1"/>
  <c r="U95" i="2"/>
  <c r="AA95" i="2" s="1"/>
  <c r="Z94" i="2"/>
  <c r="Y94" i="2"/>
  <c r="X94" i="2"/>
  <c r="W94" i="2"/>
  <c r="AC94" i="2" s="1"/>
  <c r="V94" i="2"/>
  <c r="U94" i="2"/>
  <c r="N87" i="2"/>
  <c r="M87" i="2"/>
  <c r="L87" i="2"/>
  <c r="K87" i="2"/>
  <c r="J87" i="2"/>
  <c r="I87" i="2"/>
  <c r="H87" i="2"/>
  <c r="G87" i="2"/>
  <c r="F87" i="2"/>
  <c r="E87" i="2"/>
  <c r="D87" i="2"/>
  <c r="C87" i="2"/>
  <c r="Z86" i="2"/>
  <c r="AF86" i="2" s="1"/>
  <c r="Y86" i="2"/>
  <c r="AE86" i="2" s="1"/>
  <c r="X86" i="2"/>
  <c r="AD86" i="2" s="1"/>
  <c r="W86" i="2"/>
  <c r="AC86" i="2" s="1"/>
  <c r="V86" i="2"/>
  <c r="AB86" i="2" s="1"/>
  <c r="U86" i="2"/>
  <c r="AA86" i="2" s="1"/>
  <c r="AA85" i="2"/>
  <c r="Z85" i="2"/>
  <c r="AF85" i="2" s="1"/>
  <c r="Y85" i="2"/>
  <c r="AE85" i="2" s="1"/>
  <c r="X85" i="2"/>
  <c r="AD85" i="2" s="1"/>
  <c r="W85" i="2"/>
  <c r="AC85" i="2" s="1"/>
  <c r="V85" i="2"/>
  <c r="AB85" i="2" s="1"/>
  <c r="U85" i="2"/>
  <c r="Z84" i="2"/>
  <c r="AF84" i="2" s="1"/>
  <c r="Y84" i="2"/>
  <c r="AE84" i="2" s="1"/>
  <c r="X84" i="2"/>
  <c r="AD84" i="2" s="1"/>
  <c r="W84" i="2"/>
  <c r="AC84" i="2" s="1"/>
  <c r="V84" i="2"/>
  <c r="AB84" i="2" s="1"/>
  <c r="U84" i="2"/>
  <c r="AA84" i="2" s="1"/>
  <c r="Z83" i="2"/>
  <c r="AF83" i="2" s="1"/>
  <c r="Y83" i="2"/>
  <c r="AE83" i="2" s="1"/>
  <c r="X83" i="2"/>
  <c r="AD83" i="2" s="1"/>
  <c r="W83" i="2"/>
  <c r="AC83" i="2" s="1"/>
  <c r="V83" i="2"/>
  <c r="AB83" i="2" s="1"/>
  <c r="U83" i="2"/>
  <c r="U88" i="2" s="1"/>
  <c r="AC82" i="2"/>
  <c r="Z82" i="2"/>
  <c r="Y82" i="2"/>
  <c r="X82" i="2"/>
  <c r="W82" i="2"/>
  <c r="V82" i="2"/>
  <c r="AB82" i="2" s="1"/>
  <c r="U82" i="2"/>
  <c r="AA82" i="2" s="1"/>
  <c r="N80" i="2"/>
  <c r="M80" i="2"/>
  <c r="L80" i="2"/>
  <c r="K80" i="2"/>
  <c r="J80" i="2"/>
  <c r="I80" i="2"/>
  <c r="H80" i="2"/>
  <c r="G80" i="2"/>
  <c r="F80" i="2"/>
  <c r="E80" i="2"/>
  <c r="D80" i="2"/>
  <c r="C80" i="2"/>
  <c r="Z79" i="2"/>
  <c r="AF79" i="2" s="1"/>
  <c r="Y79" i="2"/>
  <c r="AE79" i="2" s="1"/>
  <c r="X79" i="2"/>
  <c r="AD79" i="2" s="1"/>
  <c r="W79" i="2"/>
  <c r="AC79" i="2" s="1"/>
  <c r="V79" i="2"/>
  <c r="AB79" i="2" s="1"/>
  <c r="U79" i="2"/>
  <c r="AA79" i="2" s="1"/>
  <c r="Z78" i="2"/>
  <c r="AF78" i="2" s="1"/>
  <c r="Y78" i="2"/>
  <c r="X78" i="2"/>
  <c r="AD78" i="2" s="1"/>
  <c r="W78" i="2"/>
  <c r="AC78" i="2" s="1"/>
  <c r="V78" i="2"/>
  <c r="AB78" i="2" s="1"/>
  <c r="U78" i="2"/>
  <c r="AA78" i="2" s="1"/>
  <c r="AA77" i="2"/>
  <c r="Z77" i="2"/>
  <c r="AF77" i="2" s="1"/>
  <c r="Y77" i="2"/>
  <c r="AE77" i="2" s="1"/>
  <c r="X77" i="2"/>
  <c r="AD77" i="2" s="1"/>
  <c r="W77" i="2"/>
  <c r="AC77" i="2" s="1"/>
  <c r="V77" i="2"/>
  <c r="AB77" i="2" s="1"/>
  <c r="U77" i="2"/>
  <c r="Z76" i="2"/>
  <c r="AF76" i="2" s="1"/>
  <c r="Y76" i="2"/>
  <c r="AE76" i="2" s="1"/>
  <c r="X76" i="2"/>
  <c r="AD76" i="2" s="1"/>
  <c r="W76" i="2"/>
  <c r="AC76" i="2" s="1"/>
  <c r="V76" i="2"/>
  <c r="AB76" i="2" s="1"/>
  <c r="U76" i="2"/>
  <c r="AA76" i="2" s="1"/>
  <c r="AA75" i="2"/>
  <c r="Z75" i="2"/>
  <c r="Y75" i="2"/>
  <c r="AE75" i="2" s="1"/>
  <c r="X75" i="2"/>
  <c r="W75" i="2"/>
  <c r="V75" i="2"/>
  <c r="U75" i="2"/>
  <c r="N73" i="2"/>
  <c r="M73" i="2"/>
  <c r="L73" i="2"/>
  <c r="K73" i="2"/>
  <c r="J73" i="2"/>
  <c r="I73" i="2"/>
  <c r="H73" i="2"/>
  <c r="G73" i="2"/>
  <c r="F73" i="2"/>
  <c r="E73" i="2"/>
  <c r="D73" i="2"/>
  <c r="C73" i="2"/>
  <c r="Z72" i="2"/>
  <c r="AF72" i="2" s="1"/>
  <c r="Y72" i="2"/>
  <c r="AE72" i="2" s="1"/>
  <c r="X72" i="2"/>
  <c r="AD72" i="2" s="1"/>
  <c r="W72" i="2"/>
  <c r="AC72" i="2" s="1"/>
  <c r="V72" i="2"/>
  <c r="AB72" i="2" s="1"/>
  <c r="U72" i="2"/>
  <c r="AA72" i="2" s="1"/>
  <c r="Z71" i="2"/>
  <c r="AF71" i="2" s="1"/>
  <c r="Y71" i="2"/>
  <c r="AE71" i="2" s="1"/>
  <c r="X71" i="2"/>
  <c r="AD71" i="2" s="1"/>
  <c r="W71" i="2"/>
  <c r="AC71" i="2" s="1"/>
  <c r="V71" i="2"/>
  <c r="AB71" i="2" s="1"/>
  <c r="U71" i="2"/>
  <c r="AA71" i="2" s="1"/>
  <c r="AE70" i="2"/>
  <c r="Z70" i="2"/>
  <c r="AF70" i="2" s="1"/>
  <c r="Y70" i="2"/>
  <c r="X70" i="2"/>
  <c r="AD70" i="2" s="1"/>
  <c r="W70" i="2"/>
  <c r="AC70" i="2" s="1"/>
  <c r="V70" i="2"/>
  <c r="AB70" i="2" s="1"/>
  <c r="U70" i="2"/>
  <c r="AA70" i="2" s="1"/>
  <c r="AA74" i="2" s="1"/>
  <c r="AB69" i="2"/>
  <c r="Z69" i="2"/>
  <c r="AF69" i="2" s="1"/>
  <c r="Y69" i="2"/>
  <c r="AE69" i="2" s="1"/>
  <c r="X69" i="2"/>
  <c r="AD69" i="2" s="1"/>
  <c r="W69" i="2"/>
  <c r="AC69" i="2" s="1"/>
  <c r="V69" i="2"/>
  <c r="U69" i="2"/>
  <c r="AA69" i="2" s="1"/>
  <c r="AA68" i="2"/>
  <c r="Z68" i="2"/>
  <c r="Y68" i="2"/>
  <c r="X68" i="2"/>
  <c r="AD68" i="2" s="1"/>
  <c r="W68" i="2"/>
  <c r="V68" i="2"/>
  <c r="U68" i="2"/>
  <c r="N59" i="2"/>
  <c r="M59" i="2"/>
  <c r="L59" i="2"/>
  <c r="K59" i="2"/>
  <c r="J59" i="2"/>
  <c r="I59" i="2"/>
  <c r="H59" i="2"/>
  <c r="G59" i="2"/>
  <c r="F59" i="2"/>
  <c r="E59" i="2"/>
  <c r="D59" i="2"/>
  <c r="AF58" i="2"/>
  <c r="Z58" i="2"/>
  <c r="Y58" i="2"/>
  <c r="AE58" i="2" s="1"/>
  <c r="X58" i="2"/>
  <c r="AD58" i="2" s="1"/>
  <c r="W58" i="2"/>
  <c r="AC58" i="2" s="1"/>
  <c r="V58" i="2"/>
  <c r="AB58" i="2" s="1"/>
  <c r="AE57" i="2"/>
  <c r="Z57" i="2"/>
  <c r="AF57" i="2" s="1"/>
  <c r="Y57" i="2"/>
  <c r="X57" i="2"/>
  <c r="AD57" i="2" s="1"/>
  <c r="W57" i="2"/>
  <c r="AC57" i="2" s="1"/>
  <c r="V57" i="2"/>
  <c r="AB57" i="2" s="1"/>
  <c r="Z56" i="2"/>
  <c r="AF56" i="2" s="1"/>
  <c r="Y56" i="2"/>
  <c r="AE56" i="2" s="1"/>
  <c r="X56" i="2"/>
  <c r="AD56" i="2" s="1"/>
  <c r="W56" i="2"/>
  <c r="AC56" i="2" s="1"/>
  <c r="V56" i="2"/>
  <c r="AB56" i="2" s="1"/>
  <c r="Z55" i="2"/>
  <c r="AF55" i="2" s="1"/>
  <c r="Y55" i="2"/>
  <c r="AE55" i="2" s="1"/>
  <c r="X55" i="2"/>
  <c r="AD55" i="2" s="1"/>
  <c r="W55" i="2"/>
  <c r="AC55" i="2" s="1"/>
  <c r="V55" i="2"/>
  <c r="AB55" i="2" s="1"/>
  <c r="Z54" i="2"/>
  <c r="Y54" i="2"/>
  <c r="Y60" i="2" s="1"/>
  <c r="X54" i="2"/>
  <c r="X59" i="2" s="1"/>
  <c r="W54" i="2"/>
  <c r="AC54" i="2" s="1"/>
  <c r="AC60" i="2" s="1"/>
  <c r="V54" i="2"/>
  <c r="V60" i="2" s="1"/>
  <c r="N52" i="2"/>
  <c r="M52" i="2"/>
  <c r="L52" i="2"/>
  <c r="K52" i="2"/>
  <c r="J52" i="2"/>
  <c r="I52" i="2"/>
  <c r="H52" i="2"/>
  <c r="G52" i="2"/>
  <c r="F52" i="2"/>
  <c r="E52" i="2"/>
  <c r="D52" i="2"/>
  <c r="AD51" i="2"/>
  <c r="Z51" i="2"/>
  <c r="AF51" i="2" s="1"/>
  <c r="Y51" i="2"/>
  <c r="AE51" i="2" s="1"/>
  <c r="X51" i="2"/>
  <c r="W51" i="2"/>
  <c r="AC51" i="2" s="1"/>
  <c r="V51" i="2"/>
  <c r="AB51" i="2" s="1"/>
  <c r="AC50" i="2"/>
  <c r="AB50" i="2"/>
  <c r="Z50" i="2"/>
  <c r="AF50" i="2" s="1"/>
  <c r="Y50" i="2"/>
  <c r="AE50" i="2" s="1"/>
  <c r="X50" i="2"/>
  <c r="AD50" i="2" s="1"/>
  <c r="W50" i="2"/>
  <c r="V50" i="2"/>
  <c r="U50" i="2"/>
  <c r="AD49" i="2"/>
  <c r="Z49" i="2"/>
  <c r="AF49" i="2" s="1"/>
  <c r="Y49" i="2"/>
  <c r="AE49" i="2" s="1"/>
  <c r="X49" i="2"/>
  <c r="W49" i="2"/>
  <c r="AC49" i="2" s="1"/>
  <c r="V49" i="2"/>
  <c r="AB49" i="2" s="1"/>
  <c r="AC48" i="2"/>
  <c r="AB48" i="2"/>
  <c r="Z48" i="2"/>
  <c r="Z53" i="2" s="1"/>
  <c r="Y48" i="2"/>
  <c r="AE48" i="2" s="1"/>
  <c r="X48" i="2"/>
  <c r="AD48" i="2" s="1"/>
  <c r="W48" i="2"/>
  <c r="V48" i="2"/>
  <c r="U48" i="2"/>
  <c r="AA48" i="2" s="1"/>
  <c r="AE47" i="2"/>
  <c r="AD47" i="2"/>
  <c r="AD53" i="2" s="1"/>
  <c r="Z47" i="2"/>
  <c r="Y47" i="2"/>
  <c r="X47" i="2"/>
  <c r="W47" i="2"/>
  <c r="W53" i="2" s="1"/>
  <c r="V47" i="2"/>
  <c r="U47" i="2"/>
  <c r="AA47" i="2" s="1"/>
  <c r="N45" i="2"/>
  <c r="M45" i="2"/>
  <c r="L45" i="2"/>
  <c r="K45" i="2"/>
  <c r="J45" i="2"/>
  <c r="I45" i="2"/>
  <c r="H45" i="2"/>
  <c r="G45" i="2"/>
  <c r="F45" i="2"/>
  <c r="E45" i="2"/>
  <c r="D45" i="2"/>
  <c r="C45" i="2"/>
  <c r="AC44" i="2"/>
  <c r="AB44" i="2"/>
  <c r="Z44" i="2"/>
  <c r="AF44" i="2" s="1"/>
  <c r="Y44" i="2"/>
  <c r="AE44" i="2" s="1"/>
  <c r="X44" i="2"/>
  <c r="AD44" i="2" s="1"/>
  <c r="W44" i="2"/>
  <c r="V44" i="2"/>
  <c r="U44" i="2"/>
  <c r="AA44" i="2" s="1"/>
  <c r="T44" i="2"/>
  <c r="S44" i="2"/>
  <c r="R44" i="2"/>
  <c r="Q44" i="2"/>
  <c r="P44" i="2"/>
  <c r="O44" i="2"/>
  <c r="AB43" i="2"/>
  <c r="AA43" i="2"/>
  <c r="Z43" i="2"/>
  <c r="AF43" i="2" s="1"/>
  <c r="Y43" i="2"/>
  <c r="AE43" i="2" s="1"/>
  <c r="X43" i="2"/>
  <c r="AD43" i="2" s="1"/>
  <c r="W43" i="2"/>
  <c r="AC43" i="2" s="1"/>
  <c r="V43" i="2"/>
  <c r="U43" i="2"/>
  <c r="T43" i="2"/>
  <c r="S43" i="2"/>
  <c r="R43" i="2"/>
  <c r="Q43" i="2"/>
  <c r="P43" i="2"/>
  <c r="O43" i="2"/>
  <c r="Z42" i="2"/>
  <c r="AF42" i="2" s="1"/>
  <c r="Y42" i="2"/>
  <c r="AE42" i="2" s="1"/>
  <c r="X42" i="2"/>
  <c r="AD42" i="2" s="1"/>
  <c r="W42" i="2"/>
  <c r="AC42" i="2" s="1"/>
  <c r="V42" i="2"/>
  <c r="AB42" i="2" s="1"/>
  <c r="U42" i="2"/>
  <c r="AA42" i="2" s="1"/>
  <c r="T42" i="2"/>
  <c r="S42" i="2"/>
  <c r="R42" i="2"/>
  <c r="Q42" i="2"/>
  <c r="P42" i="2"/>
  <c r="O42" i="2"/>
  <c r="AE41" i="2"/>
  <c r="Z41" i="2"/>
  <c r="AF41" i="2" s="1"/>
  <c r="Y41" i="2"/>
  <c r="X41" i="2"/>
  <c r="X46" i="2" s="1"/>
  <c r="W41" i="2"/>
  <c r="AC41" i="2" s="1"/>
  <c r="V41" i="2"/>
  <c r="AB41" i="2" s="1"/>
  <c r="U41" i="2"/>
  <c r="AA41" i="2" s="1"/>
  <c r="T41" i="2"/>
  <c r="S41" i="2"/>
  <c r="R41" i="2"/>
  <c r="Q41" i="2"/>
  <c r="P41" i="2"/>
  <c r="P46" i="2" s="1"/>
  <c r="O41" i="2"/>
  <c r="AF40" i="2"/>
  <c r="AF46" i="2" s="1"/>
  <c r="AC40" i="2"/>
  <c r="AC45" i="2" s="1"/>
  <c r="AB40" i="2"/>
  <c r="Z40" i="2"/>
  <c r="Y40" i="2"/>
  <c r="Y46" i="2" s="1"/>
  <c r="X40" i="2"/>
  <c r="W40" i="2"/>
  <c r="W46" i="2" s="1"/>
  <c r="V40" i="2"/>
  <c r="V46" i="2" s="1"/>
  <c r="U40" i="2"/>
  <c r="U46" i="2" s="1"/>
  <c r="T40" i="2"/>
  <c r="S40" i="2"/>
  <c r="R40" i="2"/>
  <c r="Q40" i="2"/>
  <c r="P40" i="2"/>
  <c r="O40" i="2"/>
  <c r="O46" i="2" s="1"/>
  <c r="N31" i="2"/>
  <c r="M31" i="2"/>
  <c r="L31" i="2"/>
  <c r="K31" i="2"/>
  <c r="J31" i="2"/>
  <c r="I31" i="2"/>
  <c r="H31" i="2"/>
  <c r="G31" i="2"/>
  <c r="F31" i="2"/>
  <c r="E31" i="2"/>
  <c r="D31" i="2"/>
  <c r="C31" i="2"/>
  <c r="AA30" i="2"/>
  <c r="Z30" i="2"/>
  <c r="AF30" i="2" s="1"/>
  <c r="Y30" i="2"/>
  <c r="AE30" i="2" s="1"/>
  <c r="X30" i="2"/>
  <c r="AD30" i="2" s="1"/>
  <c r="W30" i="2"/>
  <c r="AC30" i="2" s="1"/>
  <c r="V30" i="2"/>
  <c r="AB30" i="2" s="1"/>
  <c r="U30" i="2"/>
  <c r="AC29" i="2"/>
  <c r="AB29" i="2"/>
  <c r="Z29" i="2"/>
  <c r="AF29" i="2" s="1"/>
  <c r="Y29" i="2"/>
  <c r="AE29" i="2" s="1"/>
  <c r="X29" i="2"/>
  <c r="AD29" i="2" s="1"/>
  <c r="W29" i="2"/>
  <c r="V29" i="2"/>
  <c r="U29" i="2"/>
  <c r="AA29" i="2" s="1"/>
  <c r="AE28" i="2"/>
  <c r="AD28" i="2"/>
  <c r="AA28" i="2"/>
  <c r="Z28" i="2"/>
  <c r="AF28" i="2" s="1"/>
  <c r="Y28" i="2"/>
  <c r="Y31" i="2" s="1"/>
  <c r="X28" i="2"/>
  <c r="W28" i="2"/>
  <c r="AC28" i="2" s="1"/>
  <c r="V28" i="2"/>
  <c r="AB28" i="2" s="1"/>
  <c r="U28" i="2"/>
  <c r="AF27" i="2"/>
  <c r="AC27" i="2"/>
  <c r="AB27" i="2"/>
  <c r="Z27" i="2"/>
  <c r="Y27" i="2"/>
  <c r="AE27" i="2" s="1"/>
  <c r="X27" i="2"/>
  <c r="AD27" i="2" s="1"/>
  <c r="W27" i="2"/>
  <c r="V27" i="2"/>
  <c r="U27" i="2"/>
  <c r="AA27" i="2" s="1"/>
  <c r="AE26" i="2"/>
  <c r="AE31" i="2" s="1"/>
  <c r="AD26" i="2"/>
  <c r="AD32" i="2" s="1"/>
  <c r="Z26" i="2"/>
  <c r="Z32" i="2" s="1"/>
  <c r="Y26" i="2"/>
  <c r="Y32" i="2" s="1"/>
  <c r="X26" i="2"/>
  <c r="X32" i="2" s="1"/>
  <c r="W26" i="2"/>
  <c r="W32" i="2" s="1"/>
  <c r="V26" i="2"/>
  <c r="V32" i="2" s="1"/>
  <c r="U26" i="2"/>
  <c r="AA26" i="2" s="1"/>
  <c r="AA31" i="2" s="1"/>
  <c r="N24" i="2"/>
  <c r="M24" i="2"/>
  <c r="L24" i="2"/>
  <c r="K24" i="2"/>
  <c r="J24" i="2"/>
  <c r="I24" i="2"/>
  <c r="H24" i="2"/>
  <c r="G24" i="2"/>
  <c r="F24" i="2"/>
  <c r="E24" i="2"/>
  <c r="D24" i="2"/>
  <c r="C24" i="2"/>
  <c r="AF23" i="2"/>
  <c r="AC23" i="2"/>
  <c r="AB23" i="2"/>
  <c r="Z23" i="2"/>
  <c r="Y23" i="2"/>
  <c r="AE23" i="2" s="1"/>
  <c r="X23" i="2"/>
  <c r="AD23" i="2" s="1"/>
  <c r="W23" i="2"/>
  <c r="V23" i="2"/>
  <c r="U23" i="2"/>
  <c r="AA23" i="2" s="1"/>
  <c r="T23" i="2"/>
  <c r="R23" i="2"/>
  <c r="Q23" i="2"/>
  <c r="P23" i="2"/>
  <c r="AA22" i="2"/>
  <c r="Z22" i="2"/>
  <c r="AF22" i="2" s="1"/>
  <c r="Y22" i="2"/>
  <c r="AE22" i="2" s="1"/>
  <c r="X22" i="2"/>
  <c r="AD22" i="2" s="1"/>
  <c r="W22" i="2"/>
  <c r="AC22" i="2" s="1"/>
  <c r="V22" i="2"/>
  <c r="AB22" i="2" s="1"/>
  <c r="U22" i="2"/>
  <c r="S22" i="2"/>
  <c r="R22" i="2"/>
  <c r="P22" i="2"/>
  <c r="O22" i="2"/>
  <c r="AF21" i="2"/>
  <c r="Z21" i="2"/>
  <c r="Y21" i="2"/>
  <c r="AE21" i="2" s="1"/>
  <c r="X21" i="2"/>
  <c r="AD21" i="2" s="1"/>
  <c r="W21" i="2"/>
  <c r="AC21" i="2" s="1"/>
  <c r="V21" i="2"/>
  <c r="AB21" i="2" s="1"/>
  <c r="U21" i="2"/>
  <c r="AA21" i="2" s="1"/>
  <c r="T21" i="2"/>
  <c r="P21" i="2"/>
  <c r="AE20" i="2"/>
  <c r="AD20" i="2"/>
  <c r="Z20" i="2"/>
  <c r="AF20" i="2" s="1"/>
  <c r="Y20" i="2"/>
  <c r="X20" i="2"/>
  <c r="W20" i="2"/>
  <c r="AC20" i="2" s="1"/>
  <c r="V20" i="2"/>
  <c r="AB20" i="2" s="1"/>
  <c r="U20" i="2"/>
  <c r="AA20" i="2" s="1"/>
  <c r="T20" i="2"/>
  <c r="S20" i="2"/>
  <c r="R20" i="2"/>
  <c r="P20" i="2"/>
  <c r="AC19" i="2"/>
  <c r="AB19" i="2"/>
  <c r="Z19" i="2"/>
  <c r="AF19" i="2" s="1"/>
  <c r="AF24" i="2" s="1"/>
  <c r="Y19" i="2"/>
  <c r="Y25" i="2" s="1"/>
  <c r="X19" i="2"/>
  <c r="X25" i="2" s="1"/>
  <c r="W19" i="2"/>
  <c r="V19" i="2"/>
  <c r="U19" i="2"/>
  <c r="T19" i="2"/>
  <c r="R19" i="2"/>
  <c r="Q19" i="2"/>
  <c r="P19" i="2"/>
  <c r="N17" i="2"/>
  <c r="M17" i="2"/>
  <c r="L17" i="2"/>
  <c r="K17" i="2"/>
  <c r="J17" i="2"/>
  <c r="I17" i="2"/>
  <c r="H17" i="2"/>
  <c r="G17" i="2"/>
  <c r="F17" i="2"/>
  <c r="E17" i="2"/>
  <c r="D17" i="2"/>
  <c r="C17" i="2"/>
  <c r="AE16" i="2"/>
  <c r="AD16" i="2"/>
  <c r="AA16" i="2"/>
  <c r="Z16" i="2"/>
  <c r="AF16" i="2" s="1"/>
  <c r="Y16" i="2"/>
  <c r="X16" i="2"/>
  <c r="W16" i="2"/>
  <c r="AC16" i="2" s="1"/>
  <c r="V16" i="2"/>
  <c r="AB16" i="2" s="1"/>
  <c r="U16" i="2"/>
  <c r="T16" i="2"/>
  <c r="S16" i="2"/>
  <c r="R16" i="2"/>
  <c r="Q16" i="2"/>
  <c r="P16" i="2"/>
  <c r="O16" i="2"/>
  <c r="AC15" i="2"/>
  <c r="AB15" i="2"/>
  <c r="Z15" i="2"/>
  <c r="AF15" i="2" s="1"/>
  <c r="Y15" i="2"/>
  <c r="AE15" i="2" s="1"/>
  <c r="X15" i="2"/>
  <c r="AD15" i="2" s="1"/>
  <c r="W15" i="2"/>
  <c r="V15" i="2"/>
  <c r="U15" i="2"/>
  <c r="AA15" i="2" s="1"/>
  <c r="T15" i="2"/>
  <c r="S15" i="2"/>
  <c r="R15" i="2"/>
  <c r="Q15" i="2"/>
  <c r="P15" i="2"/>
  <c r="O15" i="2"/>
  <c r="AE14" i="2"/>
  <c r="AD14" i="2"/>
  <c r="Z14" i="2"/>
  <c r="AF14" i="2" s="1"/>
  <c r="Y14" i="2"/>
  <c r="X14" i="2"/>
  <c r="W14" i="2"/>
  <c r="AC14" i="2" s="1"/>
  <c r="V14" i="2"/>
  <c r="AB14" i="2" s="1"/>
  <c r="U14" i="2"/>
  <c r="U18" i="2" s="1"/>
  <c r="T14" i="2"/>
  <c r="S14" i="2"/>
  <c r="R14" i="2"/>
  <c r="Q14" i="2"/>
  <c r="P14" i="2"/>
  <c r="O14" i="2"/>
  <c r="AC13" i="2"/>
  <c r="AB13" i="2"/>
  <c r="Z13" i="2"/>
  <c r="AF13" i="2" s="1"/>
  <c r="Y13" i="2"/>
  <c r="AE13" i="2" s="1"/>
  <c r="X13" i="2"/>
  <c r="AD13" i="2" s="1"/>
  <c r="W13" i="2"/>
  <c r="V13" i="2"/>
  <c r="U13" i="2"/>
  <c r="AA13" i="2" s="1"/>
  <c r="T13" i="2"/>
  <c r="T18" i="2" s="1"/>
  <c r="S13" i="2"/>
  <c r="R13" i="2"/>
  <c r="Q13" i="2"/>
  <c r="P13" i="2"/>
  <c r="O13" i="2"/>
  <c r="AA12" i="2"/>
  <c r="Z12" i="2"/>
  <c r="Z18" i="2" s="1"/>
  <c r="Y12" i="2"/>
  <c r="AE12" i="2" s="1"/>
  <c r="AE18" i="2" s="1"/>
  <c r="X12" i="2"/>
  <c r="W12" i="2"/>
  <c r="V12" i="2"/>
  <c r="U12" i="2"/>
  <c r="T12" i="2"/>
  <c r="S12" i="2"/>
  <c r="S18" i="2" s="1"/>
  <c r="R12" i="2"/>
  <c r="R18" i="2" s="1"/>
  <c r="Q12" i="2"/>
  <c r="Q18" i="2" s="1"/>
  <c r="P12" i="2"/>
  <c r="O12" i="2"/>
  <c r="D6" i="2"/>
  <c r="C6" i="2"/>
  <c r="B6" i="2"/>
  <c r="D5" i="2"/>
  <c r="C5" i="2"/>
  <c r="B5" i="2"/>
  <c r="O70" i="2" s="1"/>
  <c r="D4" i="2"/>
  <c r="Q54" i="2" s="1"/>
  <c r="C4" i="2"/>
  <c r="R49" i="2" s="1"/>
  <c r="D3" i="2"/>
  <c r="C3" i="2"/>
  <c r="S23" i="2" s="1"/>
  <c r="F104" i="1"/>
  <c r="E104" i="1"/>
  <c r="D104" i="1"/>
  <c r="C104" i="1"/>
  <c r="P103" i="1"/>
  <c r="O103" i="1"/>
  <c r="K103" i="1"/>
  <c r="J103" i="1"/>
  <c r="I103" i="1"/>
  <c r="N103" i="1" s="1"/>
  <c r="H103" i="1"/>
  <c r="M103" i="1" s="1"/>
  <c r="M102" i="1"/>
  <c r="K102" i="1"/>
  <c r="P102" i="1" s="1"/>
  <c r="J102" i="1"/>
  <c r="O102" i="1" s="1"/>
  <c r="I102" i="1"/>
  <c r="N102" i="1" s="1"/>
  <c r="H102" i="1"/>
  <c r="K101" i="1"/>
  <c r="P101" i="1" s="1"/>
  <c r="J101" i="1"/>
  <c r="O101" i="1" s="1"/>
  <c r="I101" i="1"/>
  <c r="N101" i="1" s="1"/>
  <c r="H101" i="1"/>
  <c r="M101" i="1" s="1"/>
  <c r="K100" i="1"/>
  <c r="P100" i="1" s="1"/>
  <c r="J100" i="1"/>
  <c r="O100" i="1" s="1"/>
  <c r="I100" i="1"/>
  <c r="H100" i="1"/>
  <c r="M100" i="1" s="1"/>
  <c r="P99" i="1"/>
  <c r="K99" i="1"/>
  <c r="J99" i="1"/>
  <c r="I99" i="1"/>
  <c r="N99" i="1" s="1"/>
  <c r="H99" i="1"/>
  <c r="C97" i="1"/>
  <c r="N96" i="1"/>
  <c r="M96" i="1"/>
  <c r="K96" i="1"/>
  <c r="P96" i="1" s="1"/>
  <c r="J96" i="1"/>
  <c r="O96" i="1" s="1"/>
  <c r="I96" i="1"/>
  <c r="H96" i="1"/>
  <c r="K95" i="1"/>
  <c r="P95" i="1" s="1"/>
  <c r="J95" i="1"/>
  <c r="O95" i="1" s="1"/>
  <c r="I95" i="1"/>
  <c r="N95" i="1" s="1"/>
  <c r="H95" i="1"/>
  <c r="M95" i="1" s="1"/>
  <c r="M94" i="1"/>
  <c r="K94" i="1"/>
  <c r="P94" i="1" s="1"/>
  <c r="J94" i="1"/>
  <c r="O94" i="1" s="1"/>
  <c r="I94" i="1"/>
  <c r="N94" i="1" s="1"/>
  <c r="H94" i="1"/>
  <c r="M93" i="1"/>
  <c r="K93" i="1"/>
  <c r="P93" i="1" s="1"/>
  <c r="J93" i="1"/>
  <c r="O93" i="1" s="1"/>
  <c r="I93" i="1"/>
  <c r="N93" i="1" s="1"/>
  <c r="H93" i="1"/>
  <c r="M92" i="1"/>
  <c r="K92" i="1"/>
  <c r="J92" i="1"/>
  <c r="I92" i="1"/>
  <c r="H92" i="1"/>
  <c r="G90" i="1"/>
  <c r="F90" i="1"/>
  <c r="E90" i="1"/>
  <c r="D90" i="1"/>
  <c r="C90" i="1"/>
  <c r="Q89" i="1"/>
  <c r="O89" i="1"/>
  <c r="L89" i="1"/>
  <c r="K89" i="1"/>
  <c r="P89" i="1" s="1"/>
  <c r="J89" i="1"/>
  <c r="I89" i="1"/>
  <c r="N89" i="1" s="1"/>
  <c r="H89" i="1"/>
  <c r="M89" i="1" s="1"/>
  <c r="O88" i="1"/>
  <c r="L88" i="1"/>
  <c r="Q88" i="1" s="1"/>
  <c r="K88" i="1"/>
  <c r="P88" i="1" s="1"/>
  <c r="J88" i="1"/>
  <c r="I88" i="1"/>
  <c r="N88" i="1" s="1"/>
  <c r="H88" i="1"/>
  <c r="M88" i="1" s="1"/>
  <c r="Q87" i="1"/>
  <c r="M87" i="1"/>
  <c r="L87" i="1"/>
  <c r="K87" i="1"/>
  <c r="P87" i="1" s="1"/>
  <c r="J87" i="1"/>
  <c r="O87" i="1" s="1"/>
  <c r="I87" i="1"/>
  <c r="N87" i="1" s="1"/>
  <c r="H87" i="1"/>
  <c r="L86" i="1"/>
  <c r="L90" i="1" s="1"/>
  <c r="K86" i="1"/>
  <c r="P86" i="1" s="1"/>
  <c r="J86" i="1"/>
  <c r="O86" i="1" s="1"/>
  <c r="I86" i="1"/>
  <c r="N86" i="1" s="1"/>
  <c r="H86" i="1"/>
  <c r="M85" i="1"/>
  <c r="L85" i="1"/>
  <c r="K85" i="1"/>
  <c r="J85" i="1"/>
  <c r="I85" i="1"/>
  <c r="H85" i="1"/>
  <c r="G83" i="1"/>
  <c r="F83" i="1"/>
  <c r="E83" i="1"/>
  <c r="D83" i="1"/>
  <c r="C83" i="1"/>
  <c r="Q82" i="1"/>
  <c r="M82" i="1"/>
  <c r="L82" i="1"/>
  <c r="K82" i="1"/>
  <c r="P82" i="1" s="1"/>
  <c r="J82" i="1"/>
  <c r="O82" i="1" s="1"/>
  <c r="I82" i="1"/>
  <c r="N82" i="1" s="1"/>
  <c r="H82" i="1"/>
  <c r="O81" i="1"/>
  <c r="M81" i="1"/>
  <c r="L81" i="1"/>
  <c r="Q81" i="1" s="1"/>
  <c r="K81" i="1"/>
  <c r="P81" i="1" s="1"/>
  <c r="J81" i="1"/>
  <c r="I81" i="1"/>
  <c r="N81" i="1" s="1"/>
  <c r="H81" i="1"/>
  <c r="N80" i="1"/>
  <c r="M80" i="1"/>
  <c r="L80" i="1"/>
  <c r="Q80" i="1" s="1"/>
  <c r="K80" i="1"/>
  <c r="P80" i="1" s="1"/>
  <c r="J80" i="1"/>
  <c r="O80" i="1" s="1"/>
  <c r="I80" i="1"/>
  <c r="H80" i="1"/>
  <c r="L79" i="1"/>
  <c r="Q79" i="1" s="1"/>
  <c r="K79" i="1"/>
  <c r="P79" i="1" s="1"/>
  <c r="J79" i="1"/>
  <c r="O79" i="1" s="1"/>
  <c r="I79" i="1"/>
  <c r="N79" i="1" s="1"/>
  <c r="H79" i="1"/>
  <c r="M78" i="1"/>
  <c r="L78" i="1"/>
  <c r="K78" i="1"/>
  <c r="J78" i="1"/>
  <c r="I78" i="1"/>
  <c r="H78" i="1"/>
  <c r="H84" i="1" s="1"/>
  <c r="G76" i="1"/>
  <c r="F76" i="1"/>
  <c r="E76" i="1"/>
  <c r="D76" i="1"/>
  <c r="C76" i="1"/>
  <c r="Q75" i="1"/>
  <c r="M75" i="1"/>
  <c r="L75" i="1"/>
  <c r="K75" i="1"/>
  <c r="P75" i="1" s="1"/>
  <c r="J75" i="1"/>
  <c r="O75" i="1" s="1"/>
  <c r="I75" i="1"/>
  <c r="N75" i="1" s="1"/>
  <c r="H75" i="1"/>
  <c r="O74" i="1"/>
  <c r="L74" i="1"/>
  <c r="Q74" i="1" s="1"/>
  <c r="K74" i="1"/>
  <c r="P74" i="1" s="1"/>
  <c r="J74" i="1"/>
  <c r="I74" i="1"/>
  <c r="N74" i="1" s="1"/>
  <c r="H74" i="1"/>
  <c r="M74" i="1" s="1"/>
  <c r="Q73" i="1"/>
  <c r="O73" i="1"/>
  <c r="M73" i="1"/>
  <c r="L73" i="1"/>
  <c r="K73" i="1"/>
  <c r="P73" i="1" s="1"/>
  <c r="J73" i="1"/>
  <c r="I73" i="1"/>
  <c r="N73" i="1" s="1"/>
  <c r="H73" i="1"/>
  <c r="O72" i="1"/>
  <c r="L72" i="1"/>
  <c r="L76" i="1" s="1"/>
  <c r="K72" i="1"/>
  <c r="P72" i="1" s="1"/>
  <c r="J72" i="1"/>
  <c r="I72" i="1"/>
  <c r="N72" i="1" s="1"/>
  <c r="H72" i="1"/>
  <c r="L71" i="1"/>
  <c r="K71" i="1"/>
  <c r="J71" i="1"/>
  <c r="I71" i="1"/>
  <c r="H71" i="1"/>
  <c r="K63" i="1"/>
  <c r="H63" i="1"/>
  <c r="E63" i="1"/>
  <c r="B63" i="1"/>
  <c r="L62" i="1"/>
  <c r="M62" i="1" s="1"/>
  <c r="J62" i="1"/>
  <c r="I62" i="1"/>
  <c r="F62" i="1"/>
  <c r="G62" i="1" s="1"/>
  <c r="D62" i="1"/>
  <c r="C62" i="1"/>
  <c r="L61" i="1"/>
  <c r="M61" i="1" s="1"/>
  <c r="I61" i="1"/>
  <c r="J61" i="1" s="1"/>
  <c r="F61" i="1"/>
  <c r="G61" i="1" s="1"/>
  <c r="C61" i="1"/>
  <c r="D61" i="1" s="1"/>
  <c r="L60" i="1"/>
  <c r="M60" i="1" s="1"/>
  <c r="J60" i="1"/>
  <c r="I60" i="1"/>
  <c r="F60" i="1"/>
  <c r="G60" i="1" s="1"/>
  <c r="C60" i="1"/>
  <c r="D60" i="1" s="1"/>
  <c r="L59" i="1"/>
  <c r="M59" i="1" s="1"/>
  <c r="I59" i="1"/>
  <c r="J59" i="1" s="1"/>
  <c r="F59" i="1"/>
  <c r="G59" i="1" s="1"/>
  <c r="D59" i="1"/>
  <c r="C59" i="1"/>
  <c r="C63" i="1" s="1"/>
  <c r="L58" i="1"/>
  <c r="J58" i="1"/>
  <c r="I58" i="1"/>
  <c r="I64" i="1" s="1"/>
  <c r="F58" i="1"/>
  <c r="D58" i="1"/>
  <c r="C58" i="1"/>
  <c r="K52" i="1"/>
  <c r="H52" i="1"/>
  <c r="E52" i="1"/>
  <c r="B52" i="1"/>
  <c r="M51" i="1"/>
  <c r="L51" i="1"/>
  <c r="J51" i="1"/>
  <c r="I51" i="1"/>
  <c r="G51" i="1"/>
  <c r="F51" i="1"/>
  <c r="C51" i="1"/>
  <c r="D51" i="1" s="1"/>
  <c r="M50" i="1"/>
  <c r="L50" i="1"/>
  <c r="I50" i="1"/>
  <c r="J50" i="1" s="1"/>
  <c r="G50" i="1"/>
  <c r="F50" i="1"/>
  <c r="C50" i="1"/>
  <c r="D50" i="1" s="1"/>
  <c r="M49" i="1"/>
  <c r="L49" i="1"/>
  <c r="J49" i="1"/>
  <c r="I49" i="1"/>
  <c r="G49" i="1"/>
  <c r="F49" i="1"/>
  <c r="C49" i="1"/>
  <c r="D49" i="1" s="1"/>
  <c r="L48" i="1"/>
  <c r="L52" i="1" s="1"/>
  <c r="J48" i="1"/>
  <c r="I48" i="1"/>
  <c r="G48" i="1"/>
  <c r="F48" i="1"/>
  <c r="C48" i="1"/>
  <c r="D48" i="1" s="1"/>
  <c r="M47" i="1"/>
  <c r="L47" i="1"/>
  <c r="J47" i="1"/>
  <c r="I47" i="1"/>
  <c r="G47" i="1"/>
  <c r="F47" i="1"/>
  <c r="F52" i="1" s="1"/>
  <c r="C47" i="1"/>
  <c r="N40" i="1"/>
  <c r="K40" i="1"/>
  <c r="H40" i="1"/>
  <c r="E40" i="1"/>
  <c r="B40" i="1"/>
  <c r="P39" i="1"/>
  <c r="O39" i="1"/>
  <c r="L39" i="1"/>
  <c r="M39" i="1" s="1"/>
  <c r="I39" i="1"/>
  <c r="J39" i="1" s="1"/>
  <c r="F39" i="1"/>
  <c r="G39" i="1" s="1"/>
  <c r="D39" i="1"/>
  <c r="C39" i="1"/>
  <c r="O38" i="1"/>
  <c r="P38" i="1" s="1"/>
  <c r="M38" i="1"/>
  <c r="L38" i="1"/>
  <c r="I38" i="1"/>
  <c r="J38" i="1" s="1"/>
  <c r="G38" i="1"/>
  <c r="F38" i="1"/>
  <c r="F40" i="1" s="1"/>
  <c r="C38" i="1"/>
  <c r="D38" i="1" s="1"/>
  <c r="O37" i="1"/>
  <c r="P37" i="1" s="1"/>
  <c r="L37" i="1"/>
  <c r="M37" i="1" s="1"/>
  <c r="J37" i="1"/>
  <c r="I37" i="1"/>
  <c r="F37" i="1"/>
  <c r="G37" i="1" s="1"/>
  <c r="D37" i="1"/>
  <c r="C37" i="1"/>
  <c r="O36" i="1"/>
  <c r="P36" i="1" s="1"/>
  <c r="L36" i="1"/>
  <c r="M36" i="1" s="1"/>
  <c r="I36" i="1"/>
  <c r="G36" i="1"/>
  <c r="F36" i="1"/>
  <c r="C36" i="1"/>
  <c r="P35" i="1"/>
  <c r="O35" i="1"/>
  <c r="L35" i="1"/>
  <c r="J35" i="1"/>
  <c r="I35" i="1"/>
  <c r="F35" i="1"/>
  <c r="C35" i="1"/>
  <c r="C41" i="1" s="1"/>
  <c r="N28" i="1"/>
  <c r="K28" i="1"/>
  <c r="H28" i="1"/>
  <c r="E28" i="1"/>
  <c r="B28" i="1"/>
  <c r="O27" i="1"/>
  <c r="P27" i="1" s="1"/>
  <c r="M27" i="1"/>
  <c r="L27" i="1"/>
  <c r="J27" i="1"/>
  <c r="I27" i="1"/>
  <c r="G27" i="1"/>
  <c r="F27" i="1"/>
  <c r="C27" i="1"/>
  <c r="D27" i="1" s="1"/>
  <c r="P26" i="1"/>
  <c r="O26" i="1"/>
  <c r="L26" i="1"/>
  <c r="M26" i="1" s="1"/>
  <c r="J26" i="1"/>
  <c r="I26" i="1"/>
  <c r="F26" i="1"/>
  <c r="G26" i="1" s="1"/>
  <c r="D26" i="1"/>
  <c r="C26" i="1"/>
  <c r="P25" i="1"/>
  <c r="O25" i="1"/>
  <c r="M25" i="1"/>
  <c r="L25" i="1"/>
  <c r="I25" i="1"/>
  <c r="J25" i="1" s="1"/>
  <c r="F25" i="1"/>
  <c r="F28" i="1" s="1"/>
  <c r="D25" i="1"/>
  <c r="C25" i="1"/>
  <c r="C28" i="1" s="1"/>
  <c r="P24" i="1"/>
  <c r="O24" i="1"/>
  <c r="L24" i="1"/>
  <c r="M24" i="1" s="1"/>
  <c r="J24" i="1"/>
  <c r="I24" i="1"/>
  <c r="G24" i="1"/>
  <c r="F24" i="1"/>
  <c r="D24" i="1"/>
  <c r="C24" i="1"/>
  <c r="O23" i="1"/>
  <c r="M23" i="1"/>
  <c r="L23" i="1"/>
  <c r="I23" i="1"/>
  <c r="I29" i="1" s="1"/>
  <c r="G23" i="1"/>
  <c r="F23" i="1"/>
  <c r="C23" i="1"/>
  <c r="D23" i="1" s="1"/>
  <c r="N16" i="1"/>
  <c r="K16" i="1"/>
  <c r="H16" i="1"/>
  <c r="E16" i="1"/>
  <c r="B16" i="1"/>
  <c r="O15" i="1"/>
  <c r="O16" i="1" s="1"/>
  <c r="L15" i="1"/>
  <c r="M15" i="1" s="1"/>
  <c r="J15" i="1"/>
  <c r="I15" i="1"/>
  <c r="F15" i="1"/>
  <c r="G15" i="1" s="1"/>
  <c r="D15" i="1"/>
  <c r="C15" i="1"/>
  <c r="O14" i="1"/>
  <c r="P14" i="1" s="1"/>
  <c r="M14" i="1"/>
  <c r="L14" i="1"/>
  <c r="I14" i="1"/>
  <c r="J14" i="1" s="1"/>
  <c r="F14" i="1"/>
  <c r="F16" i="1" s="1"/>
  <c r="C14" i="1"/>
  <c r="D14" i="1" s="1"/>
  <c r="O13" i="1"/>
  <c r="P13" i="1" s="1"/>
  <c r="L13" i="1"/>
  <c r="M13" i="1" s="1"/>
  <c r="J13" i="1"/>
  <c r="I13" i="1"/>
  <c r="F13" i="1"/>
  <c r="G13" i="1" s="1"/>
  <c r="D13" i="1"/>
  <c r="C13" i="1"/>
  <c r="O12" i="1"/>
  <c r="P12" i="1" s="1"/>
  <c r="M12" i="1"/>
  <c r="L12" i="1"/>
  <c r="I12" i="1"/>
  <c r="I16" i="1" s="1"/>
  <c r="G12" i="1"/>
  <c r="F12" i="1"/>
  <c r="C12" i="1"/>
  <c r="P11" i="1"/>
  <c r="O11" i="1"/>
  <c r="L11" i="1"/>
  <c r="I11" i="1"/>
  <c r="I17" i="1" s="1"/>
  <c r="F11" i="1"/>
  <c r="D11" i="1"/>
  <c r="C11" i="1"/>
  <c r="C17" i="1" s="1"/>
  <c r="C40" i="1" l="1"/>
  <c r="O17" i="1"/>
  <c r="G28" i="1"/>
  <c r="P41" i="1"/>
  <c r="I53" i="1"/>
  <c r="I76" i="1"/>
  <c r="I77" i="1"/>
  <c r="L84" i="1"/>
  <c r="Q78" i="1"/>
  <c r="Q84" i="1" s="1"/>
  <c r="H98" i="1"/>
  <c r="H97" i="1"/>
  <c r="P105" i="1"/>
  <c r="P24" i="2"/>
  <c r="O45" i="2"/>
  <c r="S57" i="2"/>
  <c r="O68" i="2"/>
  <c r="Q69" i="2"/>
  <c r="O71" i="2"/>
  <c r="W88" i="2"/>
  <c r="X107" i="2"/>
  <c r="Z107" i="2"/>
  <c r="X114" i="2"/>
  <c r="AC46" i="2"/>
  <c r="Y53" i="2"/>
  <c r="C29" i="1"/>
  <c r="C16" i="1"/>
  <c r="G14" i="1"/>
  <c r="J23" i="1"/>
  <c r="G25" i="1"/>
  <c r="G29" i="1" s="1"/>
  <c r="D35" i="1"/>
  <c r="L53" i="1"/>
  <c r="M48" i="1"/>
  <c r="M52" i="1" s="1"/>
  <c r="J63" i="1"/>
  <c r="J64" i="1"/>
  <c r="P71" i="1"/>
  <c r="K77" i="1"/>
  <c r="J97" i="1"/>
  <c r="J98" i="1"/>
  <c r="V18" i="2"/>
  <c r="AA14" i="2"/>
  <c r="AA17" i="2" s="1"/>
  <c r="AB25" i="2"/>
  <c r="R46" i="2"/>
  <c r="Z46" i="2"/>
  <c r="AD41" i="2"/>
  <c r="P48" i="2"/>
  <c r="U100" i="2"/>
  <c r="U114" i="2"/>
  <c r="AA111" i="2"/>
  <c r="AB114" i="2"/>
  <c r="V25" i="2"/>
  <c r="U32" i="2"/>
  <c r="J76" i="1"/>
  <c r="J77" i="1"/>
  <c r="L28" i="1"/>
  <c r="L29" i="1"/>
  <c r="G35" i="1"/>
  <c r="G41" i="1" s="1"/>
  <c r="F41" i="1"/>
  <c r="I52" i="1"/>
  <c r="M58" i="1"/>
  <c r="L63" i="1"/>
  <c r="L64" i="1"/>
  <c r="L77" i="1"/>
  <c r="Q71" i="1"/>
  <c r="H91" i="1"/>
  <c r="P92" i="1"/>
  <c r="K97" i="1"/>
  <c r="K98" i="1"/>
  <c r="H105" i="1"/>
  <c r="W18" i="2"/>
  <c r="T25" i="2"/>
  <c r="AC25" i="2"/>
  <c r="S46" i="2"/>
  <c r="V53" i="2"/>
  <c r="AF48" i="2"/>
  <c r="Z59" i="2"/>
  <c r="AF54" i="2"/>
  <c r="AD88" i="2"/>
  <c r="AA101" i="2"/>
  <c r="AA107" i="2" s="1"/>
  <c r="AD114" i="2"/>
  <c r="AF25" i="2"/>
  <c r="AE53" i="2"/>
  <c r="G11" i="1"/>
  <c r="G17" i="1" s="1"/>
  <c r="F17" i="1"/>
  <c r="M28" i="1"/>
  <c r="M29" i="1"/>
  <c r="I41" i="1"/>
  <c r="I40" i="1"/>
  <c r="O40" i="1"/>
  <c r="I91" i="1"/>
  <c r="M98" i="1"/>
  <c r="M97" i="1"/>
  <c r="N105" i="1"/>
  <c r="P17" i="2"/>
  <c r="P18" i="2"/>
  <c r="X18" i="2"/>
  <c r="AD12" i="2"/>
  <c r="AD18" i="2" s="1"/>
  <c r="U25" i="2"/>
  <c r="T45" i="2"/>
  <c r="S55" i="2"/>
  <c r="AC87" i="2"/>
  <c r="AC88" i="2"/>
  <c r="AE32" i="2"/>
  <c r="Z60" i="2"/>
  <c r="N78" i="1"/>
  <c r="I84" i="1"/>
  <c r="J90" i="1"/>
  <c r="J91" i="1"/>
  <c r="O85" i="1"/>
  <c r="O91" i="1" s="1"/>
  <c r="J105" i="1"/>
  <c r="J104" i="1"/>
  <c r="AD94" i="2"/>
  <c r="AD99" i="2" s="1"/>
  <c r="X100" i="2"/>
  <c r="P25" i="2"/>
  <c r="I97" i="1"/>
  <c r="N92" i="1"/>
  <c r="I98" i="1"/>
  <c r="O29" i="1"/>
  <c r="O28" i="1"/>
  <c r="P23" i="1"/>
  <c r="P29" i="1" s="1"/>
  <c r="C53" i="1"/>
  <c r="C52" i="1"/>
  <c r="D47" i="1"/>
  <c r="T17" i="2"/>
  <c r="J11" i="1"/>
  <c r="P15" i="1"/>
  <c r="D29" i="1"/>
  <c r="I28" i="1"/>
  <c r="L40" i="1"/>
  <c r="L41" i="1"/>
  <c r="C64" i="1"/>
  <c r="J83" i="1"/>
  <c r="J84" i="1"/>
  <c r="P85" i="1"/>
  <c r="P91" i="1" s="1"/>
  <c r="K91" i="1"/>
  <c r="K105" i="1"/>
  <c r="R17" i="2"/>
  <c r="V113" i="2"/>
  <c r="Z25" i="2"/>
  <c r="T46" i="2"/>
  <c r="X60" i="2"/>
  <c r="P17" i="1"/>
  <c r="J52" i="1"/>
  <c r="J53" i="1"/>
  <c r="Z45" i="2"/>
  <c r="L16" i="1"/>
  <c r="L17" i="1"/>
  <c r="F29" i="1"/>
  <c r="O41" i="1"/>
  <c r="G52" i="1"/>
  <c r="G53" i="1"/>
  <c r="D63" i="1"/>
  <c r="D64" i="1"/>
  <c r="M71" i="1"/>
  <c r="H77" i="1"/>
  <c r="P78" i="1"/>
  <c r="P84" i="1" s="1"/>
  <c r="K84" i="1"/>
  <c r="Q85" i="1"/>
  <c r="L91" i="1"/>
  <c r="O99" i="1"/>
  <c r="O105" i="1" s="1"/>
  <c r="S17" i="2"/>
  <c r="X17" i="2"/>
  <c r="Z24" i="2"/>
  <c r="AD31" i="2"/>
  <c r="V59" i="2"/>
  <c r="AB54" i="2"/>
  <c r="O57" i="2"/>
  <c r="Y107" i="2"/>
  <c r="W114" i="2"/>
  <c r="AC108" i="2"/>
  <c r="AC113" i="2" s="1"/>
  <c r="W60" i="2"/>
  <c r="M71" i="10"/>
  <c r="H77" i="10"/>
  <c r="H76" i="10"/>
  <c r="I29" i="10"/>
  <c r="I28" i="10"/>
  <c r="J23" i="10"/>
  <c r="L76" i="10"/>
  <c r="L77" i="10"/>
  <c r="Q71" i="10"/>
  <c r="H105" i="10"/>
  <c r="H104" i="10"/>
  <c r="M99" i="10"/>
  <c r="P78" i="10"/>
  <c r="K84" i="10"/>
  <c r="K83" i="10"/>
  <c r="P71" i="10"/>
  <c r="K76" i="10"/>
  <c r="K77" i="10"/>
  <c r="I52" i="10"/>
  <c r="J47" i="10"/>
  <c r="I53" i="10"/>
  <c r="I90" i="10"/>
  <c r="I91" i="10"/>
  <c r="N85" i="10"/>
  <c r="D11" i="10"/>
  <c r="C16" i="10"/>
  <c r="C17" i="10"/>
  <c r="P35" i="10"/>
  <c r="O41" i="10"/>
  <c r="O40" i="10"/>
  <c r="O71" i="10"/>
  <c r="J77" i="10"/>
  <c r="J76" i="10"/>
  <c r="P11" i="10"/>
  <c r="O17" i="10"/>
  <c r="O16" i="10"/>
  <c r="D23" i="10"/>
  <c r="C29" i="10"/>
  <c r="C28" i="10"/>
  <c r="F63" i="1"/>
  <c r="I63" i="1"/>
  <c r="I104" i="1"/>
  <c r="Q21" i="2"/>
  <c r="T22" i="2"/>
  <c r="P45" i="2"/>
  <c r="X52" i="2"/>
  <c r="X87" i="2"/>
  <c r="X53" i="2"/>
  <c r="F53" i="1"/>
  <c r="H83" i="10"/>
  <c r="H84" i="10"/>
  <c r="M78" i="10"/>
  <c r="L41" i="10"/>
  <c r="M35" i="10"/>
  <c r="L40" i="10"/>
  <c r="M11" i="10"/>
  <c r="L16" i="10"/>
  <c r="L17" i="10"/>
  <c r="I84" i="10"/>
  <c r="I83" i="10"/>
  <c r="N78" i="10"/>
  <c r="Q85" i="10"/>
  <c r="L90" i="10"/>
  <c r="L91" i="10"/>
  <c r="L84" i="10"/>
  <c r="Q78" i="10"/>
  <c r="L83" i="10"/>
  <c r="I105" i="10"/>
  <c r="N99" i="10"/>
  <c r="I104" i="10"/>
  <c r="O85" i="10"/>
  <c r="O91" i="10" s="1"/>
  <c r="J90" i="10"/>
  <c r="J91" i="10"/>
  <c r="I16" i="10"/>
  <c r="I17" i="10"/>
  <c r="J11" i="10"/>
  <c r="F41" i="10"/>
  <c r="F40" i="10"/>
  <c r="G35" i="10"/>
  <c r="M58" i="10"/>
  <c r="L64" i="10"/>
  <c r="L63" i="10"/>
  <c r="C53" i="10"/>
  <c r="C52" i="10"/>
  <c r="D47" i="10"/>
  <c r="H83" i="1"/>
  <c r="O20" i="2"/>
  <c r="R21" i="2"/>
  <c r="R25" i="2" s="1"/>
  <c r="Q45" i="2"/>
  <c r="R45" i="2"/>
  <c r="V73" i="2"/>
  <c r="V74" i="2"/>
  <c r="X88" i="2"/>
  <c r="M47" i="10"/>
  <c r="L53" i="10"/>
  <c r="L52" i="10"/>
  <c r="P85" i="10"/>
  <c r="P90" i="10" s="1"/>
  <c r="K90" i="10"/>
  <c r="K91" i="10"/>
  <c r="G23" i="10"/>
  <c r="F29" i="10"/>
  <c r="F28" i="10"/>
  <c r="P23" i="10"/>
  <c r="O28" i="10"/>
  <c r="O29" i="10"/>
  <c r="H98" i="10"/>
  <c r="M92" i="10"/>
  <c r="H97" i="10"/>
  <c r="H76" i="1"/>
  <c r="H90" i="1"/>
  <c r="Q17" i="2"/>
  <c r="S45" i="2"/>
  <c r="W81" i="2"/>
  <c r="Q46" i="2"/>
  <c r="I105" i="1"/>
  <c r="K105" i="10"/>
  <c r="P99" i="10"/>
  <c r="K104" i="10"/>
  <c r="I98" i="10"/>
  <c r="N92" i="10"/>
  <c r="I97" i="10"/>
  <c r="G47" i="10"/>
  <c r="F52" i="10"/>
  <c r="F53" i="10"/>
  <c r="F64" i="1"/>
  <c r="H90" i="10"/>
  <c r="H91" i="10"/>
  <c r="M85" i="10"/>
  <c r="J35" i="10"/>
  <c r="I41" i="10"/>
  <c r="I40" i="10"/>
  <c r="G58" i="10"/>
  <c r="F63" i="10"/>
  <c r="F64" i="10"/>
  <c r="J98" i="10"/>
  <c r="O92" i="10"/>
  <c r="J97" i="10"/>
  <c r="O78" i="10"/>
  <c r="J84" i="10"/>
  <c r="J83" i="10"/>
  <c r="D58" i="10"/>
  <c r="C64" i="10"/>
  <c r="C63" i="10"/>
  <c r="J105" i="10"/>
  <c r="J104" i="10"/>
  <c r="O99" i="10"/>
  <c r="K98" i="10"/>
  <c r="P92" i="10"/>
  <c r="K97" i="10"/>
  <c r="L28" i="10"/>
  <c r="L29" i="10"/>
  <c r="M23" i="10"/>
  <c r="I76" i="10"/>
  <c r="I77" i="10"/>
  <c r="N71" i="10"/>
  <c r="I64" i="10"/>
  <c r="I63" i="10"/>
  <c r="J58" i="10"/>
  <c r="F16" i="10"/>
  <c r="F17" i="10"/>
  <c r="G11" i="10"/>
  <c r="D35" i="10"/>
  <c r="C40" i="10"/>
  <c r="C41" i="10"/>
  <c r="AC114" i="2"/>
  <c r="Z113" i="2"/>
  <c r="Z114" i="2"/>
  <c r="Y114" i="2"/>
  <c r="V114" i="2"/>
  <c r="AF105" i="2"/>
  <c r="AF107" i="2" s="1"/>
  <c r="AE105" i="2"/>
  <c r="AD104" i="2"/>
  <c r="W107" i="2"/>
  <c r="AB107" i="2"/>
  <c r="AB106" i="2"/>
  <c r="V107" i="2"/>
  <c r="AD100" i="2"/>
  <c r="Z100" i="2"/>
  <c r="Y100" i="2"/>
  <c r="W99" i="2"/>
  <c r="AC100" i="2"/>
  <c r="AC99" i="2"/>
  <c r="W100" i="2"/>
  <c r="V100" i="2"/>
  <c r="Z87" i="2"/>
  <c r="Z88" i="2"/>
  <c r="Y88" i="2"/>
  <c r="AB88" i="2"/>
  <c r="V88" i="2"/>
  <c r="AA83" i="2"/>
  <c r="AA88" i="2" s="1"/>
  <c r="Z80" i="2"/>
  <c r="Z81" i="2"/>
  <c r="Y81" i="2"/>
  <c r="X80" i="2"/>
  <c r="X81" i="2"/>
  <c r="V80" i="2"/>
  <c r="V81" i="2"/>
  <c r="AA81" i="2"/>
  <c r="U81" i="2"/>
  <c r="Z73" i="2"/>
  <c r="Z74" i="2"/>
  <c r="Y74" i="2"/>
  <c r="AE68" i="2"/>
  <c r="AE74" i="2" s="1"/>
  <c r="AD74" i="2"/>
  <c r="X74" i="2"/>
  <c r="W74" i="2"/>
  <c r="U74" i="2"/>
  <c r="AA73" i="2"/>
  <c r="O17" i="2"/>
  <c r="O18" i="2"/>
  <c r="AA18" i="2"/>
  <c r="AA32" i="2"/>
  <c r="U49" i="2"/>
  <c r="G16" i="1"/>
  <c r="P16" i="1"/>
  <c r="P90" i="1"/>
  <c r="M76" i="1"/>
  <c r="Q72" i="1"/>
  <c r="Q76" i="1" s="1"/>
  <c r="K83" i="1"/>
  <c r="P104" i="1"/>
  <c r="Q30" i="2"/>
  <c r="S29" i="2"/>
  <c r="O29" i="2"/>
  <c r="Q28" i="2"/>
  <c r="S27" i="2"/>
  <c r="O27" i="2"/>
  <c r="Q26" i="2"/>
  <c r="T30" i="2"/>
  <c r="P30" i="2"/>
  <c r="R29" i="2"/>
  <c r="T28" i="2"/>
  <c r="P28" i="2"/>
  <c r="R27" i="2"/>
  <c r="T26" i="2"/>
  <c r="P26" i="2"/>
  <c r="R105" i="2"/>
  <c r="T104" i="2"/>
  <c r="P104" i="2"/>
  <c r="R103" i="2"/>
  <c r="T102" i="2"/>
  <c r="P102" i="2"/>
  <c r="R101" i="2"/>
  <c r="Q105" i="2"/>
  <c r="S104" i="2"/>
  <c r="O104" i="2"/>
  <c r="Q103" i="2"/>
  <c r="S102" i="2"/>
  <c r="O102" i="2"/>
  <c r="Q101" i="2"/>
  <c r="Q107" i="2" s="1"/>
  <c r="T105" i="2"/>
  <c r="R104" i="2"/>
  <c r="T103" i="2"/>
  <c r="R102" i="2"/>
  <c r="T101" i="2"/>
  <c r="R79" i="2"/>
  <c r="T78" i="2"/>
  <c r="P78" i="2"/>
  <c r="R77" i="2"/>
  <c r="T76" i="2"/>
  <c r="P76" i="2"/>
  <c r="R75" i="2"/>
  <c r="S105" i="2"/>
  <c r="Q104" i="2"/>
  <c r="S103" i="2"/>
  <c r="Q102" i="2"/>
  <c r="S101" i="2"/>
  <c r="Q79" i="2"/>
  <c r="S78" i="2"/>
  <c r="O78" i="2"/>
  <c r="Q77" i="2"/>
  <c r="S76" i="2"/>
  <c r="O76" i="2"/>
  <c r="Q75" i="2"/>
  <c r="P105" i="2"/>
  <c r="P103" i="2"/>
  <c r="P101" i="2"/>
  <c r="T79" i="2"/>
  <c r="P79" i="2"/>
  <c r="R78" i="2"/>
  <c r="T77" i="2"/>
  <c r="P77" i="2"/>
  <c r="R76" i="2"/>
  <c r="T75" i="2"/>
  <c r="P75" i="2"/>
  <c r="O105" i="2"/>
  <c r="O79" i="2"/>
  <c r="Q78" i="2"/>
  <c r="O75" i="2"/>
  <c r="S77" i="2"/>
  <c r="O101" i="2"/>
  <c r="O77" i="2"/>
  <c r="Q76" i="2"/>
  <c r="O103" i="2"/>
  <c r="V17" i="2"/>
  <c r="AB12" i="2"/>
  <c r="U24" i="2"/>
  <c r="AA19" i="2"/>
  <c r="R28" i="2"/>
  <c r="V52" i="2"/>
  <c r="AB47" i="2"/>
  <c r="S79" i="2"/>
  <c r="N71" i="1"/>
  <c r="M72" i="1"/>
  <c r="L83" i="1"/>
  <c r="O92" i="1"/>
  <c r="R51" i="2"/>
  <c r="T50" i="2"/>
  <c r="P50" i="2"/>
  <c r="Q51" i="2"/>
  <c r="S50" i="2"/>
  <c r="O50" i="2"/>
  <c r="Q49" i="2"/>
  <c r="S48" i="2"/>
  <c r="O48" i="2"/>
  <c r="Q47" i="2"/>
  <c r="T51" i="2"/>
  <c r="P51" i="2"/>
  <c r="R50" i="2"/>
  <c r="T49" i="2"/>
  <c r="P49" i="2"/>
  <c r="R48" i="2"/>
  <c r="T47" i="2"/>
  <c r="P47" i="2"/>
  <c r="S51" i="2"/>
  <c r="O51" i="2"/>
  <c r="S49" i="2"/>
  <c r="T48" i="2"/>
  <c r="S47" i="2"/>
  <c r="T112" i="2"/>
  <c r="P112" i="2"/>
  <c r="R111" i="2"/>
  <c r="T110" i="2"/>
  <c r="P110" i="2"/>
  <c r="R109" i="2"/>
  <c r="T108" i="2"/>
  <c r="P108" i="2"/>
  <c r="P114" i="2" s="1"/>
  <c r="S112" i="2"/>
  <c r="O112" i="2"/>
  <c r="Q111" i="2"/>
  <c r="S110" i="2"/>
  <c r="O110" i="2"/>
  <c r="Q109" i="2"/>
  <c r="S108" i="2"/>
  <c r="O108" i="2"/>
  <c r="R112" i="2"/>
  <c r="T111" i="2"/>
  <c r="P111" i="2"/>
  <c r="R110" i="2"/>
  <c r="T109" i="2"/>
  <c r="P109" i="2"/>
  <c r="R108" i="2"/>
  <c r="Q112" i="2"/>
  <c r="O111" i="2"/>
  <c r="S109" i="2"/>
  <c r="T86" i="2"/>
  <c r="P86" i="2"/>
  <c r="R85" i="2"/>
  <c r="T84" i="2"/>
  <c r="P84" i="2"/>
  <c r="R83" i="2"/>
  <c r="T82" i="2"/>
  <c r="P82" i="2"/>
  <c r="Q110" i="2"/>
  <c r="O109" i="2"/>
  <c r="S86" i="2"/>
  <c r="O86" i="2"/>
  <c r="Q85" i="2"/>
  <c r="S84" i="2"/>
  <c r="O84" i="2"/>
  <c r="Q83" i="2"/>
  <c r="S82" i="2"/>
  <c r="O82" i="2"/>
  <c r="Q108" i="2"/>
  <c r="R86" i="2"/>
  <c r="T85" i="2"/>
  <c r="P85" i="2"/>
  <c r="R84" i="2"/>
  <c r="T83" i="2"/>
  <c r="P83" i="2"/>
  <c r="R82" i="2"/>
  <c r="Q86" i="2"/>
  <c r="O85" i="2"/>
  <c r="Q84" i="2"/>
  <c r="S111" i="2"/>
  <c r="S83" i="2"/>
  <c r="O83" i="2"/>
  <c r="Q82" i="2"/>
  <c r="S85" i="2"/>
  <c r="W17" i="2"/>
  <c r="AC12" i="2"/>
  <c r="Y17" i="2"/>
  <c r="T27" i="2"/>
  <c r="S28" i="2"/>
  <c r="S30" i="2"/>
  <c r="U45" i="2"/>
  <c r="AA40" i="2"/>
  <c r="AF45" i="2"/>
  <c r="O47" i="2"/>
  <c r="O53" i="2" s="1"/>
  <c r="W52" i="2"/>
  <c r="AC47" i="2"/>
  <c r="Q48" i="2"/>
  <c r="AC68" i="2"/>
  <c r="W73" i="2"/>
  <c r="AE78" i="2"/>
  <c r="AE80" i="2" s="1"/>
  <c r="Y80" i="2"/>
  <c r="J12" i="1"/>
  <c r="J16" i="1" s="1"/>
  <c r="P28" i="1"/>
  <c r="M35" i="1"/>
  <c r="D36" i="1"/>
  <c r="D40" i="1" s="1"/>
  <c r="J36" i="1"/>
  <c r="J40" i="1" s="1"/>
  <c r="O71" i="1"/>
  <c r="M79" i="1"/>
  <c r="M83" i="1" s="1"/>
  <c r="I90" i="1"/>
  <c r="Q86" i="1"/>
  <c r="H104" i="1"/>
  <c r="M99" i="1"/>
  <c r="AD17" i="2"/>
  <c r="AB24" i="2"/>
  <c r="V24" i="2"/>
  <c r="U31" i="2"/>
  <c r="V45" i="2"/>
  <c r="R47" i="2"/>
  <c r="Q50" i="2"/>
  <c r="P40" i="1"/>
  <c r="Q83" i="1"/>
  <c r="Z17" i="2"/>
  <c r="AF12" i="2"/>
  <c r="Y24" i="2"/>
  <c r="AE19" i="2"/>
  <c r="R26" i="2"/>
  <c r="W31" i="2"/>
  <c r="AC26" i="2"/>
  <c r="Q27" i="2"/>
  <c r="Q29" i="2"/>
  <c r="R30" i="2"/>
  <c r="X45" i="2"/>
  <c r="AD40" i="2"/>
  <c r="Z52" i="2"/>
  <c r="AF47" i="2"/>
  <c r="I83" i="1"/>
  <c r="Q90" i="1"/>
  <c r="K90" i="1"/>
  <c r="K104" i="1"/>
  <c r="S26" i="2"/>
  <c r="T29" i="2"/>
  <c r="Y45" i="2"/>
  <c r="AE40" i="2"/>
  <c r="S75" i="2"/>
  <c r="S81" i="2" s="1"/>
  <c r="M11" i="1"/>
  <c r="D12" i="1"/>
  <c r="D16" i="1" s="1"/>
  <c r="D28" i="1"/>
  <c r="G58" i="1"/>
  <c r="K76" i="1"/>
  <c r="O78" i="1"/>
  <c r="N85" i="1"/>
  <c r="M86" i="1"/>
  <c r="M90" i="1" s="1"/>
  <c r="O104" i="1"/>
  <c r="N100" i="1"/>
  <c r="N104" i="1" s="1"/>
  <c r="AE17" i="2"/>
  <c r="U17" i="2"/>
  <c r="T24" i="2"/>
  <c r="X24" i="2"/>
  <c r="AD19" i="2"/>
  <c r="AC24" i="2"/>
  <c r="W24" i="2"/>
  <c r="O26" i="2"/>
  <c r="V31" i="2"/>
  <c r="AB26" i="2"/>
  <c r="Z31" i="2"/>
  <c r="AF26" i="2"/>
  <c r="P27" i="2"/>
  <c r="O28" i="2"/>
  <c r="P29" i="2"/>
  <c r="O30" i="2"/>
  <c r="X31" i="2"/>
  <c r="AB45" i="2"/>
  <c r="W45" i="2"/>
  <c r="O49" i="2"/>
  <c r="AA50" i="2"/>
  <c r="AC59" i="2"/>
  <c r="T58" i="2"/>
  <c r="P58" i="2"/>
  <c r="R57" i="2"/>
  <c r="T56" i="2"/>
  <c r="P56" i="2"/>
  <c r="R55" i="2"/>
  <c r="T54" i="2"/>
  <c r="T60" i="2" s="1"/>
  <c r="P54" i="2"/>
  <c r="P60" i="2" s="1"/>
  <c r="S58" i="2"/>
  <c r="O58" i="2"/>
  <c r="Q57" i="2"/>
  <c r="S56" i="2"/>
  <c r="O56" i="2"/>
  <c r="Q55" i="2"/>
  <c r="S54" i="2"/>
  <c r="S60" i="2" s="1"/>
  <c r="O54" i="2"/>
  <c r="O60" i="2" s="1"/>
  <c r="R58" i="2"/>
  <c r="T57" i="2"/>
  <c r="P57" i="2"/>
  <c r="R56" i="2"/>
  <c r="T55" i="2"/>
  <c r="P55" i="2"/>
  <c r="R54" i="2"/>
  <c r="R60" i="2" s="1"/>
  <c r="AD52" i="2"/>
  <c r="Y59" i="2"/>
  <c r="AE54" i="2"/>
  <c r="Q56" i="2"/>
  <c r="S68" i="2"/>
  <c r="AA102" i="2"/>
  <c r="U106" i="2"/>
  <c r="AE102" i="2"/>
  <c r="AE106" i="2" s="1"/>
  <c r="Y106" i="2"/>
  <c r="T98" i="2"/>
  <c r="P98" i="2"/>
  <c r="R97" i="2"/>
  <c r="T96" i="2"/>
  <c r="P96" i="2"/>
  <c r="R95" i="2"/>
  <c r="T94" i="2"/>
  <c r="P94" i="2"/>
  <c r="S98" i="2"/>
  <c r="O98" i="2"/>
  <c r="Q97" i="2"/>
  <c r="S96" i="2"/>
  <c r="O96" i="2"/>
  <c r="Q95" i="2"/>
  <c r="S94" i="2"/>
  <c r="O94" i="2"/>
  <c r="O100" i="2" s="1"/>
  <c r="R98" i="2"/>
  <c r="T97" i="2"/>
  <c r="R96" i="2"/>
  <c r="T95" i="2"/>
  <c r="R94" i="2"/>
  <c r="T72" i="2"/>
  <c r="P72" i="2"/>
  <c r="R71" i="2"/>
  <c r="Q98" i="2"/>
  <c r="S97" i="2"/>
  <c r="Q96" i="2"/>
  <c r="S95" i="2"/>
  <c r="Q94" i="2"/>
  <c r="S72" i="2"/>
  <c r="O72" i="2"/>
  <c r="O73" i="2" s="1"/>
  <c r="P97" i="2"/>
  <c r="P95" i="2"/>
  <c r="R72" i="2"/>
  <c r="T71" i="2"/>
  <c r="P71" i="2"/>
  <c r="Q72" i="2"/>
  <c r="R70" i="2"/>
  <c r="T69" i="2"/>
  <c r="P69" i="2"/>
  <c r="R68" i="2"/>
  <c r="S71" i="2"/>
  <c r="Q70" i="2"/>
  <c r="S69" i="2"/>
  <c r="O69" i="2"/>
  <c r="Q68" i="2"/>
  <c r="O95" i="2"/>
  <c r="Q71" i="2"/>
  <c r="T70" i="2"/>
  <c r="P70" i="2"/>
  <c r="R69" i="2"/>
  <c r="T68" i="2"/>
  <c r="P68" i="2"/>
  <c r="O19" i="2"/>
  <c r="S19" i="2"/>
  <c r="Q20" i="2"/>
  <c r="Q25" i="2" s="1"/>
  <c r="O21" i="2"/>
  <c r="S21" i="2"/>
  <c r="Q22" i="2"/>
  <c r="O23" i="2"/>
  <c r="AE52" i="2"/>
  <c r="Y52" i="2"/>
  <c r="O55" i="2"/>
  <c r="Q58" i="2"/>
  <c r="W59" i="2"/>
  <c r="S70" i="2"/>
  <c r="O97" i="2"/>
  <c r="AD54" i="2"/>
  <c r="X73" i="2"/>
  <c r="AB68" i="2"/>
  <c r="AF68" i="2"/>
  <c r="U99" i="2"/>
  <c r="AA94" i="2"/>
  <c r="Y99" i="2"/>
  <c r="AE94" i="2"/>
  <c r="U73" i="2"/>
  <c r="Y73" i="2"/>
  <c r="U80" i="2"/>
  <c r="AA87" i="2"/>
  <c r="Y87" i="2"/>
  <c r="AE82" i="2"/>
  <c r="AD73" i="2"/>
  <c r="W80" i="2"/>
  <c r="AC75" i="2"/>
  <c r="AA80" i="2"/>
  <c r="AB87" i="2"/>
  <c r="U87" i="2"/>
  <c r="AB75" i="2"/>
  <c r="AB80" i="2" s="1"/>
  <c r="AF75" i="2"/>
  <c r="AD82" i="2"/>
  <c r="AD87" i="2" s="1"/>
  <c r="V87" i="2"/>
  <c r="V99" i="2"/>
  <c r="AB94" i="2"/>
  <c r="AB99" i="2" s="1"/>
  <c r="Z99" i="2"/>
  <c r="AF94" i="2"/>
  <c r="AF99" i="2" s="1"/>
  <c r="X99" i="2"/>
  <c r="V106" i="2"/>
  <c r="AD113" i="2"/>
  <c r="W87" i="2"/>
  <c r="W106" i="2"/>
  <c r="AC101" i="2"/>
  <c r="AC106" i="2" s="1"/>
  <c r="AA106" i="2"/>
  <c r="U113" i="2"/>
  <c r="AA108" i="2"/>
  <c r="AA114" i="2" s="1"/>
  <c r="Y113" i="2"/>
  <c r="AE108" i="2"/>
  <c r="AE113" i="2" s="1"/>
  <c r="W113" i="2"/>
  <c r="AD75" i="2"/>
  <c r="AF82" i="2"/>
  <c r="X106" i="2"/>
  <c r="AD101" i="2"/>
  <c r="AD106" i="2" s="1"/>
  <c r="Z106" i="2"/>
  <c r="X113" i="2"/>
  <c r="AB108" i="2"/>
  <c r="AB113" i="2" s="1"/>
  <c r="AF108" i="2"/>
  <c r="Q77" i="10" l="1"/>
  <c r="Q76" i="10"/>
  <c r="AD24" i="2"/>
  <c r="AD25" i="2"/>
  <c r="AE45" i="2"/>
  <c r="AE46" i="2"/>
  <c r="AC52" i="2"/>
  <c r="AC53" i="2"/>
  <c r="S53" i="2"/>
  <c r="J63" i="10"/>
  <c r="J64" i="10"/>
  <c r="R74" i="2"/>
  <c r="M16" i="1"/>
  <c r="M17" i="1"/>
  <c r="P88" i="2"/>
  <c r="T53" i="2"/>
  <c r="O107" i="2"/>
  <c r="T32" i="2"/>
  <c r="AA49" i="2"/>
  <c r="M28" i="10"/>
  <c r="M29" i="10"/>
  <c r="O98" i="10"/>
  <c r="O97" i="10"/>
  <c r="M91" i="10"/>
  <c r="M90" i="10"/>
  <c r="N97" i="10"/>
  <c r="N98" i="10"/>
  <c r="Q84" i="10"/>
  <c r="Q83" i="10"/>
  <c r="P16" i="10"/>
  <c r="P17" i="10"/>
  <c r="J17" i="1"/>
  <c r="Q77" i="1"/>
  <c r="M91" i="1"/>
  <c r="S24" i="2"/>
  <c r="S25" i="2"/>
  <c r="N90" i="1"/>
  <c r="N91" i="1"/>
  <c r="M104" i="1"/>
  <c r="M105" i="1"/>
  <c r="O81" i="2"/>
  <c r="P28" i="10"/>
  <c r="P29" i="10"/>
  <c r="G41" i="10"/>
  <c r="G40" i="10"/>
  <c r="P77" i="10"/>
  <c r="P76" i="10"/>
  <c r="O74" i="2"/>
  <c r="O24" i="2"/>
  <c r="O25" i="2"/>
  <c r="Q59" i="2"/>
  <c r="AF31" i="2"/>
  <c r="AF32" i="2"/>
  <c r="O83" i="1"/>
  <c r="O84" i="1"/>
  <c r="AF52" i="2"/>
  <c r="AF53" i="2"/>
  <c r="R114" i="2"/>
  <c r="T114" i="2"/>
  <c r="AB17" i="2"/>
  <c r="AB18" i="2"/>
  <c r="D63" i="10"/>
  <c r="D64" i="10"/>
  <c r="P105" i="10"/>
  <c r="P104" i="10"/>
  <c r="M53" i="10"/>
  <c r="M52" i="10"/>
  <c r="P91" i="10"/>
  <c r="O76" i="10"/>
  <c r="O77" i="10"/>
  <c r="M77" i="1"/>
  <c r="M84" i="1"/>
  <c r="AF59" i="2"/>
  <c r="AF60" i="2"/>
  <c r="AA24" i="2"/>
  <c r="AA25" i="2"/>
  <c r="Q74" i="2"/>
  <c r="AB73" i="2"/>
  <c r="AB74" i="2"/>
  <c r="M16" i="10"/>
  <c r="M17" i="10"/>
  <c r="AD59" i="2"/>
  <c r="AD60" i="2"/>
  <c r="P74" i="2"/>
  <c r="Q100" i="2"/>
  <c r="R32" i="2"/>
  <c r="R53" i="2"/>
  <c r="AC17" i="2"/>
  <c r="AC18" i="2"/>
  <c r="R88" i="2"/>
  <c r="N76" i="1"/>
  <c r="N77" i="1"/>
  <c r="P98" i="10"/>
  <c r="P97" i="10"/>
  <c r="G64" i="10"/>
  <c r="G63" i="10"/>
  <c r="D53" i="10"/>
  <c r="D52" i="10"/>
  <c r="Q91" i="10"/>
  <c r="Q90" i="10"/>
  <c r="M40" i="10"/>
  <c r="M41" i="10"/>
  <c r="J29" i="10"/>
  <c r="J28" i="10"/>
  <c r="M63" i="1"/>
  <c r="M64" i="1"/>
  <c r="D17" i="1"/>
  <c r="D41" i="1"/>
  <c r="R24" i="2"/>
  <c r="T74" i="2"/>
  <c r="S74" i="2"/>
  <c r="AB31" i="2"/>
  <c r="AB32" i="2"/>
  <c r="G63" i="1"/>
  <c r="G64" i="1"/>
  <c r="S31" i="2"/>
  <c r="S32" i="2"/>
  <c r="AD45" i="2"/>
  <c r="AD46" i="2"/>
  <c r="AE24" i="2"/>
  <c r="AE25" i="2"/>
  <c r="R80" i="2"/>
  <c r="R81" i="2"/>
  <c r="O90" i="1"/>
  <c r="N76" i="10"/>
  <c r="N77" i="10"/>
  <c r="O90" i="10"/>
  <c r="G28" i="10"/>
  <c r="G29" i="10"/>
  <c r="J17" i="10"/>
  <c r="J16" i="10"/>
  <c r="N105" i="10"/>
  <c r="N104" i="10"/>
  <c r="N84" i="10"/>
  <c r="N83" i="10"/>
  <c r="D28" i="10"/>
  <c r="D29" i="10"/>
  <c r="P83" i="10"/>
  <c r="P84" i="10"/>
  <c r="N83" i="1"/>
  <c r="N84" i="1"/>
  <c r="M63" i="10"/>
  <c r="M64" i="10"/>
  <c r="M77" i="10"/>
  <c r="M76" i="10"/>
  <c r="N98" i="1"/>
  <c r="N97" i="1"/>
  <c r="AC31" i="2"/>
  <c r="AC32" i="2"/>
  <c r="O114" i="2"/>
  <c r="AC107" i="2"/>
  <c r="Q24" i="2"/>
  <c r="O88" i="2"/>
  <c r="AB52" i="2"/>
  <c r="AB53" i="2"/>
  <c r="P107" i="2"/>
  <c r="P83" i="1"/>
  <c r="AB100" i="2"/>
  <c r="D40" i="10"/>
  <c r="D41" i="10"/>
  <c r="O105" i="10"/>
  <c r="O104" i="10"/>
  <c r="O83" i="10"/>
  <c r="O84" i="10"/>
  <c r="G53" i="10"/>
  <c r="G52" i="10"/>
  <c r="M97" i="10"/>
  <c r="M98" i="10"/>
  <c r="M84" i="10"/>
  <c r="M83" i="10"/>
  <c r="P41" i="10"/>
  <c r="P40" i="10"/>
  <c r="J52" i="10"/>
  <c r="J53" i="10"/>
  <c r="M105" i="10"/>
  <c r="M104" i="10"/>
  <c r="J41" i="1"/>
  <c r="P98" i="1"/>
  <c r="P97" i="1"/>
  <c r="M53" i="1"/>
  <c r="J28" i="1"/>
  <c r="J29" i="1"/>
  <c r="P100" i="2"/>
  <c r="O98" i="1"/>
  <c r="O97" i="1"/>
  <c r="D16" i="10"/>
  <c r="D17" i="10"/>
  <c r="M40" i="1"/>
  <c r="M41" i="1"/>
  <c r="N90" i="10"/>
  <c r="N91" i="10"/>
  <c r="D52" i="1"/>
  <c r="D53" i="1"/>
  <c r="AA45" i="2"/>
  <c r="AA46" i="2"/>
  <c r="AA113" i="2"/>
  <c r="AA99" i="2"/>
  <c r="AA100" i="2"/>
  <c r="AE73" i="2"/>
  <c r="AE59" i="2"/>
  <c r="AE60" i="2"/>
  <c r="O32" i="2"/>
  <c r="AF17" i="2"/>
  <c r="AF18" i="2"/>
  <c r="O76" i="1"/>
  <c r="O77" i="1"/>
  <c r="Q88" i="2"/>
  <c r="P53" i="2"/>
  <c r="Q53" i="2"/>
  <c r="P32" i="2"/>
  <c r="Q32" i="2"/>
  <c r="G40" i="1"/>
  <c r="G16" i="10"/>
  <c r="G17" i="10"/>
  <c r="J41" i="10"/>
  <c r="J40" i="10"/>
  <c r="AB59" i="2"/>
  <c r="AB60" i="2"/>
  <c r="Q91" i="1"/>
  <c r="P76" i="1"/>
  <c r="P77" i="1"/>
  <c r="Q60" i="2"/>
  <c r="AD107" i="2"/>
  <c r="R107" i="2"/>
  <c r="AF100" i="2"/>
  <c r="T100" i="2"/>
  <c r="S114" i="2"/>
  <c r="T107" i="2"/>
  <c r="Q113" i="2"/>
  <c r="Q114" i="2"/>
  <c r="AF113" i="2"/>
  <c r="AF114" i="2"/>
  <c r="AE114" i="2"/>
  <c r="S107" i="2"/>
  <c r="AE107" i="2"/>
  <c r="AF106" i="2"/>
  <c r="T99" i="2"/>
  <c r="S99" i="2"/>
  <c r="S100" i="2"/>
  <c r="R100" i="2"/>
  <c r="AE99" i="2"/>
  <c r="AE100" i="2"/>
  <c r="T88" i="2"/>
  <c r="T87" i="2"/>
  <c r="S88" i="2"/>
  <c r="AF87" i="2"/>
  <c r="AF88" i="2"/>
  <c r="AE87" i="2"/>
  <c r="AE88" i="2"/>
  <c r="T81" i="2"/>
  <c r="Q80" i="2"/>
  <c r="Q81" i="2"/>
  <c r="AB81" i="2"/>
  <c r="P81" i="2"/>
  <c r="AF80" i="2"/>
  <c r="AF81" i="2"/>
  <c r="AE81" i="2"/>
  <c r="AD80" i="2"/>
  <c r="AD81" i="2"/>
  <c r="AC80" i="2"/>
  <c r="AC81" i="2"/>
  <c r="AF73" i="2"/>
  <c r="AF74" i="2"/>
  <c r="AC73" i="2"/>
  <c r="AC74" i="2"/>
  <c r="U55" i="2"/>
  <c r="AA55" i="2" s="1"/>
  <c r="U54" i="2"/>
  <c r="U51" i="2"/>
  <c r="AA51" i="2" s="1"/>
  <c r="AA52" i="2"/>
  <c r="U52" i="2"/>
  <c r="U56" i="2"/>
  <c r="AA56" i="2" s="1"/>
  <c r="Q106" i="2"/>
  <c r="Q73" i="2"/>
  <c r="O59" i="2"/>
  <c r="P59" i="2"/>
  <c r="O31" i="2"/>
  <c r="R31" i="2"/>
  <c r="R87" i="2"/>
  <c r="O87" i="2"/>
  <c r="O113" i="2"/>
  <c r="P113" i="2"/>
  <c r="S52" i="2"/>
  <c r="O80" i="2"/>
  <c r="P80" i="2"/>
  <c r="P106" i="2"/>
  <c r="P73" i="2"/>
  <c r="R73" i="2"/>
  <c r="Q99" i="2"/>
  <c r="R99" i="2"/>
  <c r="R59" i="2"/>
  <c r="S59" i="2"/>
  <c r="T59" i="2"/>
  <c r="R52" i="2"/>
  <c r="Q87" i="2"/>
  <c r="S87" i="2"/>
  <c r="R113" i="2"/>
  <c r="S113" i="2"/>
  <c r="T113" i="2"/>
  <c r="P52" i="2"/>
  <c r="Q52" i="2"/>
  <c r="T80" i="2"/>
  <c r="P31" i="2"/>
  <c r="Q31" i="2"/>
  <c r="T73" i="2"/>
  <c r="O99" i="2"/>
  <c r="P99" i="2"/>
  <c r="S73" i="2"/>
  <c r="S80" i="2"/>
  <c r="O52" i="2"/>
  <c r="P87" i="2"/>
  <c r="T52" i="2"/>
  <c r="O106" i="2"/>
  <c r="S106" i="2"/>
  <c r="T106" i="2"/>
  <c r="R106" i="2"/>
  <c r="T31" i="2"/>
  <c r="U53" i="2" l="1"/>
  <c r="AA53" i="2"/>
  <c r="AA54" i="2"/>
  <c r="U58" i="2"/>
  <c r="AA58" i="2" s="1"/>
  <c r="U57" i="2" l="1"/>
  <c r="U60" i="2" s="1"/>
  <c r="AA57" i="2" l="1"/>
  <c r="U59" i="2"/>
  <c r="AA59" i="2" l="1"/>
  <c r="AA60" i="2"/>
</calcChain>
</file>

<file path=xl/sharedStrings.xml><?xml version="1.0" encoding="utf-8"?>
<sst xmlns="http://schemas.openxmlformats.org/spreadsheetml/2006/main" count="538" uniqueCount="58">
  <si>
    <t>Test data size [bytes]</t>
  </si>
  <si>
    <t>Test</t>
  </si>
  <si>
    <t>BLE 4.0/4.1</t>
  </si>
  <si>
    <t>BLE 4.2</t>
  </si>
  <si>
    <t>BLE 5 High Speed (2Mbps)</t>
  </si>
  <si>
    <t>Vcc [V]:</t>
  </si>
  <si>
    <t>Read</t>
  </si>
  <si>
    <t>Write</t>
  </si>
  <si>
    <t>Notify</t>
  </si>
  <si>
    <t>Write without response</t>
  </si>
  <si>
    <t>Read Test</t>
  </si>
  <si>
    <t>avg. Current [mA]</t>
  </si>
  <si>
    <t>Time [s]</t>
  </si>
  <si>
    <t>Throughput [kbps]</t>
  </si>
  <si>
    <t>avg. Power [mW]</t>
  </si>
  <si>
    <t>Energy used [mJ]</t>
  </si>
  <si>
    <t>7.5ms</t>
  </si>
  <si>
    <t>30ms</t>
  </si>
  <si>
    <t>75ms</t>
  </si>
  <si>
    <t>150ms</t>
  </si>
  <si>
    <t>400ms</t>
  </si>
  <si>
    <t>1000ms</t>
  </si>
  <si>
    <t>Average</t>
  </si>
  <si>
    <t>Std. dev.</t>
  </si>
  <si>
    <t>Constants</t>
  </si>
  <si>
    <t>20 bytes</t>
  </si>
  <si>
    <t>100 bytes</t>
  </si>
  <si>
    <t>400 bytes</t>
  </si>
  <si>
    <t>1000 bytes</t>
  </si>
  <si>
    <t>10000 bytes</t>
  </si>
  <si>
    <t>Write Test</t>
  </si>
  <si>
    <t>Vdd [V]</t>
  </si>
  <si>
    <t>Time @ 7.5ms [s]</t>
  </si>
  <si>
    <t>Time @ 50ms [s]</t>
  </si>
  <si>
    <t>Time @ 400ms [s]</t>
  </si>
  <si>
    <t>Time @ 1000ms [s]</t>
  </si>
  <si>
    <t>Time @ 4000ms [s]</t>
  </si>
  <si>
    <t>Write, 7.5ms CI</t>
  </si>
  <si>
    <t>Test run</t>
  </si>
  <si>
    <t>Write, 50ms CI</t>
  </si>
  <si>
    <t>Write, 400ms CI</t>
  </si>
  <si>
    <t>Write, 1000ms CI</t>
  </si>
  <si>
    <t>Write, 4000ms CI</t>
  </si>
  <si>
    <t>Connection Interval: 
7.5ms</t>
  </si>
  <si>
    <t>Notify Test</t>
  </si>
  <si>
    <t>Connection Interval: 
50ms</t>
  </si>
  <si>
    <t>Connection Interval: 
400ms</t>
  </si>
  <si>
    <t>Connection Interval: 
1000ms</t>
  </si>
  <si>
    <t>Connection Interval: 
4000ms</t>
  </si>
  <si>
    <t>Write without response Test</t>
  </si>
  <si>
    <t>Measurement</t>
  </si>
  <si>
    <t>Measurement time [ms]</t>
  </si>
  <si>
    <t>Average current [mA]</t>
  </si>
  <si>
    <t>Average current used by timer [mA]:</t>
  </si>
  <si>
    <t>Measurements here have the offset subtracted, which is generated by the running timer from their average current consumption.</t>
  </si>
  <si>
    <t>Timer consumption [mA]:</t>
  </si>
  <si>
    <t>Device Idle: no BLE activity, timer running</t>
  </si>
  <si>
    <t>Device Idle: no BLE activity, timer not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</si>
</sst>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0" fillId="0" borderId="0" xfId="0" applyFont="1" applyBorder="1" applyAlignment="1"/>
    <xf numFmtId="0" fontId="1" fillId="0" borderId="9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0" xfId="0" applyFont="1" applyAlignment="1"/>
    <xf numFmtId="0" fontId="2" fillId="0" borderId="0" xfId="0" applyFont="1" applyAlignment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2" xfId="0" applyFont="1" applyBorder="1" applyAlignment="1"/>
    <xf numFmtId="0" fontId="2" fillId="0" borderId="1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2" xfId="0" applyFont="1" applyBorder="1" applyAlignment="1"/>
    <xf numFmtId="0" fontId="2" fillId="0" borderId="9" xfId="0" applyFont="1" applyBorder="1"/>
    <xf numFmtId="0" fontId="2" fillId="0" borderId="4" xfId="0" applyFont="1" applyBorder="1"/>
    <xf numFmtId="0" fontId="2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3" xfId="0" applyFont="1" applyBorder="1"/>
    <xf numFmtId="0" fontId="2" fillId="0" borderId="1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3" xfId="0" applyFont="1" applyBorder="1" applyAlignment="1"/>
    <xf numFmtId="0" fontId="2" fillId="0" borderId="15" xfId="0" applyFont="1" applyBorder="1"/>
    <xf numFmtId="0" fontId="2" fillId="0" borderId="14" xfId="0" applyFont="1" applyBorder="1" applyAlignment="1"/>
    <xf numFmtId="0" fontId="1" fillId="0" borderId="16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2" fillId="0" borderId="13" xfId="0" applyFont="1" applyBorder="1" applyAlignme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0" xfId="0" applyFont="1" applyAlignment="1">
      <alignment horizontal="center"/>
    </xf>
    <xf numFmtId="0" fontId="2" fillId="0" borderId="10" xfId="0" applyFont="1" applyBorder="1" applyAlignment="1"/>
    <xf numFmtId="0" fontId="1" fillId="0" borderId="17" xfId="0" applyFont="1" applyBorder="1" applyAlignment="1">
      <alignment horizontal="right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1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0" xfId="0"/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0" xfId="0" applyFont="1" applyAlignment="1"/>
    <xf numFmtId="0" fontId="1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9" xfId="0" applyFont="1" applyBorder="1" applyAlignment="1"/>
    <xf numFmtId="0" fontId="2" fillId="0" borderId="5" xfId="0" applyFont="1" applyBorder="1"/>
    <xf numFmtId="0" fontId="2" fillId="0" borderId="8" xfId="0" applyFont="1" applyBorder="1"/>
    <xf numFmtId="0" fontId="0" fillId="0" borderId="24" xfId="0" applyFont="1" applyBorder="1" applyAlignment="1"/>
    <xf numFmtId="0" fontId="0" fillId="0" borderId="19" xfId="0" applyFont="1" applyBorder="1" applyAlignment="1"/>
    <xf numFmtId="0" fontId="0" fillId="0" borderId="29" xfId="0" applyFont="1" applyBorder="1" applyAlignment="1"/>
    <xf numFmtId="0" fontId="2" fillId="0" borderId="9" xfId="0" applyFont="1" applyBorder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1" fillId="0" borderId="9" xfId="0" applyFont="1" applyBorder="1" applyAlignment="1">
      <alignment horizontal="center"/>
    </xf>
    <xf numFmtId="0" fontId="2" fillId="0" borderId="13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2" fillId="0" borderId="0" xfId="0" applyFont="1" applyAlignment="1"/>
    <xf numFmtId="0" fontId="1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9" xfId="0" applyFont="1" applyBorder="1" applyAlignment="1"/>
    <xf numFmtId="0" fontId="2" fillId="0" borderId="5" xfId="0" applyFont="1" applyBorder="1"/>
    <xf numFmtId="0" fontId="2" fillId="0" borderId="8" xfId="0" applyFont="1" applyBorder="1"/>
    <xf numFmtId="0" fontId="2" fillId="0" borderId="12" xfId="0" applyFont="1" applyBorder="1" applyAlignment="1">
      <alignment vertical="center"/>
    </xf>
    <xf numFmtId="0" fontId="0" fillId="0" borderId="19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0" xfId="0" applyFont="1" applyBorder="1" applyAlignment="1"/>
    <xf numFmtId="0" fontId="1" fillId="0" borderId="9" xfId="0" applyFont="1" applyFill="1" applyBorder="1"/>
    <xf numFmtId="0" fontId="1" fillId="0" borderId="13" xfId="0" applyFont="1" applyFill="1" applyBorder="1"/>
    <xf numFmtId="0" fontId="1" fillId="0" borderId="10" xfId="0" applyFont="1" applyFill="1" applyBorder="1"/>
    <xf numFmtId="0" fontId="1" fillId="0" borderId="4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2" fillId="0" borderId="28" xfId="0" applyFont="1" applyFill="1" applyBorder="1"/>
    <xf numFmtId="0" fontId="2" fillId="0" borderId="30" xfId="0" applyFont="1" applyFill="1" applyBorder="1"/>
    <xf numFmtId="0" fontId="2" fillId="0" borderId="0" xfId="0" applyFont="1" applyFill="1" applyBorder="1"/>
    <xf numFmtId="0" fontId="2" fillId="0" borderId="24" xfId="0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9" xfId="0" applyFont="1" applyFill="1" applyBorder="1"/>
    <xf numFmtId="0" fontId="2" fillId="0" borderId="13" xfId="0" applyFont="1" applyFill="1" applyBorder="1"/>
    <xf numFmtId="0" fontId="2" fillId="0" borderId="10" xfId="0" applyFont="1" applyFill="1" applyBorder="1"/>
    <xf numFmtId="0" fontId="2" fillId="0" borderId="4" xfId="0" applyFont="1" applyFill="1" applyBorder="1"/>
    <xf numFmtId="0" fontId="2" fillId="0" borderId="0" xfId="0" applyFont="1" applyFill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/>
    <xf numFmtId="0" fontId="2" fillId="0" borderId="29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15" xfId="0" applyFont="1" applyBorder="1" applyAlignment="1"/>
    <xf numFmtId="0" fontId="2" fillId="0" borderId="19" xfId="0" applyFont="1" applyBorder="1" applyAlignment="1"/>
    <xf numFmtId="0" fontId="1" fillId="0" borderId="19" xfId="0" applyFont="1" applyBorder="1" applyAlignment="1"/>
    <xf numFmtId="0" fontId="1" fillId="0" borderId="1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67" workbookViewId="0">
      <selection activeCell="I20" sqref="I20"/>
    </sheetView>
  </sheetViews>
  <sheetFormatPr defaultColWidth="11.25" defaultRowHeight="15" customHeight="1" x14ac:dyDescent="0.25"/>
  <cols>
    <col min="1" max="1" width="24" style="5" customWidth="1"/>
    <col min="2" max="2" width="17.125" style="5" customWidth="1"/>
    <col min="3" max="3" width="15.75" style="5" customWidth="1"/>
    <col min="4" max="4" width="16.375" style="5" customWidth="1"/>
    <col min="5" max="5" width="15.375" style="5" customWidth="1"/>
    <col min="6" max="6" width="16.25" style="5" customWidth="1"/>
    <col min="7" max="7" width="14.75" style="5" customWidth="1"/>
    <col min="8" max="15" width="10.625" style="5" customWidth="1"/>
    <col min="16" max="16" width="13.75" style="5" customWidth="1"/>
    <col min="17" max="29" width="10.625" style="5" customWidth="1"/>
    <col min="30" max="16384" width="11.25" style="5"/>
  </cols>
  <sheetData>
    <row r="1" spans="1:23" ht="15.75" customHeight="1" x14ac:dyDescent="0.25">
      <c r="A1" s="2" t="s">
        <v>24</v>
      </c>
      <c r="B1" s="2" t="s">
        <v>25</v>
      </c>
      <c r="C1" s="3" t="s">
        <v>26</v>
      </c>
      <c r="D1" s="3" t="s">
        <v>27</v>
      </c>
      <c r="E1" s="3" t="s">
        <v>28</v>
      </c>
      <c r="F1" s="4" t="s">
        <v>29</v>
      </c>
      <c r="R1" s="6"/>
      <c r="S1" s="104"/>
      <c r="T1" s="105"/>
      <c r="U1" s="105"/>
      <c r="V1" s="105"/>
      <c r="W1" s="105"/>
    </row>
    <row r="2" spans="1:23" ht="15.75" customHeight="1" x14ac:dyDescent="0.25">
      <c r="A2" s="2" t="s">
        <v>31</v>
      </c>
      <c r="B2" s="2">
        <v>3</v>
      </c>
      <c r="C2" s="3">
        <v>3</v>
      </c>
      <c r="D2" s="3">
        <v>3</v>
      </c>
      <c r="E2" s="3">
        <v>3</v>
      </c>
      <c r="F2" s="4">
        <v>3</v>
      </c>
      <c r="R2" s="6"/>
      <c r="S2" s="6"/>
      <c r="T2" s="6"/>
      <c r="U2" s="6"/>
      <c r="V2" s="6"/>
      <c r="W2" s="6"/>
    </row>
    <row r="3" spans="1:23" ht="15.75" customHeight="1" x14ac:dyDescent="0.25">
      <c r="A3" s="7" t="s">
        <v>32</v>
      </c>
      <c r="B3" s="23">
        <v>1.4999999999999999E-2</v>
      </c>
      <c r="C3" s="24">
        <v>7.4999999999999997E-2</v>
      </c>
      <c r="D3" s="8">
        <v>0.3</v>
      </c>
      <c r="E3" s="8">
        <v>0.75</v>
      </c>
      <c r="F3" s="9">
        <v>7.5</v>
      </c>
    </row>
    <row r="4" spans="1:23" ht="15.75" customHeight="1" x14ac:dyDescent="0.25">
      <c r="A4" s="7" t="s">
        <v>33</v>
      </c>
      <c r="B4" s="7">
        <v>0.1</v>
      </c>
      <c r="C4" s="8">
        <v>0.5</v>
      </c>
      <c r="D4" s="8">
        <v>2</v>
      </c>
      <c r="E4" s="8">
        <v>5</v>
      </c>
      <c r="F4" s="9">
        <v>50</v>
      </c>
    </row>
    <row r="5" spans="1:23" ht="15.75" customHeight="1" x14ac:dyDescent="0.25">
      <c r="A5" s="7" t="s">
        <v>34</v>
      </c>
      <c r="B5" s="7">
        <v>0.8</v>
      </c>
      <c r="C5" s="8">
        <v>4</v>
      </c>
      <c r="D5" s="8">
        <v>16</v>
      </c>
      <c r="E5" s="8">
        <v>40</v>
      </c>
      <c r="F5" s="9">
        <v>400</v>
      </c>
    </row>
    <row r="6" spans="1:23" ht="15.75" customHeight="1" x14ac:dyDescent="0.25">
      <c r="A6" s="7" t="s">
        <v>35</v>
      </c>
      <c r="B6" s="7">
        <v>2</v>
      </c>
      <c r="C6" s="8">
        <v>10</v>
      </c>
      <c r="D6" s="8">
        <v>40</v>
      </c>
      <c r="E6" s="8">
        <v>100</v>
      </c>
      <c r="F6" s="9"/>
    </row>
    <row r="7" spans="1:23" ht="15.75" customHeight="1" x14ac:dyDescent="0.25">
      <c r="A7" s="10" t="s">
        <v>36</v>
      </c>
      <c r="B7" s="10">
        <v>8</v>
      </c>
      <c r="C7" s="11">
        <v>40</v>
      </c>
      <c r="D7" s="11">
        <v>160</v>
      </c>
      <c r="E7" s="11">
        <v>400</v>
      </c>
      <c r="F7" s="12"/>
    </row>
    <row r="8" spans="1:23" ht="15.75" customHeight="1" x14ac:dyDescent="0.25"/>
    <row r="9" spans="1:23" ht="15.75" customHeight="1" x14ac:dyDescent="0.25">
      <c r="A9" s="13" t="s">
        <v>37</v>
      </c>
      <c r="B9" s="98" t="s">
        <v>25</v>
      </c>
      <c r="C9" s="99"/>
      <c r="D9" s="100"/>
      <c r="E9" s="98" t="s">
        <v>26</v>
      </c>
      <c r="F9" s="99"/>
      <c r="G9" s="100"/>
      <c r="H9" s="98" t="s">
        <v>27</v>
      </c>
      <c r="I9" s="99"/>
      <c r="J9" s="100"/>
      <c r="K9" s="98" t="s">
        <v>28</v>
      </c>
      <c r="L9" s="99"/>
      <c r="M9" s="100"/>
      <c r="N9" s="98" t="s">
        <v>29</v>
      </c>
      <c r="O9" s="99"/>
      <c r="P9" s="100"/>
    </row>
    <row r="10" spans="1:23" ht="15.75" customHeight="1" x14ac:dyDescent="0.25">
      <c r="A10" s="14" t="s">
        <v>38</v>
      </c>
      <c r="B10" s="15" t="s">
        <v>11</v>
      </c>
      <c r="C10" s="16" t="s">
        <v>14</v>
      </c>
      <c r="D10" s="17" t="s">
        <v>15</v>
      </c>
      <c r="E10" s="15" t="s">
        <v>11</v>
      </c>
      <c r="F10" s="16" t="s">
        <v>14</v>
      </c>
      <c r="G10" s="17" t="s">
        <v>15</v>
      </c>
      <c r="H10" s="15" t="s">
        <v>11</v>
      </c>
      <c r="I10" s="16" t="s">
        <v>14</v>
      </c>
      <c r="J10" s="17" t="s">
        <v>15</v>
      </c>
      <c r="K10" s="15" t="s">
        <v>11</v>
      </c>
      <c r="L10" s="16" t="s">
        <v>14</v>
      </c>
      <c r="M10" s="17" t="s">
        <v>15</v>
      </c>
      <c r="N10" s="15" t="s">
        <v>11</v>
      </c>
      <c r="O10" s="16" t="s">
        <v>14</v>
      </c>
      <c r="P10" s="17" t="s">
        <v>15</v>
      </c>
    </row>
    <row r="11" spans="1:23" ht="15.75" customHeight="1" x14ac:dyDescent="0.25">
      <c r="A11" s="18">
        <v>1</v>
      </c>
      <c r="B11" s="23">
        <v>1.6890000000000001</v>
      </c>
      <c r="C11" s="5">
        <f t="shared" ref="C11:C15" si="0">$B$2*B11</f>
        <v>5.0670000000000002</v>
      </c>
      <c r="D11" s="19">
        <f t="shared" ref="D11:D15" si="1">C11*$B$3</f>
        <v>7.6005000000000003E-2</v>
      </c>
      <c r="E11" s="23">
        <v>1.7090000000000001</v>
      </c>
      <c r="F11" s="5">
        <f t="shared" ref="F11:F15" si="2">$C$2*E11</f>
        <v>5.1270000000000007</v>
      </c>
      <c r="G11" s="19">
        <f t="shared" ref="G11:G15" si="3">F11*$C$3</f>
        <v>0.38452500000000006</v>
      </c>
      <c r="H11" s="23">
        <v>1.6619999999999999</v>
      </c>
      <c r="I11" s="5">
        <f t="shared" ref="I11:I15" si="4">$D$2*H11</f>
        <v>4.9859999999999998</v>
      </c>
      <c r="J11" s="19">
        <f t="shared" ref="J11:J15" si="5">I11*$D$3</f>
        <v>1.4957999999999998</v>
      </c>
      <c r="K11" s="23">
        <v>1.625</v>
      </c>
      <c r="L11" s="5">
        <f t="shared" ref="L11:L15" si="6">$E$2*K11</f>
        <v>4.875</v>
      </c>
      <c r="M11" s="19">
        <f t="shared" ref="M11:M15" si="7">L11*$E$3</f>
        <v>3.65625</v>
      </c>
      <c r="N11" s="23">
        <v>1.6220000000000001</v>
      </c>
      <c r="O11" s="5">
        <f t="shared" ref="O11:O15" si="8">$F$2*N11</f>
        <v>4.8660000000000005</v>
      </c>
      <c r="P11" s="19">
        <f t="shared" ref="P11:P15" si="9">O11*$F$3</f>
        <v>36.495000000000005</v>
      </c>
    </row>
    <row r="12" spans="1:23" ht="15.75" customHeight="1" x14ac:dyDescent="0.25">
      <c r="A12" s="18">
        <v>2</v>
      </c>
      <c r="B12" s="23">
        <v>1.62</v>
      </c>
      <c r="C12" s="5">
        <f t="shared" si="0"/>
        <v>4.8600000000000003</v>
      </c>
      <c r="D12" s="19">
        <f t="shared" si="1"/>
        <v>7.2900000000000006E-2</v>
      </c>
      <c r="E12" s="23">
        <v>1.694</v>
      </c>
      <c r="F12" s="5">
        <f t="shared" si="2"/>
        <v>5.0819999999999999</v>
      </c>
      <c r="G12" s="19">
        <f t="shared" si="3"/>
        <v>0.38114999999999999</v>
      </c>
      <c r="H12" s="23">
        <v>1.6519999999999999</v>
      </c>
      <c r="I12" s="5">
        <f t="shared" si="4"/>
        <v>4.9559999999999995</v>
      </c>
      <c r="J12" s="19">
        <f t="shared" si="5"/>
        <v>1.4867999999999999</v>
      </c>
      <c r="K12" s="23">
        <v>1.631</v>
      </c>
      <c r="L12" s="5">
        <f t="shared" si="6"/>
        <v>4.8929999999999998</v>
      </c>
      <c r="M12" s="19">
        <f t="shared" si="7"/>
        <v>3.6697499999999996</v>
      </c>
      <c r="N12" s="23">
        <v>1.6140000000000001</v>
      </c>
      <c r="O12" s="5">
        <f t="shared" si="8"/>
        <v>4.8420000000000005</v>
      </c>
      <c r="P12" s="19">
        <f t="shared" si="9"/>
        <v>36.315000000000005</v>
      </c>
    </row>
    <row r="13" spans="1:23" ht="15.75" customHeight="1" x14ac:dyDescent="0.25">
      <c r="A13" s="18">
        <v>3</v>
      </c>
      <c r="B13" s="23">
        <v>1.675</v>
      </c>
      <c r="C13" s="5">
        <f t="shared" si="0"/>
        <v>5.0250000000000004</v>
      </c>
      <c r="D13" s="19">
        <f t="shared" si="1"/>
        <v>7.5374999999999998E-2</v>
      </c>
      <c r="E13" s="23">
        <v>1.7090000000000001</v>
      </c>
      <c r="F13" s="5">
        <f t="shared" si="2"/>
        <v>5.1270000000000007</v>
      </c>
      <c r="G13" s="19">
        <f t="shared" si="3"/>
        <v>0.38452500000000006</v>
      </c>
      <c r="H13" s="23">
        <v>1.6619999999999999</v>
      </c>
      <c r="I13" s="5">
        <f t="shared" si="4"/>
        <v>4.9859999999999998</v>
      </c>
      <c r="J13" s="19">
        <f t="shared" si="5"/>
        <v>1.4957999999999998</v>
      </c>
      <c r="K13" s="23">
        <v>1.6259999999999999</v>
      </c>
      <c r="L13" s="5">
        <f t="shared" si="6"/>
        <v>4.8780000000000001</v>
      </c>
      <c r="M13" s="19">
        <f t="shared" si="7"/>
        <v>3.6585000000000001</v>
      </c>
      <c r="N13" s="23">
        <v>1.62</v>
      </c>
      <c r="O13" s="5">
        <f t="shared" si="8"/>
        <v>4.8600000000000003</v>
      </c>
      <c r="P13" s="19">
        <f t="shared" si="9"/>
        <v>36.450000000000003</v>
      </c>
    </row>
    <row r="14" spans="1:23" ht="15.75" customHeight="1" x14ac:dyDescent="0.25">
      <c r="A14" s="18">
        <v>4</v>
      </c>
      <c r="B14" s="23">
        <v>1.629</v>
      </c>
      <c r="C14" s="5">
        <f t="shared" si="0"/>
        <v>4.8870000000000005</v>
      </c>
      <c r="D14" s="19">
        <f t="shared" si="1"/>
        <v>7.3305000000000009E-2</v>
      </c>
      <c r="E14" s="23">
        <v>1.7070000000000001</v>
      </c>
      <c r="F14" s="5">
        <f t="shared" si="2"/>
        <v>5.1210000000000004</v>
      </c>
      <c r="G14" s="19">
        <f t="shared" si="3"/>
        <v>0.384075</v>
      </c>
      <c r="H14" s="23">
        <v>1.663</v>
      </c>
      <c r="I14" s="5">
        <f t="shared" si="4"/>
        <v>4.9889999999999999</v>
      </c>
      <c r="J14" s="19">
        <f t="shared" si="5"/>
        <v>1.4966999999999999</v>
      </c>
      <c r="K14" s="23">
        <v>1.633</v>
      </c>
      <c r="L14" s="5">
        <f t="shared" si="6"/>
        <v>4.899</v>
      </c>
      <c r="M14" s="19">
        <f t="shared" si="7"/>
        <v>3.6742499999999998</v>
      </c>
      <c r="N14" s="23">
        <v>1.623</v>
      </c>
      <c r="O14" s="5">
        <f t="shared" si="8"/>
        <v>4.8689999999999998</v>
      </c>
      <c r="P14" s="19">
        <f t="shared" si="9"/>
        <v>36.517499999999998</v>
      </c>
    </row>
    <row r="15" spans="1:23" ht="15.75" customHeight="1" x14ac:dyDescent="0.25">
      <c r="A15" s="18">
        <v>5</v>
      </c>
      <c r="B15" s="23">
        <v>1.67</v>
      </c>
      <c r="C15" s="5">
        <f t="shared" si="0"/>
        <v>5.01</v>
      </c>
      <c r="D15" s="19">
        <f t="shared" si="1"/>
        <v>7.5149999999999995E-2</v>
      </c>
      <c r="E15" s="23">
        <v>1.7030000000000001</v>
      </c>
      <c r="F15" s="5">
        <f t="shared" si="2"/>
        <v>5.109</v>
      </c>
      <c r="G15" s="19">
        <f t="shared" si="3"/>
        <v>0.38317499999999999</v>
      </c>
      <c r="H15" s="23">
        <v>1.659</v>
      </c>
      <c r="I15" s="5">
        <f t="shared" si="4"/>
        <v>4.9770000000000003</v>
      </c>
      <c r="J15" s="19">
        <f t="shared" si="5"/>
        <v>1.4931000000000001</v>
      </c>
      <c r="K15" s="23">
        <v>1.63</v>
      </c>
      <c r="L15" s="5">
        <f t="shared" si="6"/>
        <v>4.8899999999999997</v>
      </c>
      <c r="M15" s="19">
        <f t="shared" si="7"/>
        <v>3.6674999999999995</v>
      </c>
      <c r="N15" s="23">
        <v>1.623</v>
      </c>
      <c r="O15" s="5">
        <f t="shared" si="8"/>
        <v>4.8689999999999998</v>
      </c>
      <c r="P15" s="19">
        <f t="shared" si="9"/>
        <v>36.517499999999998</v>
      </c>
    </row>
    <row r="16" spans="1:23" ht="15.75" customHeight="1" x14ac:dyDescent="0.25">
      <c r="A16" s="14" t="s">
        <v>22</v>
      </c>
      <c r="B16" s="15">
        <f t="shared" ref="B16:P16" si="10">AVERAGE(B11:B15)</f>
        <v>1.6565999999999999</v>
      </c>
      <c r="C16" s="16">
        <f t="shared" si="10"/>
        <v>4.9697999999999993</v>
      </c>
      <c r="D16" s="20">
        <f t="shared" si="10"/>
        <v>7.4547000000000002E-2</v>
      </c>
      <c r="E16" s="15">
        <f t="shared" si="10"/>
        <v>1.7044000000000001</v>
      </c>
      <c r="F16" s="16">
        <f t="shared" si="10"/>
        <v>5.1132000000000009</v>
      </c>
      <c r="G16" s="20">
        <f t="shared" si="10"/>
        <v>0.38349</v>
      </c>
      <c r="H16" s="15">
        <f t="shared" si="10"/>
        <v>1.6596</v>
      </c>
      <c r="I16" s="16">
        <f t="shared" si="10"/>
        <v>4.9788000000000006</v>
      </c>
      <c r="J16" s="20">
        <f t="shared" si="10"/>
        <v>1.4936399999999999</v>
      </c>
      <c r="K16" s="15">
        <f t="shared" si="10"/>
        <v>1.629</v>
      </c>
      <c r="L16" s="16">
        <f t="shared" si="10"/>
        <v>4.8870000000000005</v>
      </c>
      <c r="M16" s="20">
        <f t="shared" si="10"/>
        <v>3.6652500000000003</v>
      </c>
      <c r="N16" s="15">
        <f t="shared" si="10"/>
        <v>1.6204000000000001</v>
      </c>
      <c r="O16" s="16">
        <f t="shared" si="10"/>
        <v>4.8612000000000002</v>
      </c>
      <c r="P16" s="20">
        <f t="shared" si="10"/>
        <v>36.459000000000003</v>
      </c>
    </row>
    <row r="17" spans="1:16" ht="15.75" customHeight="1" x14ac:dyDescent="0.25">
      <c r="A17" s="14" t="s">
        <v>23</v>
      </c>
      <c r="B17" s="15">
        <f>_xlfn.STDEV.P(B11:B15)</f>
        <v>2.7089481353470005E-2</v>
      </c>
      <c r="C17" s="15">
        <f t="shared" ref="C17:P17" si="11">_xlfn.STDEV.P(C11:C15)</f>
        <v>8.126844406040995E-2</v>
      </c>
      <c r="D17" s="15">
        <f t="shared" si="11"/>
        <v>1.2190266609061473E-3</v>
      </c>
      <c r="E17" s="15">
        <f t="shared" si="11"/>
        <v>5.6426943918663998E-3</v>
      </c>
      <c r="F17" s="15">
        <f t="shared" si="11"/>
        <v>1.6928083175599375E-2</v>
      </c>
      <c r="G17" s="15">
        <f t="shared" si="11"/>
        <v>1.2696062381699542E-3</v>
      </c>
      <c r="H17" s="15">
        <f t="shared" si="11"/>
        <v>4.0298883359219956E-3</v>
      </c>
      <c r="I17" s="15">
        <f t="shared" si="11"/>
        <v>1.2089665007766027E-2</v>
      </c>
      <c r="J17" s="15">
        <f t="shared" si="11"/>
        <v>3.6268995023297523E-3</v>
      </c>
      <c r="K17" s="15">
        <f t="shared" si="11"/>
        <v>3.0331501776206379E-3</v>
      </c>
      <c r="L17" s="15">
        <f t="shared" si="11"/>
        <v>9.0994505328617966E-3</v>
      </c>
      <c r="M17" s="15">
        <f t="shared" si="11"/>
        <v>6.8245878996462438E-3</v>
      </c>
      <c r="N17" s="15">
        <f t="shared" si="11"/>
        <v>3.3823069050575214E-3</v>
      </c>
      <c r="O17" s="15">
        <f t="shared" si="11"/>
        <v>1.0146920715172434E-2</v>
      </c>
      <c r="P17" s="15">
        <f t="shared" si="11"/>
        <v>7.6101905363792952E-2</v>
      </c>
    </row>
    <row r="18" spans="1:16" ht="15.75" customHeight="1" x14ac:dyDescent="0.25"/>
    <row r="19" spans="1:16" ht="15.75" customHeight="1" x14ac:dyDescent="0.25"/>
    <row r="20" spans="1:16" ht="15.75" customHeight="1" x14ac:dyDescent="0.25"/>
    <row r="21" spans="1:16" ht="15.75" customHeight="1" x14ac:dyDescent="0.25">
      <c r="A21" s="21" t="s">
        <v>39</v>
      </c>
      <c r="B21" s="98" t="s">
        <v>25</v>
      </c>
      <c r="C21" s="99"/>
      <c r="D21" s="100"/>
      <c r="E21" s="98" t="s">
        <v>26</v>
      </c>
      <c r="F21" s="99"/>
      <c r="G21" s="100"/>
      <c r="H21" s="98" t="s">
        <v>27</v>
      </c>
      <c r="I21" s="99"/>
      <c r="J21" s="100"/>
      <c r="K21" s="98" t="s">
        <v>28</v>
      </c>
      <c r="L21" s="99"/>
      <c r="M21" s="100"/>
      <c r="N21" s="98" t="s">
        <v>29</v>
      </c>
      <c r="O21" s="99"/>
      <c r="P21" s="100"/>
    </row>
    <row r="22" spans="1:16" ht="15.75" customHeight="1" x14ac:dyDescent="0.25">
      <c r="A22" s="14" t="s">
        <v>38</v>
      </c>
      <c r="B22" s="15" t="s">
        <v>11</v>
      </c>
      <c r="C22" s="16" t="s">
        <v>14</v>
      </c>
      <c r="D22" s="17" t="s">
        <v>15</v>
      </c>
      <c r="E22" s="15" t="s">
        <v>11</v>
      </c>
      <c r="F22" s="16" t="s">
        <v>14</v>
      </c>
      <c r="G22" s="17" t="s">
        <v>15</v>
      </c>
      <c r="H22" s="15" t="s">
        <v>11</v>
      </c>
      <c r="I22" s="16" t="s">
        <v>14</v>
      </c>
      <c r="J22" s="17" t="s">
        <v>15</v>
      </c>
      <c r="K22" s="15" t="s">
        <v>11</v>
      </c>
      <c r="L22" s="16" t="s">
        <v>14</v>
      </c>
      <c r="M22" s="17" t="s">
        <v>15</v>
      </c>
      <c r="N22" s="15" t="s">
        <v>11</v>
      </c>
      <c r="O22" s="16" t="s">
        <v>14</v>
      </c>
      <c r="P22" s="17" t="s">
        <v>15</v>
      </c>
    </row>
    <row r="23" spans="1:16" ht="15.75" customHeight="1" x14ac:dyDescent="0.25">
      <c r="A23" s="18">
        <v>1</v>
      </c>
      <c r="B23" s="24">
        <v>0.76602000000000003</v>
      </c>
      <c r="C23" s="5">
        <f t="shared" ref="C23:C27" si="12">$B$2*B23</f>
        <v>2.29806</v>
      </c>
      <c r="D23" s="19">
        <f t="shared" ref="D23:D27" si="13">C23*$B$4</f>
        <v>0.22980600000000001</v>
      </c>
      <c r="E23" s="24">
        <v>0.76031000000000004</v>
      </c>
      <c r="F23" s="5">
        <f t="shared" ref="F23:F27" si="14">$C$2*E23</f>
        <v>2.2809300000000001</v>
      </c>
      <c r="G23" s="19">
        <f t="shared" ref="G23:G27" si="15">F23*$C$4</f>
        <v>1.1404650000000001</v>
      </c>
      <c r="H23" s="25">
        <v>0.75002999999999997</v>
      </c>
      <c r="I23" s="5">
        <f t="shared" ref="I23:I27" si="16">$D$2*H23</f>
        <v>2.2500900000000001</v>
      </c>
      <c r="J23" s="19">
        <f t="shared" ref="J23:J27" si="17">I23*$D$4</f>
        <v>4.5001800000000003</v>
      </c>
      <c r="K23" s="25">
        <v>0.75430699999999995</v>
      </c>
      <c r="L23" s="5">
        <f t="shared" ref="L23:L27" si="18">$E$2*K23</f>
        <v>2.262921</v>
      </c>
      <c r="M23" s="19">
        <f t="shared" ref="M23:M27" si="19">L23*$E$4</f>
        <v>11.314605</v>
      </c>
      <c r="N23" s="25">
        <v>0.74741800000000003</v>
      </c>
      <c r="O23" s="5">
        <f t="shared" ref="O23:O27" si="20">$F$2*N23</f>
        <v>2.242254</v>
      </c>
      <c r="P23" s="19">
        <f t="shared" ref="P23:P27" si="21">O23*$F$4</f>
        <v>112.1127</v>
      </c>
    </row>
    <row r="24" spans="1:16" ht="15.75" customHeight="1" x14ac:dyDescent="0.25">
      <c r="A24" s="18">
        <v>2</v>
      </c>
      <c r="B24" s="25">
        <v>0.77037999999999995</v>
      </c>
      <c r="C24" s="5">
        <f t="shared" si="12"/>
        <v>2.31114</v>
      </c>
      <c r="D24" s="19">
        <f t="shared" si="13"/>
        <v>0.23111400000000001</v>
      </c>
      <c r="E24" s="25">
        <v>0.75876100000000002</v>
      </c>
      <c r="F24" s="5">
        <f t="shared" si="14"/>
        <v>2.2762830000000003</v>
      </c>
      <c r="G24" s="19">
        <f t="shared" si="15"/>
        <v>1.1381415000000001</v>
      </c>
      <c r="H24" s="24">
        <v>0.75303699999999996</v>
      </c>
      <c r="I24" s="5">
        <f t="shared" si="16"/>
        <v>2.2591109999999999</v>
      </c>
      <c r="J24" s="19">
        <f t="shared" si="17"/>
        <v>4.5182219999999997</v>
      </c>
      <c r="K24" s="25">
        <v>0.74902299999999999</v>
      </c>
      <c r="L24" s="5">
        <f t="shared" si="18"/>
        <v>2.2470689999999998</v>
      </c>
      <c r="M24" s="19">
        <f t="shared" si="19"/>
        <v>11.235344999999999</v>
      </c>
      <c r="N24" s="25">
        <v>0.75031999999999999</v>
      </c>
      <c r="O24" s="5">
        <f t="shared" si="20"/>
        <v>2.2509600000000001</v>
      </c>
      <c r="P24" s="19">
        <f t="shared" si="21"/>
        <v>112.548</v>
      </c>
    </row>
    <row r="25" spans="1:16" ht="15.75" customHeight="1" x14ac:dyDescent="0.25">
      <c r="A25" s="18">
        <v>3</v>
      </c>
      <c r="B25" s="25">
        <v>0.76926399999999995</v>
      </c>
      <c r="C25" s="5">
        <f t="shared" si="12"/>
        <v>2.3077920000000001</v>
      </c>
      <c r="D25" s="19">
        <f t="shared" si="13"/>
        <v>0.23077920000000002</v>
      </c>
      <c r="E25" s="25">
        <v>0.76531899999999997</v>
      </c>
      <c r="F25" s="5">
        <f t="shared" si="14"/>
        <v>2.295957</v>
      </c>
      <c r="G25" s="19">
        <f t="shared" si="15"/>
        <v>1.1479785</v>
      </c>
      <c r="H25" s="25">
        <v>0.75519400000000003</v>
      </c>
      <c r="I25" s="5">
        <f t="shared" si="16"/>
        <v>2.2655820000000002</v>
      </c>
      <c r="J25" s="19">
        <f t="shared" si="17"/>
        <v>4.5311640000000004</v>
      </c>
      <c r="K25" s="25">
        <v>0.74896399999999996</v>
      </c>
      <c r="L25" s="5">
        <f t="shared" si="18"/>
        <v>2.2468919999999999</v>
      </c>
      <c r="M25" s="19">
        <f t="shared" si="19"/>
        <v>11.234459999999999</v>
      </c>
      <c r="N25" s="24">
        <v>0.74901300000000004</v>
      </c>
      <c r="O25" s="5">
        <f t="shared" si="20"/>
        <v>2.247039</v>
      </c>
      <c r="P25" s="19">
        <f t="shared" si="21"/>
        <v>112.35195</v>
      </c>
    </row>
    <row r="26" spans="1:16" ht="15.75" customHeight="1" x14ac:dyDescent="0.25">
      <c r="A26" s="18">
        <v>4</v>
      </c>
      <c r="B26" s="25">
        <v>0.76321399999999995</v>
      </c>
      <c r="C26" s="5">
        <f t="shared" si="12"/>
        <v>2.2896419999999997</v>
      </c>
      <c r="D26" s="19">
        <f t="shared" si="13"/>
        <v>0.22896419999999998</v>
      </c>
      <c r="E26" s="25">
        <v>0.767513</v>
      </c>
      <c r="F26" s="5">
        <f t="shared" si="14"/>
        <v>2.3025389999999999</v>
      </c>
      <c r="G26" s="19">
        <f t="shared" si="15"/>
        <v>1.1512694999999999</v>
      </c>
      <c r="H26" s="25">
        <v>0.75792499999999996</v>
      </c>
      <c r="I26" s="5">
        <f t="shared" si="16"/>
        <v>2.2737749999999997</v>
      </c>
      <c r="J26" s="19">
        <f t="shared" si="17"/>
        <v>4.5475499999999993</v>
      </c>
      <c r="K26" s="25">
        <v>0.75223799999999996</v>
      </c>
      <c r="L26" s="5">
        <f t="shared" si="18"/>
        <v>2.2567139999999997</v>
      </c>
      <c r="M26" s="19">
        <f t="shared" si="19"/>
        <v>11.283569999999997</v>
      </c>
      <c r="N26" s="25">
        <v>0.74914800000000004</v>
      </c>
      <c r="O26" s="5">
        <f t="shared" si="20"/>
        <v>2.2474440000000002</v>
      </c>
      <c r="P26" s="19">
        <f t="shared" si="21"/>
        <v>112.37220000000001</v>
      </c>
    </row>
    <row r="27" spans="1:16" ht="15.75" customHeight="1" x14ac:dyDescent="0.25">
      <c r="A27" s="18">
        <v>5</v>
      </c>
      <c r="B27" s="25">
        <v>0.76438499999999998</v>
      </c>
      <c r="C27" s="5">
        <f t="shared" si="12"/>
        <v>2.2931550000000001</v>
      </c>
      <c r="D27" s="19">
        <f t="shared" si="13"/>
        <v>0.22931550000000001</v>
      </c>
      <c r="E27" s="25">
        <v>0.75421000000000005</v>
      </c>
      <c r="F27" s="5">
        <f t="shared" si="14"/>
        <v>2.2626300000000001</v>
      </c>
      <c r="G27" s="19">
        <f t="shared" si="15"/>
        <v>1.1313150000000001</v>
      </c>
      <c r="H27" s="25">
        <v>0.74885900000000005</v>
      </c>
      <c r="I27" s="5">
        <f t="shared" si="16"/>
        <v>2.2465770000000003</v>
      </c>
      <c r="J27" s="19">
        <f t="shared" si="17"/>
        <v>4.4931540000000005</v>
      </c>
      <c r="K27" s="24">
        <v>0.75077000000000005</v>
      </c>
      <c r="L27" s="5">
        <f t="shared" si="18"/>
        <v>2.25231</v>
      </c>
      <c r="M27" s="19">
        <f t="shared" si="19"/>
        <v>11.26155</v>
      </c>
      <c r="N27" s="25">
        <v>0.75131800000000004</v>
      </c>
      <c r="O27" s="5">
        <f t="shared" si="20"/>
        <v>2.2539540000000002</v>
      </c>
      <c r="P27" s="19">
        <f t="shared" si="21"/>
        <v>112.69770000000001</v>
      </c>
    </row>
    <row r="28" spans="1:16" ht="15.75" customHeight="1" x14ac:dyDescent="0.25">
      <c r="A28" s="14" t="s">
        <v>22</v>
      </c>
      <c r="B28" s="15">
        <f t="shared" ref="B28:P28" si="22">AVERAGE(B23:B27)</f>
        <v>0.76665260000000002</v>
      </c>
      <c r="C28" s="16">
        <f t="shared" si="22"/>
        <v>2.2999578000000001</v>
      </c>
      <c r="D28" s="20">
        <f t="shared" si="22"/>
        <v>0.22999577999999996</v>
      </c>
      <c r="E28" s="15">
        <f t="shared" si="22"/>
        <v>0.76122260000000008</v>
      </c>
      <c r="F28" s="16">
        <f t="shared" si="22"/>
        <v>2.2836677999999999</v>
      </c>
      <c r="G28" s="20">
        <f t="shared" si="22"/>
        <v>1.1418339</v>
      </c>
      <c r="H28" s="15">
        <f t="shared" si="22"/>
        <v>0.75300900000000004</v>
      </c>
      <c r="I28" s="16">
        <f t="shared" si="22"/>
        <v>2.2590270000000001</v>
      </c>
      <c r="J28" s="20">
        <f t="shared" si="22"/>
        <v>4.5180540000000002</v>
      </c>
      <c r="K28" s="15">
        <f t="shared" si="22"/>
        <v>0.75106040000000007</v>
      </c>
      <c r="L28" s="16">
        <f t="shared" si="22"/>
        <v>2.2531811999999998</v>
      </c>
      <c r="M28" s="20">
        <f t="shared" si="22"/>
        <v>11.265905999999998</v>
      </c>
      <c r="N28" s="15">
        <f t="shared" si="22"/>
        <v>0.74944339999999998</v>
      </c>
      <c r="O28" s="16">
        <f t="shared" si="22"/>
        <v>2.2483302000000003</v>
      </c>
      <c r="P28" s="20">
        <f t="shared" si="22"/>
        <v>112.41651000000002</v>
      </c>
    </row>
    <row r="29" spans="1:16" ht="15.75" customHeight="1" x14ac:dyDescent="0.25">
      <c r="A29" s="14" t="s">
        <v>23</v>
      </c>
      <c r="B29" s="15">
        <f>_xlfn.STDEV.P(B23:B27)</f>
        <v>2.7596769086253481E-3</v>
      </c>
      <c r="C29" s="15">
        <f t="shared" ref="C29:P29" si="23">_xlfn.STDEV.P(C23:C27)</f>
        <v>8.2790307258761298E-3</v>
      </c>
      <c r="D29" s="15">
        <f t="shared" si="23"/>
        <v>8.2790307258761772E-4</v>
      </c>
      <c r="E29" s="15">
        <f t="shared" si="23"/>
        <v>4.7416979490473438E-3</v>
      </c>
      <c r="F29" s="15">
        <f t="shared" si="23"/>
        <v>1.4225093847141998E-2</v>
      </c>
      <c r="G29" s="15">
        <f t="shared" si="23"/>
        <v>7.1125469235709992E-3</v>
      </c>
      <c r="H29" s="15">
        <f t="shared" si="23"/>
        <v>3.3178006570618273E-3</v>
      </c>
      <c r="I29" s="15">
        <f t="shared" si="23"/>
        <v>9.9534019711853619E-3</v>
      </c>
      <c r="J29" s="15">
        <f t="shared" si="23"/>
        <v>1.9906803942370724E-2</v>
      </c>
      <c r="K29" s="15">
        <f t="shared" si="23"/>
        <v>2.027677351059568E-3</v>
      </c>
      <c r="L29" s="15">
        <f t="shared" si="23"/>
        <v>6.0830320531787612E-3</v>
      </c>
      <c r="M29" s="15">
        <f t="shared" si="23"/>
        <v>3.0415160265894046E-2</v>
      </c>
      <c r="N29" s="15">
        <f t="shared" si="23"/>
        <v>1.3158497786601605E-3</v>
      </c>
      <c r="O29" s="15">
        <f t="shared" si="23"/>
        <v>3.9475493359805644E-3</v>
      </c>
      <c r="P29" s="15">
        <f t="shared" si="23"/>
        <v>0.19737746679902643</v>
      </c>
    </row>
    <row r="30" spans="1:16" ht="15.75" customHeight="1" x14ac:dyDescent="0.25"/>
    <row r="31" spans="1:16" ht="15.75" customHeight="1" x14ac:dyDescent="0.25"/>
    <row r="32" spans="1:16" ht="15.75" customHeight="1" x14ac:dyDescent="0.25"/>
    <row r="33" spans="1:16" ht="15.75" customHeight="1" x14ac:dyDescent="0.25">
      <c r="A33" s="21" t="s">
        <v>40</v>
      </c>
      <c r="B33" s="98" t="s">
        <v>25</v>
      </c>
      <c r="C33" s="99"/>
      <c r="D33" s="100"/>
      <c r="E33" s="98" t="s">
        <v>26</v>
      </c>
      <c r="F33" s="99"/>
      <c r="G33" s="100"/>
      <c r="H33" s="98" t="s">
        <v>27</v>
      </c>
      <c r="I33" s="99"/>
      <c r="J33" s="100"/>
      <c r="K33" s="98" t="s">
        <v>28</v>
      </c>
      <c r="L33" s="99"/>
      <c r="M33" s="100"/>
      <c r="N33" s="98" t="s">
        <v>29</v>
      </c>
      <c r="O33" s="99"/>
      <c r="P33" s="100"/>
    </row>
    <row r="34" spans="1:16" ht="15.75" customHeight="1" x14ac:dyDescent="0.25">
      <c r="A34" s="14" t="s">
        <v>38</v>
      </c>
      <c r="B34" s="15" t="s">
        <v>11</v>
      </c>
      <c r="C34" s="16" t="s">
        <v>14</v>
      </c>
      <c r="D34" s="17" t="s">
        <v>15</v>
      </c>
      <c r="E34" s="15" t="s">
        <v>11</v>
      </c>
      <c r="F34" s="16" t="s">
        <v>14</v>
      </c>
      <c r="G34" s="17" t="s">
        <v>15</v>
      </c>
      <c r="H34" s="15" t="s">
        <v>11</v>
      </c>
      <c r="I34" s="16" t="s">
        <v>14</v>
      </c>
      <c r="J34" s="17" t="s">
        <v>15</v>
      </c>
      <c r="K34" s="15" t="s">
        <v>11</v>
      </c>
      <c r="L34" s="16" t="s">
        <v>14</v>
      </c>
      <c r="M34" s="17" t="s">
        <v>15</v>
      </c>
      <c r="N34" s="15" t="s">
        <v>11</v>
      </c>
      <c r="O34" s="16" t="s">
        <v>14</v>
      </c>
      <c r="P34" s="17" t="s">
        <v>15</v>
      </c>
    </row>
    <row r="35" spans="1:16" ht="15.75" customHeight="1" x14ac:dyDescent="0.25">
      <c r="A35" s="18">
        <v>1</v>
      </c>
      <c r="B35" s="25">
        <v>0.61622299999999997</v>
      </c>
      <c r="C35" s="5">
        <f t="shared" ref="C35:C39" si="24">$B$2*B35</f>
        <v>1.8486689999999999</v>
      </c>
      <c r="D35" s="19">
        <f t="shared" ref="D35:D39" si="25">C35*$B$5</f>
        <v>1.4789352</v>
      </c>
      <c r="E35" s="25">
        <v>0.61704499999999995</v>
      </c>
      <c r="F35" s="5">
        <f t="shared" ref="F35:F39" si="26">$C$2*E35</f>
        <v>1.8511349999999998</v>
      </c>
      <c r="G35" s="19">
        <f t="shared" ref="G35:G39" si="27">F35*$C$5</f>
        <v>7.404539999999999</v>
      </c>
      <c r="H35" s="25">
        <v>0.61024</v>
      </c>
      <c r="I35" s="5">
        <f t="shared" ref="I35:I39" si="28">$D$2*H35</f>
        <v>1.8307199999999999</v>
      </c>
      <c r="J35" s="19">
        <f t="shared" ref="J35:J39" si="29">I35*$D$5</f>
        <v>29.291519999999998</v>
      </c>
      <c r="K35" s="24">
        <v>0.61412699999999998</v>
      </c>
      <c r="L35" s="5">
        <f t="shared" ref="L35:L39" si="30">$E$2*K35</f>
        <v>1.842381</v>
      </c>
      <c r="M35" s="19">
        <f t="shared" ref="M35:M39" si="31">L35*$E$5</f>
        <v>73.695239999999998</v>
      </c>
      <c r="N35" s="24">
        <v>0.61397500000000005</v>
      </c>
      <c r="O35" s="5">
        <f t="shared" ref="O35:O39" si="32">$F$2*N35</f>
        <v>1.8419250000000003</v>
      </c>
      <c r="P35" s="19">
        <f t="shared" ref="P35:P39" si="33">O35*$F$5</f>
        <v>736.7700000000001</v>
      </c>
    </row>
    <row r="36" spans="1:16" ht="15.75" customHeight="1" x14ac:dyDescent="0.25">
      <c r="A36" s="18">
        <v>2</v>
      </c>
      <c r="B36" s="25">
        <v>0.61317999999999995</v>
      </c>
      <c r="C36" s="5">
        <f t="shared" si="24"/>
        <v>1.83954</v>
      </c>
      <c r="D36" s="19">
        <f t="shared" si="25"/>
        <v>1.4716320000000001</v>
      </c>
      <c r="E36" s="24">
        <v>0.614734</v>
      </c>
      <c r="F36" s="5">
        <f t="shared" si="26"/>
        <v>1.8442020000000001</v>
      </c>
      <c r="G36" s="19">
        <f t="shared" si="27"/>
        <v>7.3768080000000005</v>
      </c>
      <c r="H36" s="25">
        <v>0.61531899999999995</v>
      </c>
      <c r="I36" s="5">
        <f t="shared" si="28"/>
        <v>1.8459569999999998</v>
      </c>
      <c r="J36" s="19">
        <f t="shared" si="29"/>
        <v>29.535311999999998</v>
      </c>
      <c r="K36" s="25">
        <v>0.61302500000000004</v>
      </c>
      <c r="L36" s="5">
        <f t="shared" si="30"/>
        <v>1.8390750000000002</v>
      </c>
      <c r="M36" s="19">
        <f t="shared" si="31"/>
        <v>73.563000000000017</v>
      </c>
      <c r="N36" s="25">
        <v>0.61329400000000001</v>
      </c>
      <c r="O36" s="5">
        <f t="shared" si="32"/>
        <v>1.839882</v>
      </c>
      <c r="P36" s="19">
        <f t="shared" si="33"/>
        <v>735.95280000000002</v>
      </c>
    </row>
    <row r="37" spans="1:16" ht="15.75" customHeight="1" x14ac:dyDescent="0.25">
      <c r="A37" s="18">
        <v>3</v>
      </c>
      <c r="B37" s="24">
        <v>0.61398200000000003</v>
      </c>
      <c r="C37" s="5">
        <f t="shared" si="24"/>
        <v>1.8419460000000001</v>
      </c>
      <c r="D37" s="19">
        <f t="shared" si="25"/>
        <v>1.4735568000000001</v>
      </c>
      <c r="E37" s="25">
        <v>0.61593500000000001</v>
      </c>
      <c r="F37" s="5">
        <f t="shared" si="26"/>
        <v>1.8478050000000001</v>
      </c>
      <c r="G37" s="19">
        <f t="shared" si="27"/>
        <v>7.3912200000000006</v>
      </c>
      <c r="H37" s="24">
        <v>0.61409499999999995</v>
      </c>
      <c r="I37" s="5">
        <f t="shared" si="28"/>
        <v>1.842285</v>
      </c>
      <c r="J37" s="19">
        <f t="shared" si="29"/>
        <v>29.476559999999999</v>
      </c>
      <c r="K37" s="25">
        <v>0.61600200000000005</v>
      </c>
      <c r="L37" s="5">
        <f t="shared" si="30"/>
        <v>1.8480060000000003</v>
      </c>
      <c r="M37" s="19">
        <f t="shared" si="31"/>
        <v>73.920240000000007</v>
      </c>
      <c r="N37" s="25">
        <v>0.61409499999999995</v>
      </c>
      <c r="O37" s="5">
        <f t="shared" si="32"/>
        <v>1.842285</v>
      </c>
      <c r="P37" s="19">
        <f t="shared" si="33"/>
        <v>736.91399999999999</v>
      </c>
    </row>
    <row r="38" spans="1:16" ht="15.75" customHeight="1" x14ac:dyDescent="0.25">
      <c r="A38" s="18">
        <v>4</v>
      </c>
      <c r="B38" s="25">
        <v>0.61365800000000004</v>
      </c>
      <c r="C38" s="5">
        <f t="shared" si="24"/>
        <v>1.8409740000000001</v>
      </c>
      <c r="D38" s="19">
        <f t="shared" si="25"/>
        <v>1.4727792000000002</v>
      </c>
      <c r="E38" s="25">
        <v>0.61323000000000005</v>
      </c>
      <c r="F38" s="5">
        <f t="shared" si="26"/>
        <v>1.83969</v>
      </c>
      <c r="G38" s="19">
        <f t="shared" si="27"/>
        <v>7.3587600000000002</v>
      </c>
      <c r="H38" s="25">
        <v>0.61792400000000003</v>
      </c>
      <c r="I38" s="5">
        <f t="shared" si="28"/>
        <v>1.8537720000000002</v>
      </c>
      <c r="J38" s="19">
        <f t="shared" si="29"/>
        <v>29.660352000000003</v>
      </c>
      <c r="K38" s="25">
        <v>0.61402800000000002</v>
      </c>
      <c r="L38" s="5">
        <f t="shared" si="30"/>
        <v>1.8420840000000001</v>
      </c>
      <c r="M38" s="19">
        <f t="shared" si="31"/>
        <v>73.683360000000008</v>
      </c>
      <c r="N38" s="25">
        <v>0.614371</v>
      </c>
      <c r="O38" s="5">
        <f t="shared" si="32"/>
        <v>1.843113</v>
      </c>
      <c r="P38" s="19">
        <f t="shared" si="33"/>
        <v>737.24519999999995</v>
      </c>
    </row>
    <row r="39" spans="1:16" ht="15.75" customHeight="1" x14ac:dyDescent="0.25">
      <c r="A39" s="18">
        <v>5</v>
      </c>
      <c r="B39" s="25">
        <v>0.61718600000000001</v>
      </c>
      <c r="C39" s="5">
        <f t="shared" si="24"/>
        <v>1.851558</v>
      </c>
      <c r="D39" s="19">
        <f t="shared" si="25"/>
        <v>1.4812464000000001</v>
      </c>
      <c r="E39" s="25">
        <v>0.61312900000000004</v>
      </c>
      <c r="F39" s="5">
        <f t="shared" si="26"/>
        <v>1.8393870000000001</v>
      </c>
      <c r="G39" s="19">
        <f t="shared" si="27"/>
        <v>7.3575480000000004</v>
      </c>
      <c r="H39" s="25">
        <v>0.61534</v>
      </c>
      <c r="I39" s="5">
        <f t="shared" si="28"/>
        <v>1.84602</v>
      </c>
      <c r="J39" s="19">
        <f t="shared" si="29"/>
        <v>29.53632</v>
      </c>
      <c r="K39" s="6">
        <v>0.61348000000000003</v>
      </c>
      <c r="L39" s="5">
        <f t="shared" si="30"/>
        <v>1.8404400000000001</v>
      </c>
      <c r="M39" s="19">
        <f t="shared" si="31"/>
        <v>73.61760000000001</v>
      </c>
      <c r="N39" s="25">
        <v>0.613008</v>
      </c>
      <c r="O39" s="5">
        <f t="shared" si="32"/>
        <v>1.839024</v>
      </c>
      <c r="P39" s="19">
        <f t="shared" si="33"/>
        <v>735.6096</v>
      </c>
    </row>
    <row r="40" spans="1:16" ht="15.75" customHeight="1" x14ac:dyDescent="0.25">
      <c r="A40" s="14" t="s">
        <v>22</v>
      </c>
      <c r="B40" s="15">
        <f t="shared" ref="B40:P40" si="34">AVERAGE(B35:B39)</f>
        <v>0.6148458</v>
      </c>
      <c r="C40" s="16">
        <f t="shared" si="34"/>
        <v>1.8445374000000001</v>
      </c>
      <c r="D40" s="20">
        <f t="shared" si="34"/>
        <v>1.47562992</v>
      </c>
      <c r="E40" s="15">
        <f t="shared" si="34"/>
        <v>0.6148146000000001</v>
      </c>
      <c r="F40" s="16">
        <f t="shared" si="34"/>
        <v>1.8444437999999999</v>
      </c>
      <c r="G40" s="20">
        <f t="shared" si="34"/>
        <v>7.3777751999999994</v>
      </c>
      <c r="H40" s="15">
        <f t="shared" si="34"/>
        <v>0.6145835999999999</v>
      </c>
      <c r="I40" s="16">
        <f t="shared" si="34"/>
        <v>1.8437508</v>
      </c>
      <c r="J40" s="20">
        <f t="shared" si="34"/>
        <v>29.5000128</v>
      </c>
      <c r="K40" s="15">
        <f t="shared" si="34"/>
        <v>0.61413240000000013</v>
      </c>
      <c r="L40" s="16">
        <f t="shared" si="34"/>
        <v>1.8423972</v>
      </c>
      <c r="M40" s="20">
        <f t="shared" si="34"/>
        <v>73.695888000000011</v>
      </c>
      <c r="N40" s="15">
        <f t="shared" si="34"/>
        <v>0.61374859999999987</v>
      </c>
      <c r="O40" s="16">
        <f t="shared" si="34"/>
        <v>1.8412457999999998</v>
      </c>
      <c r="P40" s="20">
        <f t="shared" si="34"/>
        <v>736.49832000000004</v>
      </c>
    </row>
    <row r="41" spans="1:16" ht="15.75" customHeight="1" x14ac:dyDescent="0.25">
      <c r="A41" s="14" t="s">
        <v>23</v>
      </c>
      <c r="B41" s="15">
        <f>_xlfn.STDEV.P(B35:B39)</f>
        <v>1.5687654254221695E-3</v>
      </c>
      <c r="C41" s="15">
        <f t="shared" ref="C41:P41" si="35">_xlfn.STDEV.P(C35:C39)</f>
        <v>4.706296276266485E-3</v>
      </c>
      <c r="D41" s="15">
        <f t="shared" si="35"/>
        <v>3.7650370210131796E-3</v>
      </c>
      <c r="E41" s="15">
        <f t="shared" si="35"/>
        <v>1.5224113241827607E-3</v>
      </c>
      <c r="F41" s="15">
        <f t="shared" si="35"/>
        <v>4.5672339725482871E-3</v>
      </c>
      <c r="G41" s="15">
        <f t="shared" si="35"/>
        <v>1.8268935890193148E-2</v>
      </c>
      <c r="H41" s="15">
        <f t="shared" si="35"/>
        <v>2.5050675519833845E-3</v>
      </c>
      <c r="I41" s="15">
        <f t="shared" si="35"/>
        <v>7.5152026559502155E-3</v>
      </c>
      <c r="J41" s="15">
        <f t="shared" si="35"/>
        <v>0.12024324249520345</v>
      </c>
      <c r="K41" s="15">
        <f t="shared" si="35"/>
        <v>1.0157059810791758E-3</v>
      </c>
      <c r="L41" s="15">
        <f t="shared" si="35"/>
        <v>3.0471179432375439E-3</v>
      </c>
      <c r="M41" s="15">
        <f t="shared" si="35"/>
        <v>0.12188471772949787</v>
      </c>
      <c r="N41" s="15">
        <f t="shared" si="35"/>
        <v>5.1259754193713877E-4</v>
      </c>
      <c r="O41" s="15">
        <f t="shared" si="35"/>
        <v>1.5377926258114414E-3</v>
      </c>
      <c r="P41" s="15">
        <f t="shared" si="35"/>
        <v>0.61511705032456143</v>
      </c>
    </row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>
      <c r="A45" s="21" t="s">
        <v>41</v>
      </c>
      <c r="B45" s="98" t="s">
        <v>25</v>
      </c>
      <c r="C45" s="99"/>
      <c r="D45" s="100"/>
      <c r="E45" s="98" t="s">
        <v>26</v>
      </c>
      <c r="F45" s="99"/>
      <c r="G45" s="100"/>
      <c r="H45" s="98" t="s">
        <v>27</v>
      </c>
      <c r="I45" s="99"/>
      <c r="J45" s="100"/>
      <c r="K45" s="98" t="s">
        <v>28</v>
      </c>
      <c r="L45" s="99"/>
      <c r="M45" s="100"/>
      <c r="N45" s="98" t="s">
        <v>29</v>
      </c>
      <c r="O45" s="99"/>
      <c r="P45" s="100"/>
    </row>
    <row r="46" spans="1:16" ht="15.75" customHeight="1" x14ac:dyDescent="0.25">
      <c r="A46" s="14" t="s">
        <v>38</v>
      </c>
      <c r="B46" s="15" t="s">
        <v>11</v>
      </c>
      <c r="C46" s="16" t="s">
        <v>14</v>
      </c>
      <c r="D46" s="17" t="s">
        <v>15</v>
      </c>
      <c r="E46" s="15" t="s">
        <v>11</v>
      </c>
      <c r="F46" s="16" t="s">
        <v>14</v>
      </c>
      <c r="G46" s="17" t="s">
        <v>15</v>
      </c>
      <c r="H46" s="15" t="s">
        <v>11</v>
      </c>
      <c r="I46" s="16" t="s">
        <v>14</v>
      </c>
      <c r="J46" s="17" t="s">
        <v>15</v>
      </c>
      <c r="K46" s="15" t="s">
        <v>11</v>
      </c>
      <c r="L46" s="16" t="s">
        <v>14</v>
      </c>
      <c r="M46" s="17" t="s">
        <v>15</v>
      </c>
      <c r="N46" s="15" t="s">
        <v>11</v>
      </c>
      <c r="O46" s="16" t="s">
        <v>14</v>
      </c>
      <c r="P46" s="17" t="s">
        <v>15</v>
      </c>
    </row>
    <row r="47" spans="1:16" ht="15.75" customHeight="1" x14ac:dyDescent="0.25">
      <c r="A47" s="18">
        <v>1</v>
      </c>
      <c r="B47" s="24">
        <v>0.60215099999999999</v>
      </c>
      <c r="C47" s="5">
        <f t="shared" ref="C47:C51" si="36">$B$2*B47</f>
        <v>1.8064529999999999</v>
      </c>
      <c r="D47" s="19">
        <f t="shared" ref="D47:D51" si="37">C47*$B$6</f>
        <v>3.6129059999999997</v>
      </c>
      <c r="E47" s="24">
        <v>0.60222100000000001</v>
      </c>
      <c r="F47" s="5">
        <f t="shared" ref="F47:F51" si="38">$C$2*E47</f>
        <v>1.8066629999999999</v>
      </c>
      <c r="G47" s="19">
        <f t="shared" ref="G47:G51" si="39">F47*$C$6</f>
        <v>18.06663</v>
      </c>
      <c r="H47" s="24">
        <v>0.60248000000000002</v>
      </c>
      <c r="I47" s="5">
        <f t="shared" ref="I47:I51" si="40">$D$2*H47</f>
        <v>1.8074400000000002</v>
      </c>
      <c r="J47" s="19">
        <f t="shared" ref="J47:J51" si="41">I47*$D$6</f>
        <v>72.297600000000003</v>
      </c>
      <c r="K47" s="25">
        <v>0.602294</v>
      </c>
      <c r="L47" s="5">
        <f t="shared" ref="L47:L51" si="42">$E$2*K47</f>
        <v>1.8068819999999999</v>
      </c>
      <c r="M47" s="19">
        <f t="shared" ref="M47:M51" si="43">L47*$E$6</f>
        <v>180.68819999999999</v>
      </c>
      <c r="N47" s="24"/>
      <c r="P47" s="19"/>
    </row>
    <row r="48" spans="1:16" ht="15.75" customHeight="1" x14ac:dyDescent="0.25">
      <c r="A48" s="18">
        <v>2</v>
      </c>
      <c r="B48" s="25">
        <v>0.60206800000000005</v>
      </c>
      <c r="C48" s="5">
        <f t="shared" si="36"/>
        <v>1.8062040000000001</v>
      </c>
      <c r="D48" s="19">
        <f t="shared" si="37"/>
        <v>3.6124080000000003</v>
      </c>
      <c r="E48" s="25">
        <v>0.60186300000000004</v>
      </c>
      <c r="F48" s="5">
        <f t="shared" si="38"/>
        <v>1.8055890000000001</v>
      </c>
      <c r="G48" s="19">
        <f t="shared" si="39"/>
        <v>18.055890000000002</v>
      </c>
      <c r="H48" s="25">
        <v>0.60208600000000001</v>
      </c>
      <c r="I48" s="5">
        <f t="shared" si="40"/>
        <v>1.8062580000000001</v>
      </c>
      <c r="J48" s="19">
        <f t="shared" si="41"/>
        <v>72.250320000000002</v>
      </c>
      <c r="K48" s="25">
        <v>0.60231400000000002</v>
      </c>
      <c r="L48" s="5">
        <f t="shared" si="42"/>
        <v>1.806942</v>
      </c>
      <c r="M48" s="19">
        <f t="shared" si="43"/>
        <v>180.6942</v>
      </c>
      <c r="N48" s="25"/>
      <c r="P48" s="19"/>
    </row>
    <row r="49" spans="1:16" ht="15.75" customHeight="1" x14ac:dyDescent="0.25">
      <c r="A49" s="18">
        <v>3</v>
      </c>
      <c r="B49" s="25">
        <v>0.60193399999999997</v>
      </c>
      <c r="C49" s="5">
        <f t="shared" si="36"/>
        <v>1.8058019999999999</v>
      </c>
      <c r="D49" s="19">
        <f t="shared" si="37"/>
        <v>3.6116039999999998</v>
      </c>
      <c r="E49" s="25">
        <v>0.60246100000000002</v>
      </c>
      <c r="F49" s="5">
        <f t="shared" si="38"/>
        <v>1.8073830000000002</v>
      </c>
      <c r="G49" s="19">
        <f t="shared" si="39"/>
        <v>18.073830000000001</v>
      </c>
      <c r="H49" s="25">
        <v>0.60239600000000004</v>
      </c>
      <c r="I49" s="5">
        <f t="shared" si="40"/>
        <v>1.807188</v>
      </c>
      <c r="J49" s="19">
        <f t="shared" si="41"/>
        <v>72.287520000000001</v>
      </c>
      <c r="K49" s="25">
        <v>0.60212699999999997</v>
      </c>
      <c r="L49" s="5">
        <f t="shared" si="42"/>
        <v>1.806381</v>
      </c>
      <c r="M49" s="19">
        <f t="shared" si="43"/>
        <v>180.63810000000001</v>
      </c>
      <c r="N49" s="25"/>
      <c r="P49" s="19"/>
    </row>
    <row r="50" spans="1:16" ht="15.75" customHeight="1" x14ac:dyDescent="0.25">
      <c r="A50" s="18">
        <v>4</v>
      </c>
      <c r="B50" s="25">
        <v>0.60294999999999999</v>
      </c>
      <c r="C50" s="5">
        <f t="shared" si="36"/>
        <v>1.8088500000000001</v>
      </c>
      <c r="D50" s="19">
        <f t="shared" si="37"/>
        <v>3.6177000000000001</v>
      </c>
      <c r="E50" s="25">
        <v>0.60212299999999996</v>
      </c>
      <c r="F50" s="5">
        <f t="shared" si="38"/>
        <v>1.8063689999999999</v>
      </c>
      <c r="G50" s="19">
        <f t="shared" si="39"/>
        <v>18.063689999999998</v>
      </c>
      <c r="H50" s="25">
        <v>0.60218899999999997</v>
      </c>
      <c r="I50" s="5">
        <f t="shared" si="40"/>
        <v>1.8065669999999998</v>
      </c>
      <c r="J50" s="19">
        <f t="shared" si="41"/>
        <v>72.262679999999989</v>
      </c>
      <c r="K50" s="25">
        <v>0.60198399999999996</v>
      </c>
      <c r="L50" s="5">
        <f t="shared" si="42"/>
        <v>1.805952</v>
      </c>
      <c r="M50" s="19">
        <f t="shared" si="43"/>
        <v>180.59520000000001</v>
      </c>
      <c r="N50" s="25"/>
      <c r="P50" s="19"/>
    </row>
    <row r="51" spans="1:16" ht="15.75" customHeight="1" x14ac:dyDescent="0.25">
      <c r="A51" s="18">
        <v>5</v>
      </c>
      <c r="B51" s="25">
        <v>0.60169099999999998</v>
      </c>
      <c r="C51" s="5">
        <f t="shared" si="36"/>
        <v>1.8050729999999999</v>
      </c>
      <c r="D51" s="19">
        <f t="shared" si="37"/>
        <v>3.6101459999999999</v>
      </c>
      <c r="E51" s="25">
        <v>0.60222699999999996</v>
      </c>
      <c r="F51" s="5">
        <f t="shared" si="38"/>
        <v>1.8066809999999998</v>
      </c>
      <c r="G51" s="19">
        <f t="shared" si="39"/>
        <v>18.066809999999997</v>
      </c>
      <c r="H51" s="25">
        <v>0.60225099999999998</v>
      </c>
      <c r="I51" s="5">
        <f t="shared" si="40"/>
        <v>1.8067530000000001</v>
      </c>
      <c r="J51" s="19">
        <f t="shared" si="41"/>
        <v>72.270120000000006</v>
      </c>
      <c r="K51" s="6">
        <v>0.60208099999999998</v>
      </c>
      <c r="L51" s="5">
        <f t="shared" si="42"/>
        <v>1.8062429999999998</v>
      </c>
      <c r="M51" s="19">
        <f t="shared" si="43"/>
        <v>180.62429999999998</v>
      </c>
      <c r="N51" s="25"/>
      <c r="P51" s="19"/>
    </row>
    <row r="52" spans="1:16" ht="15.75" customHeight="1" x14ac:dyDescent="0.25">
      <c r="A52" s="14" t="s">
        <v>22</v>
      </c>
      <c r="B52" s="15">
        <f t="shared" ref="B52:M52" si="44">AVERAGE(B47:B51)</f>
        <v>0.60215879999999999</v>
      </c>
      <c r="C52" s="16">
        <f t="shared" si="44"/>
        <v>1.8064764</v>
      </c>
      <c r="D52" s="20">
        <f t="shared" si="44"/>
        <v>3.6129528</v>
      </c>
      <c r="E52" s="15">
        <f t="shared" si="44"/>
        <v>0.60217899999999991</v>
      </c>
      <c r="F52" s="16">
        <f t="shared" si="44"/>
        <v>1.8065369999999998</v>
      </c>
      <c r="G52" s="20">
        <f t="shared" si="44"/>
        <v>18.065370000000001</v>
      </c>
      <c r="H52" s="15">
        <f t="shared" si="44"/>
        <v>0.60228039999999994</v>
      </c>
      <c r="I52" s="16">
        <f t="shared" si="44"/>
        <v>1.8068412000000003</v>
      </c>
      <c r="J52" s="20">
        <f t="shared" si="44"/>
        <v>72.273648000000009</v>
      </c>
      <c r="K52" s="15">
        <f t="shared" si="44"/>
        <v>0.60215999999999992</v>
      </c>
      <c r="L52" s="16">
        <f t="shared" si="44"/>
        <v>1.8064800000000001</v>
      </c>
      <c r="M52" s="20">
        <f t="shared" si="44"/>
        <v>180.64799999999997</v>
      </c>
      <c r="N52" s="15"/>
      <c r="O52" s="16"/>
      <c r="P52" s="20"/>
    </row>
    <row r="53" spans="1:16" ht="15.75" customHeight="1" x14ac:dyDescent="0.25">
      <c r="A53" s="14" t="s">
        <v>23</v>
      </c>
      <c r="B53" s="15">
        <f>_xlfn.STDEV.P(B47:B51)</f>
        <v>4.2512934502337191E-4</v>
      </c>
      <c r="C53" s="15">
        <f t="shared" ref="C53:M53" si="45">_xlfn.STDEV.P(C47:C51)</f>
        <v>1.2753880350701574E-3</v>
      </c>
      <c r="D53" s="15">
        <f t="shared" si="45"/>
        <v>2.5507760701403148E-3</v>
      </c>
      <c r="E53" s="15">
        <f t="shared" si="45"/>
        <v>1.931755678133189E-4</v>
      </c>
      <c r="F53" s="15">
        <f t="shared" si="45"/>
        <v>5.7952670343997881E-4</v>
      </c>
      <c r="G53" s="15">
        <f t="shared" si="45"/>
        <v>5.7952670343994544E-3</v>
      </c>
      <c r="H53" s="15">
        <f t="shared" si="45"/>
        <v>1.4157203113610961E-4</v>
      </c>
      <c r="I53" s="15">
        <f t="shared" si="45"/>
        <v>4.2471609340832123E-4</v>
      </c>
      <c r="J53" s="15">
        <f t="shared" si="45"/>
        <v>1.6988643736333135E-2</v>
      </c>
      <c r="K53" s="15">
        <f t="shared" si="45"/>
        <v>1.264737126837213E-4</v>
      </c>
      <c r="L53" s="15">
        <f t="shared" si="45"/>
        <v>3.7942113805111753E-4</v>
      </c>
      <c r="M53" s="15">
        <f t="shared" si="45"/>
        <v>3.7942113805109687E-2</v>
      </c>
      <c r="N53" s="15"/>
      <c r="O53" s="16"/>
      <c r="P53" s="20"/>
    </row>
    <row r="54" spans="1:16" ht="15.75" customHeight="1" x14ac:dyDescent="0.25"/>
    <row r="55" spans="1:16" ht="15.75" customHeight="1" x14ac:dyDescent="0.25"/>
    <row r="56" spans="1:16" ht="15.75" customHeight="1" x14ac:dyDescent="0.25">
      <c r="A56" s="21" t="s">
        <v>42</v>
      </c>
      <c r="B56" s="98" t="s">
        <v>25</v>
      </c>
      <c r="C56" s="99"/>
      <c r="D56" s="100"/>
      <c r="E56" s="98" t="s">
        <v>26</v>
      </c>
      <c r="F56" s="99"/>
      <c r="G56" s="100"/>
      <c r="H56" s="98" t="s">
        <v>27</v>
      </c>
      <c r="I56" s="99"/>
      <c r="J56" s="100"/>
      <c r="K56" s="98" t="s">
        <v>28</v>
      </c>
      <c r="L56" s="99"/>
      <c r="M56" s="100"/>
      <c r="N56" s="98" t="s">
        <v>29</v>
      </c>
      <c r="O56" s="99"/>
      <c r="P56" s="100"/>
    </row>
    <row r="57" spans="1:16" ht="15.75" customHeight="1" x14ac:dyDescent="0.25">
      <c r="A57" s="14" t="s">
        <v>38</v>
      </c>
      <c r="B57" s="22" t="s">
        <v>11</v>
      </c>
      <c r="C57" s="16" t="s">
        <v>14</v>
      </c>
      <c r="D57" s="17" t="s">
        <v>15</v>
      </c>
      <c r="E57" s="22" t="s">
        <v>11</v>
      </c>
      <c r="F57" s="16" t="s">
        <v>14</v>
      </c>
      <c r="G57" s="17" t="s">
        <v>15</v>
      </c>
      <c r="H57" s="22" t="s">
        <v>11</v>
      </c>
      <c r="I57" s="16" t="s">
        <v>14</v>
      </c>
      <c r="J57" s="17" t="s">
        <v>15</v>
      </c>
      <c r="K57" s="22" t="s">
        <v>11</v>
      </c>
      <c r="L57" s="16" t="s">
        <v>14</v>
      </c>
      <c r="M57" s="17" t="s">
        <v>15</v>
      </c>
      <c r="N57" s="15" t="s">
        <v>11</v>
      </c>
      <c r="O57" s="16" t="s">
        <v>14</v>
      </c>
      <c r="P57" s="17" t="s">
        <v>15</v>
      </c>
    </row>
    <row r="58" spans="1:16" ht="15.75" customHeight="1" x14ac:dyDescent="0.25">
      <c r="A58" s="23">
        <v>1</v>
      </c>
      <c r="B58" s="22">
        <v>0.59740300000000002</v>
      </c>
      <c r="C58" s="5">
        <f t="shared" ref="C58:C62" si="46">$B$2*B58</f>
        <v>1.7922090000000002</v>
      </c>
      <c r="D58" s="5">
        <f t="shared" ref="D58:D62" si="47">C58*$B$7</f>
        <v>14.337672000000001</v>
      </c>
      <c r="E58" s="22">
        <v>0.59721500000000005</v>
      </c>
      <c r="F58" s="5">
        <f t="shared" ref="F58:F62" si="48">$C$2*E58</f>
        <v>1.7916450000000002</v>
      </c>
      <c r="G58" s="5">
        <f t="shared" ref="G58:G62" si="49">F58*$C$7</f>
        <v>71.665800000000004</v>
      </c>
      <c r="H58" s="27">
        <v>0.59759399999999996</v>
      </c>
      <c r="I58" s="5">
        <f t="shared" ref="I58:I62" si="50">$D$2*H58</f>
        <v>1.7927819999999999</v>
      </c>
      <c r="J58" s="5">
        <f t="shared" ref="J58:J62" si="51">I58*$D$7</f>
        <v>286.84511999999995</v>
      </c>
      <c r="K58" s="27">
        <v>0.597356</v>
      </c>
      <c r="L58" s="5">
        <f t="shared" ref="L58:L62" si="52">$E$2*K58</f>
        <v>1.792068</v>
      </c>
      <c r="M58" s="19">
        <f t="shared" ref="M58:M62" si="53">L58*$E$7</f>
        <v>716.82719999999995</v>
      </c>
      <c r="N58" s="25"/>
      <c r="P58" s="19"/>
    </row>
    <row r="59" spans="1:16" ht="15.75" customHeight="1" x14ac:dyDescent="0.25">
      <c r="A59" s="18">
        <v>2</v>
      </c>
      <c r="B59" s="48">
        <v>0.59707900000000003</v>
      </c>
      <c r="C59" s="5">
        <f t="shared" si="46"/>
        <v>1.7912370000000002</v>
      </c>
      <c r="D59" s="19">
        <f t="shared" si="47"/>
        <v>14.329896000000002</v>
      </c>
      <c r="E59" s="48">
        <v>0.59716499999999995</v>
      </c>
      <c r="F59" s="5">
        <f t="shared" si="48"/>
        <v>1.7914949999999998</v>
      </c>
      <c r="G59" s="19">
        <f t="shared" si="49"/>
        <v>71.65979999999999</v>
      </c>
      <c r="H59" s="25">
        <v>0.59765199999999996</v>
      </c>
      <c r="I59" s="5">
        <f t="shared" si="50"/>
        <v>1.7929559999999998</v>
      </c>
      <c r="J59" s="19">
        <f t="shared" si="51"/>
        <v>286.87295999999998</v>
      </c>
      <c r="K59" s="25">
        <v>0.59740700000000002</v>
      </c>
      <c r="L59" s="5">
        <f t="shared" si="52"/>
        <v>1.7922210000000001</v>
      </c>
      <c r="M59" s="19">
        <f t="shared" si="53"/>
        <v>716.88840000000005</v>
      </c>
      <c r="N59" s="25"/>
      <c r="P59" s="19"/>
    </row>
    <row r="60" spans="1:16" ht="15.75" customHeight="1" x14ac:dyDescent="0.25">
      <c r="A60" s="18">
        <v>3</v>
      </c>
      <c r="B60" s="48">
        <v>0.59778100000000001</v>
      </c>
      <c r="C60" s="5">
        <f t="shared" si="46"/>
        <v>1.7933430000000001</v>
      </c>
      <c r="D60" s="19">
        <f t="shared" si="47"/>
        <v>14.346744000000001</v>
      </c>
      <c r="E60" s="48">
        <v>0.59737899999999999</v>
      </c>
      <c r="F60" s="5">
        <f t="shared" si="48"/>
        <v>1.7921369999999999</v>
      </c>
      <c r="G60" s="19">
        <f t="shared" si="49"/>
        <v>71.685479999999998</v>
      </c>
      <c r="H60" s="25">
        <v>0.59712399999999999</v>
      </c>
      <c r="I60" s="5">
        <f t="shared" si="50"/>
        <v>1.791372</v>
      </c>
      <c r="J60" s="19">
        <f t="shared" si="51"/>
        <v>286.61951999999997</v>
      </c>
      <c r="K60" s="25">
        <v>0.59728199999999998</v>
      </c>
      <c r="L60" s="5">
        <f t="shared" si="52"/>
        <v>1.791846</v>
      </c>
      <c r="M60" s="19">
        <f t="shared" si="53"/>
        <v>716.73840000000007</v>
      </c>
      <c r="N60" s="25"/>
      <c r="P60" s="19"/>
    </row>
    <row r="61" spans="1:16" ht="15.75" customHeight="1" x14ac:dyDescent="0.25">
      <c r="A61" s="18">
        <v>4</v>
      </c>
      <c r="B61" s="48">
        <v>0.597306</v>
      </c>
      <c r="C61" s="5">
        <f t="shared" si="46"/>
        <v>1.7919179999999999</v>
      </c>
      <c r="D61" s="19">
        <f t="shared" si="47"/>
        <v>14.335343999999999</v>
      </c>
      <c r="E61" s="48">
        <v>0.59706300000000001</v>
      </c>
      <c r="F61" s="5">
        <f t="shared" si="48"/>
        <v>1.7911890000000001</v>
      </c>
      <c r="G61" s="19">
        <f t="shared" si="49"/>
        <v>71.647559999999999</v>
      </c>
      <c r="H61" s="25">
        <v>0.59754600000000002</v>
      </c>
      <c r="I61" s="5">
        <f t="shared" si="50"/>
        <v>1.7926380000000002</v>
      </c>
      <c r="J61" s="19">
        <f t="shared" si="51"/>
        <v>286.82208000000003</v>
      </c>
      <c r="K61" s="25">
        <v>0.59732200000000002</v>
      </c>
      <c r="L61" s="5">
        <f t="shared" si="52"/>
        <v>1.7919659999999999</v>
      </c>
      <c r="M61" s="19">
        <f t="shared" si="53"/>
        <v>716.78639999999996</v>
      </c>
      <c r="N61" s="25"/>
      <c r="P61" s="19"/>
    </row>
    <row r="62" spans="1:16" ht="15.75" customHeight="1" x14ac:dyDescent="0.25">
      <c r="A62" s="18">
        <v>5</v>
      </c>
      <c r="B62" s="48">
        <v>0.59732499999999999</v>
      </c>
      <c r="C62" s="5">
        <f t="shared" si="46"/>
        <v>1.7919749999999999</v>
      </c>
      <c r="D62" s="19">
        <f t="shared" si="47"/>
        <v>14.335799999999999</v>
      </c>
      <c r="E62" s="48">
        <v>0.59768500000000002</v>
      </c>
      <c r="F62" s="5">
        <f t="shared" si="48"/>
        <v>1.7930550000000001</v>
      </c>
      <c r="G62" s="19">
        <f t="shared" si="49"/>
        <v>71.722200000000001</v>
      </c>
      <c r="H62" s="25">
        <v>0.597885</v>
      </c>
      <c r="I62" s="5">
        <f t="shared" si="50"/>
        <v>1.793655</v>
      </c>
      <c r="J62" s="19">
        <f t="shared" si="51"/>
        <v>286.98480000000001</v>
      </c>
      <c r="K62" s="6">
        <v>0.59737799999999996</v>
      </c>
      <c r="L62" s="5">
        <f t="shared" si="52"/>
        <v>1.7921339999999999</v>
      </c>
      <c r="M62" s="19">
        <f t="shared" si="53"/>
        <v>716.85359999999991</v>
      </c>
      <c r="N62" s="25"/>
      <c r="P62" s="19"/>
    </row>
    <row r="63" spans="1:16" ht="15.75" customHeight="1" x14ac:dyDescent="0.25">
      <c r="A63" s="14" t="s">
        <v>22</v>
      </c>
      <c r="B63" s="15">
        <f t="shared" ref="B63:M63" si="54">AVERAGE(B58:B62)</f>
        <v>0.5973788000000001</v>
      </c>
      <c r="C63" s="16">
        <f t="shared" si="54"/>
        <v>1.7921364</v>
      </c>
      <c r="D63" s="20">
        <f t="shared" si="54"/>
        <v>14.3370912</v>
      </c>
      <c r="E63" s="15">
        <f t="shared" si="54"/>
        <v>0.59730139999999987</v>
      </c>
      <c r="F63" s="16">
        <f t="shared" si="54"/>
        <v>1.7919042000000001</v>
      </c>
      <c r="G63" s="20">
        <f t="shared" si="54"/>
        <v>71.67616799999999</v>
      </c>
      <c r="H63" s="15">
        <f t="shared" si="54"/>
        <v>0.59756019999999999</v>
      </c>
      <c r="I63" s="16">
        <f t="shared" si="54"/>
        <v>1.7926806</v>
      </c>
      <c r="J63" s="20">
        <f t="shared" si="54"/>
        <v>286.82889599999993</v>
      </c>
      <c r="K63" s="15">
        <f t="shared" si="54"/>
        <v>0.59734900000000002</v>
      </c>
      <c r="L63" s="16">
        <f t="shared" si="54"/>
        <v>1.7920470000000002</v>
      </c>
      <c r="M63" s="20">
        <f t="shared" si="54"/>
        <v>716.81880000000001</v>
      </c>
      <c r="N63" s="15"/>
      <c r="O63" s="16"/>
      <c r="P63" s="20"/>
    </row>
    <row r="64" spans="1:16" ht="15.75" customHeight="1" x14ac:dyDescent="0.25">
      <c r="A64" s="14" t="s">
        <v>23</v>
      </c>
      <c r="B64" s="15">
        <f>_xlfn.STDEV.P(B58:B62)</f>
        <v>2.2822129611409648E-4</v>
      </c>
      <c r="C64" s="15">
        <f t="shared" ref="C64:M64" si="55">_xlfn.STDEV.P(C58:C62)</f>
        <v>6.8466388834231406E-4</v>
      </c>
      <c r="D64" s="15">
        <f t="shared" si="55"/>
        <v>5.4773111067385125E-3</v>
      </c>
      <c r="E64" s="15">
        <f t="shared" si="55"/>
        <v>2.1729022067272914E-4</v>
      </c>
      <c r="F64" s="15">
        <f t="shared" si="55"/>
        <v>6.5187066201815517E-4</v>
      </c>
      <c r="G64" s="15">
        <f t="shared" si="55"/>
        <v>2.6074826480727981E-2</v>
      </c>
      <c r="H64" s="15">
        <f t="shared" si="55"/>
        <v>2.4719902912430689E-4</v>
      </c>
      <c r="I64" s="15">
        <f t="shared" si="55"/>
        <v>7.4159708737291119E-4</v>
      </c>
      <c r="J64" s="15">
        <f t="shared" si="55"/>
        <v>0.11865553397967797</v>
      </c>
      <c r="K64" s="15">
        <f t="shared" si="55"/>
        <v>4.3524705627958176E-5</v>
      </c>
      <c r="L64" s="15">
        <f t="shared" si="55"/>
        <v>1.3057411688385413E-4</v>
      </c>
      <c r="M64" s="15">
        <f t="shared" si="55"/>
        <v>5.2229646753527384E-2</v>
      </c>
      <c r="N64" s="15"/>
      <c r="O64" s="16"/>
      <c r="P64" s="20"/>
    </row>
    <row r="65" spans="1:17" ht="15.75" customHeight="1" x14ac:dyDescent="0.25"/>
    <row r="66" spans="1:17" ht="15.75" customHeight="1" x14ac:dyDescent="0.25"/>
    <row r="67" spans="1:17" ht="15.75" customHeight="1" x14ac:dyDescent="0.25"/>
    <row r="68" spans="1:17" ht="15.75" customHeight="1" x14ac:dyDescent="0.25"/>
    <row r="69" spans="1:17" ht="15.75" customHeight="1" x14ac:dyDescent="0.25">
      <c r="A69" s="24"/>
      <c r="B69" s="24"/>
      <c r="C69" s="101" t="s">
        <v>11</v>
      </c>
      <c r="D69" s="102"/>
      <c r="E69" s="102"/>
      <c r="F69" s="102"/>
      <c r="G69" s="103"/>
      <c r="H69" s="106" t="s">
        <v>14</v>
      </c>
      <c r="I69" s="102"/>
      <c r="J69" s="102"/>
      <c r="K69" s="102"/>
      <c r="L69" s="102"/>
      <c r="M69" s="101" t="s">
        <v>15</v>
      </c>
      <c r="N69" s="102"/>
      <c r="O69" s="102"/>
      <c r="P69" s="102"/>
      <c r="Q69" s="103"/>
    </row>
    <row r="70" spans="1:17" ht="15.75" customHeight="1" x14ac:dyDescent="0.25">
      <c r="A70" s="24"/>
      <c r="B70" s="21" t="s">
        <v>10</v>
      </c>
      <c r="C70" s="25" t="s">
        <v>25</v>
      </c>
      <c r="D70" s="6" t="s">
        <v>26</v>
      </c>
      <c r="E70" s="6" t="s">
        <v>27</v>
      </c>
      <c r="F70" s="6" t="s">
        <v>28</v>
      </c>
      <c r="G70" s="26" t="s">
        <v>29</v>
      </c>
      <c r="H70" s="6" t="s">
        <v>25</v>
      </c>
      <c r="I70" s="6" t="s">
        <v>26</v>
      </c>
      <c r="J70" s="6" t="s">
        <v>27</v>
      </c>
      <c r="K70" s="6" t="s">
        <v>28</v>
      </c>
      <c r="L70" s="6" t="s">
        <v>29</v>
      </c>
      <c r="M70" s="25" t="s">
        <v>25</v>
      </c>
      <c r="N70" s="6" t="s">
        <v>26</v>
      </c>
      <c r="O70" s="6" t="s">
        <v>27</v>
      </c>
      <c r="P70" s="6" t="s">
        <v>28</v>
      </c>
      <c r="Q70" s="26" t="s">
        <v>29</v>
      </c>
    </row>
    <row r="71" spans="1:17" ht="15.75" customHeight="1" x14ac:dyDescent="0.25">
      <c r="A71" s="95" t="s">
        <v>43</v>
      </c>
      <c r="B71" s="27">
        <v>1</v>
      </c>
      <c r="C71" s="28">
        <v>1.625</v>
      </c>
      <c r="D71" s="29">
        <v>1.708</v>
      </c>
      <c r="E71" s="29">
        <v>1.663</v>
      </c>
      <c r="F71" s="29">
        <v>1.6419999999999999</v>
      </c>
      <c r="G71" s="30">
        <v>1.63</v>
      </c>
      <c r="H71" s="31">
        <f t="shared" ref="H71:L71" si="56">C71*B$2</f>
        <v>4.875</v>
      </c>
      <c r="I71" s="31">
        <f t="shared" si="56"/>
        <v>5.1239999999999997</v>
      </c>
      <c r="J71" s="31">
        <f t="shared" si="56"/>
        <v>4.9889999999999999</v>
      </c>
      <c r="K71" s="31">
        <f t="shared" si="56"/>
        <v>4.9260000000000002</v>
      </c>
      <c r="L71" s="31">
        <f t="shared" si="56"/>
        <v>4.8899999999999997</v>
      </c>
      <c r="M71" s="22">
        <f t="shared" ref="M71:Q71" si="57">H71*B$3</f>
        <v>7.3124999999999996E-2</v>
      </c>
      <c r="N71" s="31">
        <f t="shared" si="57"/>
        <v>0.38429999999999997</v>
      </c>
      <c r="O71" s="31">
        <f t="shared" si="57"/>
        <v>1.4966999999999999</v>
      </c>
      <c r="P71" s="31">
        <f t="shared" si="57"/>
        <v>3.6945000000000001</v>
      </c>
      <c r="Q71" s="32">
        <f t="shared" si="57"/>
        <v>36.674999999999997</v>
      </c>
    </row>
    <row r="72" spans="1:17" ht="15.75" customHeight="1" x14ac:dyDescent="0.25">
      <c r="A72" s="96"/>
      <c r="B72" s="25">
        <v>2</v>
      </c>
      <c r="C72" s="33">
        <v>1.6379999999999999</v>
      </c>
      <c r="D72" s="34">
        <v>1.698</v>
      </c>
      <c r="E72" s="34">
        <v>1.6579999999999999</v>
      </c>
      <c r="F72" s="34">
        <v>1.6319999999999999</v>
      </c>
      <c r="G72" s="35">
        <v>1.629</v>
      </c>
      <c r="H72" s="24">
        <f t="shared" ref="H72:L72" si="58">C72*B$2</f>
        <v>4.9139999999999997</v>
      </c>
      <c r="I72" s="24">
        <f t="shared" si="58"/>
        <v>5.0939999999999994</v>
      </c>
      <c r="J72" s="24">
        <f t="shared" si="58"/>
        <v>4.9740000000000002</v>
      </c>
      <c r="K72" s="24">
        <f t="shared" si="58"/>
        <v>4.8959999999999999</v>
      </c>
      <c r="L72" s="24">
        <f t="shared" si="58"/>
        <v>4.8870000000000005</v>
      </c>
      <c r="M72" s="23">
        <f t="shared" ref="M72:Q72" si="59">H72*B$3</f>
        <v>7.3709999999999998E-2</v>
      </c>
      <c r="N72" s="24">
        <f t="shared" si="59"/>
        <v>0.38204999999999995</v>
      </c>
      <c r="O72" s="24">
        <f t="shared" si="59"/>
        <v>1.4922</v>
      </c>
      <c r="P72" s="24">
        <f t="shared" si="59"/>
        <v>3.6719999999999997</v>
      </c>
      <c r="Q72" s="19">
        <f t="shared" si="59"/>
        <v>36.652500000000003</v>
      </c>
    </row>
    <row r="73" spans="1:17" ht="15.75" customHeight="1" x14ac:dyDescent="0.25">
      <c r="A73" s="96"/>
      <c r="B73" s="25">
        <v>3</v>
      </c>
      <c r="C73" s="33">
        <v>1.7629999999999999</v>
      </c>
      <c r="D73" s="34">
        <v>1.706</v>
      </c>
      <c r="E73" s="34">
        <v>1.665</v>
      </c>
      <c r="F73" s="34">
        <v>1.629</v>
      </c>
      <c r="G73" s="35">
        <v>1.6279999999999999</v>
      </c>
      <c r="H73" s="24">
        <f t="shared" ref="H73:L73" si="60">C73*B$2</f>
        <v>5.2889999999999997</v>
      </c>
      <c r="I73" s="24">
        <f t="shared" si="60"/>
        <v>5.1180000000000003</v>
      </c>
      <c r="J73" s="24">
        <f t="shared" si="60"/>
        <v>4.9950000000000001</v>
      </c>
      <c r="K73" s="24">
        <f t="shared" si="60"/>
        <v>4.8870000000000005</v>
      </c>
      <c r="L73" s="24">
        <f t="shared" si="60"/>
        <v>4.8839999999999995</v>
      </c>
      <c r="M73" s="23">
        <f t="shared" ref="M73:Q73" si="61">H73*B$3</f>
        <v>7.9334999999999989E-2</v>
      </c>
      <c r="N73" s="24">
        <f t="shared" si="61"/>
        <v>0.38385000000000002</v>
      </c>
      <c r="O73" s="24">
        <f t="shared" si="61"/>
        <v>1.4984999999999999</v>
      </c>
      <c r="P73" s="24">
        <f t="shared" si="61"/>
        <v>3.6652500000000003</v>
      </c>
      <c r="Q73" s="19">
        <f t="shared" si="61"/>
        <v>36.629999999999995</v>
      </c>
    </row>
    <row r="74" spans="1:17" ht="15.75" customHeight="1" x14ac:dyDescent="0.25">
      <c r="A74" s="96"/>
      <c r="B74" s="25">
        <v>4</v>
      </c>
      <c r="C74" s="33">
        <v>1.631</v>
      </c>
      <c r="D74" s="34">
        <v>1.7010000000000001</v>
      </c>
      <c r="E74" s="34">
        <v>1.661</v>
      </c>
      <c r="F74" s="34">
        <v>1.63</v>
      </c>
      <c r="G74" s="35">
        <v>1.631</v>
      </c>
      <c r="H74" s="24">
        <f t="shared" ref="H74:L74" si="62">C74*B$2</f>
        <v>4.8929999999999998</v>
      </c>
      <c r="I74" s="24">
        <f t="shared" si="62"/>
        <v>5.1029999999999998</v>
      </c>
      <c r="J74" s="24">
        <f t="shared" si="62"/>
        <v>4.9830000000000005</v>
      </c>
      <c r="K74" s="24">
        <f t="shared" si="62"/>
        <v>4.8899999999999997</v>
      </c>
      <c r="L74" s="24">
        <f t="shared" si="62"/>
        <v>4.8929999999999998</v>
      </c>
      <c r="M74" s="23">
        <f t="shared" ref="M74:Q74" si="63">H74*B$3</f>
        <v>7.3394999999999988E-2</v>
      </c>
      <c r="N74" s="24">
        <f t="shared" si="63"/>
        <v>0.38272499999999998</v>
      </c>
      <c r="O74" s="24">
        <f t="shared" si="63"/>
        <v>1.4949000000000001</v>
      </c>
      <c r="P74" s="24">
        <f t="shared" si="63"/>
        <v>3.6674999999999995</v>
      </c>
      <c r="Q74" s="19">
        <f t="shared" si="63"/>
        <v>36.697499999999998</v>
      </c>
    </row>
    <row r="75" spans="1:17" ht="15.75" customHeight="1" x14ac:dyDescent="0.25">
      <c r="A75" s="96"/>
      <c r="B75" s="25">
        <v>5</v>
      </c>
      <c r="C75" s="36">
        <v>1.645</v>
      </c>
      <c r="D75" s="37">
        <v>1.7030000000000001</v>
      </c>
      <c r="E75" s="37">
        <v>1.6519999999999999</v>
      </c>
      <c r="F75" s="37">
        <v>1.633</v>
      </c>
      <c r="G75" s="38">
        <v>1.633</v>
      </c>
      <c r="H75" s="39">
        <f t="shared" ref="H75:L75" si="64">C75*B$2</f>
        <v>4.9350000000000005</v>
      </c>
      <c r="I75" s="39">
        <f t="shared" si="64"/>
        <v>5.109</v>
      </c>
      <c r="J75" s="39">
        <f t="shared" si="64"/>
        <v>4.9559999999999995</v>
      </c>
      <c r="K75" s="39">
        <f t="shared" si="64"/>
        <v>4.899</v>
      </c>
      <c r="L75" s="39">
        <f t="shared" si="64"/>
        <v>4.899</v>
      </c>
      <c r="M75" s="40">
        <f t="shared" ref="M75:Q75" si="65">H75*B$3</f>
        <v>7.4025000000000007E-2</v>
      </c>
      <c r="N75" s="39">
        <f t="shared" si="65"/>
        <v>0.38317499999999999</v>
      </c>
      <c r="O75" s="39">
        <f t="shared" si="65"/>
        <v>1.4867999999999999</v>
      </c>
      <c r="P75" s="39">
        <f t="shared" si="65"/>
        <v>3.6742499999999998</v>
      </c>
      <c r="Q75" s="41">
        <f t="shared" si="65"/>
        <v>36.7425</v>
      </c>
    </row>
    <row r="76" spans="1:17" ht="15.75" customHeight="1" x14ac:dyDescent="0.25">
      <c r="A76" s="96"/>
      <c r="B76" s="42" t="s">
        <v>22</v>
      </c>
      <c r="C76" s="43">
        <f t="shared" ref="C76:Q76" si="66">AVERAGE(C71:C75)</f>
        <v>1.6603999999999999</v>
      </c>
      <c r="D76" s="43">
        <f t="shared" si="66"/>
        <v>1.7032</v>
      </c>
      <c r="E76" s="43">
        <f t="shared" si="66"/>
        <v>1.6597999999999999</v>
      </c>
      <c r="F76" s="43">
        <f t="shared" si="66"/>
        <v>1.6332</v>
      </c>
      <c r="G76" s="43">
        <f t="shared" si="66"/>
        <v>1.6301999999999999</v>
      </c>
      <c r="H76" s="14">
        <f t="shared" si="66"/>
        <v>4.9811999999999994</v>
      </c>
      <c r="I76" s="14">
        <f t="shared" si="66"/>
        <v>5.1096000000000004</v>
      </c>
      <c r="J76" s="14">
        <f t="shared" si="66"/>
        <v>4.9794</v>
      </c>
      <c r="K76" s="14">
        <f t="shared" si="66"/>
        <v>4.8996000000000004</v>
      </c>
      <c r="L76" s="14">
        <f t="shared" si="66"/>
        <v>4.8906000000000009</v>
      </c>
      <c r="M76" s="14">
        <f t="shared" si="66"/>
        <v>7.4717999999999993E-2</v>
      </c>
      <c r="N76" s="14">
        <f t="shared" si="66"/>
        <v>0.38322000000000001</v>
      </c>
      <c r="O76" s="14">
        <f t="shared" si="66"/>
        <v>1.4938199999999999</v>
      </c>
      <c r="P76" s="14">
        <f t="shared" si="66"/>
        <v>3.6747000000000001</v>
      </c>
      <c r="Q76" s="14">
        <f t="shared" si="66"/>
        <v>36.679500000000004</v>
      </c>
    </row>
    <row r="77" spans="1:17" ht="15.75" customHeight="1" x14ac:dyDescent="0.25">
      <c r="A77" s="97"/>
      <c r="B77" s="42" t="s">
        <v>23</v>
      </c>
      <c r="C77" s="14">
        <f>_xlfn.STDEV.P(C71:C75)</f>
        <v>5.1736254213075733E-2</v>
      </c>
      <c r="D77" s="14">
        <f t="shared" ref="D77:Q77" si="67">_xlfn.STDEV.P(D71:D75)</f>
        <v>3.5440090293338581E-3</v>
      </c>
      <c r="E77" s="14">
        <f t="shared" si="67"/>
        <v>4.5343136195019045E-3</v>
      </c>
      <c r="F77" s="14">
        <f t="shared" si="67"/>
        <v>4.6216880033165203E-3</v>
      </c>
      <c r="G77" s="14">
        <f t="shared" si="67"/>
        <v>1.7204650534085578E-3</v>
      </c>
      <c r="H77" s="14">
        <f t="shared" si="67"/>
        <v>0.1552087626392272</v>
      </c>
      <c r="I77" s="14">
        <f t="shared" si="67"/>
        <v>1.0632027088001773E-2</v>
      </c>
      <c r="J77" s="14">
        <f t="shared" si="67"/>
        <v>1.3602940858505747E-2</v>
      </c>
      <c r="K77" s="14">
        <f t="shared" si="67"/>
        <v>1.3865064009949638E-2</v>
      </c>
      <c r="L77" s="14">
        <f t="shared" si="67"/>
        <v>5.1613951602256479E-3</v>
      </c>
      <c r="M77" s="14">
        <f t="shared" si="67"/>
        <v>2.3281314395884067E-3</v>
      </c>
      <c r="N77" s="14">
        <f t="shared" si="67"/>
        <v>7.9740203160013636E-4</v>
      </c>
      <c r="O77" s="14">
        <f t="shared" si="67"/>
        <v>4.0808822575516867E-3</v>
      </c>
      <c r="P77" s="14">
        <f t="shared" si="67"/>
        <v>1.0398798007462271E-2</v>
      </c>
      <c r="Q77" s="14">
        <f t="shared" si="67"/>
        <v>3.8710463701692295E-2</v>
      </c>
    </row>
    <row r="78" spans="1:17" ht="15.75" customHeight="1" x14ac:dyDescent="0.25">
      <c r="A78" s="95" t="s">
        <v>45</v>
      </c>
      <c r="B78" s="21">
        <v>1</v>
      </c>
      <c r="C78" s="22">
        <v>0.76350099999999999</v>
      </c>
      <c r="D78" s="31">
        <v>0.76325600000000005</v>
      </c>
      <c r="E78" s="31">
        <v>0.75798399999999999</v>
      </c>
      <c r="F78" s="31">
        <v>0.75462499999999999</v>
      </c>
      <c r="G78" s="32">
        <v>0.75211799999999995</v>
      </c>
      <c r="H78" s="22">
        <f t="shared" ref="H78:L78" si="68">C78*B$2</f>
        <v>2.2905030000000002</v>
      </c>
      <c r="I78" s="31">
        <f t="shared" si="68"/>
        <v>2.289768</v>
      </c>
      <c r="J78" s="31">
        <f t="shared" si="68"/>
        <v>2.273952</v>
      </c>
      <c r="K78" s="31">
        <f t="shared" si="68"/>
        <v>2.2638750000000001</v>
      </c>
      <c r="L78" s="31">
        <f t="shared" si="68"/>
        <v>2.256354</v>
      </c>
      <c r="M78" s="22">
        <f t="shared" ref="M78:Q78" si="69">H78*B$4</f>
        <v>0.22905030000000004</v>
      </c>
      <c r="N78" s="31">
        <f t="shared" si="69"/>
        <v>1.144884</v>
      </c>
      <c r="O78" s="31">
        <f t="shared" si="69"/>
        <v>4.5479039999999999</v>
      </c>
      <c r="P78" s="31">
        <f t="shared" si="69"/>
        <v>11.319375000000001</v>
      </c>
      <c r="Q78" s="32">
        <f t="shared" si="69"/>
        <v>112.8177</v>
      </c>
    </row>
    <row r="79" spans="1:17" ht="15.75" customHeight="1" x14ac:dyDescent="0.25">
      <c r="A79" s="96"/>
      <c r="B79" s="44">
        <v>2</v>
      </c>
      <c r="C79" s="45">
        <v>0.76482099999999997</v>
      </c>
      <c r="D79" s="45">
        <v>0.76683000000000001</v>
      </c>
      <c r="E79" s="45">
        <v>0.74238000000000004</v>
      </c>
      <c r="F79" s="45">
        <v>0.75144</v>
      </c>
      <c r="G79" s="45">
        <v>0.75441000000000003</v>
      </c>
      <c r="H79" s="23">
        <f t="shared" ref="H79:L79" si="70">C79*B$2</f>
        <v>2.2944629999999999</v>
      </c>
      <c r="I79" s="24">
        <f t="shared" si="70"/>
        <v>2.3004899999999999</v>
      </c>
      <c r="J79" s="24">
        <f t="shared" si="70"/>
        <v>2.2271400000000003</v>
      </c>
      <c r="K79" s="24">
        <f t="shared" si="70"/>
        <v>2.2543199999999999</v>
      </c>
      <c r="L79" s="24">
        <f t="shared" si="70"/>
        <v>2.2632300000000001</v>
      </c>
      <c r="M79" s="23">
        <f t="shared" ref="M79:Q79" si="71">H79*B$4</f>
        <v>0.22944629999999999</v>
      </c>
      <c r="N79" s="24">
        <f t="shared" si="71"/>
        <v>1.150245</v>
      </c>
      <c r="O79" s="24">
        <f t="shared" si="71"/>
        <v>4.4542800000000007</v>
      </c>
      <c r="P79" s="24">
        <f t="shared" si="71"/>
        <v>11.271599999999999</v>
      </c>
      <c r="Q79" s="19">
        <f t="shared" si="71"/>
        <v>113.1615</v>
      </c>
    </row>
    <row r="80" spans="1:17" ht="15.75" customHeight="1" x14ac:dyDescent="0.25">
      <c r="A80" s="96"/>
      <c r="B80" s="44">
        <v>3</v>
      </c>
      <c r="C80" s="45">
        <v>0.75764799999999999</v>
      </c>
      <c r="D80" s="45">
        <v>0.76780999999999999</v>
      </c>
      <c r="E80" s="45">
        <v>0.75917999999999997</v>
      </c>
      <c r="F80" s="45">
        <v>0.75048999999999999</v>
      </c>
      <c r="G80" s="45">
        <v>0.74792999999999998</v>
      </c>
      <c r="H80" s="23">
        <f t="shared" ref="H80:L80" si="72">C80*B$2</f>
        <v>2.2729439999999999</v>
      </c>
      <c r="I80" s="24">
        <f t="shared" si="72"/>
        <v>2.3034300000000001</v>
      </c>
      <c r="J80" s="24">
        <f t="shared" si="72"/>
        <v>2.2775400000000001</v>
      </c>
      <c r="K80" s="24">
        <f t="shared" si="72"/>
        <v>2.2514699999999999</v>
      </c>
      <c r="L80" s="24">
        <f t="shared" si="72"/>
        <v>2.2437899999999997</v>
      </c>
      <c r="M80" s="23">
        <f t="shared" ref="M80:Q80" si="73">H80*B$4</f>
        <v>0.22729440000000001</v>
      </c>
      <c r="N80" s="24">
        <f t="shared" si="73"/>
        <v>1.151715</v>
      </c>
      <c r="O80" s="24">
        <f t="shared" si="73"/>
        <v>4.5550800000000002</v>
      </c>
      <c r="P80" s="24">
        <f t="shared" si="73"/>
        <v>11.257349999999999</v>
      </c>
      <c r="Q80" s="19">
        <f t="shared" si="73"/>
        <v>112.18949999999998</v>
      </c>
    </row>
    <row r="81" spans="1:17" ht="15.75" customHeight="1" x14ac:dyDescent="0.25">
      <c r="A81" s="96"/>
      <c r="B81" s="44">
        <v>4</v>
      </c>
      <c r="C81" s="45">
        <v>0.763436</v>
      </c>
      <c r="D81" s="45">
        <v>0.76683999999999997</v>
      </c>
      <c r="E81" s="45">
        <v>0.75416000000000005</v>
      </c>
      <c r="F81" s="45">
        <v>0.75378999999999996</v>
      </c>
      <c r="G81" s="45">
        <v>0.74789000000000005</v>
      </c>
      <c r="H81" s="23">
        <f t="shared" ref="H81:L81" si="74">C81*B$2</f>
        <v>2.290308</v>
      </c>
      <c r="I81" s="24">
        <f t="shared" si="74"/>
        <v>2.3005199999999997</v>
      </c>
      <c r="J81" s="24">
        <f t="shared" si="74"/>
        <v>2.26248</v>
      </c>
      <c r="K81" s="24">
        <f t="shared" si="74"/>
        <v>2.2613699999999999</v>
      </c>
      <c r="L81" s="24">
        <f t="shared" si="74"/>
        <v>2.2436700000000003</v>
      </c>
      <c r="M81" s="23">
        <f t="shared" ref="M81:Q81" si="75">H81*B$4</f>
        <v>0.22903080000000001</v>
      </c>
      <c r="N81" s="24">
        <f t="shared" si="75"/>
        <v>1.1502599999999998</v>
      </c>
      <c r="O81" s="24">
        <f t="shared" si="75"/>
        <v>4.5249600000000001</v>
      </c>
      <c r="P81" s="24">
        <f t="shared" si="75"/>
        <v>11.306849999999999</v>
      </c>
      <c r="Q81" s="19">
        <f t="shared" si="75"/>
        <v>112.18350000000001</v>
      </c>
    </row>
    <row r="82" spans="1:17" ht="15.75" customHeight="1" x14ac:dyDescent="0.25">
      <c r="A82" s="96"/>
      <c r="B82" s="44">
        <v>5</v>
      </c>
      <c r="C82" s="45">
        <v>0.76363000000000003</v>
      </c>
      <c r="D82" s="45">
        <v>0.76466000000000001</v>
      </c>
      <c r="E82" s="45">
        <v>0.76109000000000004</v>
      </c>
      <c r="F82" s="45">
        <v>0.75953999999999999</v>
      </c>
      <c r="G82" s="45">
        <v>0.75094000000000005</v>
      </c>
      <c r="H82" s="23">
        <f t="shared" ref="H82:L82" si="76">C82*B$2</f>
        <v>2.2908900000000001</v>
      </c>
      <c r="I82" s="24">
        <f t="shared" si="76"/>
        <v>2.2939799999999999</v>
      </c>
      <c r="J82" s="24">
        <f t="shared" si="76"/>
        <v>2.2832699999999999</v>
      </c>
      <c r="K82" s="24">
        <f t="shared" si="76"/>
        <v>2.2786200000000001</v>
      </c>
      <c r="L82" s="24">
        <f t="shared" si="76"/>
        <v>2.2528200000000003</v>
      </c>
      <c r="M82" s="23">
        <f t="shared" ref="M82:Q82" si="77">H82*B$4</f>
        <v>0.22908900000000001</v>
      </c>
      <c r="N82" s="24">
        <f t="shared" si="77"/>
        <v>1.14699</v>
      </c>
      <c r="O82" s="24">
        <f t="shared" si="77"/>
        <v>4.5665399999999998</v>
      </c>
      <c r="P82" s="24">
        <f t="shared" si="77"/>
        <v>11.3931</v>
      </c>
      <c r="Q82" s="19">
        <f t="shared" si="77"/>
        <v>112.64100000000002</v>
      </c>
    </row>
    <row r="83" spans="1:17" ht="15.75" customHeight="1" x14ac:dyDescent="0.25">
      <c r="A83" s="96"/>
      <c r="B83" s="42" t="s">
        <v>22</v>
      </c>
      <c r="C83" s="43">
        <f t="shared" ref="C83:Q83" si="78">AVERAGE(C78:C82)</f>
        <v>0.76260719999999993</v>
      </c>
      <c r="D83" s="43">
        <f t="shared" si="78"/>
        <v>0.76587919999999998</v>
      </c>
      <c r="E83" s="43">
        <f t="shared" si="78"/>
        <v>0.75495880000000004</v>
      </c>
      <c r="F83" s="43">
        <f t="shared" si="78"/>
        <v>0.75397700000000001</v>
      </c>
      <c r="G83" s="43">
        <f t="shared" si="78"/>
        <v>0.75065759999999992</v>
      </c>
      <c r="H83" s="14">
        <f t="shared" si="78"/>
        <v>2.2878216</v>
      </c>
      <c r="I83" s="14">
        <f t="shared" si="78"/>
        <v>2.2976375999999998</v>
      </c>
      <c r="J83" s="14">
        <f t="shared" si="78"/>
        <v>2.2648763999999999</v>
      </c>
      <c r="K83" s="14">
        <f t="shared" si="78"/>
        <v>2.2619309999999997</v>
      </c>
      <c r="L83" s="14">
        <f t="shared" si="78"/>
        <v>2.2519727999999999</v>
      </c>
      <c r="M83" s="14">
        <f t="shared" si="78"/>
        <v>0.22878216000000001</v>
      </c>
      <c r="N83" s="14">
        <f t="shared" si="78"/>
        <v>1.1488187999999999</v>
      </c>
      <c r="O83" s="14">
        <f t="shared" si="78"/>
        <v>4.5297527999999998</v>
      </c>
      <c r="P83" s="14">
        <f t="shared" si="78"/>
        <v>11.309655000000001</v>
      </c>
      <c r="Q83" s="14">
        <f t="shared" si="78"/>
        <v>112.59863999999997</v>
      </c>
    </row>
    <row r="84" spans="1:17" ht="15.75" customHeight="1" x14ac:dyDescent="0.25">
      <c r="A84" s="97"/>
      <c r="B84" s="42" t="s">
        <v>23</v>
      </c>
      <c r="C84" s="14">
        <f>_xlfn.STDEV.P(C78:C82)</f>
        <v>2.530868736224779E-3</v>
      </c>
      <c r="D84" s="14">
        <f t="shared" ref="D84:Q84" si="79">_xlfn.STDEV.P(D78:D82)</f>
        <v>1.6686984628745646E-3</v>
      </c>
      <c r="E84" s="14">
        <f t="shared" si="79"/>
        <v>6.6847029672229882E-3</v>
      </c>
      <c r="F84" s="14">
        <f t="shared" si="79"/>
        <v>3.1621948074082975E-3</v>
      </c>
      <c r="G84" s="14">
        <f t="shared" si="79"/>
        <v>2.505690930661636E-3</v>
      </c>
      <c r="H84" s="14">
        <f t="shared" si="79"/>
        <v>7.5926062086743946E-3</v>
      </c>
      <c r="I84" s="14">
        <f t="shared" si="79"/>
        <v>5.0060953886237325E-3</v>
      </c>
      <c r="J84" s="14">
        <f t="shared" si="79"/>
        <v>2.0054108901668873E-2</v>
      </c>
      <c r="K84" s="14">
        <f t="shared" si="79"/>
        <v>9.48658442222498E-3</v>
      </c>
      <c r="L84" s="14">
        <f t="shared" si="79"/>
        <v>7.5170727919849452E-3</v>
      </c>
      <c r="M84" s="14">
        <f t="shared" si="79"/>
        <v>7.592606208674333E-4</v>
      </c>
      <c r="N84" s="14">
        <f t="shared" si="79"/>
        <v>2.5030476943118662E-3</v>
      </c>
      <c r="O84" s="14">
        <f t="shared" si="79"/>
        <v>4.0108217803337745E-2</v>
      </c>
      <c r="P84" s="14">
        <f t="shared" si="79"/>
        <v>4.7432922111125014E-2</v>
      </c>
      <c r="Q84" s="14">
        <f t="shared" si="79"/>
        <v>0.37585363959925</v>
      </c>
    </row>
    <row r="85" spans="1:17" ht="15.75" customHeight="1" x14ac:dyDescent="0.25">
      <c r="A85" s="95" t="s">
        <v>46</v>
      </c>
      <c r="B85" s="21">
        <v>1</v>
      </c>
      <c r="C85" s="24">
        <v>0.61706799999999995</v>
      </c>
      <c r="D85" s="24">
        <v>0.61762300000000003</v>
      </c>
      <c r="E85" s="24">
        <v>0.61729000000000001</v>
      </c>
      <c r="F85" s="24">
        <v>0.61673299999999998</v>
      </c>
      <c r="G85" s="24">
        <v>0.61626099999999995</v>
      </c>
      <c r="H85" s="22">
        <f t="shared" ref="H85:L85" si="80">C85*B$2</f>
        <v>1.8512039999999998</v>
      </c>
      <c r="I85" s="31">
        <f t="shared" si="80"/>
        <v>1.8528690000000001</v>
      </c>
      <c r="J85" s="31">
        <f t="shared" si="80"/>
        <v>1.8518699999999999</v>
      </c>
      <c r="K85" s="31">
        <f t="shared" si="80"/>
        <v>1.8501989999999999</v>
      </c>
      <c r="L85" s="31">
        <f t="shared" si="80"/>
        <v>1.8487829999999998</v>
      </c>
      <c r="M85" s="22">
        <f t="shared" ref="M85:Q85" si="81">H85*B$5</f>
        <v>1.4809631999999999</v>
      </c>
      <c r="N85" s="31">
        <f t="shared" si="81"/>
        <v>7.4114760000000004</v>
      </c>
      <c r="O85" s="31">
        <f t="shared" si="81"/>
        <v>29.629919999999998</v>
      </c>
      <c r="P85" s="31">
        <f t="shared" si="81"/>
        <v>74.007959999999997</v>
      </c>
      <c r="Q85" s="32">
        <f t="shared" si="81"/>
        <v>739.51319999999998</v>
      </c>
    </row>
    <row r="86" spans="1:17" ht="15.75" customHeight="1" x14ac:dyDescent="0.25">
      <c r="A86" s="96"/>
      <c r="B86" s="44">
        <v>2</v>
      </c>
      <c r="C86" s="45">
        <v>0.61880999999999997</v>
      </c>
      <c r="D86" s="45">
        <v>0.61487999999999998</v>
      </c>
      <c r="E86" s="45">
        <v>0.62639999999999996</v>
      </c>
      <c r="F86" s="45">
        <v>0.61724999999999997</v>
      </c>
      <c r="G86" s="45">
        <v>0.61702000000000001</v>
      </c>
      <c r="H86" s="23">
        <f t="shared" ref="H86:L86" si="82">C86*B$2</f>
        <v>1.85643</v>
      </c>
      <c r="I86" s="24">
        <f t="shared" si="82"/>
        <v>1.8446400000000001</v>
      </c>
      <c r="J86" s="24">
        <f t="shared" si="82"/>
        <v>1.8792</v>
      </c>
      <c r="K86" s="24">
        <f t="shared" si="82"/>
        <v>1.85175</v>
      </c>
      <c r="L86" s="24">
        <f t="shared" si="82"/>
        <v>1.8510599999999999</v>
      </c>
      <c r="M86" s="23">
        <f t="shared" ref="M86:Q86" si="83">H86*B$5</f>
        <v>1.485144</v>
      </c>
      <c r="N86" s="24">
        <f t="shared" si="83"/>
        <v>7.3785600000000002</v>
      </c>
      <c r="O86" s="24">
        <f t="shared" si="83"/>
        <v>30.0672</v>
      </c>
      <c r="P86" s="24">
        <f t="shared" si="83"/>
        <v>74.069999999999993</v>
      </c>
      <c r="Q86" s="19">
        <f t="shared" si="83"/>
        <v>740.42399999999998</v>
      </c>
    </row>
    <row r="87" spans="1:17" ht="15.75" customHeight="1" x14ac:dyDescent="0.25">
      <c r="A87" s="96"/>
      <c r="B87" s="44">
        <v>3</v>
      </c>
      <c r="C87" s="45">
        <v>0.61436900000000005</v>
      </c>
      <c r="D87" s="45">
        <v>0.62026999999999999</v>
      </c>
      <c r="E87" s="45">
        <v>0.61582099999999995</v>
      </c>
      <c r="F87" s="45">
        <v>0.61702000000000001</v>
      </c>
      <c r="G87" s="45">
        <v>0.61653999999999998</v>
      </c>
      <c r="H87" s="23">
        <f t="shared" ref="H87:L87" si="84">C87*B$2</f>
        <v>1.8431070000000003</v>
      </c>
      <c r="I87" s="24">
        <f t="shared" si="84"/>
        <v>1.8608099999999999</v>
      </c>
      <c r="J87" s="24">
        <f t="shared" si="84"/>
        <v>1.8474629999999999</v>
      </c>
      <c r="K87" s="24">
        <f t="shared" si="84"/>
        <v>1.8510599999999999</v>
      </c>
      <c r="L87" s="24">
        <f t="shared" si="84"/>
        <v>1.8496199999999998</v>
      </c>
      <c r="M87" s="23">
        <f t="shared" ref="M87:Q87" si="85">H87*B$5</f>
        <v>1.4744856000000004</v>
      </c>
      <c r="N87" s="24">
        <f t="shared" si="85"/>
        <v>7.4432399999999994</v>
      </c>
      <c r="O87" s="24">
        <f t="shared" si="85"/>
        <v>29.559407999999998</v>
      </c>
      <c r="P87" s="24">
        <f t="shared" si="85"/>
        <v>74.042400000000001</v>
      </c>
      <c r="Q87" s="19">
        <f t="shared" si="85"/>
        <v>739.84799999999996</v>
      </c>
    </row>
    <row r="88" spans="1:17" ht="15.75" customHeight="1" x14ac:dyDescent="0.25">
      <c r="A88" s="96"/>
      <c r="B88" s="44">
        <v>4</v>
      </c>
      <c r="C88" s="45">
        <v>0.61483299999999996</v>
      </c>
      <c r="D88" s="45">
        <v>0.61612299999999998</v>
      </c>
      <c r="E88" s="45">
        <v>0.61194999999999999</v>
      </c>
      <c r="F88" s="45">
        <v>0.61329999999999996</v>
      </c>
      <c r="G88" s="45">
        <v>0.61717</v>
      </c>
      <c r="H88" s="23">
        <f t="shared" ref="H88:L88" si="86">C88*B$2</f>
        <v>1.8444989999999999</v>
      </c>
      <c r="I88" s="24">
        <f t="shared" si="86"/>
        <v>1.8483689999999999</v>
      </c>
      <c r="J88" s="24">
        <f t="shared" si="86"/>
        <v>1.83585</v>
      </c>
      <c r="K88" s="24">
        <f t="shared" si="86"/>
        <v>1.8398999999999999</v>
      </c>
      <c r="L88" s="24">
        <f t="shared" si="86"/>
        <v>1.85151</v>
      </c>
      <c r="M88" s="23">
        <f t="shared" ref="M88:Q88" si="87">H88*B$5</f>
        <v>1.4755992</v>
      </c>
      <c r="N88" s="24">
        <f t="shared" si="87"/>
        <v>7.3934759999999997</v>
      </c>
      <c r="O88" s="24">
        <f t="shared" si="87"/>
        <v>29.3736</v>
      </c>
      <c r="P88" s="24">
        <f t="shared" si="87"/>
        <v>73.595999999999989</v>
      </c>
      <c r="Q88" s="19">
        <f t="shared" si="87"/>
        <v>740.60400000000004</v>
      </c>
    </row>
    <row r="89" spans="1:17" ht="15.75" customHeight="1" x14ac:dyDescent="0.25">
      <c r="A89" s="96"/>
      <c r="B89" s="44">
        <v>5</v>
      </c>
      <c r="C89" s="45">
        <v>0.61555300000000002</v>
      </c>
      <c r="D89" s="45">
        <v>0.61907000000000001</v>
      </c>
      <c r="E89" s="45">
        <v>0.62151999999999996</v>
      </c>
      <c r="F89" s="45">
        <v>0.61668000000000001</v>
      </c>
      <c r="G89" s="45">
        <v>0.61699000000000004</v>
      </c>
      <c r="H89" s="40">
        <f t="shared" ref="H89:L89" si="88">C89*B$2</f>
        <v>1.8466590000000001</v>
      </c>
      <c r="I89" s="39">
        <f t="shared" si="88"/>
        <v>1.85721</v>
      </c>
      <c r="J89" s="39">
        <f t="shared" si="88"/>
        <v>1.86456</v>
      </c>
      <c r="K89" s="39">
        <f t="shared" si="88"/>
        <v>1.8500399999999999</v>
      </c>
      <c r="L89" s="39">
        <f t="shared" si="88"/>
        <v>1.8509700000000002</v>
      </c>
      <c r="M89" s="40">
        <f t="shared" ref="M89:Q89" si="89">H89*B$5</f>
        <v>1.4773272000000002</v>
      </c>
      <c r="N89" s="39">
        <f t="shared" si="89"/>
        <v>7.4288400000000001</v>
      </c>
      <c r="O89" s="39">
        <f t="shared" si="89"/>
        <v>29.83296</v>
      </c>
      <c r="P89" s="39">
        <f t="shared" si="89"/>
        <v>74.001599999999996</v>
      </c>
      <c r="Q89" s="41">
        <f t="shared" si="89"/>
        <v>740.38800000000015</v>
      </c>
    </row>
    <row r="90" spans="1:17" ht="15.75" customHeight="1" x14ac:dyDescent="0.25">
      <c r="A90" s="96"/>
      <c r="B90" s="42" t="s">
        <v>22</v>
      </c>
      <c r="C90" s="14">
        <f t="shared" ref="C90:Q90" si="90">AVERAGE(C85:C89)</f>
        <v>0.61612659999999997</v>
      </c>
      <c r="D90" s="14">
        <f t="shared" si="90"/>
        <v>0.61759319999999995</v>
      </c>
      <c r="E90" s="14">
        <f t="shared" si="90"/>
        <v>0.61859619999999993</v>
      </c>
      <c r="F90" s="14">
        <f t="shared" si="90"/>
        <v>0.61619660000000009</v>
      </c>
      <c r="G90" s="14">
        <f t="shared" si="90"/>
        <v>0.61679620000000002</v>
      </c>
      <c r="H90" s="14">
        <f t="shared" si="90"/>
        <v>1.8483798</v>
      </c>
      <c r="I90" s="14">
        <f t="shared" si="90"/>
        <v>1.8527795999999999</v>
      </c>
      <c r="J90" s="14">
        <f t="shared" si="90"/>
        <v>1.8557885999999999</v>
      </c>
      <c r="K90" s="14">
        <f t="shared" si="90"/>
        <v>1.8485897999999998</v>
      </c>
      <c r="L90" s="14">
        <f t="shared" si="90"/>
        <v>1.8503886000000001</v>
      </c>
      <c r="M90" s="14">
        <f t="shared" si="90"/>
        <v>1.4787038400000001</v>
      </c>
      <c r="N90" s="14">
        <f t="shared" si="90"/>
        <v>7.4111183999999994</v>
      </c>
      <c r="O90" s="14">
        <f t="shared" si="90"/>
        <v>29.692617599999998</v>
      </c>
      <c r="P90" s="14">
        <f t="shared" si="90"/>
        <v>73.943591999999995</v>
      </c>
      <c r="Q90" s="14">
        <f t="shared" si="90"/>
        <v>740.15543999999989</v>
      </c>
    </row>
    <row r="91" spans="1:17" ht="15.75" customHeight="1" x14ac:dyDescent="0.25">
      <c r="A91" s="97"/>
      <c r="B91" s="42" t="s">
        <v>23</v>
      </c>
      <c r="C91" s="14">
        <f>_xlfn.STDEV.P(C85:C89)</f>
        <v>1.6234805326827691E-3</v>
      </c>
      <c r="D91" s="14">
        <f t="shared" ref="D91:Q91" si="91">_xlfn.STDEV.P(D85:D89)</f>
        <v>1.9426799427594928E-3</v>
      </c>
      <c r="E91" s="14">
        <f t="shared" si="91"/>
        <v>4.9603985485039293E-3</v>
      </c>
      <c r="F91" s="14">
        <f t="shared" si="91"/>
        <v>1.4628281648915692E-3</v>
      </c>
      <c r="G91" s="14">
        <f t="shared" si="91"/>
        <v>3.404258509573225E-4</v>
      </c>
      <c r="H91" s="14">
        <f t="shared" si="91"/>
        <v>4.8704415980483197E-3</v>
      </c>
      <c r="I91" s="14">
        <f t="shared" si="91"/>
        <v>5.8280398282784173E-3</v>
      </c>
      <c r="J91" s="14">
        <f t="shared" si="91"/>
        <v>1.488119564551184E-2</v>
      </c>
      <c r="K91" s="14">
        <f t="shared" si="91"/>
        <v>4.3884844946747038E-3</v>
      </c>
      <c r="L91" s="14">
        <f t="shared" si="91"/>
        <v>1.0212775528719823E-3</v>
      </c>
      <c r="M91" s="14">
        <f t="shared" si="91"/>
        <v>3.896353278438599E-3</v>
      </c>
      <c r="N91" s="14">
        <f t="shared" si="91"/>
        <v>2.3312159313113669E-2</v>
      </c>
      <c r="O91" s="14">
        <f t="shared" si="91"/>
        <v>0.23809913032818944</v>
      </c>
      <c r="P91" s="14">
        <f t="shared" si="91"/>
        <v>0.17553937978698964</v>
      </c>
      <c r="Q91" s="14">
        <f t="shared" si="91"/>
        <v>0.40851102114879162</v>
      </c>
    </row>
    <row r="92" spans="1:17" ht="15.75" customHeight="1" x14ac:dyDescent="0.25">
      <c r="A92" s="95" t="s">
        <v>47</v>
      </c>
      <c r="B92" s="21">
        <v>1</v>
      </c>
      <c r="C92" s="46">
        <v>0.60506199999999999</v>
      </c>
      <c r="D92" s="46">
        <v>0.60436000000000001</v>
      </c>
      <c r="E92" s="46">
        <v>0.6048</v>
      </c>
      <c r="F92" s="46">
        <v>0.60507299999999997</v>
      </c>
      <c r="G92" s="32"/>
      <c r="H92" s="22">
        <f t="shared" ref="H92:K92" si="92">C92*B$2</f>
        <v>1.815186</v>
      </c>
      <c r="I92" s="31">
        <f t="shared" si="92"/>
        <v>1.81308</v>
      </c>
      <c r="J92" s="31">
        <f t="shared" si="92"/>
        <v>1.8144</v>
      </c>
      <c r="K92" s="31">
        <f t="shared" si="92"/>
        <v>1.8152189999999999</v>
      </c>
      <c r="L92" s="31"/>
      <c r="M92" s="22">
        <f t="shared" ref="M92:P92" si="93">H92*B$6</f>
        <v>3.6303719999999999</v>
      </c>
      <c r="N92" s="31">
        <f t="shared" si="93"/>
        <v>18.130800000000001</v>
      </c>
      <c r="O92" s="31">
        <f t="shared" si="93"/>
        <v>72.575999999999993</v>
      </c>
      <c r="P92" s="31">
        <f t="shared" si="93"/>
        <v>181.52189999999999</v>
      </c>
      <c r="Q92" s="32"/>
    </row>
    <row r="93" spans="1:17" ht="15.75" customHeight="1" x14ac:dyDescent="0.25">
      <c r="A93" s="96"/>
      <c r="B93" s="44">
        <v>2</v>
      </c>
      <c r="C93" s="45">
        <v>0.60477199999999998</v>
      </c>
      <c r="D93" s="45">
        <v>0.60458000000000001</v>
      </c>
      <c r="E93" s="45">
        <v>0.60507999999999995</v>
      </c>
      <c r="F93" s="45">
        <v>0.60535000000000005</v>
      </c>
      <c r="G93" s="19"/>
      <c r="H93" s="23">
        <f t="shared" ref="H93:K93" si="94">C93*B$2</f>
        <v>1.8143159999999998</v>
      </c>
      <c r="I93" s="24">
        <f t="shared" si="94"/>
        <v>1.8137400000000001</v>
      </c>
      <c r="J93" s="24">
        <f t="shared" si="94"/>
        <v>1.8152399999999997</v>
      </c>
      <c r="K93" s="24">
        <f t="shared" si="94"/>
        <v>1.8160500000000002</v>
      </c>
      <c r="L93" s="24"/>
      <c r="M93" s="23">
        <f t="shared" ref="M93:P93" si="95">H93*B$6</f>
        <v>3.6286319999999996</v>
      </c>
      <c r="N93" s="24">
        <f t="shared" si="95"/>
        <v>18.1374</v>
      </c>
      <c r="O93" s="24">
        <f t="shared" si="95"/>
        <v>72.609599999999986</v>
      </c>
      <c r="P93" s="24">
        <f t="shared" si="95"/>
        <v>181.60500000000002</v>
      </c>
      <c r="Q93" s="19"/>
    </row>
    <row r="94" spans="1:17" ht="15.75" customHeight="1" x14ac:dyDescent="0.25">
      <c r="A94" s="96"/>
      <c r="B94" s="44">
        <v>3</v>
      </c>
      <c r="C94" s="45">
        <v>0.60371900000000001</v>
      </c>
      <c r="D94" s="45">
        <v>0.60484000000000004</v>
      </c>
      <c r="E94" s="45">
        <v>0.60477999999999998</v>
      </c>
      <c r="F94" s="45">
        <v>0.60482999999999998</v>
      </c>
      <c r="G94" s="19"/>
      <c r="H94" s="23">
        <f t="shared" ref="H94:K94" si="96">C94*B$2</f>
        <v>1.8111570000000001</v>
      </c>
      <c r="I94" s="24">
        <f t="shared" si="96"/>
        <v>1.8145200000000001</v>
      </c>
      <c r="J94" s="24">
        <f t="shared" si="96"/>
        <v>1.8143400000000001</v>
      </c>
      <c r="K94" s="24">
        <f t="shared" si="96"/>
        <v>1.8144899999999999</v>
      </c>
      <c r="L94" s="24"/>
      <c r="M94" s="23">
        <f t="shared" ref="M94:P94" si="97">H94*B$6</f>
        <v>3.6223140000000003</v>
      </c>
      <c r="N94" s="24">
        <f t="shared" si="97"/>
        <v>18.145200000000003</v>
      </c>
      <c r="O94" s="24">
        <f t="shared" si="97"/>
        <v>72.573599999999999</v>
      </c>
      <c r="P94" s="24">
        <f t="shared" si="97"/>
        <v>181.44899999999998</v>
      </c>
      <c r="Q94" s="19"/>
    </row>
    <row r="95" spans="1:17" ht="15.75" customHeight="1" x14ac:dyDescent="0.25">
      <c r="A95" s="96"/>
      <c r="B95" s="44">
        <v>4</v>
      </c>
      <c r="C95" s="45">
        <v>0.60482100000000005</v>
      </c>
      <c r="D95" s="45">
        <v>0.60375999999999996</v>
      </c>
      <c r="E95" s="45">
        <v>0.60501000000000005</v>
      </c>
      <c r="F95" s="45">
        <v>0.60511000000000004</v>
      </c>
      <c r="G95" s="19"/>
      <c r="H95" s="23">
        <f t="shared" ref="H95:K95" si="98">C95*B$2</f>
        <v>1.8144630000000002</v>
      </c>
      <c r="I95" s="24">
        <f t="shared" si="98"/>
        <v>1.81128</v>
      </c>
      <c r="J95" s="24">
        <f t="shared" si="98"/>
        <v>1.8150300000000001</v>
      </c>
      <c r="K95" s="24">
        <f t="shared" si="98"/>
        <v>1.8153300000000001</v>
      </c>
      <c r="L95" s="24"/>
      <c r="M95" s="23">
        <f t="shared" ref="M95:P95" si="99">H95*B$6</f>
        <v>3.6289260000000003</v>
      </c>
      <c r="N95" s="24">
        <f t="shared" si="99"/>
        <v>18.1128</v>
      </c>
      <c r="O95" s="24">
        <f t="shared" si="99"/>
        <v>72.601200000000006</v>
      </c>
      <c r="P95" s="24">
        <f t="shared" si="99"/>
        <v>181.53300000000002</v>
      </c>
      <c r="Q95" s="19"/>
    </row>
    <row r="96" spans="1:17" ht="15.75" customHeight="1" x14ac:dyDescent="0.25">
      <c r="A96" s="96"/>
      <c r="B96" s="44">
        <v>5</v>
      </c>
      <c r="C96" s="45">
        <v>0.60450000000000004</v>
      </c>
      <c r="D96" s="45">
        <v>0.60465000000000002</v>
      </c>
      <c r="E96" s="45">
        <v>0.60485999999999995</v>
      </c>
      <c r="F96" s="45">
        <v>0.60489999999999999</v>
      </c>
      <c r="G96" s="19"/>
      <c r="H96" s="40">
        <f t="shared" ref="H96:K96" si="100">C96*B$2</f>
        <v>1.8135000000000001</v>
      </c>
      <c r="I96" s="39">
        <f t="shared" si="100"/>
        <v>1.8139500000000002</v>
      </c>
      <c r="J96" s="39">
        <f t="shared" si="100"/>
        <v>1.8145799999999999</v>
      </c>
      <c r="K96" s="39">
        <f t="shared" si="100"/>
        <v>1.8147</v>
      </c>
      <c r="L96" s="39"/>
      <c r="M96" s="40">
        <f t="shared" ref="M96:P96" si="101">H96*B$6</f>
        <v>3.6270000000000002</v>
      </c>
      <c r="N96" s="39">
        <f t="shared" si="101"/>
        <v>18.139500000000002</v>
      </c>
      <c r="O96" s="39">
        <f t="shared" si="101"/>
        <v>72.583199999999991</v>
      </c>
      <c r="P96" s="39">
        <f t="shared" si="101"/>
        <v>181.47</v>
      </c>
      <c r="Q96" s="41"/>
    </row>
    <row r="97" spans="1:17" ht="15.75" customHeight="1" x14ac:dyDescent="0.25">
      <c r="A97" s="96"/>
      <c r="B97" s="42" t="s">
        <v>22</v>
      </c>
      <c r="C97" s="14">
        <f t="shared" ref="C97:P97" si="102">AVERAGE(C92:C96)</f>
        <v>0.60457479999999997</v>
      </c>
      <c r="D97" s="14">
        <f t="shared" si="102"/>
        <v>0.60443800000000003</v>
      </c>
      <c r="E97" s="14">
        <f t="shared" si="102"/>
        <v>0.60490599999999994</v>
      </c>
      <c r="F97" s="14">
        <f t="shared" si="102"/>
        <v>0.60505259999999994</v>
      </c>
      <c r="G97" s="14"/>
      <c r="H97" s="14">
        <f t="shared" si="102"/>
        <v>1.8137243999999999</v>
      </c>
      <c r="I97" s="14">
        <f t="shared" si="102"/>
        <v>1.8133140000000001</v>
      </c>
      <c r="J97" s="14">
        <f t="shared" si="102"/>
        <v>1.8147179999999998</v>
      </c>
      <c r="K97" s="14">
        <f t="shared" si="102"/>
        <v>1.8151578000000002</v>
      </c>
      <c r="L97" s="14"/>
      <c r="M97" s="14">
        <f t="shared" si="102"/>
        <v>3.6274487999999998</v>
      </c>
      <c r="N97" s="14">
        <f t="shared" si="102"/>
        <v>18.133140000000001</v>
      </c>
      <c r="O97" s="14">
        <f t="shared" si="102"/>
        <v>72.588719999999995</v>
      </c>
      <c r="P97" s="14">
        <f t="shared" si="102"/>
        <v>181.51578000000001</v>
      </c>
      <c r="Q97" s="14"/>
    </row>
    <row r="98" spans="1:17" ht="15.75" customHeight="1" x14ac:dyDescent="0.25">
      <c r="A98" s="97"/>
      <c r="B98" s="42" t="s">
        <v>23</v>
      </c>
      <c r="C98" s="14">
        <f>_xlfn.STDEV.P(C92:C96)</f>
        <v>4.6364960907995824E-4</v>
      </c>
      <c r="D98" s="14">
        <f t="shared" ref="D98:P98" si="103">_xlfn.STDEV.P(D92:D96)</f>
        <v>3.7215050718764162E-4</v>
      </c>
      <c r="E98" s="14">
        <f t="shared" si="103"/>
        <v>1.1859173664298903E-4</v>
      </c>
      <c r="F98" s="14">
        <f t="shared" si="103"/>
        <v>1.8165637891362203E-4</v>
      </c>
      <c r="G98" s="14"/>
      <c r="H98" s="14">
        <f t="shared" si="103"/>
        <v>1.3909488272398243E-3</v>
      </c>
      <c r="I98" s="14">
        <f t="shared" si="103"/>
        <v>1.1164515215629056E-3</v>
      </c>
      <c r="J98" s="14">
        <f t="shared" si="103"/>
        <v>3.5577520992891091E-4</v>
      </c>
      <c r="K98" s="14">
        <f t="shared" si="103"/>
        <v>5.449691367408661E-4</v>
      </c>
      <c r="L98" s="14"/>
      <c r="M98" s="14">
        <f t="shared" si="103"/>
        <v>2.7818976544796486E-3</v>
      </c>
      <c r="N98" s="14">
        <f t="shared" si="103"/>
        <v>1.116451521562919E-2</v>
      </c>
      <c r="O98" s="14">
        <f t="shared" si="103"/>
        <v>1.4231008397157694E-2</v>
      </c>
      <c r="P98" s="14">
        <f t="shared" si="103"/>
        <v>5.4496913674089646E-2</v>
      </c>
      <c r="Q98" s="14"/>
    </row>
    <row r="99" spans="1:17" ht="15.75" customHeight="1" x14ac:dyDescent="0.25">
      <c r="A99" s="95" t="s">
        <v>48</v>
      </c>
      <c r="B99" s="27">
        <v>1</v>
      </c>
      <c r="C99" s="22">
        <v>0.59953299999999998</v>
      </c>
      <c r="D99" s="31">
        <v>0.59842200000000001</v>
      </c>
      <c r="E99" s="31">
        <v>0.59914100000000003</v>
      </c>
      <c r="F99" s="47">
        <v>0.599024</v>
      </c>
      <c r="G99" s="32"/>
      <c r="H99" s="22">
        <f t="shared" ref="H99:K99" si="104">C99*B$2</f>
        <v>1.7985989999999998</v>
      </c>
      <c r="I99" s="31">
        <f t="shared" si="104"/>
        <v>1.795266</v>
      </c>
      <c r="J99" s="31">
        <f t="shared" si="104"/>
        <v>1.7974230000000002</v>
      </c>
      <c r="K99" s="31">
        <f t="shared" si="104"/>
        <v>1.797072</v>
      </c>
      <c r="L99" s="31"/>
      <c r="M99" s="22">
        <f t="shared" ref="M99:P99" si="105">H99*B$7</f>
        <v>14.388791999999999</v>
      </c>
      <c r="N99" s="31">
        <f t="shared" si="105"/>
        <v>71.810640000000006</v>
      </c>
      <c r="O99" s="31">
        <f t="shared" si="105"/>
        <v>287.58768000000003</v>
      </c>
      <c r="P99" s="31">
        <f t="shared" si="105"/>
        <v>718.8288</v>
      </c>
      <c r="Q99" s="32"/>
    </row>
    <row r="100" spans="1:17" ht="15.75" customHeight="1" x14ac:dyDescent="0.25">
      <c r="A100" s="96"/>
      <c r="B100" s="44">
        <v>2</v>
      </c>
      <c r="C100" s="45">
        <v>0.59895399999999999</v>
      </c>
      <c r="D100" s="45">
        <v>0.59831999999999996</v>
      </c>
      <c r="E100" s="45">
        <v>0.59941999999999995</v>
      </c>
      <c r="F100" s="45">
        <v>0.59901599999999999</v>
      </c>
      <c r="G100" s="19"/>
      <c r="H100" s="23">
        <f t="shared" ref="H100:K100" si="106">C100*B$2</f>
        <v>1.796862</v>
      </c>
      <c r="I100" s="24">
        <f t="shared" si="106"/>
        <v>1.7949599999999999</v>
      </c>
      <c r="J100" s="24">
        <f t="shared" si="106"/>
        <v>1.79826</v>
      </c>
      <c r="K100" s="24">
        <f t="shared" si="106"/>
        <v>1.797048</v>
      </c>
      <c r="L100" s="24"/>
      <c r="M100" s="23">
        <f t="shared" ref="M100:P100" si="107">H100*B$7</f>
        <v>14.374896</v>
      </c>
      <c r="N100" s="24">
        <f t="shared" si="107"/>
        <v>71.798400000000001</v>
      </c>
      <c r="O100" s="24">
        <f t="shared" si="107"/>
        <v>287.72159999999997</v>
      </c>
      <c r="P100" s="24">
        <f t="shared" si="107"/>
        <v>718.81920000000002</v>
      </c>
      <c r="Q100" s="19"/>
    </row>
    <row r="101" spans="1:17" ht="15.75" customHeight="1" x14ac:dyDescent="0.25">
      <c r="A101" s="96"/>
      <c r="B101" s="44">
        <v>3</v>
      </c>
      <c r="C101" s="45">
        <v>0.59880100000000003</v>
      </c>
      <c r="D101" s="45">
        <v>0.59791000000000005</v>
      </c>
      <c r="E101" s="45">
        <v>0.59887999999999997</v>
      </c>
      <c r="F101" s="45">
        <v>0.598997</v>
      </c>
      <c r="G101" s="19"/>
      <c r="H101" s="23">
        <f t="shared" ref="H101:K101" si="108">C101*B$2</f>
        <v>1.7964030000000002</v>
      </c>
      <c r="I101" s="24">
        <f t="shared" si="108"/>
        <v>1.79373</v>
      </c>
      <c r="J101" s="24">
        <f t="shared" si="108"/>
        <v>1.79664</v>
      </c>
      <c r="K101" s="24">
        <f t="shared" si="108"/>
        <v>1.796991</v>
      </c>
      <c r="L101" s="24"/>
      <c r="M101" s="23">
        <f t="shared" ref="M101:P101" si="109">H101*B$7</f>
        <v>14.371224000000002</v>
      </c>
      <c r="N101" s="24">
        <f t="shared" si="109"/>
        <v>71.749200000000002</v>
      </c>
      <c r="O101" s="24">
        <f t="shared" si="109"/>
        <v>287.4624</v>
      </c>
      <c r="P101" s="24">
        <f t="shared" si="109"/>
        <v>718.79639999999995</v>
      </c>
      <c r="Q101" s="19"/>
    </row>
    <row r="102" spans="1:17" ht="15.75" customHeight="1" x14ac:dyDescent="0.25">
      <c r="A102" s="96"/>
      <c r="B102" s="44">
        <v>4</v>
      </c>
      <c r="C102" s="45">
        <v>0.59935499999999997</v>
      </c>
      <c r="D102" s="45">
        <v>0.59774000000000005</v>
      </c>
      <c r="E102" s="45">
        <v>0.59897999999999996</v>
      </c>
      <c r="F102" s="45">
        <v>0.59909100000000004</v>
      </c>
      <c r="G102" s="19"/>
      <c r="H102" s="23">
        <f t="shared" ref="H102:K102" si="110">C102*B$2</f>
        <v>1.7980649999999998</v>
      </c>
      <c r="I102" s="24">
        <f t="shared" si="110"/>
        <v>1.7932200000000003</v>
      </c>
      <c r="J102" s="24">
        <f t="shared" si="110"/>
        <v>1.7969399999999998</v>
      </c>
      <c r="K102" s="24">
        <f t="shared" si="110"/>
        <v>1.7972730000000001</v>
      </c>
      <c r="L102" s="24"/>
      <c r="M102" s="23">
        <f t="shared" ref="M102:P102" si="111">H102*B$7</f>
        <v>14.384519999999998</v>
      </c>
      <c r="N102" s="24">
        <f t="shared" si="111"/>
        <v>71.728800000000007</v>
      </c>
      <c r="O102" s="24">
        <f t="shared" si="111"/>
        <v>287.51039999999995</v>
      </c>
      <c r="P102" s="24">
        <f t="shared" si="111"/>
        <v>718.90920000000006</v>
      </c>
      <c r="Q102" s="19"/>
    </row>
    <row r="103" spans="1:17" ht="15.75" customHeight="1" x14ac:dyDescent="0.25">
      <c r="A103" s="96"/>
      <c r="B103" s="44">
        <v>5</v>
      </c>
      <c r="C103" s="45">
        <v>0.59957700000000003</v>
      </c>
      <c r="D103" s="45">
        <v>0.59904999999999997</v>
      </c>
      <c r="E103" s="45">
        <v>0.59916000000000003</v>
      </c>
      <c r="F103" s="45">
        <v>0.59906000000000004</v>
      </c>
      <c r="G103" s="19"/>
      <c r="H103" s="40">
        <f t="shared" ref="H103:K103" si="112">C103*B$2</f>
        <v>1.7987310000000001</v>
      </c>
      <c r="I103" s="39">
        <f t="shared" si="112"/>
        <v>1.7971499999999998</v>
      </c>
      <c r="J103" s="39">
        <f t="shared" si="112"/>
        <v>1.7974800000000002</v>
      </c>
      <c r="K103" s="39">
        <f t="shared" si="112"/>
        <v>1.79718</v>
      </c>
      <c r="L103" s="39"/>
      <c r="M103" s="40">
        <f t="shared" ref="M103:P103" si="113">H103*B$7</f>
        <v>14.389848000000001</v>
      </c>
      <c r="N103" s="39">
        <f t="shared" si="113"/>
        <v>71.885999999999996</v>
      </c>
      <c r="O103" s="39">
        <f t="shared" si="113"/>
        <v>287.59680000000003</v>
      </c>
      <c r="P103" s="39">
        <f t="shared" si="113"/>
        <v>718.87199999999996</v>
      </c>
      <c r="Q103" s="41"/>
    </row>
    <row r="104" spans="1:17" ht="15.75" customHeight="1" x14ac:dyDescent="0.25">
      <c r="A104" s="96"/>
      <c r="B104" s="42" t="s">
        <v>22</v>
      </c>
      <c r="C104" s="14">
        <f t="shared" ref="C104:F104" si="114">AVERAGE(C99:C103)</f>
        <v>0.599244</v>
      </c>
      <c r="D104" s="14">
        <f t="shared" si="114"/>
        <v>0.59828840000000005</v>
      </c>
      <c r="E104" s="14">
        <f t="shared" si="114"/>
        <v>0.59911619999999999</v>
      </c>
      <c r="F104" s="14">
        <f t="shared" si="114"/>
        <v>0.59903760000000006</v>
      </c>
      <c r="G104" s="14"/>
      <c r="H104" s="14">
        <f t="shared" ref="H104:P104" si="115">AVERAGE(H99:H103)</f>
        <v>1.7977319999999999</v>
      </c>
      <c r="I104" s="14">
        <f t="shared" si="115"/>
        <v>1.7948651999999998</v>
      </c>
      <c r="J104" s="14">
        <f t="shared" si="115"/>
        <v>1.7973486000000001</v>
      </c>
      <c r="K104" s="14">
        <f t="shared" si="115"/>
        <v>1.7971128000000001</v>
      </c>
      <c r="L104" s="14"/>
      <c r="M104" s="14">
        <f t="shared" si="115"/>
        <v>14.381855999999999</v>
      </c>
      <c r="N104" s="14">
        <f t="shared" si="115"/>
        <v>71.794607999999997</v>
      </c>
      <c r="O104" s="14">
        <f t="shared" si="115"/>
        <v>287.57577600000002</v>
      </c>
      <c r="P104" s="14">
        <f t="shared" si="115"/>
        <v>718.84512000000007</v>
      </c>
      <c r="Q104" s="14"/>
    </row>
    <row r="105" spans="1:17" ht="15.75" customHeight="1" x14ac:dyDescent="0.25">
      <c r="A105" s="97"/>
      <c r="B105" s="42" t="s">
        <v>23</v>
      </c>
      <c r="C105" s="14">
        <f>_xlfn.STDEV.P(C99:C103)</f>
        <v>3.1211536328735394E-4</v>
      </c>
      <c r="D105" s="14">
        <f t="shared" ref="D105:P105" si="116">_xlfn.STDEV.P(D99:D103)</f>
        <v>4.5668615043591219E-4</v>
      </c>
      <c r="E105" s="14">
        <f t="shared" si="116"/>
        <v>1.8393955528923204E-4</v>
      </c>
      <c r="F105" s="14">
        <f t="shared" si="116"/>
        <v>3.3624990706336529E-5</v>
      </c>
      <c r="G105" s="14"/>
      <c r="H105" s="14">
        <f t="shared" si="116"/>
        <v>9.3634608986200186E-4</v>
      </c>
      <c r="I105" s="14">
        <f t="shared" si="116"/>
        <v>1.370058451307691E-3</v>
      </c>
      <c r="J105" s="14">
        <f t="shared" si="116"/>
        <v>5.5181866586772894E-4</v>
      </c>
      <c r="K105" s="14">
        <f t="shared" si="116"/>
        <v>1.008749721189948E-4</v>
      </c>
      <c r="L105" s="14"/>
      <c r="M105" s="14">
        <f t="shared" si="116"/>
        <v>7.4907687188960148E-3</v>
      </c>
      <c r="N105" s="14">
        <f t="shared" si="116"/>
        <v>5.4802338052310072E-2</v>
      </c>
      <c r="O105" s="14">
        <f t="shared" si="116"/>
        <v>8.8290986538829358E-2</v>
      </c>
      <c r="P105" s="14">
        <f t="shared" si="116"/>
        <v>4.0349988847603255E-2</v>
      </c>
      <c r="Q105" s="14"/>
    </row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E21:G21"/>
    <mergeCell ref="B9:D9"/>
    <mergeCell ref="E9:G9"/>
    <mergeCell ref="B21:D21"/>
    <mergeCell ref="B45:D45"/>
    <mergeCell ref="E45:G45"/>
    <mergeCell ref="B33:D33"/>
    <mergeCell ref="E33:G33"/>
    <mergeCell ref="S1:W1"/>
    <mergeCell ref="H9:J9"/>
    <mergeCell ref="K9:M9"/>
    <mergeCell ref="H69:L69"/>
    <mergeCell ref="M69:Q69"/>
    <mergeCell ref="N56:P56"/>
    <mergeCell ref="K56:M56"/>
    <mergeCell ref="K45:M45"/>
    <mergeCell ref="N45:P45"/>
    <mergeCell ref="H33:J33"/>
    <mergeCell ref="K33:M33"/>
    <mergeCell ref="N33:P33"/>
    <mergeCell ref="N21:P21"/>
    <mergeCell ref="H21:J21"/>
    <mergeCell ref="K21:M21"/>
    <mergeCell ref="N9:P9"/>
    <mergeCell ref="A78:A84"/>
    <mergeCell ref="A85:A91"/>
    <mergeCell ref="A92:A98"/>
    <mergeCell ref="A99:A105"/>
    <mergeCell ref="H45:J45"/>
    <mergeCell ref="A71:A77"/>
    <mergeCell ref="B56:D56"/>
    <mergeCell ref="H56:J56"/>
    <mergeCell ref="C69:G69"/>
    <mergeCell ref="E56:G5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1"/>
  <sheetViews>
    <sheetView tabSelected="1" topLeftCell="G64" workbookViewId="0">
      <selection activeCell="R84" sqref="R84"/>
    </sheetView>
  </sheetViews>
  <sheetFormatPr defaultColWidth="11.25" defaultRowHeight="15" customHeight="1" x14ac:dyDescent="0.25"/>
  <cols>
    <col min="1" max="1" width="9.625" style="5" customWidth="1"/>
    <col min="2" max="2" width="7.875" style="5" customWidth="1"/>
    <col min="3" max="13" width="11.25" style="5"/>
    <col min="14" max="14" width="7.75" style="5" customWidth="1"/>
    <col min="15" max="16384" width="11.25" style="5"/>
  </cols>
  <sheetData>
    <row r="1" spans="1:33" ht="15" customHeight="1" x14ac:dyDescent="0.25">
      <c r="A1" s="152" t="s">
        <v>24</v>
      </c>
      <c r="C1" s="49" t="s">
        <v>0</v>
      </c>
      <c r="D1" s="5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ht="15" customHeight="1" x14ac:dyDescent="0.25">
      <c r="A2" s="151" t="s">
        <v>1</v>
      </c>
      <c r="B2" s="42" t="s">
        <v>2</v>
      </c>
      <c r="C2" s="42" t="s">
        <v>3</v>
      </c>
      <c r="D2" s="42" t="s">
        <v>4</v>
      </c>
      <c r="E2" s="23"/>
      <c r="F2" s="24"/>
      <c r="G2" s="42" t="s">
        <v>5</v>
      </c>
      <c r="H2" s="42">
        <v>3</v>
      </c>
      <c r="I2" s="6"/>
      <c r="J2" s="24"/>
      <c r="K2" s="6"/>
      <c r="L2" s="6"/>
      <c r="M2" s="6"/>
      <c r="N2" s="6"/>
      <c r="O2" s="6"/>
      <c r="P2" s="6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3" ht="15" customHeight="1" x14ac:dyDescent="0.25">
      <c r="A3" s="42" t="s">
        <v>6</v>
      </c>
      <c r="B3" s="25">
        <v>1024</v>
      </c>
      <c r="C3" s="6">
        <f t="shared" ref="C3:D3" si="0">12.5*1024</f>
        <v>12800</v>
      </c>
      <c r="D3" s="26">
        <f t="shared" si="0"/>
        <v>12800</v>
      </c>
      <c r="E3" s="24"/>
      <c r="F3" s="24"/>
      <c r="G3" s="24"/>
      <c r="H3" s="24"/>
      <c r="I3" s="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3" ht="15" customHeight="1" x14ac:dyDescent="0.25">
      <c r="A4" s="42" t="s">
        <v>7</v>
      </c>
      <c r="B4" s="25">
        <v>1024</v>
      </c>
      <c r="C4" s="6">
        <f t="shared" ref="C4:D4" si="1">12.5*1024</f>
        <v>12800</v>
      </c>
      <c r="D4" s="26">
        <f t="shared" si="1"/>
        <v>12800</v>
      </c>
      <c r="E4" s="24"/>
      <c r="F4" s="24"/>
      <c r="G4" s="24"/>
      <c r="H4" s="24"/>
      <c r="I4" s="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5" customHeight="1" x14ac:dyDescent="0.25">
      <c r="A5" s="42" t="s">
        <v>8</v>
      </c>
      <c r="B5" s="25">
        <f t="shared" ref="B5:D5" si="2">100*1024</f>
        <v>102400</v>
      </c>
      <c r="C5" s="6">
        <f t="shared" si="2"/>
        <v>102400</v>
      </c>
      <c r="D5" s="26">
        <f t="shared" si="2"/>
        <v>102400</v>
      </c>
      <c r="E5" s="24"/>
      <c r="F5" s="24"/>
      <c r="G5" s="24"/>
      <c r="H5" s="24"/>
      <c r="I5" s="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5" customHeight="1" x14ac:dyDescent="0.25">
      <c r="A6" s="42" t="s">
        <v>9</v>
      </c>
      <c r="B6" s="51">
        <f t="shared" ref="B6:D6" si="3">100*1024</f>
        <v>102400</v>
      </c>
      <c r="C6" s="52">
        <f t="shared" si="3"/>
        <v>102400</v>
      </c>
      <c r="D6" s="53">
        <f t="shared" si="3"/>
        <v>102400</v>
      </c>
      <c r="E6" s="24"/>
      <c r="F6" s="24"/>
      <c r="G6" s="24"/>
      <c r="H6" s="24"/>
      <c r="I6" s="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54"/>
      <c r="Y6" s="54"/>
      <c r="Z6" s="54"/>
      <c r="AA6" s="54"/>
      <c r="AB6" s="54"/>
      <c r="AC6" s="54"/>
      <c r="AD6" s="54"/>
      <c r="AE6" s="54"/>
      <c r="AF6" s="54"/>
      <c r="AG6" s="54"/>
    </row>
    <row r="7" spans="1:33" ht="15" customHeight="1" x14ac:dyDescent="0.25">
      <c r="A7" s="24"/>
      <c r="B7" s="24"/>
      <c r="C7" s="24"/>
      <c r="D7" s="24"/>
      <c r="E7" s="24"/>
      <c r="F7" s="24"/>
      <c r="G7" s="24"/>
      <c r="H7" s="24"/>
      <c r="I7" s="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5" customHeight="1" x14ac:dyDescent="0.25">
      <c r="A10" s="109" t="s">
        <v>10</v>
      </c>
      <c r="B10" s="100"/>
      <c r="C10" s="101" t="s">
        <v>11</v>
      </c>
      <c r="D10" s="102"/>
      <c r="E10" s="102"/>
      <c r="F10" s="102"/>
      <c r="G10" s="102"/>
      <c r="H10" s="103"/>
      <c r="I10" s="106" t="s">
        <v>12</v>
      </c>
      <c r="J10" s="102"/>
      <c r="K10" s="102"/>
      <c r="L10" s="102"/>
      <c r="M10" s="102"/>
      <c r="N10" s="102"/>
      <c r="O10" s="101" t="s">
        <v>13</v>
      </c>
      <c r="P10" s="102"/>
      <c r="Q10" s="102"/>
      <c r="R10" s="102"/>
      <c r="S10" s="102"/>
      <c r="T10" s="103"/>
      <c r="U10" s="106" t="s">
        <v>14</v>
      </c>
      <c r="V10" s="102"/>
      <c r="W10" s="102"/>
      <c r="X10" s="102"/>
      <c r="Y10" s="102"/>
      <c r="Z10" s="102"/>
      <c r="AA10" s="101" t="s">
        <v>15</v>
      </c>
      <c r="AB10" s="102"/>
      <c r="AC10" s="102"/>
      <c r="AD10" s="102"/>
      <c r="AE10" s="102"/>
      <c r="AF10" s="103"/>
      <c r="AG10" s="54"/>
    </row>
    <row r="11" spans="1:33" ht="15" customHeight="1" x14ac:dyDescent="0.25">
      <c r="A11" s="96"/>
      <c r="B11" s="110"/>
      <c r="C11" s="24" t="s">
        <v>16</v>
      </c>
      <c r="D11" s="24" t="s">
        <v>17</v>
      </c>
      <c r="E11" s="24" t="s">
        <v>18</v>
      </c>
      <c r="F11" s="24" t="s">
        <v>19</v>
      </c>
      <c r="G11" s="24" t="s">
        <v>20</v>
      </c>
      <c r="H11" s="19" t="s">
        <v>21</v>
      </c>
      <c r="I11" s="24" t="s">
        <v>16</v>
      </c>
      <c r="J11" s="24" t="s">
        <v>17</v>
      </c>
      <c r="K11" s="24" t="s">
        <v>18</v>
      </c>
      <c r="L11" s="24" t="s">
        <v>19</v>
      </c>
      <c r="M11" s="24" t="s">
        <v>20</v>
      </c>
      <c r="N11" s="24" t="s">
        <v>21</v>
      </c>
      <c r="O11" s="23" t="s">
        <v>16</v>
      </c>
      <c r="P11" s="24" t="s">
        <v>17</v>
      </c>
      <c r="Q11" s="24" t="s">
        <v>18</v>
      </c>
      <c r="R11" s="24" t="s">
        <v>19</v>
      </c>
      <c r="S11" s="24" t="s">
        <v>20</v>
      </c>
      <c r="T11" s="19" t="s">
        <v>21</v>
      </c>
      <c r="U11" s="24" t="s">
        <v>16</v>
      </c>
      <c r="V11" s="24" t="s">
        <v>17</v>
      </c>
      <c r="W11" s="24" t="s">
        <v>18</v>
      </c>
      <c r="X11" s="24" t="s">
        <v>19</v>
      </c>
      <c r="Y11" s="24" t="s">
        <v>20</v>
      </c>
      <c r="Z11" s="24" t="s">
        <v>21</v>
      </c>
      <c r="AA11" s="23" t="s">
        <v>16</v>
      </c>
      <c r="AB11" s="24" t="s">
        <v>17</v>
      </c>
      <c r="AC11" s="24" t="s">
        <v>18</v>
      </c>
      <c r="AD11" s="24" t="s">
        <v>19</v>
      </c>
      <c r="AE11" s="24" t="s">
        <v>20</v>
      </c>
      <c r="AF11" s="19" t="s">
        <v>21</v>
      </c>
      <c r="AG11" s="24"/>
    </row>
    <row r="12" spans="1:33" ht="15" customHeight="1" x14ac:dyDescent="0.25">
      <c r="A12" s="112" t="s">
        <v>2</v>
      </c>
      <c r="B12" s="27">
        <v>1</v>
      </c>
      <c r="C12" s="33">
        <v>1.621</v>
      </c>
      <c r="D12" s="34">
        <v>0.86508799999999997</v>
      </c>
      <c r="E12" s="34">
        <v>0.69866399999999995</v>
      </c>
      <c r="F12" s="34">
        <v>0.64727100000000004</v>
      </c>
      <c r="G12" s="34">
        <v>0.61458100000000004</v>
      </c>
      <c r="H12" s="34">
        <v>0.60240499999999997</v>
      </c>
      <c r="I12" s="33">
        <v>0.79</v>
      </c>
      <c r="J12" s="34">
        <v>3.18</v>
      </c>
      <c r="K12" s="34">
        <v>7.96</v>
      </c>
      <c r="L12" s="34">
        <v>15.93</v>
      </c>
      <c r="M12" s="34">
        <v>42.51</v>
      </c>
      <c r="N12" s="34">
        <v>106.28</v>
      </c>
      <c r="O12" s="22">
        <f t="shared" ref="O12:T12" si="4">$B$3*8/I12/1024</f>
        <v>10.126582278481012</v>
      </c>
      <c r="P12" s="31">
        <f t="shared" si="4"/>
        <v>2.5157232704402515</v>
      </c>
      <c r="Q12" s="31">
        <f t="shared" si="4"/>
        <v>1.0050251256281406</v>
      </c>
      <c r="R12" s="31">
        <f t="shared" si="4"/>
        <v>0.50219711236660391</v>
      </c>
      <c r="S12" s="31">
        <f t="shared" si="4"/>
        <v>0.18819101387908729</v>
      </c>
      <c r="T12" s="31">
        <f t="shared" si="4"/>
        <v>7.5272864132480244E-2</v>
      </c>
      <c r="U12" s="22">
        <f t="shared" ref="U12:Z12" si="5">$H$2*C12</f>
        <v>4.8629999999999995</v>
      </c>
      <c r="V12" s="31">
        <f t="shared" si="5"/>
        <v>2.5952639999999998</v>
      </c>
      <c r="W12" s="31">
        <f t="shared" si="5"/>
        <v>2.0959919999999999</v>
      </c>
      <c r="X12" s="31">
        <f t="shared" si="5"/>
        <v>1.9418130000000002</v>
      </c>
      <c r="Y12" s="31">
        <f t="shared" si="5"/>
        <v>1.8437430000000001</v>
      </c>
      <c r="Z12" s="31">
        <f t="shared" si="5"/>
        <v>1.8072149999999998</v>
      </c>
      <c r="AA12" s="22">
        <f t="shared" ref="AA12:AF12" si="6">U12*I12</f>
        <v>3.8417699999999999</v>
      </c>
      <c r="AB12" s="31">
        <f t="shared" si="6"/>
        <v>8.25293952</v>
      </c>
      <c r="AC12" s="31">
        <f t="shared" si="6"/>
        <v>16.684096319999998</v>
      </c>
      <c r="AD12" s="31">
        <f t="shared" si="6"/>
        <v>30.933081090000002</v>
      </c>
      <c r="AE12" s="31">
        <f t="shared" si="6"/>
        <v>78.377514930000004</v>
      </c>
      <c r="AF12" s="32">
        <f t="shared" si="6"/>
        <v>192.07081019999998</v>
      </c>
      <c r="AG12" s="24"/>
    </row>
    <row r="13" spans="1:33" ht="15" customHeight="1" x14ac:dyDescent="0.25">
      <c r="A13" s="107"/>
      <c r="B13" s="25">
        <v>2</v>
      </c>
      <c r="C13" s="25">
        <v>1.625</v>
      </c>
      <c r="D13" s="6">
        <v>0.82548500000000002</v>
      </c>
      <c r="E13" s="6">
        <v>0.69899699999999998</v>
      </c>
      <c r="F13" s="6">
        <v>0.646227</v>
      </c>
      <c r="G13" s="6">
        <v>0.61403399999999997</v>
      </c>
      <c r="H13" s="6">
        <v>0.60256600000000005</v>
      </c>
      <c r="I13" s="25">
        <v>0.79</v>
      </c>
      <c r="J13" s="6">
        <v>3.18</v>
      </c>
      <c r="K13" s="6">
        <v>8.1199999999999992</v>
      </c>
      <c r="L13" s="6">
        <v>16.09</v>
      </c>
      <c r="M13" s="6">
        <v>42.5</v>
      </c>
      <c r="N13" s="6">
        <v>106.24</v>
      </c>
      <c r="O13" s="23">
        <f t="shared" ref="O13:T13" si="7">$B$3*8/I13/1024</f>
        <v>10.126582278481012</v>
      </c>
      <c r="P13" s="24">
        <f t="shared" si="7"/>
        <v>2.5157232704402515</v>
      </c>
      <c r="Q13" s="24">
        <f t="shared" si="7"/>
        <v>0.98522167487684742</v>
      </c>
      <c r="R13" s="24">
        <f t="shared" si="7"/>
        <v>0.49720323182100684</v>
      </c>
      <c r="S13" s="24">
        <f t="shared" si="7"/>
        <v>0.18823529411764706</v>
      </c>
      <c r="T13" s="24">
        <f t="shared" si="7"/>
        <v>7.5301204819277115E-2</v>
      </c>
      <c r="U13" s="23">
        <f t="shared" ref="U13:Z13" si="8">$H$2*C13</f>
        <v>4.875</v>
      </c>
      <c r="V13" s="24">
        <f t="shared" si="8"/>
        <v>2.4764550000000001</v>
      </c>
      <c r="W13" s="24">
        <f t="shared" si="8"/>
        <v>2.096991</v>
      </c>
      <c r="X13" s="24">
        <f t="shared" si="8"/>
        <v>1.9386809999999999</v>
      </c>
      <c r="Y13" s="24">
        <f t="shared" si="8"/>
        <v>1.8421019999999999</v>
      </c>
      <c r="Z13" s="24">
        <f t="shared" si="8"/>
        <v>1.8076980000000002</v>
      </c>
      <c r="AA13" s="23">
        <f t="shared" ref="AA13:AF13" si="9">U13*I13</f>
        <v>3.8512500000000003</v>
      </c>
      <c r="AB13" s="24">
        <f t="shared" si="9"/>
        <v>7.8751269000000006</v>
      </c>
      <c r="AC13" s="24">
        <f t="shared" si="9"/>
        <v>17.027566919999998</v>
      </c>
      <c r="AD13" s="24">
        <f t="shared" si="9"/>
        <v>31.193377289999997</v>
      </c>
      <c r="AE13" s="24">
        <f t="shared" si="9"/>
        <v>78.289334999999994</v>
      </c>
      <c r="AF13" s="19">
        <f t="shared" si="9"/>
        <v>192.04983552000002</v>
      </c>
      <c r="AG13" s="24"/>
    </row>
    <row r="14" spans="1:33" ht="15" customHeight="1" x14ac:dyDescent="0.25">
      <c r="A14" s="107"/>
      <c r="B14" s="25">
        <v>3</v>
      </c>
      <c r="C14" s="25">
        <v>1.6180000000000001</v>
      </c>
      <c r="D14" s="6">
        <v>0.85624299999999998</v>
      </c>
      <c r="E14" s="6">
        <v>0.69956799999999997</v>
      </c>
      <c r="F14" s="6">
        <v>0.64663300000000001</v>
      </c>
      <c r="G14" s="6">
        <v>0.61395500000000003</v>
      </c>
      <c r="H14" s="6">
        <v>0.60266900000000001</v>
      </c>
      <c r="I14" s="25">
        <v>0.79</v>
      </c>
      <c r="J14" s="6">
        <v>3.18</v>
      </c>
      <c r="K14" s="6">
        <v>7.96</v>
      </c>
      <c r="L14" s="6">
        <v>15.93</v>
      </c>
      <c r="M14" s="6">
        <v>42.49</v>
      </c>
      <c r="N14" s="6">
        <v>106.25</v>
      </c>
      <c r="O14" s="23">
        <f t="shared" ref="O14:T14" si="10">$B$3*8/I14/1024</f>
        <v>10.126582278481012</v>
      </c>
      <c r="P14" s="24">
        <f t="shared" si="10"/>
        <v>2.5157232704402515</v>
      </c>
      <c r="Q14" s="24">
        <f t="shared" si="10"/>
        <v>1.0050251256281406</v>
      </c>
      <c r="R14" s="24">
        <f t="shared" si="10"/>
        <v>0.50219711236660391</v>
      </c>
      <c r="S14" s="24">
        <f t="shared" si="10"/>
        <v>0.1882795951988703</v>
      </c>
      <c r="T14" s="24">
        <f t="shared" si="10"/>
        <v>7.5294117647058817E-2</v>
      </c>
      <c r="U14" s="23">
        <f t="shared" ref="U14:Z14" si="11">$H$2*C14</f>
        <v>4.8540000000000001</v>
      </c>
      <c r="V14" s="24">
        <f t="shared" si="11"/>
        <v>2.5687289999999998</v>
      </c>
      <c r="W14" s="24">
        <f t="shared" si="11"/>
        <v>2.0987039999999997</v>
      </c>
      <c r="X14" s="24">
        <f t="shared" si="11"/>
        <v>1.939899</v>
      </c>
      <c r="Y14" s="24">
        <f t="shared" si="11"/>
        <v>1.8418650000000001</v>
      </c>
      <c r="Z14" s="24">
        <f t="shared" si="11"/>
        <v>1.8080069999999999</v>
      </c>
      <c r="AA14" s="23">
        <f t="shared" ref="AA14:AF14" si="12">U14*I14</f>
        <v>3.8346600000000004</v>
      </c>
      <c r="AB14" s="24">
        <f t="shared" si="12"/>
        <v>8.1685582199999995</v>
      </c>
      <c r="AC14" s="24">
        <f t="shared" si="12"/>
        <v>16.705683839999999</v>
      </c>
      <c r="AD14" s="24">
        <f t="shared" si="12"/>
        <v>30.90259107</v>
      </c>
      <c r="AE14" s="24">
        <f t="shared" si="12"/>
        <v>78.260843850000001</v>
      </c>
      <c r="AF14" s="19">
        <f t="shared" si="12"/>
        <v>192.10074374999999</v>
      </c>
      <c r="AG14" s="24"/>
    </row>
    <row r="15" spans="1:33" ht="15" customHeight="1" x14ac:dyDescent="0.25">
      <c r="A15" s="107"/>
      <c r="B15" s="25">
        <v>4</v>
      </c>
      <c r="C15" s="25">
        <v>1.619</v>
      </c>
      <c r="D15" s="6">
        <v>0.85361600000000004</v>
      </c>
      <c r="E15" s="6">
        <v>0.69936200000000004</v>
      </c>
      <c r="F15" s="6">
        <v>0.64690300000000001</v>
      </c>
      <c r="G15" s="6">
        <v>0.61389300000000002</v>
      </c>
      <c r="H15" s="6">
        <v>0.60266299999999995</v>
      </c>
      <c r="I15" s="25">
        <v>0.79</v>
      </c>
      <c r="J15" s="6">
        <v>3.18</v>
      </c>
      <c r="K15" s="6">
        <v>7.96</v>
      </c>
      <c r="L15" s="6">
        <v>15.93</v>
      </c>
      <c r="M15" s="6">
        <v>42.49</v>
      </c>
      <c r="N15" s="6">
        <v>106.22</v>
      </c>
      <c r="O15" s="23">
        <f t="shared" ref="O15:T15" si="13">$B$3*8/I15/1024</f>
        <v>10.126582278481012</v>
      </c>
      <c r="P15" s="24">
        <f t="shared" si="13"/>
        <v>2.5157232704402515</v>
      </c>
      <c r="Q15" s="24">
        <f t="shared" si="13"/>
        <v>1.0050251256281406</v>
      </c>
      <c r="R15" s="24">
        <f t="shared" si="13"/>
        <v>0.50219711236660391</v>
      </c>
      <c r="S15" s="24">
        <f t="shared" si="13"/>
        <v>0.1882795951988703</v>
      </c>
      <c r="T15" s="24">
        <f t="shared" si="13"/>
        <v>7.5315383167011862E-2</v>
      </c>
      <c r="U15" s="23">
        <f t="shared" ref="U15:Z15" si="14">$H$2*C15</f>
        <v>4.8570000000000002</v>
      </c>
      <c r="V15" s="24">
        <f t="shared" si="14"/>
        <v>2.560848</v>
      </c>
      <c r="W15" s="24">
        <f t="shared" si="14"/>
        <v>2.0980860000000003</v>
      </c>
      <c r="X15" s="24">
        <f t="shared" si="14"/>
        <v>1.940709</v>
      </c>
      <c r="Y15" s="24">
        <f t="shared" si="14"/>
        <v>1.8416790000000001</v>
      </c>
      <c r="Z15" s="24">
        <f t="shared" si="14"/>
        <v>1.8079889999999998</v>
      </c>
      <c r="AA15" s="23">
        <f t="shared" ref="AA15:AF15" si="15">U15*I15</f>
        <v>3.8370300000000004</v>
      </c>
      <c r="AB15" s="24">
        <f t="shared" si="15"/>
        <v>8.1434966400000004</v>
      </c>
      <c r="AC15" s="24">
        <f t="shared" si="15"/>
        <v>16.700764560000003</v>
      </c>
      <c r="AD15" s="24">
        <f t="shared" si="15"/>
        <v>30.915494370000001</v>
      </c>
      <c r="AE15" s="24">
        <f t="shared" si="15"/>
        <v>78.252940710000004</v>
      </c>
      <c r="AF15" s="19">
        <f t="shared" si="15"/>
        <v>192.04459157999997</v>
      </c>
      <c r="AG15" s="24"/>
    </row>
    <row r="16" spans="1:33" ht="15" customHeight="1" x14ac:dyDescent="0.25">
      <c r="A16" s="107"/>
      <c r="B16" s="25">
        <v>5</v>
      </c>
      <c r="C16" s="51">
        <v>1.617</v>
      </c>
      <c r="D16" s="52">
        <v>0.85473299999999997</v>
      </c>
      <c r="E16" s="52">
        <v>0.69875299999999996</v>
      </c>
      <c r="F16" s="52">
        <v>0.64705299999999999</v>
      </c>
      <c r="G16" s="52">
        <v>0.61461500000000002</v>
      </c>
      <c r="H16" s="52">
        <v>0.602468</v>
      </c>
      <c r="I16" s="51">
        <v>0.79</v>
      </c>
      <c r="J16" s="52">
        <v>3.18</v>
      </c>
      <c r="K16" s="52">
        <v>7.96</v>
      </c>
      <c r="L16" s="52">
        <v>15.94</v>
      </c>
      <c r="M16" s="52">
        <v>42.51</v>
      </c>
      <c r="N16" s="52">
        <v>106.3</v>
      </c>
      <c r="O16" s="40">
        <f t="shared" ref="O16:T16" si="16">$B$3*8/I16/1024</f>
        <v>10.126582278481012</v>
      </c>
      <c r="P16" s="39">
        <f t="shared" si="16"/>
        <v>2.5157232704402515</v>
      </c>
      <c r="Q16" s="39">
        <f t="shared" si="16"/>
        <v>1.0050251256281406</v>
      </c>
      <c r="R16" s="39">
        <f t="shared" si="16"/>
        <v>0.50188205771643668</v>
      </c>
      <c r="S16" s="39">
        <f t="shared" si="16"/>
        <v>0.18819101387908729</v>
      </c>
      <c r="T16" s="39">
        <f t="shared" si="16"/>
        <v>7.5258701787394175E-2</v>
      </c>
      <c r="U16" s="40">
        <f t="shared" ref="U16:Z16" si="17">$H$2*C16</f>
        <v>4.851</v>
      </c>
      <c r="V16" s="39">
        <f t="shared" si="17"/>
        <v>2.5641989999999999</v>
      </c>
      <c r="W16" s="39">
        <f t="shared" si="17"/>
        <v>2.0962589999999999</v>
      </c>
      <c r="X16" s="39">
        <f t="shared" si="17"/>
        <v>1.9411589999999999</v>
      </c>
      <c r="Y16" s="39">
        <f t="shared" si="17"/>
        <v>1.843845</v>
      </c>
      <c r="Z16" s="39">
        <f t="shared" si="17"/>
        <v>1.807404</v>
      </c>
      <c r="AA16" s="40">
        <f t="shared" ref="AA16:AF16" si="18">U16*I16</f>
        <v>3.83229</v>
      </c>
      <c r="AB16" s="39">
        <f t="shared" si="18"/>
        <v>8.1541528200000002</v>
      </c>
      <c r="AC16" s="39">
        <f t="shared" si="18"/>
        <v>16.686221639999999</v>
      </c>
      <c r="AD16" s="39">
        <f t="shared" si="18"/>
        <v>30.942074459999997</v>
      </c>
      <c r="AE16" s="39">
        <f t="shared" si="18"/>
        <v>78.38185095</v>
      </c>
      <c r="AF16" s="41">
        <f t="shared" si="18"/>
        <v>192.1270452</v>
      </c>
      <c r="AG16" s="24"/>
    </row>
    <row r="17" spans="1:33" ht="15" customHeight="1" x14ac:dyDescent="0.25">
      <c r="A17" s="107"/>
      <c r="B17" s="42" t="s">
        <v>22</v>
      </c>
      <c r="C17" s="43">
        <f t="shared" ref="C17:AF17" si="19">AVERAGE(C12:C16)</f>
        <v>1.6199999999999999</v>
      </c>
      <c r="D17" s="43">
        <f t="shared" si="19"/>
        <v>0.85103299999999993</v>
      </c>
      <c r="E17" s="43">
        <f t="shared" si="19"/>
        <v>0.69906879999999982</v>
      </c>
      <c r="F17" s="14">
        <f t="shared" si="19"/>
        <v>0.64681739999999999</v>
      </c>
      <c r="G17" s="43">
        <f t="shared" si="19"/>
        <v>0.61421560000000008</v>
      </c>
      <c r="H17" s="43">
        <f t="shared" si="19"/>
        <v>0.60255419999999993</v>
      </c>
      <c r="I17" s="14">
        <f t="shared" si="19"/>
        <v>0.79</v>
      </c>
      <c r="J17" s="14">
        <f t="shared" si="19"/>
        <v>3.18</v>
      </c>
      <c r="K17" s="14">
        <f t="shared" si="19"/>
        <v>7.992</v>
      </c>
      <c r="L17" s="14">
        <f t="shared" si="19"/>
        <v>15.963999999999999</v>
      </c>
      <c r="M17" s="14">
        <f t="shared" si="19"/>
        <v>42.5</v>
      </c>
      <c r="N17" s="14">
        <f t="shared" si="19"/>
        <v>106.258</v>
      </c>
      <c r="O17" s="43">
        <f t="shared" si="19"/>
        <v>10.126582278481012</v>
      </c>
      <c r="P17" s="43">
        <f t="shared" si="19"/>
        <v>2.5157232704402515</v>
      </c>
      <c r="Q17" s="43">
        <f t="shared" si="19"/>
        <v>1.0010644354778819</v>
      </c>
      <c r="R17" s="43">
        <f t="shared" si="19"/>
        <v>0.50113532532745109</v>
      </c>
      <c r="S17" s="43">
        <f t="shared" si="19"/>
        <v>0.18823530245471246</v>
      </c>
      <c r="T17" s="43">
        <f t="shared" si="19"/>
        <v>7.5288454310644445E-2</v>
      </c>
      <c r="U17" s="43">
        <f t="shared" si="19"/>
        <v>4.8599999999999994</v>
      </c>
      <c r="V17" s="43">
        <f t="shared" si="19"/>
        <v>2.553099</v>
      </c>
      <c r="W17" s="43">
        <f t="shared" si="19"/>
        <v>2.0972064000000001</v>
      </c>
      <c r="X17" s="43">
        <f t="shared" si="19"/>
        <v>1.9404522</v>
      </c>
      <c r="Y17" s="43">
        <f t="shared" si="19"/>
        <v>1.8426468</v>
      </c>
      <c r="Z17" s="43">
        <f t="shared" si="19"/>
        <v>1.8076625999999998</v>
      </c>
      <c r="AA17" s="43">
        <f t="shared" si="19"/>
        <v>3.8393999999999999</v>
      </c>
      <c r="AB17" s="43">
        <f t="shared" si="19"/>
        <v>8.1188548199999993</v>
      </c>
      <c r="AC17" s="43">
        <f t="shared" si="19"/>
        <v>16.760866655999997</v>
      </c>
      <c r="AD17" s="43">
        <f t="shared" si="19"/>
        <v>30.977323655999999</v>
      </c>
      <c r="AE17" s="43">
        <f t="shared" si="19"/>
        <v>78.312497088000015</v>
      </c>
      <c r="AF17" s="43">
        <f t="shared" si="19"/>
        <v>192.07860524999998</v>
      </c>
      <c r="AG17" s="24"/>
    </row>
    <row r="18" spans="1:33" ht="15" customHeight="1" x14ac:dyDescent="0.25">
      <c r="A18" s="107"/>
      <c r="B18" s="42" t="s">
        <v>23</v>
      </c>
      <c r="C18" s="14">
        <f>_xlfn.STDEV.P(C12:C16)</f>
        <v>2.828427124746177E-3</v>
      </c>
      <c r="D18" s="14">
        <f t="shared" ref="D18:AF18" si="20">_xlfn.STDEV.P(D12:D16)</f>
        <v>1.3399621770781424E-2</v>
      </c>
      <c r="E18" s="14">
        <f t="shared" si="20"/>
        <v>3.475384295297599E-4</v>
      </c>
      <c r="F18" s="14">
        <f t="shared" si="20"/>
        <v>3.6087759697715592E-4</v>
      </c>
      <c r="G18" s="14">
        <f t="shared" si="20"/>
        <v>3.1559442327139828E-4</v>
      </c>
      <c r="H18" s="14">
        <f t="shared" si="20"/>
        <v>1.0473471248826833E-4</v>
      </c>
      <c r="I18" s="14">
        <f t="shared" si="20"/>
        <v>0</v>
      </c>
      <c r="J18" s="14">
        <f t="shared" si="20"/>
        <v>0</v>
      </c>
      <c r="K18" s="14">
        <f t="shared" si="20"/>
        <v>6.3999999999999696E-2</v>
      </c>
      <c r="L18" s="14">
        <f t="shared" si="20"/>
        <v>6.3118935352238087E-2</v>
      </c>
      <c r="M18" s="14">
        <f t="shared" si="20"/>
        <v>8.9442719099973797E-3</v>
      </c>
      <c r="N18" s="14">
        <f t="shared" si="20"/>
        <v>2.8565713714171687E-2</v>
      </c>
      <c r="O18" s="14">
        <f t="shared" si="20"/>
        <v>0</v>
      </c>
      <c r="P18" s="14">
        <f t="shared" si="20"/>
        <v>0</v>
      </c>
      <c r="Q18" s="14">
        <f t="shared" si="20"/>
        <v>7.9213803005172764E-3</v>
      </c>
      <c r="R18" s="14">
        <f t="shared" si="20"/>
        <v>1.9698296248010852E-3</v>
      </c>
      <c r="S18" s="14">
        <f t="shared" si="20"/>
        <v>3.9614770733611926E-5</v>
      </c>
      <c r="T18" s="14">
        <f t="shared" si="20"/>
        <v>2.0238964647138093E-5</v>
      </c>
      <c r="U18" s="14">
        <f t="shared" si="20"/>
        <v>8.4852813742385159E-3</v>
      </c>
      <c r="V18" s="14">
        <f t="shared" si="20"/>
        <v>4.0198865312344234E-2</v>
      </c>
      <c r="W18" s="14">
        <f t="shared" si="20"/>
        <v>1.0426152885892488E-3</v>
      </c>
      <c r="X18" s="14">
        <f t="shared" si="20"/>
        <v>1.0826327909315176E-3</v>
      </c>
      <c r="Y18" s="14">
        <f t="shared" si="20"/>
        <v>9.4678326981416665E-4</v>
      </c>
      <c r="Z18" s="14">
        <f t="shared" si="20"/>
        <v>3.1420413746481476E-4</v>
      </c>
      <c r="AA18" s="14">
        <f t="shared" si="20"/>
        <v>6.7033722856484857E-3</v>
      </c>
      <c r="AB18" s="14">
        <f t="shared" si="20"/>
        <v>0.12783239169325472</v>
      </c>
      <c r="AC18" s="14">
        <f t="shared" si="20"/>
        <v>0.13360538824923568</v>
      </c>
      <c r="AD18" s="14">
        <f t="shared" si="20"/>
        <v>0.10889160045387587</v>
      </c>
      <c r="AE18" s="14">
        <f t="shared" si="20"/>
        <v>5.6193913246072376E-2</v>
      </c>
      <c r="AF18" s="14">
        <f t="shared" si="20"/>
        <v>3.1247181805396013E-2</v>
      </c>
      <c r="AG18" s="24"/>
    </row>
    <row r="19" spans="1:33" ht="15" customHeight="1" x14ac:dyDescent="0.25">
      <c r="A19" s="112" t="s">
        <v>3</v>
      </c>
      <c r="B19" s="21">
        <v>1</v>
      </c>
      <c r="C19" s="27">
        <v>3.0019999999999998</v>
      </c>
      <c r="D19" s="47">
        <v>1.4710000000000001</v>
      </c>
      <c r="E19" s="47">
        <v>0.84994199999999998</v>
      </c>
      <c r="F19" s="47">
        <v>0.72383299999999995</v>
      </c>
      <c r="G19" s="47">
        <v>0.64443099999999998</v>
      </c>
      <c r="H19" s="55">
        <v>0.61586600000000002</v>
      </c>
      <c r="I19" s="27">
        <v>0.84</v>
      </c>
      <c r="J19" s="47">
        <v>3.21</v>
      </c>
      <c r="K19" s="47">
        <v>7.95</v>
      </c>
      <c r="L19" s="47">
        <v>15.9</v>
      </c>
      <c r="M19" s="47">
        <v>42.43</v>
      </c>
      <c r="N19" s="47">
        <v>107.08</v>
      </c>
      <c r="O19" s="22">
        <f t="shared" ref="O19:T19" si="21">$C$3*8/I19/1024</f>
        <v>119.04761904761905</v>
      </c>
      <c r="P19" s="31">
        <f t="shared" si="21"/>
        <v>31.152647975077883</v>
      </c>
      <c r="Q19" s="31">
        <f t="shared" si="21"/>
        <v>12.578616352201257</v>
      </c>
      <c r="R19" s="31">
        <f t="shared" si="21"/>
        <v>6.2893081761006284</v>
      </c>
      <c r="S19" s="31">
        <f t="shared" si="21"/>
        <v>2.3568230025925052</v>
      </c>
      <c r="T19" s="32">
        <f t="shared" si="21"/>
        <v>0.93388121031004856</v>
      </c>
      <c r="U19" s="31">
        <f t="shared" ref="U19:Z19" si="22">$H$2*C19</f>
        <v>9.0060000000000002</v>
      </c>
      <c r="V19" s="31">
        <f t="shared" si="22"/>
        <v>4.4130000000000003</v>
      </c>
      <c r="W19" s="31">
        <f t="shared" si="22"/>
        <v>2.5498259999999999</v>
      </c>
      <c r="X19" s="31">
        <f t="shared" si="22"/>
        <v>2.1714989999999998</v>
      </c>
      <c r="Y19" s="31">
        <f t="shared" si="22"/>
        <v>1.9332929999999999</v>
      </c>
      <c r="Z19" s="31">
        <f t="shared" si="22"/>
        <v>1.8475980000000001</v>
      </c>
      <c r="AA19" s="22">
        <f t="shared" ref="AA19:AF19" si="23">U19*I19</f>
        <v>7.5650399999999998</v>
      </c>
      <c r="AB19" s="31">
        <f t="shared" si="23"/>
        <v>14.16573</v>
      </c>
      <c r="AC19" s="31">
        <f t="shared" si="23"/>
        <v>20.2711167</v>
      </c>
      <c r="AD19" s="31">
        <f t="shared" si="23"/>
        <v>34.526834099999995</v>
      </c>
      <c r="AE19" s="31">
        <f t="shared" si="23"/>
        <v>82.029621989999995</v>
      </c>
      <c r="AF19" s="32">
        <f t="shared" si="23"/>
        <v>197.84079384</v>
      </c>
      <c r="AG19" s="24"/>
    </row>
    <row r="20" spans="1:33" ht="15" customHeight="1" x14ac:dyDescent="0.25">
      <c r="A20" s="107"/>
      <c r="B20" s="44">
        <v>2</v>
      </c>
      <c r="C20" s="45">
        <v>3.0030000000000001</v>
      </c>
      <c r="D20" s="45">
        <v>1.4690000000000001</v>
      </c>
      <c r="E20" s="45">
        <v>0.84964499999999998</v>
      </c>
      <c r="F20" s="45">
        <v>0.72436800000000001</v>
      </c>
      <c r="G20" s="45">
        <v>0.64424999999999999</v>
      </c>
      <c r="H20" s="45">
        <v>0.61540099999999998</v>
      </c>
      <c r="I20" s="25">
        <v>0.84</v>
      </c>
      <c r="J20" s="6">
        <v>3.21</v>
      </c>
      <c r="K20" s="6">
        <v>7.97</v>
      </c>
      <c r="L20" s="6">
        <v>15.98</v>
      </c>
      <c r="M20" s="6">
        <v>42.43</v>
      </c>
      <c r="N20" s="6">
        <v>107.13</v>
      </c>
      <c r="O20" s="23">
        <f t="shared" ref="O20:T20" si="24">$C$3*8/I20/1024</f>
        <v>119.04761904761905</v>
      </c>
      <c r="P20" s="24">
        <f t="shared" si="24"/>
        <v>31.152647975077883</v>
      </c>
      <c r="Q20" s="24">
        <f t="shared" si="24"/>
        <v>12.547051442910917</v>
      </c>
      <c r="R20" s="24">
        <f t="shared" si="24"/>
        <v>6.2578222778473087</v>
      </c>
      <c r="S20" s="24">
        <f t="shared" si="24"/>
        <v>2.3568230025925052</v>
      </c>
      <c r="T20" s="19">
        <f t="shared" si="24"/>
        <v>0.93344534677494639</v>
      </c>
      <c r="U20" s="24">
        <f t="shared" ref="U20:Z20" si="25">$H$2*C20</f>
        <v>9.0090000000000003</v>
      </c>
      <c r="V20" s="24">
        <f t="shared" si="25"/>
        <v>4.407</v>
      </c>
      <c r="W20" s="24">
        <f t="shared" si="25"/>
        <v>2.5489350000000002</v>
      </c>
      <c r="X20" s="24">
        <f t="shared" si="25"/>
        <v>2.1731039999999999</v>
      </c>
      <c r="Y20" s="24">
        <f t="shared" si="25"/>
        <v>1.93275</v>
      </c>
      <c r="Z20" s="24">
        <f t="shared" si="25"/>
        <v>1.846203</v>
      </c>
      <c r="AA20" s="23">
        <f t="shared" ref="AA20:AF20" si="26">U20*I20</f>
        <v>7.5675600000000003</v>
      </c>
      <c r="AB20" s="24">
        <f t="shared" si="26"/>
        <v>14.146470000000001</v>
      </c>
      <c r="AC20" s="24">
        <f t="shared" si="26"/>
        <v>20.315011950000002</v>
      </c>
      <c r="AD20" s="24">
        <f t="shared" si="26"/>
        <v>34.726201920000001</v>
      </c>
      <c r="AE20" s="24">
        <f t="shared" si="26"/>
        <v>82.006582499999993</v>
      </c>
      <c r="AF20" s="19">
        <f t="shared" si="26"/>
        <v>197.78372739</v>
      </c>
      <c r="AG20" s="24"/>
    </row>
    <row r="21" spans="1:33" ht="15" customHeight="1" x14ac:dyDescent="0.25">
      <c r="A21" s="107"/>
      <c r="B21" s="44">
        <v>3</v>
      </c>
      <c r="C21" s="45">
        <v>3.0129999999999999</v>
      </c>
      <c r="D21" s="45">
        <v>1.446</v>
      </c>
      <c r="E21" s="45">
        <v>0.85088600000000003</v>
      </c>
      <c r="F21" s="45">
        <v>0.72404500000000005</v>
      </c>
      <c r="G21" s="45">
        <v>0.64532500000000004</v>
      </c>
      <c r="H21" s="45">
        <v>0.61539900000000003</v>
      </c>
      <c r="I21" s="25">
        <v>0.84</v>
      </c>
      <c r="J21" s="6">
        <v>3.21</v>
      </c>
      <c r="K21" s="6">
        <v>7.72</v>
      </c>
      <c r="L21" s="6">
        <v>16.12</v>
      </c>
      <c r="M21" s="6">
        <v>42.47</v>
      </c>
      <c r="N21" s="6">
        <v>107.13</v>
      </c>
      <c r="O21" s="23">
        <f t="shared" ref="O21:T21" si="27">$C$3*8/I21/1024</f>
        <v>119.04761904761905</v>
      </c>
      <c r="P21" s="24">
        <f t="shared" si="27"/>
        <v>31.152647975077883</v>
      </c>
      <c r="Q21" s="24">
        <f t="shared" si="27"/>
        <v>12.953367875647668</v>
      </c>
      <c r="R21" s="24">
        <f t="shared" si="27"/>
        <v>6.2034739454094288</v>
      </c>
      <c r="S21" s="24">
        <f t="shared" si="27"/>
        <v>2.354603249352484</v>
      </c>
      <c r="T21" s="19">
        <f t="shared" si="27"/>
        <v>0.93344534677494639</v>
      </c>
      <c r="U21" s="24">
        <f t="shared" ref="U21:Z21" si="28">$H$2*C21</f>
        <v>9.0389999999999997</v>
      </c>
      <c r="V21" s="24">
        <f t="shared" si="28"/>
        <v>4.3380000000000001</v>
      </c>
      <c r="W21" s="24">
        <f t="shared" si="28"/>
        <v>2.5526580000000001</v>
      </c>
      <c r="X21" s="24">
        <f t="shared" si="28"/>
        <v>2.1721349999999999</v>
      </c>
      <c r="Y21" s="24">
        <f t="shared" si="28"/>
        <v>1.935975</v>
      </c>
      <c r="Z21" s="24">
        <f t="shared" si="28"/>
        <v>1.8461970000000001</v>
      </c>
      <c r="AA21" s="23">
        <f t="shared" ref="AA21:AF21" si="29">U21*I21</f>
        <v>7.5927599999999993</v>
      </c>
      <c r="AB21" s="24">
        <f t="shared" si="29"/>
        <v>13.92498</v>
      </c>
      <c r="AC21" s="24">
        <f t="shared" si="29"/>
        <v>19.706519759999999</v>
      </c>
      <c r="AD21" s="24">
        <f t="shared" si="29"/>
        <v>35.014816199999999</v>
      </c>
      <c r="AE21" s="24">
        <f t="shared" si="29"/>
        <v>82.220858249999992</v>
      </c>
      <c r="AF21" s="19">
        <f t="shared" si="29"/>
        <v>197.78308461</v>
      </c>
      <c r="AG21" s="24"/>
    </row>
    <row r="22" spans="1:33" ht="15" customHeight="1" x14ac:dyDescent="0.25">
      <c r="A22" s="107"/>
      <c r="B22" s="44">
        <v>4</v>
      </c>
      <c r="C22" s="45">
        <v>3.0059999999999998</v>
      </c>
      <c r="D22" s="45">
        <v>1.538</v>
      </c>
      <c r="E22" s="45">
        <v>0.850804</v>
      </c>
      <c r="F22" s="45">
        <v>0.72339600000000004</v>
      </c>
      <c r="G22" s="45">
        <v>0.64469799999999999</v>
      </c>
      <c r="H22" s="45">
        <v>0.61590900000000004</v>
      </c>
      <c r="I22" s="25">
        <v>0.84</v>
      </c>
      <c r="J22" s="6">
        <v>3.21</v>
      </c>
      <c r="K22" s="6">
        <v>7.98</v>
      </c>
      <c r="L22" s="6">
        <v>15.88</v>
      </c>
      <c r="M22" s="6">
        <v>42.43</v>
      </c>
      <c r="N22" s="6">
        <v>107.09</v>
      </c>
      <c r="O22" s="23">
        <f t="shared" ref="O22:T22" si="30">$C$3*8/I22/1024</f>
        <v>119.04761904761905</v>
      </c>
      <c r="P22" s="24">
        <f t="shared" si="30"/>
        <v>31.152647975077883</v>
      </c>
      <c r="Q22" s="24">
        <f t="shared" si="30"/>
        <v>12.531328320802004</v>
      </c>
      <c r="R22" s="24">
        <f t="shared" si="30"/>
        <v>6.2972292191435768</v>
      </c>
      <c r="S22" s="24">
        <f t="shared" si="30"/>
        <v>2.3568230025925052</v>
      </c>
      <c r="T22" s="19">
        <f t="shared" si="30"/>
        <v>0.93379400504248755</v>
      </c>
      <c r="U22" s="24">
        <f t="shared" ref="U22:Z22" si="31">$H$2*C22</f>
        <v>9.0179999999999989</v>
      </c>
      <c r="V22" s="24">
        <f t="shared" si="31"/>
        <v>4.6139999999999999</v>
      </c>
      <c r="W22" s="24">
        <f t="shared" si="31"/>
        <v>2.5524119999999999</v>
      </c>
      <c r="X22" s="24">
        <f t="shared" si="31"/>
        <v>2.170188</v>
      </c>
      <c r="Y22" s="24">
        <f t="shared" si="31"/>
        <v>1.934094</v>
      </c>
      <c r="Z22" s="24">
        <f t="shared" si="31"/>
        <v>1.8477270000000001</v>
      </c>
      <c r="AA22" s="23">
        <f t="shared" ref="AA22:AF22" si="32">U22*I22</f>
        <v>7.5751199999999992</v>
      </c>
      <c r="AB22" s="24">
        <f t="shared" si="32"/>
        <v>14.810939999999999</v>
      </c>
      <c r="AC22" s="24">
        <f t="shared" si="32"/>
        <v>20.368247759999999</v>
      </c>
      <c r="AD22" s="24">
        <f t="shared" si="32"/>
        <v>34.462585440000005</v>
      </c>
      <c r="AE22" s="24">
        <f t="shared" si="32"/>
        <v>82.063608419999994</v>
      </c>
      <c r="AF22" s="19">
        <f t="shared" si="32"/>
        <v>197.87308443000001</v>
      </c>
      <c r="AG22" s="24"/>
    </row>
    <row r="23" spans="1:33" ht="15" customHeight="1" x14ac:dyDescent="0.25">
      <c r="A23" s="107"/>
      <c r="B23" s="44">
        <v>5</v>
      </c>
      <c r="C23" s="56">
        <v>3.0129999999999999</v>
      </c>
      <c r="D23" s="56">
        <v>1.486</v>
      </c>
      <c r="E23" s="56">
        <v>0.84989300000000001</v>
      </c>
      <c r="F23" s="56">
        <v>0.72375</v>
      </c>
      <c r="G23" s="56">
        <v>0.64446499999999995</v>
      </c>
      <c r="H23" s="56">
        <v>0.61595599999999995</v>
      </c>
      <c r="I23" s="25">
        <v>0.84</v>
      </c>
      <c r="J23" s="6">
        <v>3.21</v>
      </c>
      <c r="K23" s="6">
        <v>7.85</v>
      </c>
      <c r="L23" s="6">
        <v>15.79</v>
      </c>
      <c r="M23" s="6">
        <v>42.46</v>
      </c>
      <c r="N23" s="6">
        <v>107.11</v>
      </c>
      <c r="O23" s="40">
        <f t="shared" ref="O23:T23" si="33">$C$3*8/I23/1024</f>
        <v>119.04761904761905</v>
      </c>
      <c r="P23" s="39">
        <f t="shared" si="33"/>
        <v>31.152647975077883</v>
      </c>
      <c r="Q23" s="39">
        <f t="shared" si="33"/>
        <v>12.738853503184714</v>
      </c>
      <c r="R23" s="39">
        <f t="shared" si="33"/>
        <v>6.3331222292590255</v>
      </c>
      <c r="S23" s="39">
        <f t="shared" si="33"/>
        <v>2.3551577955723033</v>
      </c>
      <c r="T23" s="41">
        <f t="shared" si="33"/>
        <v>0.93361964335729619</v>
      </c>
      <c r="U23" s="39">
        <f t="shared" ref="U23:Z23" si="34">$H$2*C23</f>
        <v>9.0389999999999997</v>
      </c>
      <c r="V23" s="39">
        <f t="shared" si="34"/>
        <v>4.4580000000000002</v>
      </c>
      <c r="W23" s="39">
        <f t="shared" si="34"/>
        <v>2.5496790000000003</v>
      </c>
      <c r="X23" s="39">
        <f t="shared" si="34"/>
        <v>2.1712500000000001</v>
      </c>
      <c r="Y23" s="39">
        <f t="shared" si="34"/>
        <v>1.933395</v>
      </c>
      <c r="Z23" s="39">
        <f t="shared" si="34"/>
        <v>1.8478679999999998</v>
      </c>
      <c r="AA23" s="40">
        <f t="shared" ref="AA23:AF23" si="35">U23*I23</f>
        <v>7.5927599999999993</v>
      </c>
      <c r="AB23" s="39">
        <f t="shared" si="35"/>
        <v>14.310180000000001</v>
      </c>
      <c r="AC23" s="39">
        <f t="shared" si="35"/>
        <v>20.01498015</v>
      </c>
      <c r="AD23" s="39">
        <f t="shared" si="35"/>
        <v>34.284037499999997</v>
      </c>
      <c r="AE23" s="39">
        <f t="shared" si="35"/>
        <v>82.091951699999996</v>
      </c>
      <c r="AF23" s="41">
        <f t="shared" si="35"/>
        <v>197.92514147999998</v>
      </c>
      <c r="AG23" s="24"/>
    </row>
    <row r="24" spans="1:33" ht="15" customHeight="1" x14ac:dyDescent="0.25">
      <c r="A24" s="107"/>
      <c r="B24" s="42" t="s">
        <v>22</v>
      </c>
      <c r="C24" s="14">
        <f t="shared" ref="C24:AF24" si="36">AVERAGE(C19:C23)</f>
        <v>3.0074000000000001</v>
      </c>
      <c r="D24" s="14">
        <f t="shared" si="36"/>
        <v>1.482</v>
      </c>
      <c r="E24" s="14">
        <f t="shared" si="36"/>
        <v>0.85023400000000005</v>
      </c>
      <c r="F24" s="14">
        <f t="shared" si="36"/>
        <v>0.72387840000000003</v>
      </c>
      <c r="G24" s="14">
        <f t="shared" si="36"/>
        <v>0.64463380000000003</v>
      </c>
      <c r="H24" s="14">
        <f t="shared" si="36"/>
        <v>0.61570619999999998</v>
      </c>
      <c r="I24" s="14">
        <f t="shared" si="36"/>
        <v>0.84000000000000008</v>
      </c>
      <c r="J24" s="14">
        <f t="shared" si="36"/>
        <v>3.21</v>
      </c>
      <c r="K24" s="14">
        <f t="shared" si="36"/>
        <v>7.8940000000000001</v>
      </c>
      <c r="L24" s="14">
        <f t="shared" si="36"/>
        <v>15.934000000000001</v>
      </c>
      <c r="M24" s="14">
        <f t="shared" si="36"/>
        <v>42.444000000000003</v>
      </c>
      <c r="N24" s="14">
        <f t="shared" si="36"/>
        <v>107.10799999999999</v>
      </c>
      <c r="O24" s="43">
        <f t="shared" si="36"/>
        <v>119.04761904761907</v>
      </c>
      <c r="P24" s="43">
        <f t="shared" si="36"/>
        <v>31.152647975077883</v>
      </c>
      <c r="Q24" s="43">
        <f t="shared" si="36"/>
        <v>12.669843498949311</v>
      </c>
      <c r="R24" s="43">
        <f t="shared" si="36"/>
        <v>6.2761911695519936</v>
      </c>
      <c r="S24" s="43">
        <f t="shared" si="36"/>
        <v>2.356046010540461</v>
      </c>
      <c r="T24" s="43">
        <f t="shared" si="36"/>
        <v>0.93363711045194508</v>
      </c>
      <c r="U24" s="14">
        <f t="shared" si="36"/>
        <v>9.0222000000000016</v>
      </c>
      <c r="V24" s="14">
        <f t="shared" si="36"/>
        <v>4.4460000000000006</v>
      </c>
      <c r="W24" s="14">
        <f t="shared" si="36"/>
        <v>2.5507019999999998</v>
      </c>
      <c r="X24" s="14">
        <f t="shared" si="36"/>
        <v>2.1716351999999999</v>
      </c>
      <c r="Y24" s="14">
        <f t="shared" si="36"/>
        <v>1.9339013999999999</v>
      </c>
      <c r="Z24" s="14">
        <f t="shared" si="36"/>
        <v>1.8471185999999999</v>
      </c>
      <c r="AA24" s="14">
        <f t="shared" si="36"/>
        <v>7.5786479999999994</v>
      </c>
      <c r="AB24" s="14">
        <f t="shared" si="36"/>
        <v>14.271660000000001</v>
      </c>
      <c r="AC24" s="14">
        <f t="shared" si="36"/>
        <v>20.135175264000001</v>
      </c>
      <c r="AD24" s="14">
        <f t="shared" si="36"/>
        <v>34.602895032000006</v>
      </c>
      <c r="AE24" s="14">
        <f t="shared" si="36"/>
        <v>82.082524571999983</v>
      </c>
      <c r="AF24" s="14">
        <f t="shared" si="36"/>
        <v>197.84116635000004</v>
      </c>
      <c r="AG24" s="24"/>
    </row>
    <row r="25" spans="1:33" ht="15" customHeight="1" x14ac:dyDescent="0.25">
      <c r="A25" s="108"/>
      <c r="B25" s="42" t="s">
        <v>23</v>
      </c>
      <c r="C25" s="14">
        <f>_xlfn.STDEV.P(C19:C23)</f>
        <v>4.7581509013481229E-3</v>
      </c>
      <c r="D25" s="14">
        <f t="shared" ref="D25:AF25" si="37">_xlfn.STDEV.P(D19:D23)</f>
        <v>3.078311225331189E-2</v>
      </c>
      <c r="E25" s="14">
        <f t="shared" si="37"/>
        <v>5.0960180533433615E-4</v>
      </c>
      <c r="F25" s="14">
        <f t="shared" si="37"/>
        <v>3.2209352678996643E-4</v>
      </c>
      <c r="G25" s="14">
        <f t="shared" si="37"/>
        <v>3.7384563659352354E-4</v>
      </c>
      <c r="H25" s="14">
        <f t="shared" si="37"/>
        <v>2.5162782040147894E-4</v>
      </c>
      <c r="I25" s="14">
        <f t="shared" si="37"/>
        <v>1.1102230246251565E-16</v>
      </c>
      <c r="J25" s="14">
        <f t="shared" si="37"/>
        <v>0</v>
      </c>
      <c r="K25" s="14">
        <f t="shared" si="37"/>
        <v>9.8508882848198184E-2</v>
      </c>
      <c r="L25" s="14">
        <f t="shared" si="37"/>
        <v>0.11092339699089687</v>
      </c>
      <c r="M25" s="14">
        <f t="shared" si="37"/>
        <v>1.7435595774162649E-2</v>
      </c>
      <c r="N25" s="14">
        <f t="shared" si="37"/>
        <v>2.0396078054369035E-2</v>
      </c>
      <c r="O25" s="14">
        <f t="shared" si="37"/>
        <v>1.4210854715202004E-14</v>
      </c>
      <c r="P25" s="14">
        <f t="shared" si="37"/>
        <v>0</v>
      </c>
      <c r="Q25" s="14">
        <f t="shared" si="37"/>
        <v>0.15983440729321691</v>
      </c>
      <c r="R25" s="14">
        <f t="shared" si="37"/>
        <v>4.354540577429248E-2</v>
      </c>
      <c r="S25" s="14">
        <f t="shared" si="37"/>
        <v>9.6763997664542584E-4</v>
      </c>
      <c r="T25" s="14">
        <f t="shared" si="37"/>
        <v>1.7779334537333766E-4</v>
      </c>
      <c r="U25" s="14">
        <f t="shared" si="37"/>
        <v>1.4274452704044191E-2</v>
      </c>
      <c r="V25" s="14">
        <f t="shared" si="37"/>
        <v>9.2349336759935563E-2</v>
      </c>
      <c r="W25" s="14">
        <f t="shared" si="37"/>
        <v>1.5288054160029027E-3</v>
      </c>
      <c r="X25" s="14">
        <f t="shared" si="37"/>
        <v>9.6628058036986688E-4</v>
      </c>
      <c r="Y25" s="14">
        <f t="shared" si="37"/>
        <v>1.1215369097805194E-3</v>
      </c>
      <c r="Z25" s="14">
        <f t="shared" si="37"/>
        <v>7.5488346120440987E-4</v>
      </c>
      <c r="AA25" s="14">
        <f t="shared" si="37"/>
        <v>1.1990540271396996E-2</v>
      </c>
      <c r="AB25" s="14">
        <f t="shared" si="37"/>
        <v>0.29644137099939294</v>
      </c>
      <c r="AC25" s="14">
        <f t="shared" si="37"/>
        <v>0.24630732940123531</v>
      </c>
      <c r="AD25" s="14">
        <f t="shared" si="37"/>
        <v>0.24981025198008805</v>
      </c>
      <c r="AE25" s="14">
        <f t="shared" si="37"/>
        <v>7.5031699300685595E-2</v>
      </c>
      <c r="AF25" s="14">
        <f t="shared" si="37"/>
        <v>5.4301837354567714E-2</v>
      </c>
      <c r="AG25" s="24"/>
    </row>
    <row r="26" spans="1:33" ht="15" customHeight="1" x14ac:dyDescent="0.25">
      <c r="A26" s="112" t="s">
        <v>4</v>
      </c>
      <c r="B26" s="21">
        <v>1</v>
      </c>
      <c r="C26" s="6">
        <v>2.1960000000000002</v>
      </c>
      <c r="D26" s="6">
        <v>1.012</v>
      </c>
      <c r="E26" s="48">
        <v>0.76211600000000002</v>
      </c>
      <c r="F26" s="48">
        <v>0.661416</v>
      </c>
      <c r="G26" s="48">
        <v>0.63065099999999996</v>
      </c>
      <c r="H26" s="48">
        <v>0.61055899999999996</v>
      </c>
      <c r="I26" s="27">
        <v>0.82</v>
      </c>
      <c r="J26" s="47">
        <v>3.21</v>
      </c>
      <c r="K26" s="47">
        <v>7.96</v>
      </c>
      <c r="L26" s="47">
        <v>15.79</v>
      </c>
      <c r="M26" s="47">
        <v>42.38</v>
      </c>
      <c r="N26" s="55">
        <v>106.11</v>
      </c>
      <c r="O26" s="24">
        <f t="shared" ref="O26:T26" si="38">$D$3*8/I26/1024</f>
        <v>121.95121951219512</v>
      </c>
      <c r="P26" s="24">
        <f t="shared" si="38"/>
        <v>31.152647975077883</v>
      </c>
      <c r="Q26" s="24">
        <f t="shared" si="38"/>
        <v>12.562814070351759</v>
      </c>
      <c r="R26" s="24">
        <f t="shared" si="38"/>
        <v>6.3331222292590255</v>
      </c>
      <c r="S26" s="24">
        <f t="shared" si="38"/>
        <v>2.3596035865974514</v>
      </c>
      <c r="T26" s="24">
        <f t="shared" si="38"/>
        <v>0.94241824521722739</v>
      </c>
      <c r="U26" s="22">
        <f t="shared" ref="U26:Z26" si="39">$H$2*C26</f>
        <v>6.588000000000001</v>
      </c>
      <c r="V26" s="31">
        <f t="shared" si="39"/>
        <v>3.036</v>
      </c>
      <c r="W26" s="31">
        <f t="shared" si="39"/>
        <v>2.2863480000000003</v>
      </c>
      <c r="X26" s="31">
        <f t="shared" si="39"/>
        <v>1.984248</v>
      </c>
      <c r="Y26" s="31">
        <f t="shared" si="39"/>
        <v>1.891953</v>
      </c>
      <c r="Z26" s="31">
        <f t="shared" si="39"/>
        <v>1.831677</v>
      </c>
      <c r="AA26" s="22">
        <f t="shared" ref="AA26:AF26" si="40">U26*I26</f>
        <v>5.4021600000000003</v>
      </c>
      <c r="AB26" s="31">
        <f t="shared" si="40"/>
        <v>9.7455599999999993</v>
      </c>
      <c r="AC26" s="31">
        <f t="shared" si="40"/>
        <v>18.199330080000003</v>
      </c>
      <c r="AD26" s="31">
        <f t="shared" si="40"/>
        <v>31.33127592</v>
      </c>
      <c r="AE26" s="31">
        <f t="shared" si="40"/>
        <v>80.180968140000004</v>
      </c>
      <c r="AF26" s="32">
        <f t="shared" si="40"/>
        <v>194.35924646999999</v>
      </c>
      <c r="AG26" s="24"/>
    </row>
    <row r="27" spans="1:33" ht="15" customHeight="1" x14ac:dyDescent="0.25">
      <c r="A27" s="107"/>
      <c r="B27" s="44">
        <v>2</v>
      </c>
      <c r="C27" s="45">
        <v>2.1829999999999998</v>
      </c>
      <c r="D27" s="45">
        <v>0.95399999999999996</v>
      </c>
      <c r="E27" s="48">
        <v>0.76227100000000003</v>
      </c>
      <c r="F27" s="48">
        <v>0.66191</v>
      </c>
      <c r="G27" s="48">
        <v>0.63061599999999995</v>
      </c>
      <c r="H27" s="48">
        <v>0.60950400000000005</v>
      </c>
      <c r="I27" s="25">
        <v>0.82</v>
      </c>
      <c r="J27" s="6">
        <v>3.21</v>
      </c>
      <c r="K27" s="6">
        <v>7.76</v>
      </c>
      <c r="L27" s="6">
        <v>15.73</v>
      </c>
      <c r="M27" s="6">
        <v>42.36</v>
      </c>
      <c r="N27" s="26">
        <v>106.08</v>
      </c>
      <c r="O27" s="24">
        <f t="shared" ref="O27:T27" si="41">$D$3*8/I27/1024</f>
        <v>121.95121951219512</v>
      </c>
      <c r="P27" s="24">
        <f t="shared" si="41"/>
        <v>31.152647975077883</v>
      </c>
      <c r="Q27" s="24">
        <f t="shared" si="41"/>
        <v>12.88659793814433</v>
      </c>
      <c r="R27" s="24">
        <f t="shared" si="41"/>
        <v>6.3572790845518119</v>
      </c>
      <c r="S27" s="24">
        <f t="shared" si="41"/>
        <v>2.3607176581680833</v>
      </c>
      <c r="T27" s="24">
        <f t="shared" si="41"/>
        <v>0.94268476621417796</v>
      </c>
      <c r="U27" s="23">
        <f t="shared" ref="U27:Z27" si="42">$H$2*C27</f>
        <v>6.5489999999999995</v>
      </c>
      <c r="V27" s="24">
        <f t="shared" si="42"/>
        <v>2.8620000000000001</v>
      </c>
      <c r="W27" s="24">
        <f t="shared" si="42"/>
        <v>2.286813</v>
      </c>
      <c r="X27" s="24">
        <f t="shared" si="42"/>
        <v>1.98573</v>
      </c>
      <c r="Y27" s="24">
        <f t="shared" si="42"/>
        <v>1.891848</v>
      </c>
      <c r="Z27" s="24">
        <f t="shared" si="42"/>
        <v>1.8285120000000001</v>
      </c>
      <c r="AA27" s="23">
        <f t="shared" ref="AA27:AF27" si="43">U27*I27</f>
        <v>5.3701799999999995</v>
      </c>
      <c r="AB27" s="24">
        <f t="shared" si="43"/>
        <v>9.1870200000000004</v>
      </c>
      <c r="AC27" s="24">
        <f t="shared" si="43"/>
        <v>17.74566888</v>
      </c>
      <c r="AD27" s="24">
        <f t="shared" si="43"/>
        <v>31.235532899999999</v>
      </c>
      <c r="AE27" s="24">
        <f t="shared" si="43"/>
        <v>80.13868128</v>
      </c>
      <c r="AF27" s="19">
        <f t="shared" si="43"/>
        <v>193.96855296000001</v>
      </c>
      <c r="AG27" s="24"/>
    </row>
    <row r="28" spans="1:33" ht="15" customHeight="1" x14ac:dyDescent="0.25">
      <c r="A28" s="107"/>
      <c r="B28" s="44">
        <v>3</v>
      </c>
      <c r="C28" s="45">
        <v>2.2010000000000001</v>
      </c>
      <c r="D28" s="45">
        <v>0.94799999999999995</v>
      </c>
      <c r="E28" s="48">
        <v>0.76166299999999998</v>
      </c>
      <c r="F28" s="48">
        <v>0.66194600000000003</v>
      </c>
      <c r="G28" s="48">
        <v>0.63020699999999996</v>
      </c>
      <c r="H28" s="48">
        <v>0.61053000000000002</v>
      </c>
      <c r="I28" s="25">
        <v>0.82</v>
      </c>
      <c r="J28" s="6">
        <v>3.21</v>
      </c>
      <c r="K28" s="6">
        <v>8.11</v>
      </c>
      <c r="L28" s="6">
        <v>15.82</v>
      </c>
      <c r="M28" s="6">
        <v>42.39</v>
      </c>
      <c r="N28" s="26">
        <v>106.02</v>
      </c>
      <c r="O28" s="24">
        <f t="shared" ref="O28:T28" si="44">$D$3*8/I28/1024</f>
        <v>121.95121951219512</v>
      </c>
      <c r="P28" s="24">
        <f t="shared" si="44"/>
        <v>31.152647975077883</v>
      </c>
      <c r="Q28" s="24">
        <f t="shared" si="44"/>
        <v>12.330456226880395</v>
      </c>
      <c r="R28" s="24">
        <f t="shared" si="44"/>
        <v>6.3211125158027812</v>
      </c>
      <c r="S28" s="24">
        <f t="shared" si="44"/>
        <v>2.3590469450342062</v>
      </c>
      <c r="T28" s="24">
        <f t="shared" si="44"/>
        <v>0.94321826070552728</v>
      </c>
      <c r="U28" s="23">
        <f t="shared" ref="U28:Z28" si="45">$H$2*C28</f>
        <v>6.6029999999999998</v>
      </c>
      <c r="V28" s="24">
        <f t="shared" si="45"/>
        <v>2.8439999999999999</v>
      </c>
      <c r="W28" s="24">
        <f t="shared" si="45"/>
        <v>2.2849889999999999</v>
      </c>
      <c r="X28" s="24">
        <f t="shared" si="45"/>
        <v>1.9858380000000002</v>
      </c>
      <c r="Y28" s="24">
        <f t="shared" si="45"/>
        <v>1.8906209999999999</v>
      </c>
      <c r="Z28" s="24">
        <f t="shared" si="45"/>
        <v>1.8315900000000001</v>
      </c>
      <c r="AA28" s="23">
        <f t="shared" ref="AA28:AF28" si="46">U28*I28</f>
        <v>5.4144599999999992</v>
      </c>
      <c r="AB28" s="24">
        <f t="shared" si="46"/>
        <v>9.1292399999999994</v>
      </c>
      <c r="AC28" s="24">
        <f t="shared" si="46"/>
        <v>18.531260789999997</v>
      </c>
      <c r="AD28" s="24">
        <f t="shared" si="46"/>
        <v>31.415957160000005</v>
      </c>
      <c r="AE28" s="24">
        <f t="shared" si="46"/>
        <v>80.14342418999999</v>
      </c>
      <c r="AF28" s="19">
        <f t="shared" si="46"/>
        <v>194.18517180000001</v>
      </c>
      <c r="AG28" s="24"/>
    </row>
    <row r="29" spans="1:33" ht="15" customHeight="1" x14ac:dyDescent="0.25">
      <c r="A29" s="107"/>
      <c r="B29" s="44">
        <v>4</v>
      </c>
      <c r="C29" s="45">
        <v>2.1909999999999998</v>
      </c>
      <c r="D29" s="45">
        <v>0.92900000000000005</v>
      </c>
      <c r="E29" s="48">
        <v>0.76271500000000003</v>
      </c>
      <c r="F29" s="48">
        <v>0.66081100000000004</v>
      </c>
      <c r="G29" s="48">
        <v>0.63086399999999998</v>
      </c>
      <c r="H29" s="48">
        <v>0.61025099999999999</v>
      </c>
      <c r="I29" s="25">
        <v>0.82</v>
      </c>
      <c r="J29" s="6">
        <v>3.22</v>
      </c>
      <c r="K29" s="6">
        <v>8.1199999999999992</v>
      </c>
      <c r="L29" s="6">
        <v>15.72</v>
      </c>
      <c r="M29" s="6">
        <v>42.41</v>
      </c>
      <c r="N29" s="26">
        <v>106.17</v>
      </c>
      <c r="O29" s="24">
        <f t="shared" ref="O29:T29" si="47">$D$3*8/I29/1024</f>
        <v>121.95121951219512</v>
      </c>
      <c r="P29" s="24">
        <f t="shared" si="47"/>
        <v>31.05590062111801</v>
      </c>
      <c r="Q29" s="24">
        <f t="shared" si="47"/>
        <v>12.315270935960593</v>
      </c>
      <c r="R29" s="24">
        <f t="shared" si="47"/>
        <v>6.3613231552162848</v>
      </c>
      <c r="S29" s="24">
        <f t="shared" si="47"/>
        <v>2.3579344494223062</v>
      </c>
      <c r="T29" s="24">
        <f t="shared" si="47"/>
        <v>0.94188565508147304</v>
      </c>
      <c r="U29" s="23">
        <f t="shared" ref="U29:Z29" si="48">$H$2*C29</f>
        <v>6.5729999999999995</v>
      </c>
      <c r="V29" s="24">
        <f t="shared" si="48"/>
        <v>2.7869999999999999</v>
      </c>
      <c r="W29" s="24">
        <f t="shared" si="48"/>
        <v>2.2881450000000001</v>
      </c>
      <c r="X29" s="24">
        <f t="shared" si="48"/>
        <v>1.9824330000000001</v>
      </c>
      <c r="Y29" s="24">
        <f t="shared" si="48"/>
        <v>1.8925920000000001</v>
      </c>
      <c r="Z29" s="24">
        <f t="shared" si="48"/>
        <v>1.8307530000000001</v>
      </c>
      <c r="AA29" s="23">
        <f t="shared" ref="AA29:AF29" si="49">U29*I29</f>
        <v>5.3898599999999997</v>
      </c>
      <c r="AB29" s="24">
        <f t="shared" si="49"/>
        <v>8.9741400000000002</v>
      </c>
      <c r="AC29" s="24">
        <f t="shared" si="49"/>
        <v>18.579737399999999</v>
      </c>
      <c r="AD29" s="24">
        <f t="shared" si="49"/>
        <v>31.163846760000002</v>
      </c>
      <c r="AE29" s="24">
        <f t="shared" si="49"/>
        <v>80.264826720000002</v>
      </c>
      <c r="AF29" s="19">
        <f t="shared" si="49"/>
        <v>194.37104601000001</v>
      </c>
      <c r="AG29" s="24"/>
    </row>
    <row r="30" spans="1:33" ht="15" customHeight="1" x14ac:dyDescent="0.25">
      <c r="A30" s="107"/>
      <c r="B30" s="44">
        <v>5</v>
      </c>
      <c r="C30" s="45">
        <v>2.173</v>
      </c>
      <c r="D30" s="45">
        <v>1.0389999999999999</v>
      </c>
      <c r="E30" s="48">
        <v>0.76211799999999996</v>
      </c>
      <c r="F30" s="48">
        <v>0.66154100000000005</v>
      </c>
      <c r="G30" s="48">
        <v>0.63069299999999995</v>
      </c>
      <c r="H30" s="48">
        <v>0.61013200000000001</v>
      </c>
      <c r="I30" s="51">
        <v>0.82</v>
      </c>
      <c r="J30" s="52">
        <v>3.21</v>
      </c>
      <c r="K30" s="52">
        <v>7.97</v>
      </c>
      <c r="L30" s="52">
        <v>15.7</v>
      </c>
      <c r="M30" s="52">
        <v>42.43</v>
      </c>
      <c r="N30" s="53">
        <v>106.07</v>
      </c>
      <c r="O30" s="24">
        <f t="shared" ref="O30:T30" si="50">$D$3*8/I30/1024</f>
        <v>121.95121951219512</v>
      </c>
      <c r="P30" s="24">
        <f t="shared" si="50"/>
        <v>31.152647975077883</v>
      </c>
      <c r="Q30" s="24">
        <f t="shared" si="50"/>
        <v>12.547051442910917</v>
      </c>
      <c r="R30" s="24">
        <f t="shared" si="50"/>
        <v>6.369426751592357</v>
      </c>
      <c r="S30" s="24">
        <f t="shared" si="50"/>
        <v>2.3568230025925052</v>
      </c>
      <c r="T30" s="24">
        <f t="shared" si="50"/>
        <v>0.94277364004902431</v>
      </c>
      <c r="U30" s="40">
        <f t="shared" ref="U30:Z30" si="51">$H$2*C30</f>
        <v>6.5190000000000001</v>
      </c>
      <c r="V30" s="39">
        <f t="shared" si="51"/>
        <v>3.117</v>
      </c>
      <c r="W30" s="39">
        <f t="shared" si="51"/>
        <v>2.2863539999999998</v>
      </c>
      <c r="X30" s="39">
        <f t="shared" si="51"/>
        <v>1.984623</v>
      </c>
      <c r="Y30" s="39">
        <f t="shared" si="51"/>
        <v>1.8920789999999998</v>
      </c>
      <c r="Z30" s="39">
        <f t="shared" si="51"/>
        <v>1.8303959999999999</v>
      </c>
      <c r="AA30" s="40">
        <f t="shared" ref="AA30:AF30" si="52">U30*I30</f>
        <v>5.34558</v>
      </c>
      <c r="AB30" s="39">
        <f t="shared" si="52"/>
        <v>10.005570000000001</v>
      </c>
      <c r="AC30" s="39">
        <f t="shared" si="52"/>
        <v>18.222241379999996</v>
      </c>
      <c r="AD30" s="39">
        <f t="shared" si="52"/>
        <v>31.158581099999999</v>
      </c>
      <c r="AE30" s="39">
        <f t="shared" si="52"/>
        <v>80.280911969999991</v>
      </c>
      <c r="AF30" s="41">
        <f t="shared" si="52"/>
        <v>194.15010371999998</v>
      </c>
      <c r="AG30" s="24"/>
    </row>
    <row r="31" spans="1:33" ht="15" customHeight="1" x14ac:dyDescent="0.25">
      <c r="A31" s="107"/>
      <c r="B31" s="42" t="s">
        <v>22</v>
      </c>
      <c r="C31" s="14">
        <f t="shared" ref="C31:AF31" si="53">AVERAGE(C26:C30)</f>
        <v>2.1888000000000001</v>
      </c>
      <c r="D31" s="14">
        <f t="shared" si="53"/>
        <v>0.97639999999999993</v>
      </c>
      <c r="E31" s="14">
        <f t="shared" si="53"/>
        <v>0.76217659999999998</v>
      </c>
      <c r="F31" s="14">
        <f t="shared" si="53"/>
        <v>0.66152480000000002</v>
      </c>
      <c r="G31" s="14">
        <f t="shared" si="53"/>
        <v>0.63060620000000001</v>
      </c>
      <c r="H31" s="14">
        <f t="shared" si="53"/>
        <v>0.61019520000000005</v>
      </c>
      <c r="I31" s="14">
        <f t="shared" si="53"/>
        <v>0.82</v>
      </c>
      <c r="J31" s="14">
        <f t="shared" si="53"/>
        <v>3.2119999999999997</v>
      </c>
      <c r="K31" s="14">
        <f t="shared" si="53"/>
        <v>7.9839999999999991</v>
      </c>
      <c r="L31" s="14">
        <f t="shared" si="53"/>
        <v>15.752000000000001</v>
      </c>
      <c r="M31" s="14">
        <f t="shared" si="53"/>
        <v>42.394000000000005</v>
      </c>
      <c r="N31" s="14">
        <f t="shared" si="53"/>
        <v>106.09</v>
      </c>
      <c r="O31" s="14">
        <f t="shared" si="53"/>
        <v>121.95121951219512</v>
      </c>
      <c r="P31" s="14">
        <f t="shared" si="53"/>
        <v>31.133298504285911</v>
      </c>
      <c r="Q31" s="14">
        <f t="shared" si="53"/>
        <v>12.528438122849598</v>
      </c>
      <c r="R31" s="14">
        <f t="shared" si="53"/>
        <v>6.3484527472844521</v>
      </c>
      <c r="S31" s="14">
        <f t="shared" si="53"/>
        <v>2.3588251283629105</v>
      </c>
      <c r="T31" s="14">
        <f t="shared" si="53"/>
        <v>0.94259611345348593</v>
      </c>
      <c r="U31" s="13">
        <f t="shared" si="53"/>
        <v>6.5663999999999998</v>
      </c>
      <c r="V31" s="13">
        <f t="shared" si="53"/>
        <v>2.9292000000000002</v>
      </c>
      <c r="W31" s="13">
        <f t="shared" si="53"/>
        <v>2.2865297999999998</v>
      </c>
      <c r="X31" s="13">
        <f t="shared" si="53"/>
        <v>1.9845744000000003</v>
      </c>
      <c r="Y31" s="13">
        <f t="shared" si="53"/>
        <v>1.8918185999999999</v>
      </c>
      <c r="Z31" s="13">
        <f t="shared" si="53"/>
        <v>1.8305856000000003</v>
      </c>
      <c r="AA31" s="13">
        <f t="shared" si="53"/>
        <v>5.384447999999999</v>
      </c>
      <c r="AB31" s="13">
        <f t="shared" si="53"/>
        <v>9.4083059999999996</v>
      </c>
      <c r="AC31" s="13">
        <f t="shared" si="53"/>
        <v>18.255647705999998</v>
      </c>
      <c r="AD31" s="13">
        <f t="shared" si="53"/>
        <v>31.261038768000002</v>
      </c>
      <c r="AE31" s="13">
        <f t="shared" si="53"/>
        <v>80.201762459999998</v>
      </c>
      <c r="AF31" s="13">
        <f t="shared" si="53"/>
        <v>194.206824192</v>
      </c>
      <c r="AG31" s="24"/>
    </row>
    <row r="32" spans="1:33" ht="15" customHeight="1" x14ac:dyDescent="0.25">
      <c r="A32" s="108"/>
      <c r="B32" s="21" t="s">
        <v>23</v>
      </c>
      <c r="C32" s="13">
        <f>_xlfn.STDEV.P(C26:C30)</f>
        <v>9.8873656754466608E-3</v>
      </c>
      <c r="D32" s="13">
        <f t="shared" ref="D32:AF32" si="54">_xlfn.STDEV.P(D26:D30)</f>
        <v>4.1811960011460814E-2</v>
      </c>
      <c r="E32" s="13">
        <f t="shared" si="54"/>
        <v>3.3754324167432665E-4</v>
      </c>
      <c r="F32" s="13">
        <f t="shared" si="54"/>
        <v>4.1167919549085189E-4</v>
      </c>
      <c r="G32" s="13">
        <f t="shared" si="54"/>
        <v>2.1700635935382499E-4</v>
      </c>
      <c r="H32" s="13">
        <f t="shared" si="54"/>
        <v>3.8191800167049439E-4</v>
      </c>
      <c r="I32" s="13">
        <f t="shared" si="54"/>
        <v>0</v>
      </c>
      <c r="J32" s="13">
        <f t="shared" si="54"/>
        <v>4.0000000000000929E-3</v>
      </c>
      <c r="K32" s="13">
        <f t="shared" si="54"/>
        <v>0.13062924634246328</v>
      </c>
      <c r="L32" s="13">
        <f t="shared" si="54"/>
        <v>4.5343136195018514E-2</v>
      </c>
      <c r="M32" s="13">
        <f t="shared" si="54"/>
        <v>2.4166091947188453E-2</v>
      </c>
      <c r="N32" s="13">
        <f t="shared" si="54"/>
        <v>4.9396356140916128E-2</v>
      </c>
      <c r="O32" s="13">
        <f t="shared" si="54"/>
        <v>0</v>
      </c>
      <c r="P32" s="13">
        <f t="shared" si="54"/>
        <v>3.8698941583949417E-2</v>
      </c>
      <c r="Q32" s="13">
        <f t="shared" si="54"/>
        <v>0.20709596589024404</v>
      </c>
      <c r="R32" s="13">
        <f t="shared" si="54"/>
        <v>1.8253621706369724E-2</v>
      </c>
      <c r="S32" s="13">
        <f t="shared" si="54"/>
        <v>1.3445211413595265E-3</v>
      </c>
      <c r="T32" s="22">
        <f t="shared" si="54"/>
        <v>4.3882352151116457E-4</v>
      </c>
      <c r="U32" s="148">
        <f t="shared" si="54"/>
        <v>2.9662097026339939E-2</v>
      </c>
      <c r="V32" s="149">
        <f t="shared" si="54"/>
        <v>0.12543588003438252</v>
      </c>
      <c r="W32" s="149">
        <f t="shared" si="54"/>
        <v>1.0126297250229695E-3</v>
      </c>
      <c r="X32" s="149">
        <f t="shared" si="54"/>
        <v>1.2350375864725776E-3</v>
      </c>
      <c r="Y32" s="149">
        <f t="shared" si="54"/>
        <v>6.5101907806150688E-4</v>
      </c>
      <c r="Z32" s="149">
        <f t="shared" si="54"/>
        <v>1.1457540050115113E-3</v>
      </c>
      <c r="AA32" s="149">
        <f t="shared" si="54"/>
        <v>2.4322919561598565E-2</v>
      </c>
      <c r="AB32" s="149">
        <f t="shared" si="54"/>
        <v>0.39643662492761694</v>
      </c>
      <c r="AC32" s="149">
        <f t="shared" si="54"/>
        <v>0.29845025126892921</v>
      </c>
      <c r="AD32" s="149">
        <f t="shared" si="54"/>
        <v>9.9526252973214824E-2</v>
      </c>
      <c r="AE32" s="149">
        <f t="shared" si="54"/>
        <v>6.0094489903210216E-2</v>
      </c>
      <c r="AF32" s="150">
        <f t="shared" si="54"/>
        <v>0.14876866226457452</v>
      </c>
      <c r="AG32" s="24"/>
    </row>
    <row r="33" spans="1:33" ht="15" customHeight="1" x14ac:dyDescent="0.25">
      <c r="A33" s="57"/>
      <c r="B33" s="47"/>
      <c r="C33" s="58"/>
      <c r="D33" s="58"/>
      <c r="E33" s="58"/>
      <c r="F33" s="58"/>
      <c r="G33" s="58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ht="15" customHeight="1" x14ac:dyDescent="0.25">
      <c r="A34" s="59"/>
      <c r="B34" s="6"/>
      <c r="C34" s="48"/>
      <c r="D34" s="48"/>
      <c r="E34" s="48"/>
      <c r="F34" s="48"/>
      <c r="G34" s="48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5" customHeight="1" x14ac:dyDescent="0.25">
      <c r="A35" s="59"/>
      <c r="B35" s="6"/>
      <c r="C35" s="48"/>
      <c r="D35" s="48"/>
      <c r="E35" s="48"/>
      <c r="F35" s="48"/>
      <c r="G35" s="48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5" customHeight="1" x14ac:dyDescent="0.25">
      <c r="A36" s="59"/>
      <c r="B36" s="6"/>
      <c r="C36" s="48"/>
      <c r="D36" s="48"/>
      <c r="E36" s="48"/>
      <c r="F36" s="48"/>
      <c r="G36" s="48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5" customHeight="1" x14ac:dyDescent="0.25">
      <c r="A37" s="59"/>
      <c r="B37" s="6"/>
      <c r="C37" s="48"/>
      <c r="D37" s="48"/>
      <c r="E37" s="48"/>
      <c r="F37" s="48"/>
      <c r="G37" s="48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5" customHeight="1" x14ac:dyDescent="0.25">
      <c r="A38" s="109" t="s">
        <v>30</v>
      </c>
      <c r="B38" s="100"/>
      <c r="C38" s="106" t="s">
        <v>11</v>
      </c>
      <c r="D38" s="102"/>
      <c r="E38" s="102"/>
      <c r="F38" s="102"/>
      <c r="G38" s="102"/>
      <c r="H38" s="103"/>
      <c r="I38" s="106" t="s">
        <v>12</v>
      </c>
      <c r="J38" s="102"/>
      <c r="K38" s="102"/>
      <c r="L38" s="102"/>
      <c r="M38" s="102"/>
      <c r="N38" s="102"/>
      <c r="O38" s="145" t="s">
        <v>13</v>
      </c>
      <c r="P38" s="146"/>
      <c r="Q38" s="146"/>
      <c r="R38" s="146"/>
      <c r="S38" s="146"/>
      <c r="T38" s="147"/>
      <c r="U38" s="106" t="s">
        <v>14</v>
      </c>
      <c r="V38" s="102"/>
      <c r="W38" s="102"/>
      <c r="X38" s="102"/>
      <c r="Y38" s="102"/>
      <c r="Z38" s="102"/>
      <c r="AA38" s="106" t="s">
        <v>15</v>
      </c>
      <c r="AB38" s="102"/>
      <c r="AC38" s="102"/>
      <c r="AD38" s="102"/>
      <c r="AE38" s="102"/>
      <c r="AF38" s="103"/>
      <c r="AG38" s="24"/>
    </row>
    <row r="39" spans="1:33" ht="15" customHeight="1" x14ac:dyDescent="0.25">
      <c r="A39" s="97"/>
      <c r="B39" s="111"/>
      <c r="C39" s="6" t="s">
        <v>16</v>
      </c>
      <c r="D39" s="6" t="s">
        <v>17</v>
      </c>
      <c r="E39" s="6" t="s">
        <v>18</v>
      </c>
      <c r="F39" s="6" t="s">
        <v>19</v>
      </c>
      <c r="G39" s="6" t="s">
        <v>20</v>
      </c>
      <c r="H39" s="26" t="s">
        <v>21</v>
      </c>
      <c r="I39" s="6" t="s">
        <v>16</v>
      </c>
      <c r="J39" s="6" t="s">
        <v>17</v>
      </c>
      <c r="K39" s="6" t="s">
        <v>18</v>
      </c>
      <c r="L39" s="6" t="s">
        <v>19</v>
      </c>
      <c r="M39" s="6" t="s">
        <v>20</v>
      </c>
      <c r="N39" s="26" t="s">
        <v>21</v>
      </c>
      <c r="O39" s="6" t="s">
        <v>16</v>
      </c>
      <c r="P39" s="6" t="s">
        <v>17</v>
      </c>
      <c r="Q39" s="6" t="s">
        <v>18</v>
      </c>
      <c r="R39" s="6" t="s">
        <v>19</v>
      </c>
      <c r="S39" s="6" t="s">
        <v>20</v>
      </c>
      <c r="T39" s="26" t="s">
        <v>21</v>
      </c>
      <c r="U39" s="52" t="s">
        <v>16</v>
      </c>
      <c r="V39" s="52" t="s">
        <v>17</v>
      </c>
      <c r="W39" s="52" t="s">
        <v>18</v>
      </c>
      <c r="X39" s="52" t="s">
        <v>19</v>
      </c>
      <c r="Y39" s="52" t="s">
        <v>20</v>
      </c>
      <c r="Z39" s="53" t="s">
        <v>21</v>
      </c>
      <c r="AA39" s="52" t="s">
        <v>16</v>
      </c>
      <c r="AB39" s="52" t="s">
        <v>17</v>
      </c>
      <c r="AC39" s="52" t="s">
        <v>18</v>
      </c>
      <c r="AD39" s="52" t="s">
        <v>19</v>
      </c>
      <c r="AE39" s="52" t="s">
        <v>20</v>
      </c>
      <c r="AF39" s="53" t="s">
        <v>21</v>
      </c>
      <c r="AG39" s="24"/>
    </row>
    <row r="40" spans="1:33" ht="15" customHeight="1" x14ac:dyDescent="0.25">
      <c r="A40" s="107" t="s">
        <v>2</v>
      </c>
      <c r="B40" s="34">
        <v>1</v>
      </c>
      <c r="C40" s="63">
        <v>1.619</v>
      </c>
      <c r="D40" s="58">
        <v>0.89326099999999997</v>
      </c>
      <c r="E40" s="58">
        <v>0.700793</v>
      </c>
      <c r="F40" s="58">
        <v>0.64898199999999995</v>
      </c>
      <c r="G40" s="58">
        <v>0.61628400000000005</v>
      </c>
      <c r="H40" s="58">
        <v>0.605383</v>
      </c>
      <c r="I40" s="63">
        <v>0.82</v>
      </c>
      <c r="J40" s="58">
        <v>3.16</v>
      </c>
      <c r="K40" s="58">
        <v>7.82</v>
      </c>
      <c r="L40" s="58">
        <v>15.6</v>
      </c>
      <c r="M40" s="58">
        <v>41.62</v>
      </c>
      <c r="N40" s="64">
        <v>103.91</v>
      </c>
      <c r="O40" s="119">
        <f t="shared" ref="O40:T40" si="55">$B$4*8/I40/1024</f>
        <v>9.7560975609756095</v>
      </c>
      <c r="P40" s="119">
        <f t="shared" si="55"/>
        <v>2.5316455696202529</v>
      </c>
      <c r="Q40" s="119">
        <f t="shared" si="55"/>
        <v>1.0230179028132993</v>
      </c>
      <c r="R40" s="119">
        <f t="shared" si="55"/>
        <v>0.51282051282051289</v>
      </c>
      <c r="S40" s="119">
        <f t="shared" si="55"/>
        <v>0.19221528111484865</v>
      </c>
      <c r="T40" s="120">
        <f t="shared" si="55"/>
        <v>7.6989702627273601E-2</v>
      </c>
      <c r="U40" s="34">
        <f t="shared" ref="U40:Z40" si="56">$H$2*C40</f>
        <v>4.8570000000000002</v>
      </c>
      <c r="V40" s="34">
        <f t="shared" si="56"/>
        <v>2.679783</v>
      </c>
      <c r="W40" s="34">
        <f t="shared" si="56"/>
        <v>2.102379</v>
      </c>
      <c r="X40" s="34">
        <f t="shared" si="56"/>
        <v>1.9469459999999998</v>
      </c>
      <c r="Y40" s="34">
        <f t="shared" si="56"/>
        <v>1.8488520000000002</v>
      </c>
      <c r="Z40" s="35">
        <f t="shared" si="56"/>
        <v>1.816149</v>
      </c>
      <c r="AA40" s="34">
        <f t="shared" ref="AA40:AF40" si="57">U40*I40</f>
        <v>3.9827399999999997</v>
      </c>
      <c r="AB40" s="34">
        <f t="shared" si="57"/>
        <v>8.46811428</v>
      </c>
      <c r="AC40" s="34">
        <f t="shared" si="57"/>
        <v>16.44060378</v>
      </c>
      <c r="AD40" s="34">
        <f t="shared" si="57"/>
        <v>30.372357599999997</v>
      </c>
      <c r="AE40" s="34">
        <f t="shared" si="57"/>
        <v>76.949220240000002</v>
      </c>
      <c r="AF40" s="35">
        <f t="shared" si="57"/>
        <v>188.71604259</v>
      </c>
      <c r="AG40" s="24"/>
    </row>
    <row r="41" spans="1:33" ht="15" customHeight="1" x14ac:dyDescent="0.25">
      <c r="A41" s="107"/>
      <c r="B41" s="34">
        <v>2</v>
      </c>
      <c r="C41" s="65">
        <v>1.621</v>
      </c>
      <c r="D41" s="48">
        <v>0.89673700000000001</v>
      </c>
      <c r="E41" s="48">
        <v>0.70149499999999998</v>
      </c>
      <c r="F41" s="48">
        <v>0.64985199999999999</v>
      </c>
      <c r="G41" s="48">
        <v>0.61570800000000003</v>
      </c>
      <c r="H41" s="48">
        <v>0.60583100000000001</v>
      </c>
      <c r="I41" s="65">
        <v>0.82</v>
      </c>
      <c r="J41" s="48">
        <v>3.15</v>
      </c>
      <c r="K41" s="48">
        <v>7.85</v>
      </c>
      <c r="L41" s="48">
        <v>15.59</v>
      </c>
      <c r="M41" s="48">
        <v>41.64</v>
      </c>
      <c r="N41" s="62">
        <v>103.91</v>
      </c>
      <c r="O41" s="122">
        <f t="shared" ref="O41:T41" si="58">$B$4*8/I41/1024</f>
        <v>9.7560975609756095</v>
      </c>
      <c r="P41" s="122">
        <f t="shared" si="58"/>
        <v>2.5396825396825395</v>
      </c>
      <c r="Q41" s="122">
        <f t="shared" si="58"/>
        <v>1.0191082802547771</v>
      </c>
      <c r="R41" s="122">
        <f t="shared" si="58"/>
        <v>0.51314945477870433</v>
      </c>
      <c r="S41" s="122">
        <f t="shared" si="58"/>
        <v>0.19212295869356388</v>
      </c>
      <c r="T41" s="123">
        <f t="shared" si="58"/>
        <v>7.6989702627273601E-2</v>
      </c>
      <c r="U41" s="34">
        <f t="shared" ref="U41:Z41" si="59">$H$2*C41</f>
        <v>4.8629999999999995</v>
      </c>
      <c r="V41" s="34">
        <f t="shared" si="59"/>
        <v>2.6902110000000001</v>
      </c>
      <c r="W41" s="34">
        <f t="shared" si="59"/>
        <v>2.1044849999999999</v>
      </c>
      <c r="X41" s="34">
        <f t="shared" si="59"/>
        <v>1.9495559999999998</v>
      </c>
      <c r="Y41" s="34">
        <f t="shared" si="59"/>
        <v>1.847124</v>
      </c>
      <c r="Z41" s="35">
        <f t="shared" si="59"/>
        <v>1.817493</v>
      </c>
      <c r="AA41" s="34">
        <f t="shared" ref="AA41:AF41" si="60">U41*I41</f>
        <v>3.9876599999999995</v>
      </c>
      <c r="AB41" s="34">
        <f t="shared" si="60"/>
        <v>8.4741646500000005</v>
      </c>
      <c r="AC41" s="34">
        <f t="shared" si="60"/>
        <v>16.520207249999999</v>
      </c>
      <c r="AD41" s="34">
        <f t="shared" si="60"/>
        <v>30.393578039999998</v>
      </c>
      <c r="AE41" s="34">
        <f t="shared" si="60"/>
        <v>76.91424336</v>
      </c>
      <c r="AF41" s="35">
        <f t="shared" si="60"/>
        <v>188.85569763000001</v>
      </c>
      <c r="AG41" s="24"/>
    </row>
    <row r="42" spans="1:33" ht="15" customHeight="1" x14ac:dyDescent="0.25">
      <c r="A42" s="107"/>
      <c r="B42" s="34">
        <v>3</v>
      </c>
      <c r="C42" s="65">
        <v>1.61</v>
      </c>
      <c r="D42" s="48">
        <v>0.87979700000000005</v>
      </c>
      <c r="E42" s="48">
        <v>0.701353</v>
      </c>
      <c r="F42" s="48">
        <v>0.64955399999999996</v>
      </c>
      <c r="G42" s="48">
        <v>0.61553500000000005</v>
      </c>
      <c r="H42" s="48">
        <v>0.60528099999999996</v>
      </c>
      <c r="I42" s="65">
        <v>0.82</v>
      </c>
      <c r="J42" s="48">
        <v>3.16</v>
      </c>
      <c r="K42" s="48">
        <v>7.88</v>
      </c>
      <c r="L42" s="48">
        <v>15.75</v>
      </c>
      <c r="M42" s="48">
        <v>41.63</v>
      </c>
      <c r="N42" s="62">
        <v>103.96</v>
      </c>
      <c r="O42" s="122">
        <f t="shared" ref="O42:T42" si="61">$B$4*8/I42/1024</f>
        <v>9.7560975609756095</v>
      </c>
      <c r="P42" s="122">
        <f t="shared" si="61"/>
        <v>2.5316455696202529</v>
      </c>
      <c r="Q42" s="122">
        <f t="shared" si="61"/>
        <v>1.015228426395939</v>
      </c>
      <c r="R42" s="122">
        <f t="shared" si="61"/>
        <v>0.50793650793650791</v>
      </c>
      <c r="S42" s="122">
        <f t="shared" si="61"/>
        <v>0.19216910881575786</v>
      </c>
      <c r="T42" s="123">
        <f t="shared" si="61"/>
        <v>7.6952674105425167E-2</v>
      </c>
      <c r="U42" s="34">
        <f t="shared" ref="U42:Z42" si="62">$H$2*C42</f>
        <v>4.83</v>
      </c>
      <c r="V42" s="34">
        <f t="shared" si="62"/>
        <v>2.6393910000000003</v>
      </c>
      <c r="W42" s="34">
        <f t="shared" si="62"/>
        <v>2.1040589999999999</v>
      </c>
      <c r="X42" s="34">
        <f t="shared" si="62"/>
        <v>1.9486619999999999</v>
      </c>
      <c r="Y42" s="34">
        <f t="shared" si="62"/>
        <v>1.8466050000000003</v>
      </c>
      <c r="Z42" s="35">
        <f t="shared" si="62"/>
        <v>1.8158429999999999</v>
      </c>
      <c r="AA42" s="34">
        <f t="shared" ref="AA42:AF42" si="63">U42*I42</f>
        <v>3.9605999999999999</v>
      </c>
      <c r="AB42" s="34">
        <f t="shared" si="63"/>
        <v>8.3404755600000016</v>
      </c>
      <c r="AC42" s="34">
        <f t="shared" si="63"/>
        <v>16.579984919999998</v>
      </c>
      <c r="AD42" s="34">
        <f t="shared" si="63"/>
        <v>30.691426499999999</v>
      </c>
      <c r="AE42" s="34">
        <f t="shared" si="63"/>
        <v>76.874166150000022</v>
      </c>
      <c r="AF42" s="35">
        <f t="shared" si="63"/>
        <v>188.77503827999996</v>
      </c>
      <c r="AG42" s="24"/>
    </row>
    <row r="43" spans="1:33" ht="15" customHeight="1" x14ac:dyDescent="0.25">
      <c r="A43" s="107"/>
      <c r="B43" s="34">
        <v>4</v>
      </c>
      <c r="C43" s="65">
        <v>1.613</v>
      </c>
      <c r="D43" s="48">
        <v>0.94081499999999996</v>
      </c>
      <c r="E43" s="48">
        <v>0.70032300000000003</v>
      </c>
      <c r="F43" s="48">
        <v>0.64896100000000001</v>
      </c>
      <c r="G43" s="48">
        <v>0.61544900000000002</v>
      </c>
      <c r="H43" s="48">
        <v>0.60528999999999999</v>
      </c>
      <c r="I43" s="65">
        <v>0.8</v>
      </c>
      <c r="J43" s="48">
        <v>3.17</v>
      </c>
      <c r="K43" s="48">
        <v>7.62</v>
      </c>
      <c r="L43" s="48">
        <v>15.64</v>
      </c>
      <c r="M43" s="48">
        <v>41.61</v>
      </c>
      <c r="N43" s="62">
        <v>104.05</v>
      </c>
      <c r="O43" s="122">
        <f t="shared" ref="O43:T43" si="64">$B$4*8/I43/1024</f>
        <v>10</v>
      </c>
      <c r="P43" s="122">
        <f t="shared" si="64"/>
        <v>2.5236593059936907</v>
      </c>
      <c r="Q43" s="122">
        <f t="shared" si="64"/>
        <v>1.0498687664041995</v>
      </c>
      <c r="R43" s="122">
        <f t="shared" si="64"/>
        <v>0.51150895140664965</v>
      </c>
      <c r="S43" s="122">
        <f t="shared" si="64"/>
        <v>0.19226147560682527</v>
      </c>
      <c r="T43" s="123">
        <f t="shared" si="64"/>
        <v>7.6886112445939458E-2</v>
      </c>
      <c r="U43" s="34">
        <f t="shared" ref="U43:Z43" si="65">$H$2*C43</f>
        <v>4.8390000000000004</v>
      </c>
      <c r="V43" s="34">
        <f t="shared" si="65"/>
        <v>2.8224450000000001</v>
      </c>
      <c r="W43" s="34">
        <f t="shared" si="65"/>
        <v>2.1009690000000001</v>
      </c>
      <c r="X43" s="34">
        <f t="shared" si="65"/>
        <v>1.9468830000000001</v>
      </c>
      <c r="Y43" s="34">
        <f t="shared" si="65"/>
        <v>1.8463470000000002</v>
      </c>
      <c r="Z43" s="35">
        <f t="shared" si="65"/>
        <v>1.8158699999999999</v>
      </c>
      <c r="AA43" s="34">
        <f t="shared" ref="AA43:AF43" si="66">U43*I43</f>
        <v>3.8712000000000004</v>
      </c>
      <c r="AB43" s="34">
        <f t="shared" si="66"/>
        <v>8.9471506499999993</v>
      </c>
      <c r="AC43" s="34">
        <f t="shared" si="66"/>
        <v>16.00938378</v>
      </c>
      <c r="AD43" s="34">
        <f t="shared" si="66"/>
        <v>30.449250120000002</v>
      </c>
      <c r="AE43" s="34">
        <f t="shared" si="66"/>
        <v>76.826498670000007</v>
      </c>
      <c r="AF43" s="35">
        <f t="shared" si="66"/>
        <v>188.94127349999999</v>
      </c>
      <c r="AG43" s="24"/>
    </row>
    <row r="44" spans="1:33" ht="15" customHeight="1" x14ac:dyDescent="0.25">
      <c r="A44" s="107"/>
      <c r="B44" s="37">
        <v>5</v>
      </c>
      <c r="C44" s="66">
        <v>1.611</v>
      </c>
      <c r="D44" s="67">
        <v>0.89854199999999995</v>
      </c>
      <c r="E44" s="67">
        <v>0.70094199999999995</v>
      </c>
      <c r="F44" s="67">
        <v>0.64884900000000001</v>
      </c>
      <c r="G44" s="67">
        <v>0.61610799999999999</v>
      </c>
      <c r="H44" s="67">
        <v>0.60530700000000004</v>
      </c>
      <c r="I44" s="66">
        <v>0.81</v>
      </c>
      <c r="J44" s="67">
        <v>3.17</v>
      </c>
      <c r="K44" s="67">
        <v>7.91</v>
      </c>
      <c r="L44" s="67">
        <v>15.59</v>
      </c>
      <c r="M44" s="67">
        <v>41.61</v>
      </c>
      <c r="N44" s="68">
        <v>103.9</v>
      </c>
      <c r="O44" s="125">
        <f t="shared" ref="O44:T44" si="67">$B$4*8/I44/1024</f>
        <v>9.8765432098765427</v>
      </c>
      <c r="P44" s="125">
        <f t="shared" si="67"/>
        <v>2.5236593059936907</v>
      </c>
      <c r="Q44" s="125">
        <f t="shared" si="67"/>
        <v>1.0113780025284449</v>
      </c>
      <c r="R44" s="125">
        <f t="shared" si="67"/>
        <v>0.51314945477870433</v>
      </c>
      <c r="S44" s="125">
        <f t="shared" si="67"/>
        <v>0.19226147560682527</v>
      </c>
      <c r="T44" s="126">
        <f t="shared" si="67"/>
        <v>7.6997112608277185E-2</v>
      </c>
      <c r="U44" s="37">
        <f t="shared" ref="U44:Z44" si="68">$H$2*C44</f>
        <v>4.8330000000000002</v>
      </c>
      <c r="V44" s="37">
        <f t="shared" si="68"/>
        <v>2.6956259999999999</v>
      </c>
      <c r="W44" s="37">
        <f t="shared" si="68"/>
        <v>2.1028259999999999</v>
      </c>
      <c r="X44" s="37">
        <f t="shared" si="68"/>
        <v>1.946547</v>
      </c>
      <c r="Y44" s="37">
        <f t="shared" si="68"/>
        <v>1.8483239999999999</v>
      </c>
      <c r="Z44" s="38">
        <f t="shared" si="68"/>
        <v>1.8159210000000001</v>
      </c>
      <c r="AA44" s="37">
        <f t="shared" ref="AA44:AF44" si="69">U44*I44</f>
        <v>3.9147300000000005</v>
      </c>
      <c r="AB44" s="37">
        <f t="shared" si="69"/>
        <v>8.5451344200000001</v>
      </c>
      <c r="AC44" s="37">
        <f t="shared" si="69"/>
        <v>16.633353660000001</v>
      </c>
      <c r="AD44" s="37">
        <f t="shared" si="69"/>
        <v>30.34666773</v>
      </c>
      <c r="AE44" s="37">
        <f t="shared" si="69"/>
        <v>76.908761639999994</v>
      </c>
      <c r="AF44" s="38">
        <f t="shared" si="69"/>
        <v>188.67419190000001</v>
      </c>
      <c r="AG44" s="24"/>
    </row>
    <row r="45" spans="1:33" ht="15" customHeight="1" x14ac:dyDescent="0.25">
      <c r="A45" s="107"/>
      <c r="B45" s="53" t="s">
        <v>22</v>
      </c>
      <c r="C45" s="38">
        <f t="shared" ref="C45:AF45" si="70">AVERAGE(C40:C44)</f>
        <v>1.6148000000000002</v>
      </c>
      <c r="D45" s="38">
        <f t="shared" si="70"/>
        <v>0.90183040000000003</v>
      </c>
      <c r="E45" s="38">
        <f t="shared" si="70"/>
        <v>0.70098119999999997</v>
      </c>
      <c r="F45" s="38">
        <f t="shared" si="70"/>
        <v>0.64923959999999992</v>
      </c>
      <c r="G45" s="38">
        <f t="shared" si="70"/>
        <v>0.61581679999999994</v>
      </c>
      <c r="H45" s="38">
        <f t="shared" si="70"/>
        <v>0.60541839999999991</v>
      </c>
      <c r="I45" s="60">
        <f t="shared" si="70"/>
        <v>0.81400000000000006</v>
      </c>
      <c r="J45" s="38">
        <f t="shared" si="70"/>
        <v>3.1619999999999999</v>
      </c>
      <c r="K45" s="38">
        <f t="shared" si="70"/>
        <v>7.8159999999999998</v>
      </c>
      <c r="L45" s="38">
        <f t="shared" si="70"/>
        <v>15.634</v>
      </c>
      <c r="M45" s="38">
        <f t="shared" si="70"/>
        <v>41.622</v>
      </c>
      <c r="N45" s="38">
        <f t="shared" si="70"/>
        <v>103.946</v>
      </c>
      <c r="O45" s="38">
        <f t="shared" si="70"/>
        <v>9.8289671785606743</v>
      </c>
      <c r="P45" s="38">
        <f t="shared" si="70"/>
        <v>2.5300584581820855</v>
      </c>
      <c r="Q45" s="38">
        <f t="shared" si="70"/>
        <v>1.023720275679332</v>
      </c>
      <c r="R45" s="38">
        <f t="shared" si="70"/>
        <v>0.51171297634421575</v>
      </c>
      <c r="S45" s="38">
        <f t="shared" si="70"/>
        <v>0.19220605996756418</v>
      </c>
      <c r="T45" s="38">
        <f t="shared" si="70"/>
        <v>7.6963060882837803E-2</v>
      </c>
      <c r="U45" s="38">
        <f t="shared" si="70"/>
        <v>4.8444000000000003</v>
      </c>
      <c r="V45" s="38">
        <f t="shared" si="70"/>
        <v>2.7054912</v>
      </c>
      <c r="W45" s="38">
        <f t="shared" si="70"/>
        <v>2.1029435999999997</v>
      </c>
      <c r="X45" s="38">
        <f t="shared" si="70"/>
        <v>1.9477188000000001</v>
      </c>
      <c r="Y45" s="38">
        <f t="shared" si="70"/>
        <v>1.8474504</v>
      </c>
      <c r="Z45" s="38">
        <f t="shared" si="70"/>
        <v>1.8162551999999998</v>
      </c>
      <c r="AA45" s="38">
        <f t="shared" si="70"/>
        <v>3.9433859999999994</v>
      </c>
      <c r="AB45" s="38">
        <f t="shared" si="70"/>
        <v>8.5550079119999989</v>
      </c>
      <c r="AC45" s="38">
        <f t="shared" si="70"/>
        <v>16.436706678</v>
      </c>
      <c r="AD45" s="38">
        <f t="shared" si="70"/>
        <v>30.450655997999995</v>
      </c>
      <c r="AE45" s="38">
        <f t="shared" si="70"/>
        <v>76.894578011999982</v>
      </c>
      <c r="AF45" s="38">
        <f t="shared" si="70"/>
        <v>188.79244878</v>
      </c>
      <c r="AG45" s="24"/>
    </row>
    <row r="46" spans="1:33" ht="15" customHeight="1" x14ac:dyDescent="0.25">
      <c r="A46" s="108"/>
      <c r="B46" s="53" t="s">
        <v>23</v>
      </c>
      <c r="C46" s="38">
        <f>_xlfn.STDEV.P(C40:C44)</f>
        <v>4.3999999999999794E-3</v>
      </c>
      <c r="D46" s="38">
        <f t="shared" ref="D46:AF46" si="71">_xlfn.STDEV.P(D40:D44)</f>
        <v>2.0569203519825434E-2</v>
      </c>
      <c r="E46" s="38">
        <f t="shared" si="71"/>
        <v>4.1771013873257812E-4</v>
      </c>
      <c r="F46" s="38">
        <f t="shared" si="71"/>
        <v>3.9253667344592757E-4</v>
      </c>
      <c r="G46" s="38">
        <f t="shared" si="71"/>
        <v>3.2545316099248097E-4</v>
      </c>
      <c r="H46" s="38">
        <f t="shared" si="71"/>
        <v>2.0941212954363972E-4</v>
      </c>
      <c r="I46" s="38">
        <f t="shared" si="71"/>
        <v>7.9999999999999568E-3</v>
      </c>
      <c r="J46" s="38">
        <f t="shared" si="71"/>
        <v>7.483314773547866E-3</v>
      </c>
      <c r="K46" s="38">
        <f t="shared" si="71"/>
        <v>0.10248902380255161</v>
      </c>
      <c r="L46" s="38">
        <f t="shared" si="71"/>
        <v>6.0860496218811844E-2</v>
      </c>
      <c r="M46" s="38">
        <f t="shared" si="71"/>
        <v>1.1661903789691449E-2</v>
      </c>
      <c r="N46" s="38">
        <f t="shared" si="71"/>
        <v>5.6071383075503321E-2</v>
      </c>
      <c r="O46" s="38">
        <f t="shared" si="71"/>
        <v>9.7412163784863628E-2</v>
      </c>
      <c r="P46" s="38">
        <f t="shared" si="71"/>
        <v>5.9926469547634965E-3</v>
      </c>
      <c r="Q46" s="38">
        <f t="shared" si="71"/>
        <v>1.363781952813942E-2</v>
      </c>
      <c r="R46" s="38">
        <f t="shared" si="71"/>
        <v>1.9827716682157045E-3</v>
      </c>
      <c r="S46" s="38">
        <f t="shared" si="71"/>
        <v>5.3847980587871916E-5</v>
      </c>
      <c r="T46" s="38">
        <f t="shared" si="71"/>
        <v>4.1492245503664858E-5</v>
      </c>
      <c r="U46" s="38">
        <f t="shared" si="71"/>
        <v>1.319999999999983E-2</v>
      </c>
      <c r="V46" s="38">
        <f t="shared" si="71"/>
        <v>6.1707610559476343E-2</v>
      </c>
      <c r="W46" s="38">
        <f t="shared" si="71"/>
        <v>1.2531304161977146E-3</v>
      </c>
      <c r="X46" s="38">
        <f t="shared" si="71"/>
        <v>1.1776100203377323E-3</v>
      </c>
      <c r="Y46" s="38">
        <f t="shared" si="71"/>
        <v>9.7635948297738616E-4</v>
      </c>
      <c r="Z46" s="38">
        <f t="shared" si="71"/>
        <v>6.2823638863093278E-4</v>
      </c>
      <c r="AA46" s="38">
        <f t="shared" si="71"/>
        <v>4.4355904048953496E-2</v>
      </c>
      <c r="AB46" s="38">
        <f t="shared" si="71"/>
        <v>0.20687371952861167</v>
      </c>
      <c r="AC46" s="38">
        <f t="shared" si="71"/>
        <v>0.22306549811378812</v>
      </c>
      <c r="AD46" s="38">
        <f t="shared" si="71"/>
        <v>0.1250395964698694</v>
      </c>
      <c r="AE46" s="38">
        <f t="shared" si="71"/>
        <v>4.1533396715091396E-2</v>
      </c>
      <c r="AF46" s="38">
        <f t="shared" si="71"/>
        <v>9.6202843364735752E-2</v>
      </c>
      <c r="AG46" s="24"/>
    </row>
    <row r="47" spans="1:33" ht="15" customHeight="1" x14ac:dyDescent="0.25">
      <c r="A47" s="107" t="s">
        <v>3</v>
      </c>
      <c r="B47" s="35">
        <v>1</v>
      </c>
      <c r="C47" s="48">
        <v>2.9870000000000001</v>
      </c>
      <c r="D47" s="48">
        <v>1.2070000000000001</v>
      </c>
      <c r="E47" s="48">
        <v>0.84185900000000002</v>
      </c>
      <c r="F47" s="48">
        <v>0.71987400000000001</v>
      </c>
      <c r="G47" s="48">
        <v>0.644208</v>
      </c>
      <c r="H47" s="62">
        <v>0.616649</v>
      </c>
      <c r="I47" s="48">
        <v>0.81</v>
      </c>
      <c r="J47" s="48">
        <v>3.18</v>
      </c>
      <c r="K47" s="48">
        <v>7.95</v>
      </c>
      <c r="L47" s="48">
        <v>15.9</v>
      </c>
      <c r="M47" s="48">
        <v>42.06</v>
      </c>
      <c r="N47" s="48">
        <v>106.12</v>
      </c>
      <c r="O47" s="136">
        <f t="shared" ref="O47:T47" si="72">$C$4*8/I47/1024</f>
        <v>123.45679012345678</v>
      </c>
      <c r="P47" s="137">
        <f t="shared" si="72"/>
        <v>31.446540880503143</v>
      </c>
      <c r="Q47" s="137">
        <f t="shared" si="72"/>
        <v>12.578616352201257</v>
      </c>
      <c r="R47" s="137">
        <f t="shared" si="72"/>
        <v>6.2893081761006284</v>
      </c>
      <c r="S47" s="137">
        <f t="shared" si="72"/>
        <v>2.377555872563005</v>
      </c>
      <c r="T47" s="138">
        <f t="shared" si="72"/>
        <v>0.94232943837165473</v>
      </c>
      <c r="U47" s="34">
        <f t="shared" ref="U47:Z47" si="73">$H$2*C47</f>
        <v>8.9610000000000003</v>
      </c>
      <c r="V47" s="34">
        <f t="shared" si="73"/>
        <v>3.6210000000000004</v>
      </c>
      <c r="W47" s="34">
        <f t="shared" si="73"/>
        <v>2.5255770000000002</v>
      </c>
      <c r="X47" s="34">
        <f t="shared" si="73"/>
        <v>2.1596220000000002</v>
      </c>
      <c r="Y47" s="34">
        <f t="shared" si="73"/>
        <v>1.9326240000000001</v>
      </c>
      <c r="Z47" s="35">
        <f t="shared" si="73"/>
        <v>1.849947</v>
      </c>
      <c r="AA47" s="34">
        <f t="shared" ref="AA47:AF47" si="74">U47*I47</f>
        <v>7.2584100000000005</v>
      </c>
      <c r="AB47" s="34">
        <f t="shared" si="74"/>
        <v>11.514780000000002</v>
      </c>
      <c r="AC47" s="34">
        <f t="shared" si="74"/>
        <v>20.078337150000003</v>
      </c>
      <c r="AD47" s="34">
        <f t="shared" si="74"/>
        <v>34.337989800000003</v>
      </c>
      <c r="AE47" s="34">
        <f t="shared" si="74"/>
        <v>81.286165440000005</v>
      </c>
      <c r="AF47" s="35">
        <f t="shared" si="74"/>
        <v>196.31637564000002</v>
      </c>
      <c r="AG47" s="24"/>
    </row>
    <row r="48" spans="1:33" ht="15" customHeight="1" x14ac:dyDescent="0.25">
      <c r="A48" s="107"/>
      <c r="B48" s="35">
        <v>2</v>
      </c>
      <c r="C48" s="48">
        <v>3.0150000000000001</v>
      </c>
      <c r="D48" s="48">
        <v>1.194</v>
      </c>
      <c r="E48" s="48">
        <v>0.84104000000000001</v>
      </c>
      <c r="F48" s="48">
        <v>0.720059</v>
      </c>
      <c r="G48" s="48">
        <v>0.64318900000000001</v>
      </c>
      <c r="H48" s="62">
        <v>0.61719400000000002</v>
      </c>
      <c r="I48" s="48">
        <v>0.81</v>
      </c>
      <c r="J48" s="48">
        <v>3.18</v>
      </c>
      <c r="K48" s="48">
        <v>8.01</v>
      </c>
      <c r="L48" s="48">
        <v>16.190000000000001</v>
      </c>
      <c r="M48" s="48">
        <v>42.06</v>
      </c>
      <c r="N48" s="48">
        <v>106.14</v>
      </c>
      <c r="O48" s="139">
        <f t="shared" ref="O48:T48" si="75">$C$4*8/I48/1024</f>
        <v>123.45679012345678</v>
      </c>
      <c r="P48" s="140">
        <f t="shared" si="75"/>
        <v>31.446540880503143</v>
      </c>
      <c r="Q48" s="140">
        <f t="shared" si="75"/>
        <v>12.484394506866417</v>
      </c>
      <c r="R48" s="140">
        <f t="shared" si="75"/>
        <v>6.1766522544780722</v>
      </c>
      <c r="S48" s="140">
        <f t="shared" si="75"/>
        <v>2.377555872563005</v>
      </c>
      <c r="T48" s="141">
        <f t="shared" si="75"/>
        <v>0.94215187488223096</v>
      </c>
      <c r="U48" s="34">
        <f t="shared" ref="U48:Z48" si="76">$H$2*C48</f>
        <v>9.0449999999999999</v>
      </c>
      <c r="V48" s="34">
        <f t="shared" si="76"/>
        <v>3.5819999999999999</v>
      </c>
      <c r="W48" s="34">
        <f t="shared" si="76"/>
        <v>2.52312</v>
      </c>
      <c r="X48" s="34">
        <f t="shared" si="76"/>
        <v>2.160177</v>
      </c>
      <c r="Y48" s="34">
        <f t="shared" si="76"/>
        <v>1.929567</v>
      </c>
      <c r="Z48" s="35">
        <f t="shared" si="76"/>
        <v>1.8515820000000001</v>
      </c>
      <c r="AA48" s="34">
        <f t="shared" ref="AA48:AF48" si="77">U48*I48</f>
        <v>7.3264500000000004</v>
      </c>
      <c r="AB48" s="34">
        <f t="shared" si="77"/>
        <v>11.39076</v>
      </c>
      <c r="AC48" s="34">
        <f t="shared" si="77"/>
        <v>20.210191200000001</v>
      </c>
      <c r="AD48" s="34">
        <f t="shared" si="77"/>
        <v>34.97326563</v>
      </c>
      <c r="AE48" s="34">
        <f t="shared" si="77"/>
        <v>81.157588020000006</v>
      </c>
      <c r="AF48" s="35">
        <f t="shared" si="77"/>
        <v>196.52691348000002</v>
      </c>
      <c r="AG48" s="24"/>
    </row>
    <row r="49" spans="1:33" ht="15" customHeight="1" x14ac:dyDescent="0.25">
      <c r="A49" s="107"/>
      <c r="B49" s="35">
        <v>3</v>
      </c>
      <c r="C49" s="48">
        <v>2.9820000000000002</v>
      </c>
      <c r="D49" s="48">
        <v>1.2010000000000001</v>
      </c>
      <c r="E49" s="48">
        <v>0.84311400000000003</v>
      </c>
      <c r="F49" s="48">
        <v>0.71927300000000005</v>
      </c>
      <c r="G49" s="48">
        <v>0.64377099999999998</v>
      </c>
      <c r="H49" s="62">
        <v>0.616699</v>
      </c>
      <c r="I49" s="48">
        <v>0.8</v>
      </c>
      <c r="J49" s="48">
        <v>3.19</v>
      </c>
      <c r="K49" s="48">
        <v>7.98</v>
      </c>
      <c r="L49" s="48">
        <v>16</v>
      </c>
      <c r="M49" s="48">
        <v>42.09</v>
      </c>
      <c r="N49" s="48">
        <v>106.18</v>
      </c>
      <c r="O49" s="139">
        <f t="shared" ref="O49:T49" si="78">$C$4*8/I49/1024</f>
        <v>125</v>
      </c>
      <c r="P49" s="140">
        <f t="shared" si="78"/>
        <v>31.347962382445143</v>
      </c>
      <c r="Q49" s="140">
        <f t="shared" si="78"/>
        <v>12.531328320802004</v>
      </c>
      <c r="R49" s="140">
        <f t="shared" si="78"/>
        <v>6.25</v>
      </c>
      <c r="S49" s="140">
        <f t="shared" si="78"/>
        <v>2.3758612497030169</v>
      </c>
      <c r="T49" s="141">
        <f t="shared" si="78"/>
        <v>0.94179694857788654</v>
      </c>
      <c r="U49" s="34">
        <f t="shared" ref="U49:Z49" si="79">$H$2*C49</f>
        <v>8.9460000000000015</v>
      </c>
      <c r="V49" s="34">
        <f t="shared" si="79"/>
        <v>3.6030000000000002</v>
      </c>
      <c r="W49" s="34">
        <f t="shared" si="79"/>
        <v>2.5293420000000002</v>
      </c>
      <c r="X49" s="34">
        <f t="shared" si="79"/>
        <v>2.1578189999999999</v>
      </c>
      <c r="Y49" s="34">
        <f t="shared" si="79"/>
        <v>1.9313129999999998</v>
      </c>
      <c r="Z49" s="35">
        <f t="shared" si="79"/>
        <v>1.8500969999999999</v>
      </c>
      <c r="AA49" s="34">
        <f t="shared" ref="AA49:AF49" si="80">U49*I49</f>
        <v>7.1568000000000014</v>
      </c>
      <c r="AB49" s="34">
        <f t="shared" si="80"/>
        <v>11.49357</v>
      </c>
      <c r="AC49" s="34">
        <f t="shared" si="80"/>
        <v>20.184149160000004</v>
      </c>
      <c r="AD49" s="34">
        <f t="shared" si="80"/>
        <v>34.525103999999999</v>
      </c>
      <c r="AE49" s="34">
        <f t="shared" si="80"/>
        <v>81.28896417</v>
      </c>
      <c r="AF49" s="35">
        <f t="shared" si="80"/>
        <v>196.44329945999999</v>
      </c>
      <c r="AG49" s="24"/>
    </row>
    <row r="50" spans="1:33" ht="15" customHeight="1" x14ac:dyDescent="0.25">
      <c r="A50" s="107"/>
      <c r="B50" s="35">
        <v>4</v>
      </c>
      <c r="C50" s="48">
        <v>2.9969999999999999</v>
      </c>
      <c r="D50" s="48">
        <v>1.1559999999999999</v>
      </c>
      <c r="E50" s="48">
        <v>0.84362899999999996</v>
      </c>
      <c r="F50" s="48">
        <v>0.721051</v>
      </c>
      <c r="G50" s="48">
        <v>0.64360899999999999</v>
      </c>
      <c r="H50" s="62">
        <v>0.61629900000000004</v>
      </c>
      <c r="I50" s="48">
        <v>0.81</v>
      </c>
      <c r="J50" s="48">
        <v>3.19</v>
      </c>
      <c r="K50" s="48">
        <v>8.16</v>
      </c>
      <c r="L50" s="48">
        <v>15.8</v>
      </c>
      <c r="M50" s="48">
        <v>42.07</v>
      </c>
      <c r="N50" s="48">
        <v>106.06</v>
      </c>
      <c r="O50" s="139">
        <f t="shared" ref="O50:T50" si="81">$C$4*8/I50/1024</f>
        <v>123.45679012345678</v>
      </c>
      <c r="P50" s="140">
        <f t="shared" si="81"/>
        <v>31.347962382445143</v>
      </c>
      <c r="Q50" s="140">
        <f t="shared" si="81"/>
        <v>12.254901960784313</v>
      </c>
      <c r="R50" s="140">
        <f t="shared" si="81"/>
        <v>6.3291139240506329</v>
      </c>
      <c r="S50" s="140">
        <f t="shared" si="81"/>
        <v>2.3769907297361539</v>
      </c>
      <c r="T50" s="141">
        <f t="shared" si="81"/>
        <v>0.94286253064303227</v>
      </c>
      <c r="U50" s="34">
        <f t="shared" ref="U50:Z50" si="82">$H$2*C50</f>
        <v>8.9909999999999997</v>
      </c>
      <c r="V50" s="34">
        <f t="shared" si="82"/>
        <v>3.468</v>
      </c>
      <c r="W50" s="34">
        <f t="shared" si="82"/>
        <v>2.5308869999999999</v>
      </c>
      <c r="X50" s="34">
        <f t="shared" si="82"/>
        <v>2.1631529999999999</v>
      </c>
      <c r="Y50" s="34">
        <f t="shared" si="82"/>
        <v>1.9308269999999998</v>
      </c>
      <c r="Z50" s="35">
        <f t="shared" si="82"/>
        <v>1.848897</v>
      </c>
      <c r="AA50" s="34">
        <f t="shared" ref="AA50:AF50" si="83">U50*I50</f>
        <v>7.2827099999999998</v>
      </c>
      <c r="AB50" s="34">
        <f t="shared" si="83"/>
        <v>11.06292</v>
      </c>
      <c r="AC50" s="34">
        <f t="shared" si="83"/>
        <v>20.652037919999998</v>
      </c>
      <c r="AD50" s="34">
        <f t="shared" si="83"/>
        <v>34.177817400000002</v>
      </c>
      <c r="AE50" s="34">
        <f t="shared" si="83"/>
        <v>81.22989188999999</v>
      </c>
      <c r="AF50" s="35">
        <f t="shared" si="83"/>
        <v>196.09401582000001</v>
      </c>
      <c r="AG50" s="24"/>
    </row>
    <row r="51" spans="1:33" ht="15" customHeight="1" x14ac:dyDescent="0.25">
      <c r="A51" s="107"/>
      <c r="B51" s="38">
        <v>5</v>
      </c>
      <c r="C51" s="48">
        <v>3.0089999999999999</v>
      </c>
      <c r="D51" s="48">
        <v>1.268</v>
      </c>
      <c r="E51" s="48">
        <v>0.841943</v>
      </c>
      <c r="F51" s="48">
        <v>0.71869700000000003</v>
      </c>
      <c r="G51" s="48">
        <v>0.64444000000000001</v>
      </c>
      <c r="H51" s="62">
        <v>0.61596600000000001</v>
      </c>
      <c r="I51" s="48">
        <v>0.81</v>
      </c>
      <c r="J51" s="48">
        <v>3.18</v>
      </c>
      <c r="K51" s="48">
        <v>8.06</v>
      </c>
      <c r="L51" s="48">
        <v>15.97</v>
      </c>
      <c r="M51" s="48">
        <v>42.05</v>
      </c>
      <c r="N51" s="48">
        <v>106.15</v>
      </c>
      <c r="O51" s="142">
        <f t="shared" ref="O51:T51" si="84">$C$4*8/I51/1024</f>
        <v>123.45679012345678</v>
      </c>
      <c r="P51" s="143">
        <f t="shared" si="84"/>
        <v>31.446540880503143</v>
      </c>
      <c r="Q51" s="143">
        <f t="shared" si="84"/>
        <v>12.406947890818858</v>
      </c>
      <c r="R51" s="143">
        <f t="shared" si="84"/>
        <v>6.261740763932373</v>
      </c>
      <c r="S51" s="143">
        <f t="shared" si="84"/>
        <v>2.3781212841854935</v>
      </c>
      <c r="T51" s="144">
        <f t="shared" si="84"/>
        <v>0.9420631182289213</v>
      </c>
      <c r="U51" s="37">
        <f t="shared" ref="U51:Z51" si="85">$H$2*C51</f>
        <v>9.0269999999999992</v>
      </c>
      <c r="V51" s="37">
        <f t="shared" si="85"/>
        <v>3.8040000000000003</v>
      </c>
      <c r="W51" s="37">
        <f t="shared" si="85"/>
        <v>2.5258289999999999</v>
      </c>
      <c r="X51" s="37">
        <f t="shared" si="85"/>
        <v>2.156091</v>
      </c>
      <c r="Y51" s="37">
        <f t="shared" si="85"/>
        <v>1.9333200000000001</v>
      </c>
      <c r="Z51" s="38">
        <f t="shared" si="85"/>
        <v>1.847898</v>
      </c>
      <c r="AA51" s="37">
        <f t="shared" ref="AA51:AF51" si="86">U51*I51</f>
        <v>7.3118699999999999</v>
      </c>
      <c r="AB51" s="37">
        <f t="shared" si="86"/>
        <v>12.096720000000001</v>
      </c>
      <c r="AC51" s="37">
        <f t="shared" si="86"/>
        <v>20.358181739999999</v>
      </c>
      <c r="AD51" s="37">
        <f t="shared" si="86"/>
        <v>34.432773269999998</v>
      </c>
      <c r="AE51" s="37">
        <f t="shared" si="86"/>
        <v>81.296105999999995</v>
      </c>
      <c r="AF51" s="38">
        <f t="shared" si="86"/>
        <v>196.15437270000001</v>
      </c>
      <c r="AG51" s="24"/>
    </row>
    <row r="52" spans="1:33" ht="15" customHeight="1" x14ac:dyDescent="0.25">
      <c r="A52" s="107"/>
      <c r="B52" s="42" t="s">
        <v>22</v>
      </c>
      <c r="C52" s="61">
        <f t="shared" ref="C52:AF52" si="87">AVERAGE(C47:C51)</f>
        <v>2.9980000000000002</v>
      </c>
      <c r="D52" s="61">
        <f t="shared" si="87"/>
        <v>1.2052</v>
      </c>
      <c r="E52" s="61">
        <f t="shared" si="87"/>
        <v>0.84231699999999987</v>
      </c>
      <c r="F52" s="61">
        <f t="shared" si="87"/>
        <v>0.71979080000000006</v>
      </c>
      <c r="G52" s="61">
        <f t="shared" si="87"/>
        <v>0.64384339999999995</v>
      </c>
      <c r="H52" s="61">
        <f t="shared" si="87"/>
        <v>0.61656139999999993</v>
      </c>
      <c r="I52" s="61">
        <f t="shared" si="87"/>
        <v>0.80800000000000005</v>
      </c>
      <c r="J52" s="61">
        <f t="shared" si="87"/>
        <v>3.1840000000000002</v>
      </c>
      <c r="K52" s="61">
        <f t="shared" si="87"/>
        <v>8.032</v>
      </c>
      <c r="L52" s="61">
        <f t="shared" si="87"/>
        <v>15.972</v>
      </c>
      <c r="M52" s="61">
        <f t="shared" si="87"/>
        <v>42.065999999999995</v>
      </c>
      <c r="N52" s="61">
        <f t="shared" si="87"/>
        <v>106.13</v>
      </c>
      <c r="O52" s="38">
        <f t="shared" si="87"/>
        <v>123.76543209876543</v>
      </c>
      <c r="P52" s="38">
        <f t="shared" si="87"/>
        <v>31.407109481279946</v>
      </c>
      <c r="Q52" s="38">
        <f t="shared" si="87"/>
        <v>12.451237806294568</v>
      </c>
      <c r="R52" s="38">
        <f t="shared" si="87"/>
        <v>6.2613630237123417</v>
      </c>
      <c r="S52" s="38">
        <f t="shared" si="87"/>
        <v>2.3772170017501351</v>
      </c>
      <c r="T52" s="38">
        <f t="shared" si="87"/>
        <v>0.94224078214074503</v>
      </c>
      <c r="U52" s="38">
        <f t="shared" si="87"/>
        <v>8.9939999999999998</v>
      </c>
      <c r="V52" s="38">
        <f t="shared" si="87"/>
        <v>3.6156000000000006</v>
      </c>
      <c r="W52" s="38">
        <f t="shared" si="87"/>
        <v>2.5269509999999999</v>
      </c>
      <c r="X52" s="38">
        <f t="shared" si="87"/>
        <v>2.1593723999999996</v>
      </c>
      <c r="Y52" s="38">
        <f t="shared" si="87"/>
        <v>1.9315302000000003</v>
      </c>
      <c r="Z52" s="38">
        <f t="shared" si="87"/>
        <v>1.8496842</v>
      </c>
      <c r="AA52" s="38">
        <f t="shared" si="87"/>
        <v>7.2672480000000004</v>
      </c>
      <c r="AB52" s="38">
        <f t="shared" si="87"/>
        <v>11.511750000000001</v>
      </c>
      <c r="AC52" s="38">
        <f t="shared" si="87"/>
        <v>20.296579434000002</v>
      </c>
      <c r="AD52" s="38">
        <f t="shared" si="87"/>
        <v>34.489390019999995</v>
      </c>
      <c r="AE52" s="38">
        <f t="shared" si="87"/>
        <v>81.251743103999999</v>
      </c>
      <c r="AF52" s="38">
        <f t="shared" si="87"/>
        <v>196.30699541999996</v>
      </c>
      <c r="AG52" s="24"/>
    </row>
    <row r="53" spans="1:33" ht="15" customHeight="1" x14ac:dyDescent="0.25">
      <c r="A53" s="108"/>
      <c r="B53" s="42" t="s">
        <v>23</v>
      </c>
      <c r="C53" s="61">
        <f>_xlfn.STDEV.P(C47:C51)</f>
        <v>1.255388386118012E-2</v>
      </c>
      <c r="D53" s="61">
        <f t="shared" ref="D53:AF53" si="88">_xlfn.STDEV.P(D47:D51)</f>
        <v>3.6085454133209995E-2</v>
      </c>
      <c r="E53" s="61">
        <f t="shared" si="88"/>
        <v>9.3133474111083223E-4</v>
      </c>
      <c r="F53" s="61">
        <f t="shared" si="88"/>
        <v>7.9138774314489854E-4</v>
      </c>
      <c r="G53" s="61">
        <f t="shared" si="88"/>
        <v>4.4210614110188793E-4</v>
      </c>
      <c r="H53" s="61">
        <f t="shared" si="88"/>
        <v>4.1234577723070904E-4</v>
      </c>
      <c r="I53" s="61">
        <f t="shared" si="88"/>
        <v>4.0000000000000036E-3</v>
      </c>
      <c r="J53" s="61">
        <f t="shared" si="88"/>
        <v>4.8989794855662516E-3</v>
      </c>
      <c r="K53" s="61">
        <f t="shared" si="88"/>
        <v>7.3593477971896401E-2</v>
      </c>
      <c r="L53" s="61">
        <f t="shared" si="88"/>
        <v>0.12890306435457635</v>
      </c>
      <c r="M53" s="61">
        <f t="shared" si="88"/>
        <v>1.3564659966252028E-2</v>
      </c>
      <c r="N53" s="61">
        <f t="shared" si="88"/>
        <v>4.0000000000001278E-2</v>
      </c>
      <c r="O53" s="61">
        <f t="shared" si="88"/>
        <v>0.61728395061728636</v>
      </c>
      <c r="P53" s="61">
        <f t="shared" si="88"/>
        <v>4.8293403970408495E-2</v>
      </c>
      <c r="Q53" s="61">
        <f t="shared" si="88"/>
        <v>0.11335652791899711</v>
      </c>
      <c r="R53" s="61">
        <f t="shared" si="88"/>
        <v>5.0351348459552421E-2</v>
      </c>
      <c r="S53" s="61">
        <f t="shared" si="88"/>
        <v>7.6637539314675768E-4</v>
      </c>
      <c r="T53" s="61">
        <f t="shared" si="88"/>
        <v>3.552149560691947E-4</v>
      </c>
      <c r="U53" s="61">
        <f t="shared" si="88"/>
        <v>3.7661651583539936E-2</v>
      </c>
      <c r="V53" s="61">
        <f t="shared" si="88"/>
        <v>0.10825636239962999</v>
      </c>
      <c r="W53" s="61">
        <f t="shared" si="88"/>
        <v>2.7940042233325136E-3</v>
      </c>
      <c r="X53" s="61">
        <f t="shared" si="88"/>
        <v>2.3741632294347224E-3</v>
      </c>
      <c r="Y53" s="61">
        <f t="shared" si="88"/>
        <v>1.3263184233057274E-3</v>
      </c>
      <c r="Z53" s="61">
        <f t="shared" si="88"/>
        <v>1.2370373316921339E-3</v>
      </c>
      <c r="AA53" s="61">
        <f t="shared" si="88"/>
        <v>6.0019903498755661E-2</v>
      </c>
      <c r="AB53" s="61">
        <f t="shared" si="88"/>
        <v>0.33425036819725462</v>
      </c>
      <c r="AC53" s="61">
        <f t="shared" si="88"/>
        <v>0.19893655641174474</v>
      </c>
      <c r="AD53" s="61">
        <f t="shared" si="88"/>
        <v>0.26781190221892154</v>
      </c>
      <c r="AE53" s="61">
        <f t="shared" si="88"/>
        <v>5.2689708497390859E-2</v>
      </c>
      <c r="AF53" s="61">
        <f t="shared" si="88"/>
        <v>0.16473295823124826</v>
      </c>
      <c r="AG53" s="24"/>
    </row>
    <row r="54" spans="1:33" ht="15" customHeight="1" x14ac:dyDescent="0.25">
      <c r="A54" s="107" t="s">
        <v>4</v>
      </c>
      <c r="B54" s="35">
        <v>1</v>
      </c>
      <c r="C54" s="48">
        <v>2.153</v>
      </c>
      <c r="D54" s="48">
        <v>0.99943099999999996</v>
      </c>
      <c r="E54" s="48">
        <v>0.75966800000000001</v>
      </c>
      <c r="F54" s="48">
        <v>0.67896900000000004</v>
      </c>
      <c r="G54" s="48">
        <v>0.62879399999999996</v>
      </c>
      <c r="H54" s="62">
        <v>0.61105299999999996</v>
      </c>
      <c r="I54" s="48">
        <v>0.8</v>
      </c>
      <c r="J54" s="48">
        <v>3.22</v>
      </c>
      <c r="K54" s="48">
        <v>7.95</v>
      </c>
      <c r="L54" s="48">
        <v>15.92</v>
      </c>
      <c r="M54" s="48">
        <v>42.42</v>
      </c>
      <c r="N54" s="48">
        <v>106.07</v>
      </c>
      <c r="O54" s="136">
        <f t="shared" ref="O54:T54" si="89">$D$4*8/I54/1024</f>
        <v>125</v>
      </c>
      <c r="P54" s="137">
        <f t="shared" si="89"/>
        <v>31.05590062111801</v>
      </c>
      <c r="Q54" s="137">
        <f t="shared" si="89"/>
        <v>12.578616352201257</v>
      </c>
      <c r="R54" s="137">
        <f t="shared" si="89"/>
        <v>6.2814070351758797</v>
      </c>
      <c r="S54" s="137">
        <f t="shared" si="89"/>
        <v>2.3573785950023574</v>
      </c>
      <c r="T54" s="138">
        <f t="shared" si="89"/>
        <v>0.94277364004902431</v>
      </c>
      <c r="U54" s="34">
        <f t="shared" ref="U54:Z54" si="90">$H$2*C54</f>
        <v>6.4589999999999996</v>
      </c>
      <c r="V54" s="34">
        <f t="shared" si="90"/>
        <v>2.9982929999999999</v>
      </c>
      <c r="W54" s="34">
        <f t="shared" si="90"/>
        <v>2.279004</v>
      </c>
      <c r="X54" s="34">
        <f t="shared" si="90"/>
        <v>2.0369070000000002</v>
      </c>
      <c r="Y54" s="34">
        <f t="shared" si="90"/>
        <v>1.8863819999999998</v>
      </c>
      <c r="Z54" s="35">
        <f t="shared" si="90"/>
        <v>1.8331589999999998</v>
      </c>
      <c r="AA54" s="34">
        <f t="shared" ref="AA54:AF54" si="91">U54*I54</f>
        <v>5.1672000000000002</v>
      </c>
      <c r="AB54" s="34">
        <f t="shared" si="91"/>
        <v>9.6545034600000008</v>
      </c>
      <c r="AC54" s="34">
        <f t="shared" si="91"/>
        <v>18.118081800000002</v>
      </c>
      <c r="AD54" s="34">
        <f t="shared" si="91"/>
        <v>32.427559440000003</v>
      </c>
      <c r="AE54" s="34">
        <f t="shared" si="91"/>
        <v>80.020324439999996</v>
      </c>
      <c r="AF54" s="35">
        <f t="shared" si="91"/>
        <v>194.44317512999996</v>
      </c>
      <c r="AG54" s="24"/>
    </row>
    <row r="55" spans="1:33" ht="15" customHeight="1" x14ac:dyDescent="0.25">
      <c r="A55" s="107"/>
      <c r="B55" s="35">
        <v>2</v>
      </c>
      <c r="C55" s="48">
        <v>2.1389999999999998</v>
      </c>
      <c r="D55" s="48">
        <v>0.92656099999999997</v>
      </c>
      <c r="E55" s="48">
        <v>0.760598</v>
      </c>
      <c r="F55" s="48">
        <v>0.68033600000000005</v>
      </c>
      <c r="G55" s="48">
        <v>0.62902899999999995</v>
      </c>
      <c r="H55" s="62">
        <v>0.61168100000000003</v>
      </c>
      <c r="I55" s="48">
        <v>0.8</v>
      </c>
      <c r="J55" s="48">
        <v>3.22</v>
      </c>
      <c r="K55" s="48">
        <v>8.1</v>
      </c>
      <c r="L55" s="48">
        <v>15.98</v>
      </c>
      <c r="M55" s="48">
        <v>42.33</v>
      </c>
      <c r="N55" s="48">
        <v>106.1</v>
      </c>
      <c r="O55" s="139">
        <f t="shared" ref="O55:T55" si="92">$D$4*8/I55/1024</f>
        <v>125</v>
      </c>
      <c r="P55" s="140">
        <f t="shared" si="92"/>
        <v>31.05590062111801</v>
      </c>
      <c r="Q55" s="140">
        <f t="shared" si="92"/>
        <v>12.345679012345679</v>
      </c>
      <c r="R55" s="140">
        <f t="shared" si="92"/>
        <v>6.2578222778473087</v>
      </c>
      <c r="S55" s="140">
        <f t="shared" si="92"/>
        <v>2.3623907394283017</v>
      </c>
      <c r="T55" s="141">
        <f t="shared" si="92"/>
        <v>0.94250706880301605</v>
      </c>
      <c r="U55" s="34">
        <f t="shared" ref="U55:Z55" si="93">$H$2*C55</f>
        <v>6.4169999999999998</v>
      </c>
      <c r="V55" s="34">
        <f t="shared" si="93"/>
        <v>2.7796829999999999</v>
      </c>
      <c r="W55" s="34">
        <f t="shared" si="93"/>
        <v>2.2817940000000001</v>
      </c>
      <c r="X55" s="34">
        <f t="shared" si="93"/>
        <v>2.0410080000000002</v>
      </c>
      <c r="Y55" s="34">
        <f t="shared" si="93"/>
        <v>1.8870869999999997</v>
      </c>
      <c r="Z55" s="35">
        <f t="shared" si="93"/>
        <v>1.8350430000000002</v>
      </c>
      <c r="AA55" s="34">
        <f t="shared" ref="AA55:AF55" si="94">U55*I55</f>
        <v>5.1336000000000004</v>
      </c>
      <c r="AB55" s="34">
        <f t="shared" si="94"/>
        <v>8.9505792599999996</v>
      </c>
      <c r="AC55" s="34">
        <f t="shared" si="94"/>
        <v>18.482531399999999</v>
      </c>
      <c r="AD55" s="34">
        <f t="shared" si="94"/>
        <v>32.61530784</v>
      </c>
      <c r="AE55" s="34">
        <f t="shared" si="94"/>
        <v>79.880392709999981</v>
      </c>
      <c r="AF55" s="35">
        <f t="shared" si="94"/>
        <v>194.6980623</v>
      </c>
      <c r="AG55" s="24"/>
    </row>
    <row r="56" spans="1:33" ht="15" customHeight="1" x14ac:dyDescent="0.25">
      <c r="A56" s="107"/>
      <c r="B56" s="35">
        <v>3</v>
      </c>
      <c r="C56" s="48">
        <v>2.1619999999999999</v>
      </c>
      <c r="D56" s="48">
        <v>0.97391099999999997</v>
      </c>
      <c r="E56" s="48">
        <v>0.75842799999999999</v>
      </c>
      <c r="F56" s="48">
        <v>0.67878899999999998</v>
      </c>
      <c r="G56" s="48">
        <v>0.62895299999999998</v>
      </c>
      <c r="H56" s="62">
        <v>0.61221700000000001</v>
      </c>
      <c r="I56" s="48">
        <v>0.8</v>
      </c>
      <c r="J56" s="48">
        <v>3.21</v>
      </c>
      <c r="K56" s="48">
        <v>7.97</v>
      </c>
      <c r="L56" s="48">
        <v>16.059999999999999</v>
      </c>
      <c r="M56" s="48">
        <v>42.44</v>
      </c>
      <c r="N56" s="48">
        <v>106.06</v>
      </c>
      <c r="O56" s="139">
        <f t="shared" ref="O56:T56" si="95">$D$4*8/I56/1024</f>
        <v>125</v>
      </c>
      <c r="P56" s="140">
        <f t="shared" si="95"/>
        <v>31.152647975077883</v>
      </c>
      <c r="Q56" s="140">
        <f t="shared" si="95"/>
        <v>12.547051442910917</v>
      </c>
      <c r="R56" s="140">
        <f t="shared" si="95"/>
        <v>6.2266500622665015</v>
      </c>
      <c r="S56" s="140">
        <f t="shared" si="95"/>
        <v>2.3562676720075402</v>
      </c>
      <c r="T56" s="141">
        <f t="shared" si="95"/>
        <v>0.94286253064303227</v>
      </c>
      <c r="U56" s="34">
        <f t="shared" ref="U56:Z56" si="96">$H$2*C56</f>
        <v>6.4859999999999998</v>
      </c>
      <c r="V56" s="34">
        <f t="shared" si="96"/>
        <v>2.9217329999999997</v>
      </c>
      <c r="W56" s="34">
        <f t="shared" si="96"/>
        <v>2.2752840000000001</v>
      </c>
      <c r="X56" s="34">
        <f t="shared" si="96"/>
        <v>2.0363669999999998</v>
      </c>
      <c r="Y56" s="34">
        <f t="shared" si="96"/>
        <v>1.8868589999999998</v>
      </c>
      <c r="Z56" s="35">
        <f t="shared" si="96"/>
        <v>1.836651</v>
      </c>
      <c r="AA56" s="34">
        <f t="shared" ref="AA56:AF56" si="97">U56*I56</f>
        <v>5.1888000000000005</v>
      </c>
      <c r="AB56" s="34">
        <f t="shared" si="97"/>
        <v>9.3787629299999988</v>
      </c>
      <c r="AC56" s="34">
        <f t="shared" si="97"/>
        <v>18.13401348</v>
      </c>
      <c r="AD56" s="34">
        <f t="shared" si="97"/>
        <v>32.704054019999994</v>
      </c>
      <c r="AE56" s="34">
        <f t="shared" si="97"/>
        <v>80.078295959999991</v>
      </c>
      <c r="AF56" s="35">
        <f t="shared" si="97"/>
        <v>194.79520506</v>
      </c>
      <c r="AG56" s="24"/>
    </row>
    <row r="57" spans="1:33" ht="15" customHeight="1" x14ac:dyDescent="0.25">
      <c r="A57" s="107"/>
      <c r="B57" s="35">
        <v>4</v>
      </c>
      <c r="C57" s="48">
        <v>2.165</v>
      </c>
      <c r="D57" s="48">
        <v>0.98410299999999995</v>
      </c>
      <c r="E57" s="48">
        <v>0.75899499999999998</v>
      </c>
      <c r="F57" s="48">
        <v>0.67954800000000004</v>
      </c>
      <c r="G57" s="48">
        <v>0.62877899999999998</v>
      </c>
      <c r="H57" s="62">
        <v>0.611294</v>
      </c>
      <c r="I57" s="48">
        <v>0.8</v>
      </c>
      <c r="J57" s="48">
        <v>3.22</v>
      </c>
      <c r="K57" s="48">
        <v>7.94</v>
      </c>
      <c r="L57" s="48">
        <v>15.79</v>
      </c>
      <c r="M57" s="48">
        <v>42.43</v>
      </c>
      <c r="N57" s="48">
        <v>105.99</v>
      </c>
      <c r="O57" s="139">
        <f t="shared" ref="O57:T57" si="98">$D$4*8/I57/1024</f>
        <v>125</v>
      </c>
      <c r="P57" s="140">
        <f t="shared" si="98"/>
        <v>31.05590062111801</v>
      </c>
      <c r="Q57" s="140">
        <f t="shared" si="98"/>
        <v>12.594458438287154</v>
      </c>
      <c r="R57" s="140">
        <f t="shared" si="98"/>
        <v>6.3331222292590255</v>
      </c>
      <c r="S57" s="140">
        <f t="shared" si="98"/>
        <v>2.3568230025925052</v>
      </c>
      <c r="T57" s="141">
        <f t="shared" si="98"/>
        <v>0.94348523445608079</v>
      </c>
      <c r="U57" s="34">
        <f t="shared" ref="U57:Z57" si="99">$H$2*C57</f>
        <v>6.4950000000000001</v>
      </c>
      <c r="V57" s="34">
        <f t="shared" si="99"/>
        <v>2.9523089999999996</v>
      </c>
      <c r="W57" s="34">
        <f t="shared" si="99"/>
        <v>2.2769849999999998</v>
      </c>
      <c r="X57" s="34">
        <f t="shared" si="99"/>
        <v>2.0386440000000001</v>
      </c>
      <c r="Y57" s="34">
        <f t="shared" si="99"/>
        <v>1.8863369999999999</v>
      </c>
      <c r="Z57" s="35">
        <f t="shared" si="99"/>
        <v>1.833882</v>
      </c>
      <c r="AA57" s="34">
        <f t="shared" ref="AA57:AF57" si="100">U57*I57</f>
        <v>5.1960000000000006</v>
      </c>
      <c r="AB57" s="34">
        <f t="shared" si="100"/>
        <v>9.5064349799999999</v>
      </c>
      <c r="AC57" s="34">
        <f t="shared" si="100"/>
        <v>18.079260899999998</v>
      </c>
      <c r="AD57" s="34">
        <f t="shared" si="100"/>
        <v>32.190188759999998</v>
      </c>
      <c r="AE57" s="34">
        <f t="shared" si="100"/>
        <v>80.037278909999998</v>
      </c>
      <c r="AF57" s="35">
        <f t="shared" si="100"/>
        <v>194.37315318</v>
      </c>
      <c r="AG57" s="24"/>
    </row>
    <row r="58" spans="1:33" ht="15" customHeight="1" x14ac:dyDescent="0.25">
      <c r="A58" s="107"/>
      <c r="B58" s="38">
        <v>5</v>
      </c>
      <c r="C58" s="48">
        <v>2.1680000000000001</v>
      </c>
      <c r="D58" s="48">
        <v>1.052</v>
      </c>
      <c r="E58" s="48">
        <v>0.75894799999999996</v>
      </c>
      <c r="F58" s="48">
        <v>0.67928999999999995</v>
      </c>
      <c r="G58" s="48">
        <v>0.62936199999999998</v>
      </c>
      <c r="H58" s="62">
        <v>0.61126100000000005</v>
      </c>
      <c r="I58" s="48">
        <v>0.81</v>
      </c>
      <c r="J58" s="48">
        <v>3.22</v>
      </c>
      <c r="K58" s="48">
        <v>8.0299999999999994</v>
      </c>
      <c r="L58" s="48">
        <v>15.87</v>
      </c>
      <c r="M58" s="48">
        <v>42.48</v>
      </c>
      <c r="N58" s="48">
        <v>105.94</v>
      </c>
      <c r="O58" s="142">
        <f t="shared" ref="O58:T58" si="101">$D$4*8/I58/1024</f>
        <v>123.45679012345678</v>
      </c>
      <c r="P58" s="143">
        <f t="shared" si="101"/>
        <v>31.05590062111801</v>
      </c>
      <c r="Q58" s="143">
        <f t="shared" si="101"/>
        <v>12.453300124533003</v>
      </c>
      <c r="R58" s="143">
        <f t="shared" si="101"/>
        <v>6.30119722747322</v>
      </c>
      <c r="S58" s="143">
        <f t="shared" si="101"/>
        <v>2.3540489642184559</v>
      </c>
      <c r="T58" s="144">
        <f t="shared" si="101"/>
        <v>0.94393052671323396</v>
      </c>
      <c r="U58" s="37">
        <f t="shared" ref="U58:Z58" si="102">$H$2*C58</f>
        <v>6.5040000000000004</v>
      </c>
      <c r="V58" s="37">
        <f t="shared" si="102"/>
        <v>3.1560000000000001</v>
      </c>
      <c r="W58" s="37">
        <f t="shared" si="102"/>
        <v>2.2768439999999996</v>
      </c>
      <c r="X58" s="37">
        <f t="shared" si="102"/>
        <v>2.0378699999999998</v>
      </c>
      <c r="Y58" s="37">
        <f t="shared" si="102"/>
        <v>1.8880859999999999</v>
      </c>
      <c r="Z58" s="38">
        <f t="shared" si="102"/>
        <v>1.8337830000000002</v>
      </c>
      <c r="AA58" s="37">
        <f t="shared" ref="AA58:AF58" si="103">U58*I58</f>
        <v>5.2682400000000005</v>
      </c>
      <c r="AB58" s="37">
        <f t="shared" si="103"/>
        <v>10.162320000000001</v>
      </c>
      <c r="AC58" s="37">
        <f t="shared" si="103"/>
        <v>18.283057319999994</v>
      </c>
      <c r="AD58" s="37">
        <f t="shared" si="103"/>
        <v>32.340996899999993</v>
      </c>
      <c r="AE58" s="37">
        <f t="shared" si="103"/>
        <v>80.205893279999998</v>
      </c>
      <c r="AF58" s="38">
        <f t="shared" si="103"/>
        <v>194.27097102000002</v>
      </c>
      <c r="AG58" s="24"/>
    </row>
    <row r="59" spans="1:33" ht="15" customHeight="1" x14ac:dyDescent="0.25">
      <c r="A59" s="107"/>
      <c r="B59" s="53" t="s">
        <v>22</v>
      </c>
      <c r="C59" s="61">
        <f t="shared" ref="C59:AF59" si="104">AVERAGE(C54:C58)</f>
        <v>2.1574</v>
      </c>
      <c r="D59" s="61">
        <f t="shared" si="104"/>
        <v>0.98720120000000011</v>
      </c>
      <c r="E59" s="61">
        <f t="shared" si="104"/>
        <v>0.75932739999999987</v>
      </c>
      <c r="F59" s="61">
        <f t="shared" si="104"/>
        <v>0.67938640000000006</v>
      </c>
      <c r="G59" s="61">
        <f t="shared" si="104"/>
        <v>0.62898339999999997</v>
      </c>
      <c r="H59" s="61">
        <f t="shared" si="104"/>
        <v>0.61150119999999997</v>
      </c>
      <c r="I59" s="61">
        <f t="shared" si="104"/>
        <v>0.80199999999999994</v>
      </c>
      <c r="J59" s="61">
        <f t="shared" si="104"/>
        <v>3.218</v>
      </c>
      <c r="K59" s="61">
        <f t="shared" si="104"/>
        <v>7.9980000000000002</v>
      </c>
      <c r="L59" s="61">
        <f t="shared" si="104"/>
        <v>15.923999999999998</v>
      </c>
      <c r="M59" s="61">
        <f t="shared" si="104"/>
        <v>42.42</v>
      </c>
      <c r="N59" s="61">
        <f t="shared" si="104"/>
        <v>106.03200000000001</v>
      </c>
      <c r="O59" s="60">
        <f t="shared" si="104"/>
        <v>124.69135802469137</v>
      </c>
      <c r="P59" s="60">
        <f t="shared" si="104"/>
        <v>31.075250091909986</v>
      </c>
      <c r="Q59" s="60">
        <f t="shared" si="104"/>
        <v>12.503821074055601</v>
      </c>
      <c r="R59" s="60">
        <f t="shared" si="104"/>
        <v>6.2800397664043874</v>
      </c>
      <c r="S59" s="60">
        <f t="shared" si="104"/>
        <v>2.3573817946498323</v>
      </c>
      <c r="T59" s="60">
        <f t="shared" si="104"/>
        <v>0.94311180013287754</v>
      </c>
      <c r="U59" s="38">
        <f t="shared" si="104"/>
        <v>6.4721999999999991</v>
      </c>
      <c r="V59" s="38">
        <f t="shared" si="104"/>
        <v>2.9616035999999997</v>
      </c>
      <c r="W59" s="38">
        <f t="shared" si="104"/>
        <v>2.2779822000000003</v>
      </c>
      <c r="X59" s="38">
        <f t="shared" si="104"/>
        <v>2.0381591999999999</v>
      </c>
      <c r="Y59" s="38">
        <f t="shared" si="104"/>
        <v>1.8869502</v>
      </c>
      <c r="Z59" s="38">
        <f t="shared" si="104"/>
        <v>1.8345036000000001</v>
      </c>
      <c r="AA59" s="38">
        <f t="shared" si="104"/>
        <v>5.1907680000000003</v>
      </c>
      <c r="AB59" s="38">
        <f t="shared" si="104"/>
        <v>9.5305201260000008</v>
      </c>
      <c r="AC59" s="38">
        <f t="shared" si="104"/>
        <v>18.219388979999998</v>
      </c>
      <c r="AD59" s="38">
        <f t="shared" si="104"/>
        <v>32.455621391999998</v>
      </c>
      <c r="AE59" s="38">
        <f t="shared" si="104"/>
        <v>80.044437059999993</v>
      </c>
      <c r="AF59" s="38">
        <f t="shared" si="104"/>
        <v>194.51611333800003</v>
      </c>
      <c r="AG59" s="24"/>
    </row>
    <row r="60" spans="1:33" ht="15" customHeight="1" x14ac:dyDescent="0.25">
      <c r="A60" s="108"/>
      <c r="B60" s="53" t="s">
        <v>23</v>
      </c>
      <c r="C60" s="61">
        <f>_xlfn.STDEV.P(C54:C58)</f>
        <v>1.048045800525922E-2</v>
      </c>
      <c r="D60" s="61">
        <f t="shared" ref="D60:AF60" si="105">_xlfn.STDEV.P(D54:D58)</f>
        <v>4.0526323802684124E-2</v>
      </c>
      <c r="E60" s="61">
        <f t="shared" si="105"/>
        <v>7.4750079598620675E-4</v>
      </c>
      <c r="F60" s="61">
        <f t="shared" si="105"/>
        <v>5.4189615241300858E-4</v>
      </c>
      <c r="G60" s="61">
        <f t="shared" si="105"/>
        <v>2.1165689216276517E-4</v>
      </c>
      <c r="H60" s="61">
        <f t="shared" si="105"/>
        <v>4.113900339094367E-4</v>
      </c>
      <c r="I60" s="61">
        <f t="shared" si="105"/>
        <v>4.0000000000000036E-3</v>
      </c>
      <c r="J60" s="61">
        <f t="shared" si="105"/>
        <v>4.0000000000000929E-3</v>
      </c>
      <c r="K60" s="61">
        <f t="shared" si="105"/>
        <v>5.9799665550903935E-2</v>
      </c>
      <c r="L60" s="61">
        <f t="shared" si="105"/>
        <v>9.2217135067188039E-2</v>
      </c>
      <c r="M60" s="61">
        <f t="shared" si="105"/>
        <v>4.939635614091354E-2</v>
      </c>
      <c r="N60" s="61">
        <f t="shared" si="105"/>
        <v>5.8446556784809291E-2</v>
      </c>
      <c r="O60" s="61">
        <f t="shared" si="105"/>
        <v>0.61728395061728636</v>
      </c>
      <c r="P60" s="61">
        <f t="shared" si="105"/>
        <v>3.8698941583949417E-2</v>
      </c>
      <c r="Q60" s="61">
        <f t="shared" si="105"/>
        <v>9.2994202229628842E-2</v>
      </c>
      <c r="R60" s="61">
        <f t="shared" si="105"/>
        <v>3.6362983241757275E-2</v>
      </c>
      <c r="S60" s="61">
        <f t="shared" si="105"/>
        <v>2.7477559768366716E-3</v>
      </c>
      <c r="T60" s="61">
        <f t="shared" si="105"/>
        <v>5.1999113633287828E-4</v>
      </c>
      <c r="U60" s="61">
        <f t="shared" si="105"/>
        <v>3.1441374015777547E-2</v>
      </c>
      <c r="V60" s="61">
        <f t="shared" si="105"/>
        <v>0.12157897140805239</v>
      </c>
      <c r="W60" s="61">
        <f t="shared" si="105"/>
        <v>2.2425023879586638E-3</v>
      </c>
      <c r="X60" s="61">
        <f t="shared" si="105"/>
        <v>1.625688457239033E-3</v>
      </c>
      <c r="Y60" s="61">
        <f t="shared" si="105"/>
        <v>6.3497067648831372E-4</v>
      </c>
      <c r="Z60" s="61">
        <f t="shared" si="105"/>
        <v>1.234170101728344E-3</v>
      </c>
      <c r="AA60" s="61">
        <f t="shared" si="105"/>
        <v>4.4399974054046526E-2</v>
      </c>
      <c r="AB60" s="61">
        <f t="shared" si="105"/>
        <v>0.39356948477965809</v>
      </c>
      <c r="AC60" s="61">
        <f t="shared" si="105"/>
        <v>0.14865099410774199</v>
      </c>
      <c r="AD60" s="61">
        <f t="shared" si="105"/>
        <v>0.18525618034311198</v>
      </c>
      <c r="AE60" s="61">
        <f t="shared" si="105"/>
        <v>0.10464964635154099</v>
      </c>
      <c r="AF60" s="61">
        <f t="shared" si="105"/>
        <v>0.1984187285000335</v>
      </c>
      <c r="AG60" s="24"/>
    </row>
    <row r="61" spans="1:33" ht="1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4" ht="1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4" ht="15" customHeight="1" x14ac:dyDescent="0.25">
      <c r="A66" s="109" t="s">
        <v>44</v>
      </c>
      <c r="B66" s="100"/>
      <c r="C66" s="106" t="s">
        <v>11</v>
      </c>
      <c r="D66" s="102"/>
      <c r="E66" s="102"/>
      <c r="F66" s="102"/>
      <c r="G66" s="102"/>
      <c r="H66" s="103"/>
      <c r="I66" s="106" t="s">
        <v>12</v>
      </c>
      <c r="J66" s="102"/>
      <c r="K66" s="102"/>
      <c r="L66" s="102"/>
      <c r="M66" s="102"/>
      <c r="N66" s="102"/>
      <c r="O66" s="145" t="s">
        <v>13</v>
      </c>
      <c r="P66" s="146"/>
      <c r="Q66" s="146"/>
      <c r="R66" s="146"/>
      <c r="S66" s="146"/>
      <c r="T66" s="147"/>
      <c r="U66" s="106" t="s">
        <v>14</v>
      </c>
      <c r="V66" s="102"/>
      <c r="W66" s="102"/>
      <c r="X66" s="102"/>
      <c r="Y66" s="102"/>
      <c r="Z66" s="102"/>
      <c r="AA66" s="106" t="s">
        <v>15</v>
      </c>
      <c r="AB66" s="102"/>
      <c r="AC66" s="102"/>
      <c r="AD66" s="102"/>
      <c r="AE66" s="102"/>
      <c r="AF66" s="103"/>
      <c r="AG66" s="24"/>
    </row>
    <row r="67" spans="1:34" ht="15" customHeight="1" x14ac:dyDescent="0.25">
      <c r="A67" s="97"/>
      <c r="B67" s="110"/>
      <c r="C67" s="6" t="s">
        <v>16</v>
      </c>
      <c r="D67" s="6" t="s">
        <v>17</v>
      </c>
      <c r="E67" s="6" t="s">
        <v>18</v>
      </c>
      <c r="F67" s="6" t="s">
        <v>19</v>
      </c>
      <c r="G67" s="6" t="s">
        <v>20</v>
      </c>
      <c r="H67" s="26" t="s">
        <v>21</v>
      </c>
      <c r="I67" s="6" t="s">
        <v>16</v>
      </c>
      <c r="J67" s="6" t="s">
        <v>17</v>
      </c>
      <c r="K67" s="6" t="s">
        <v>18</v>
      </c>
      <c r="L67" s="6" t="s">
        <v>19</v>
      </c>
      <c r="M67" s="6" t="s">
        <v>20</v>
      </c>
      <c r="N67" s="26" t="s">
        <v>21</v>
      </c>
      <c r="O67" s="6" t="s">
        <v>16</v>
      </c>
      <c r="P67" s="6" t="s">
        <v>17</v>
      </c>
      <c r="Q67" s="6" t="s">
        <v>18</v>
      </c>
      <c r="R67" s="6" t="s">
        <v>19</v>
      </c>
      <c r="S67" s="6" t="s">
        <v>20</v>
      </c>
      <c r="T67" s="26" t="s">
        <v>21</v>
      </c>
      <c r="U67" s="52" t="s">
        <v>16</v>
      </c>
      <c r="V67" s="52" t="s">
        <v>17</v>
      </c>
      <c r="W67" s="52" t="s">
        <v>18</v>
      </c>
      <c r="X67" s="52" t="s">
        <v>19</v>
      </c>
      <c r="Y67" s="52" t="s">
        <v>20</v>
      </c>
      <c r="Z67" s="53" t="s">
        <v>21</v>
      </c>
      <c r="AA67" s="52" t="s">
        <v>16</v>
      </c>
      <c r="AB67" s="52" t="s">
        <v>17</v>
      </c>
      <c r="AC67" s="52" t="s">
        <v>18</v>
      </c>
      <c r="AD67" s="52" t="s">
        <v>19</v>
      </c>
      <c r="AE67" s="52" t="s">
        <v>20</v>
      </c>
      <c r="AF67" s="53" t="s">
        <v>21</v>
      </c>
      <c r="AG67" s="24"/>
    </row>
    <row r="68" spans="1:34" ht="15" customHeight="1" x14ac:dyDescent="0.25">
      <c r="A68" s="96" t="s">
        <v>2</v>
      </c>
      <c r="B68" s="71">
        <v>1</v>
      </c>
      <c r="C68" s="69">
        <v>4.9929999999999994</v>
      </c>
      <c r="D68" s="34">
        <v>10.090999999999999</v>
      </c>
      <c r="E68" s="34">
        <v>11.1</v>
      </c>
      <c r="F68" s="34">
        <v>11.838000000000001</v>
      </c>
      <c r="G68" s="34">
        <v>11.843</v>
      </c>
      <c r="H68" s="34">
        <v>12.254</v>
      </c>
      <c r="I68" s="33">
        <v>9.6199999999999992</v>
      </c>
      <c r="J68" s="34">
        <v>4.18</v>
      </c>
      <c r="K68" s="34">
        <v>3.79</v>
      </c>
      <c r="L68" s="34">
        <v>3.56</v>
      </c>
      <c r="M68" s="34">
        <v>3.49</v>
      </c>
      <c r="N68" s="35">
        <v>3.48</v>
      </c>
      <c r="O68" s="118">
        <f t="shared" ref="O68:T68" si="106">$B$5*8/I68/1024</f>
        <v>83.160083160083161</v>
      </c>
      <c r="P68" s="119">
        <f t="shared" si="106"/>
        <v>191.38755980861245</v>
      </c>
      <c r="Q68" s="119">
        <f t="shared" si="106"/>
        <v>211.08179419525067</v>
      </c>
      <c r="R68" s="119">
        <f t="shared" si="106"/>
        <v>224.71910112359549</v>
      </c>
      <c r="S68" s="119">
        <f t="shared" si="106"/>
        <v>229.22636103151862</v>
      </c>
      <c r="T68" s="120">
        <f t="shared" si="106"/>
        <v>229.88505747126436</v>
      </c>
      <c r="U68" s="34">
        <f t="shared" ref="U68:Z68" si="107">$H$2*C68</f>
        <v>14.978999999999999</v>
      </c>
      <c r="V68" s="34">
        <f t="shared" si="107"/>
        <v>30.272999999999996</v>
      </c>
      <c r="W68" s="34">
        <f t="shared" si="107"/>
        <v>33.299999999999997</v>
      </c>
      <c r="X68" s="34">
        <f t="shared" si="107"/>
        <v>35.514000000000003</v>
      </c>
      <c r="Y68" s="34">
        <f t="shared" si="107"/>
        <v>35.528999999999996</v>
      </c>
      <c r="Z68" s="35">
        <f t="shared" si="107"/>
        <v>36.762</v>
      </c>
      <c r="AA68" s="34">
        <f t="shared" ref="AA68:AF68" si="108">U68*I68</f>
        <v>144.09797999999998</v>
      </c>
      <c r="AB68" s="34">
        <f t="shared" si="108"/>
        <v>126.54113999999997</v>
      </c>
      <c r="AC68" s="34">
        <f t="shared" si="108"/>
        <v>126.20699999999999</v>
      </c>
      <c r="AD68" s="34">
        <f t="shared" si="108"/>
        <v>126.42984000000001</v>
      </c>
      <c r="AE68" s="34">
        <f t="shared" si="108"/>
        <v>123.99620999999999</v>
      </c>
      <c r="AF68" s="35">
        <f t="shared" si="108"/>
        <v>127.93176</v>
      </c>
      <c r="AG68" s="24"/>
    </row>
    <row r="69" spans="1:34" ht="15" customHeight="1" x14ac:dyDescent="0.25">
      <c r="A69" s="96"/>
      <c r="B69" s="72">
        <v>2</v>
      </c>
      <c r="C69" s="69">
        <v>5.0019999999999998</v>
      </c>
      <c r="D69" s="6">
        <v>10.218999999999999</v>
      </c>
      <c r="E69" s="6">
        <v>11.138999999999999</v>
      </c>
      <c r="F69" s="6">
        <v>11.883000000000001</v>
      </c>
      <c r="G69" s="6">
        <v>11.852</v>
      </c>
      <c r="H69" s="6">
        <v>7.8940000000000001</v>
      </c>
      <c r="I69" s="25">
        <v>9.6199999999999992</v>
      </c>
      <c r="J69" s="6">
        <v>4.1900000000000004</v>
      </c>
      <c r="K69" s="6">
        <v>3.76</v>
      </c>
      <c r="L69" s="6">
        <v>4.0199999999999996</v>
      </c>
      <c r="M69" s="6">
        <v>3.42</v>
      </c>
      <c r="N69" s="26">
        <v>5.57</v>
      </c>
      <c r="O69" s="121">
        <f t="shared" ref="O69:T69" si="109">$B$5*8/I69/1024</f>
        <v>83.160083160083161</v>
      </c>
      <c r="P69" s="122">
        <f t="shared" si="109"/>
        <v>190.93078758949878</v>
      </c>
      <c r="Q69" s="122">
        <f t="shared" si="109"/>
        <v>212.76595744680853</v>
      </c>
      <c r="R69" s="122">
        <f t="shared" si="109"/>
        <v>199.00497512437812</v>
      </c>
      <c r="S69" s="122">
        <f t="shared" si="109"/>
        <v>233.91812865497076</v>
      </c>
      <c r="T69" s="123">
        <f t="shared" si="109"/>
        <v>143.6265709156194</v>
      </c>
      <c r="U69" s="34">
        <f t="shared" ref="U69:Z69" si="110">$H$2*C69</f>
        <v>15.006</v>
      </c>
      <c r="V69" s="34">
        <f t="shared" si="110"/>
        <v>30.656999999999996</v>
      </c>
      <c r="W69" s="34">
        <f t="shared" si="110"/>
        <v>33.417000000000002</v>
      </c>
      <c r="X69" s="34">
        <f t="shared" si="110"/>
        <v>35.649000000000001</v>
      </c>
      <c r="Y69" s="34">
        <f t="shared" si="110"/>
        <v>35.555999999999997</v>
      </c>
      <c r="Z69" s="35">
        <f t="shared" si="110"/>
        <v>23.682000000000002</v>
      </c>
      <c r="AA69" s="34">
        <f t="shared" ref="AA69:AF69" si="111">U69*I69</f>
        <v>144.35772</v>
      </c>
      <c r="AB69" s="34">
        <f t="shared" si="111"/>
        <v>128.45283000000001</v>
      </c>
      <c r="AC69" s="34">
        <f t="shared" si="111"/>
        <v>125.64792</v>
      </c>
      <c r="AD69" s="34">
        <f t="shared" si="111"/>
        <v>143.30897999999999</v>
      </c>
      <c r="AE69" s="34">
        <f t="shared" si="111"/>
        <v>121.60151999999999</v>
      </c>
      <c r="AF69" s="35">
        <f t="shared" si="111"/>
        <v>131.90874000000002</v>
      </c>
      <c r="AG69" s="24"/>
    </row>
    <row r="70" spans="1:34" ht="15" customHeight="1" x14ac:dyDescent="0.25">
      <c r="A70" s="96"/>
      <c r="B70" s="72">
        <v>3</v>
      </c>
      <c r="C70" s="69">
        <v>5.0039999999999996</v>
      </c>
      <c r="D70" s="6">
        <v>10.175000000000001</v>
      </c>
      <c r="E70" s="6">
        <v>11.147</v>
      </c>
      <c r="F70" s="6">
        <v>11.545</v>
      </c>
      <c r="G70" s="6">
        <v>11.286999999999999</v>
      </c>
      <c r="H70" s="6">
        <v>8.8289999999999988</v>
      </c>
      <c r="I70" s="25">
        <v>9.61</v>
      </c>
      <c r="J70" s="6">
        <v>4.21</v>
      </c>
      <c r="K70" s="6">
        <v>3.79</v>
      </c>
      <c r="L70" s="6">
        <v>3.61</v>
      </c>
      <c r="M70" s="6">
        <v>3.97</v>
      </c>
      <c r="N70" s="26">
        <v>4.96</v>
      </c>
      <c r="O70" s="121">
        <f t="shared" ref="O70:T70" si="112">$B$5*8/I70/1024</f>
        <v>83.246618106139437</v>
      </c>
      <c r="P70" s="122">
        <f t="shared" si="112"/>
        <v>190.02375296912115</v>
      </c>
      <c r="Q70" s="122">
        <f t="shared" si="112"/>
        <v>211.08179419525067</v>
      </c>
      <c r="R70" s="122">
        <f t="shared" si="112"/>
        <v>221.606648199446</v>
      </c>
      <c r="S70" s="122">
        <f t="shared" si="112"/>
        <v>201.51133501259446</v>
      </c>
      <c r="T70" s="123">
        <f t="shared" si="112"/>
        <v>161.29032258064515</v>
      </c>
      <c r="U70" s="34">
        <f t="shared" ref="U70:Z70" si="113">$H$2*C70</f>
        <v>15.011999999999999</v>
      </c>
      <c r="V70" s="34">
        <f t="shared" si="113"/>
        <v>30.525000000000002</v>
      </c>
      <c r="W70" s="34">
        <f t="shared" si="113"/>
        <v>33.441000000000003</v>
      </c>
      <c r="X70" s="34">
        <f t="shared" si="113"/>
        <v>34.634999999999998</v>
      </c>
      <c r="Y70" s="34">
        <f t="shared" si="113"/>
        <v>33.860999999999997</v>
      </c>
      <c r="Z70" s="35">
        <f t="shared" si="113"/>
        <v>26.486999999999995</v>
      </c>
      <c r="AA70" s="34">
        <f t="shared" ref="AA70:AF70" si="114">U70*I70</f>
        <v>144.26531999999997</v>
      </c>
      <c r="AB70" s="34">
        <f t="shared" si="114"/>
        <v>128.51025000000001</v>
      </c>
      <c r="AC70" s="34">
        <f t="shared" si="114"/>
        <v>126.74139000000001</v>
      </c>
      <c r="AD70" s="34">
        <f t="shared" si="114"/>
        <v>125.03234999999999</v>
      </c>
      <c r="AE70" s="34">
        <f t="shared" si="114"/>
        <v>134.42816999999999</v>
      </c>
      <c r="AF70" s="35">
        <f t="shared" si="114"/>
        <v>131.37551999999997</v>
      </c>
      <c r="AG70" s="24"/>
    </row>
    <row r="71" spans="1:34" ht="15" customHeight="1" x14ac:dyDescent="0.25">
      <c r="A71" s="96"/>
      <c r="B71" s="72">
        <v>4</v>
      </c>
      <c r="C71" s="69">
        <v>5.0039999999999996</v>
      </c>
      <c r="D71" s="6">
        <v>10.217000000000001</v>
      </c>
      <c r="E71" s="6">
        <v>11.154</v>
      </c>
      <c r="F71" s="6">
        <v>11.924000000000001</v>
      </c>
      <c r="G71" s="6">
        <v>11.648999999999999</v>
      </c>
      <c r="H71" s="6">
        <v>12.286999999999999</v>
      </c>
      <c r="I71" s="25">
        <v>9.61</v>
      </c>
      <c r="J71" s="6">
        <v>4.17</v>
      </c>
      <c r="K71" s="6">
        <v>3.79</v>
      </c>
      <c r="L71" s="6">
        <v>3.53</v>
      </c>
      <c r="M71" s="6">
        <v>3.66</v>
      </c>
      <c r="N71" s="26">
        <v>3.48</v>
      </c>
      <c r="O71" s="121">
        <f t="shared" ref="O71:T71" si="115">$B$5*8/I71/1024</f>
        <v>83.246618106139437</v>
      </c>
      <c r="P71" s="122">
        <f t="shared" si="115"/>
        <v>191.84652278177458</v>
      </c>
      <c r="Q71" s="122">
        <f t="shared" si="115"/>
        <v>211.08179419525067</v>
      </c>
      <c r="R71" s="122">
        <f t="shared" si="115"/>
        <v>226.62889518413598</v>
      </c>
      <c r="S71" s="122">
        <f t="shared" si="115"/>
        <v>218.5792349726776</v>
      </c>
      <c r="T71" s="123">
        <f t="shared" si="115"/>
        <v>229.88505747126436</v>
      </c>
      <c r="U71" s="34">
        <f t="shared" ref="U71:Z71" si="116">$H$2*C71</f>
        <v>15.011999999999999</v>
      </c>
      <c r="V71" s="34">
        <f t="shared" si="116"/>
        <v>30.651000000000003</v>
      </c>
      <c r="W71" s="34">
        <f t="shared" si="116"/>
        <v>33.462000000000003</v>
      </c>
      <c r="X71" s="34">
        <f t="shared" si="116"/>
        <v>35.772000000000006</v>
      </c>
      <c r="Y71" s="34">
        <f t="shared" si="116"/>
        <v>34.946999999999996</v>
      </c>
      <c r="Z71" s="35">
        <f t="shared" si="116"/>
        <v>36.860999999999997</v>
      </c>
      <c r="AA71" s="34">
        <f t="shared" ref="AA71:AF71" si="117">U71*I71</f>
        <v>144.26531999999997</v>
      </c>
      <c r="AB71" s="34">
        <f t="shared" si="117"/>
        <v>127.81467000000001</v>
      </c>
      <c r="AC71" s="34">
        <f t="shared" si="117"/>
        <v>126.82098000000002</v>
      </c>
      <c r="AD71" s="34">
        <f t="shared" si="117"/>
        <v>126.27516000000001</v>
      </c>
      <c r="AE71" s="34">
        <f t="shared" si="117"/>
        <v>127.90601999999998</v>
      </c>
      <c r="AF71" s="35">
        <f t="shared" si="117"/>
        <v>128.27627999999999</v>
      </c>
      <c r="AG71" s="24"/>
    </row>
    <row r="72" spans="1:34" ht="15" customHeight="1" x14ac:dyDescent="0.25">
      <c r="A72" s="96"/>
      <c r="B72" s="73">
        <v>5</v>
      </c>
      <c r="C72" s="69">
        <v>5.0049999999999999</v>
      </c>
      <c r="D72" s="52">
        <v>10.207000000000001</v>
      </c>
      <c r="E72" s="52">
        <v>10.77</v>
      </c>
      <c r="F72" s="52">
        <v>11.291</v>
      </c>
      <c r="G72" s="52">
        <v>12.058</v>
      </c>
      <c r="H72" s="52">
        <v>12.145</v>
      </c>
      <c r="I72" s="51">
        <v>9.6199999999999992</v>
      </c>
      <c r="J72" s="52">
        <v>4.21</v>
      </c>
      <c r="K72" s="52">
        <v>3.93</v>
      </c>
      <c r="L72" s="52">
        <v>3.75</v>
      </c>
      <c r="M72" s="52">
        <v>3.7</v>
      </c>
      <c r="N72" s="53">
        <v>3.61</v>
      </c>
      <c r="O72" s="124">
        <f t="shared" ref="O72:T72" si="118">$B$5*8/I72/1024</f>
        <v>83.160083160083161</v>
      </c>
      <c r="P72" s="125">
        <f t="shared" si="118"/>
        <v>190.02375296912115</v>
      </c>
      <c r="Q72" s="125">
        <f t="shared" si="118"/>
        <v>203.56234096692111</v>
      </c>
      <c r="R72" s="125">
        <f t="shared" si="118"/>
        <v>213.33333333333334</v>
      </c>
      <c r="S72" s="125">
        <f t="shared" si="118"/>
        <v>216.2162162162162</v>
      </c>
      <c r="T72" s="126">
        <f t="shared" si="118"/>
        <v>221.606648199446</v>
      </c>
      <c r="U72" s="37">
        <f t="shared" ref="U72:Z72" si="119">$H$2*C72</f>
        <v>15.015000000000001</v>
      </c>
      <c r="V72" s="37">
        <f t="shared" si="119"/>
        <v>30.621000000000002</v>
      </c>
      <c r="W72" s="37">
        <f t="shared" si="119"/>
        <v>32.31</v>
      </c>
      <c r="X72" s="37">
        <f t="shared" si="119"/>
        <v>33.873000000000005</v>
      </c>
      <c r="Y72" s="37">
        <f t="shared" si="119"/>
        <v>36.173999999999999</v>
      </c>
      <c r="Z72" s="38">
        <f t="shared" si="119"/>
        <v>36.435000000000002</v>
      </c>
      <c r="AA72" s="37">
        <f t="shared" ref="AA72:AF72" si="120">U72*I72</f>
        <v>144.4443</v>
      </c>
      <c r="AB72" s="37">
        <f t="shared" si="120"/>
        <v>128.91441</v>
      </c>
      <c r="AC72" s="37">
        <f t="shared" si="120"/>
        <v>126.97830000000002</v>
      </c>
      <c r="AD72" s="37">
        <f t="shared" si="120"/>
        <v>127.02375000000002</v>
      </c>
      <c r="AE72" s="37">
        <f t="shared" si="120"/>
        <v>133.84380000000002</v>
      </c>
      <c r="AF72" s="38">
        <f t="shared" si="120"/>
        <v>131.53035</v>
      </c>
      <c r="AG72" s="24"/>
    </row>
    <row r="73" spans="1:34" ht="15" customHeight="1" x14ac:dyDescent="0.25">
      <c r="A73" s="107"/>
      <c r="B73" s="52" t="s">
        <v>22</v>
      </c>
      <c r="C73" s="70">
        <f t="shared" ref="C73:AF73" si="121">AVERAGE(C68:C72)</f>
        <v>5.0015999999999998</v>
      </c>
      <c r="D73" s="38">
        <f t="shared" si="121"/>
        <v>10.181799999999999</v>
      </c>
      <c r="E73" s="38">
        <f t="shared" si="121"/>
        <v>11.061999999999998</v>
      </c>
      <c r="F73" s="38">
        <f t="shared" si="121"/>
        <v>11.696200000000001</v>
      </c>
      <c r="G73" s="38">
        <f t="shared" si="121"/>
        <v>11.7378</v>
      </c>
      <c r="H73" s="38">
        <f t="shared" si="121"/>
        <v>10.681799999999999</v>
      </c>
      <c r="I73" s="60">
        <f t="shared" si="121"/>
        <v>9.6159999999999979</v>
      </c>
      <c r="J73" s="38">
        <f t="shared" si="121"/>
        <v>4.1920000000000002</v>
      </c>
      <c r="K73" s="38">
        <f t="shared" si="121"/>
        <v>3.8119999999999998</v>
      </c>
      <c r="L73" s="38">
        <f t="shared" si="121"/>
        <v>3.694</v>
      </c>
      <c r="M73" s="38">
        <f t="shared" si="121"/>
        <v>3.6480000000000006</v>
      </c>
      <c r="N73" s="38">
        <f t="shared" si="121"/>
        <v>4.2200000000000006</v>
      </c>
      <c r="O73" s="38">
        <f t="shared" si="121"/>
        <v>83.194697138505674</v>
      </c>
      <c r="P73" s="38">
        <f t="shared" si="121"/>
        <v>190.8424752236256</v>
      </c>
      <c r="Q73" s="38">
        <f t="shared" si="121"/>
        <v>209.91473619989634</v>
      </c>
      <c r="R73" s="38">
        <f t="shared" si="121"/>
        <v>217.05859059297777</v>
      </c>
      <c r="S73" s="38">
        <f t="shared" si="121"/>
        <v>219.89025517759552</v>
      </c>
      <c r="T73" s="38">
        <f t="shared" si="121"/>
        <v>197.25873132764787</v>
      </c>
      <c r="U73" s="38">
        <f t="shared" si="121"/>
        <v>15.004799999999999</v>
      </c>
      <c r="V73" s="38">
        <f t="shared" si="121"/>
        <v>30.545400000000001</v>
      </c>
      <c r="W73" s="38">
        <f t="shared" si="121"/>
        <v>33.186</v>
      </c>
      <c r="X73" s="38">
        <f t="shared" si="121"/>
        <v>35.0886</v>
      </c>
      <c r="Y73" s="38">
        <f t="shared" si="121"/>
        <v>35.2134</v>
      </c>
      <c r="Z73" s="38">
        <f t="shared" si="121"/>
        <v>32.045400000000001</v>
      </c>
      <c r="AA73" s="38">
        <f t="shared" si="121"/>
        <v>144.28612799999999</v>
      </c>
      <c r="AB73" s="38">
        <f t="shared" si="121"/>
        <v>128.04666</v>
      </c>
      <c r="AC73" s="38">
        <f t="shared" si="121"/>
        <v>126.47911800000001</v>
      </c>
      <c r="AD73" s="38">
        <f t="shared" si="121"/>
        <v>129.61401600000002</v>
      </c>
      <c r="AE73" s="38">
        <f t="shared" si="121"/>
        <v>128.355144</v>
      </c>
      <c r="AF73" s="38">
        <f t="shared" si="121"/>
        <v>130.20452999999998</v>
      </c>
      <c r="AG73" s="24"/>
    </row>
    <row r="74" spans="1:34" ht="15" customHeight="1" x14ac:dyDescent="0.25">
      <c r="A74" s="108"/>
      <c r="B74" s="53" t="s">
        <v>23</v>
      </c>
      <c r="C74" s="38">
        <f>_xlfn.STDEV.P(C68:C72)</f>
        <v>4.4090815370098234E-3</v>
      </c>
      <c r="D74" s="38">
        <f t="shared" ref="D74:AF74" si="122">_xlfn.STDEV.P(D68:D72)</f>
        <v>4.8059962546802192E-2</v>
      </c>
      <c r="E74" s="38">
        <f t="shared" si="122"/>
        <v>0.14719103233553338</v>
      </c>
      <c r="F74" s="38">
        <f t="shared" si="122"/>
        <v>0.24246352302975427</v>
      </c>
      <c r="G74" s="38">
        <f t="shared" si="122"/>
        <v>0.2599010580971155</v>
      </c>
      <c r="H74" s="38">
        <f t="shared" si="122"/>
        <v>1.9180266317233565</v>
      </c>
      <c r="I74" s="38">
        <f t="shared" si="122"/>
        <v>4.8989794855662516E-3</v>
      </c>
      <c r="J74" s="38">
        <f t="shared" si="122"/>
        <v>1.6000000000000038E-2</v>
      </c>
      <c r="K74" s="38">
        <f t="shared" si="122"/>
        <v>6.013318551349172E-2</v>
      </c>
      <c r="L74" s="38">
        <f t="shared" si="122"/>
        <v>0.17962182495454154</v>
      </c>
      <c r="M74" s="38">
        <f t="shared" si="122"/>
        <v>0.19156200040717894</v>
      </c>
      <c r="N74" s="38">
        <f t="shared" si="122"/>
        <v>0.87605935871948792</v>
      </c>
      <c r="O74" s="35">
        <f t="shared" si="122"/>
        <v>4.2393292551428458E-2</v>
      </c>
      <c r="P74" s="35">
        <f t="shared" si="122"/>
        <v>0.72851081499495174</v>
      </c>
      <c r="Q74" s="35">
        <f t="shared" si="122"/>
        <v>3.2424824097697513</v>
      </c>
      <c r="R74" s="35">
        <f t="shared" si="122"/>
        <v>10.107121773161701</v>
      </c>
      <c r="S74" s="35">
        <f t="shared" si="122"/>
        <v>11.286683742462387</v>
      </c>
      <c r="T74" s="35">
        <f t="shared" si="122"/>
        <v>37.126568463859577</v>
      </c>
      <c r="U74" s="38">
        <f t="shared" si="122"/>
        <v>1.3227244611029277E-2</v>
      </c>
      <c r="V74" s="38">
        <f t="shared" si="122"/>
        <v>0.14417988764040723</v>
      </c>
      <c r="W74" s="38">
        <f t="shared" si="122"/>
        <v>0.44157309700659964</v>
      </c>
      <c r="X74" s="38">
        <f t="shared" si="122"/>
        <v>0.72739056908926192</v>
      </c>
      <c r="Y74" s="38">
        <f t="shared" si="122"/>
        <v>0.77970317429134595</v>
      </c>
      <c r="Z74" s="38">
        <f t="shared" si="122"/>
        <v>5.7540798951700296</v>
      </c>
      <c r="AA74" s="38">
        <f t="shared" si="122"/>
        <v>0.11524704914227506</v>
      </c>
      <c r="AB74" s="38">
        <f t="shared" si="122"/>
        <v>0.83105831925324114</v>
      </c>
      <c r="AC74" s="38">
        <f t="shared" si="122"/>
        <v>0.4898524715217924</v>
      </c>
      <c r="AD74" s="38">
        <f t="shared" si="122"/>
        <v>6.8780828206022573</v>
      </c>
      <c r="AE74" s="38">
        <f t="shared" si="122"/>
        <v>5.1345972500308195</v>
      </c>
      <c r="AF74" s="38">
        <f t="shared" si="122"/>
        <v>1.7272509668256124</v>
      </c>
      <c r="AG74" s="24"/>
    </row>
    <row r="75" spans="1:34" ht="15" customHeight="1" x14ac:dyDescent="0.25">
      <c r="A75" s="107" t="s">
        <v>3</v>
      </c>
      <c r="B75" s="35">
        <v>1</v>
      </c>
      <c r="C75" s="48">
        <v>4.734</v>
      </c>
      <c r="D75" s="48">
        <v>10.282</v>
      </c>
      <c r="E75" s="48">
        <v>11.411999999999999</v>
      </c>
      <c r="F75" s="48">
        <v>10.766999999999999</v>
      </c>
      <c r="G75" s="48">
        <v>10.885999999999999</v>
      </c>
      <c r="H75" s="74">
        <v>6.8319999999999999</v>
      </c>
      <c r="I75" s="48">
        <v>3.15</v>
      </c>
      <c r="J75" s="48">
        <v>1.29</v>
      </c>
      <c r="K75" s="48">
        <v>1.1299999999999999</v>
      </c>
      <c r="L75" s="48">
        <v>1.2</v>
      </c>
      <c r="M75" s="48">
        <v>1.2</v>
      </c>
      <c r="N75" s="48">
        <v>2</v>
      </c>
      <c r="O75" s="127">
        <f t="shared" ref="O75:T75" si="123">$C$5*8/I75/1024</f>
        <v>253.96825396825398</v>
      </c>
      <c r="P75" s="128">
        <f t="shared" si="123"/>
        <v>620.15503875968989</v>
      </c>
      <c r="Q75" s="128">
        <f t="shared" si="123"/>
        <v>707.96460176991161</v>
      </c>
      <c r="R75" s="128">
        <f t="shared" si="123"/>
        <v>666.66666666666674</v>
      </c>
      <c r="S75" s="128">
        <f t="shared" si="123"/>
        <v>666.66666666666674</v>
      </c>
      <c r="T75" s="129">
        <f t="shared" si="123"/>
        <v>400</v>
      </c>
      <c r="U75" s="34">
        <f t="shared" ref="U75:Z75" si="124">$H$2*C75</f>
        <v>14.202</v>
      </c>
      <c r="V75" s="34">
        <f t="shared" si="124"/>
        <v>30.846</v>
      </c>
      <c r="W75" s="34">
        <f t="shared" si="124"/>
        <v>34.235999999999997</v>
      </c>
      <c r="X75" s="34">
        <f t="shared" si="124"/>
        <v>32.301000000000002</v>
      </c>
      <c r="Y75" s="34">
        <f t="shared" si="124"/>
        <v>32.658000000000001</v>
      </c>
      <c r="Z75" s="35">
        <f t="shared" si="124"/>
        <v>20.495999999999999</v>
      </c>
      <c r="AA75" s="34">
        <f t="shared" ref="AA75:AF75" si="125">U75*I75</f>
        <v>44.7363</v>
      </c>
      <c r="AB75" s="34">
        <f t="shared" si="125"/>
        <v>39.791339999999998</v>
      </c>
      <c r="AC75" s="34">
        <f t="shared" si="125"/>
        <v>38.686679999999996</v>
      </c>
      <c r="AD75" s="34">
        <f t="shared" si="125"/>
        <v>38.761200000000002</v>
      </c>
      <c r="AE75" s="34">
        <f t="shared" si="125"/>
        <v>39.189599999999999</v>
      </c>
      <c r="AF75" s="35">
        <f t="shared" si="125"/>
        <v>40.991999999999997</v>
      </c>
      <c r="AG75" s="24"/>
    </row>
    <row r="76" spans="1:34" ht="15" customHeight="1" x14ac:dyDescent="0.25">
      <c r="A76" s="107"/>
      <c r="B76" s="35">
        <v>2</v>
      </c>
      <c r="C76" s="48">
        <v>4.7190000000000003</v>
      </c>
      <c r="D76" s="48">
        <v>10.412000000000001</v>
      </c>
      <c r="E76" s="48">
        <v>11.556999999999999</v>
      </c>
      <c r="F76" s="48">
        <v>11.222999999999999</v>
      </c>
      <c r="G76" s="48">
        <v>11.123999999999999</v>
      </c>
      <c r="H76" s="75">
        <v>6.4789999999999992</v>
      </c>
      <c r="I76" s="48">
        <v>3.15</v>
      </c>
      <c r="J76" s="48">
        <v>1.28</v>
      </c>
      <c r="K76" s="48">
        <v>1.02</v>
      </c>
      <c r="L76" s="48">
        <v>1.22</v>
      </c>
      <c r="M76" s="48">
        <v>1.1399999999999999</v>
      </c>
      <c r="N76" s="48">
        <v>2.25</v>
      </c>
      <c r="O76" s="130">
        <f t="shared" ref="O76:T76" si="126">$C$5*8/I76/1024</f>
        <v>253.96825396825398</v>
      </c>
      <c r="P76" s="131">
        <f t="shared" si="126"/>
        <v>625</v>
      </c>
      <c r="Q76" s="131">
        <f t="shared" si="126"/>
        <v>784.31372549019602</v>
      </c>
      <c r="R76" s="131">
        <f t="shared" si="126"/>
        <v>655.73770491803282</v>
      </c>
      <c r="S76" s="131">
        <f t="shared" si="126"/>
        <v>701.75438596491233</v>
      </c>
      <c r="T76" s="132">
        <f t="shared" si="126"/>
        <v>355.55555555555554</v>
      </c>
      <c r="U76" s="34">
        <f t="shared" ref="U76:Z76" si="127">$H$2*C76</f>
        <v>14.157</v>
      </c>
      <c r="V76" s="34">
        <f t="shared" si="127"/>
        <v>31.236000000000004</v>
      </c>
      <c r="W76" s="34">
        <f t="shared" si="127"/>
        <v>34.670999999999992</v>
      </c>
      <c r="X76" s="34">
        <f t="shared" si="127"/>
        <v>33.668999999999997</v>
      </c>
      <c r="Y76" s="34">
        <f t="shared" si="127"/>
        <v>33.372</v>
      </c>
      <c r="Z76" s="35">
        <f t="shared" si="127"/>
        <v>19.436999999999998</v>
      </c>
      <c r="AA76" s="34">
        <f t="shared" ref="AA76:AF76" si="128">U76*I76</f>
        <v>44.594549999999998</v>
      </c>
      <c r="AB76" s="34">
        <f t="shared" si="128"/>
        <v>39.982080000000003</v>
      </c>
      <c r="AC76" s="34">
        <f t="shared" si="128"/>
        <v>35.364419999999996</v>
      </c>
      <c r="AD76" s="34">
        <f t="shared" si="128"/>
        <v>41.076179999999994</v>
      </c>
      <c r="AE76" s="34">
        <f t="shared" si="128"/>
        <v>38.044079999999994</v>
      </c>
      <c r="AF76" s="35">
        <f t="shared" si="128"/>
        <v>43.733249999999998</v>
      </c>
      <c r="AG76" s="24"/>
    </row>
    <row r="77" spans="1:34" ht="15" customHeight="1" x14ac:dyDescent="0.25">
      <c r="A77" s="107"/>
      <c r="B77" s="35">
        <v>3</v>
      </c>
      <c r="C77" s="48">
        <v>4.7249999999999996</v>
      </c>
      <c r="D77" s="48">
        <v>10.234</v>
      </c>
      <c r="E77" s="48">
        <v>11.808999999999999</v>
      </c>
      <c r="F77" s="48">
        <v>10.837999999999999</v>
      </c>
      <c r="G77" s="48">
        <v>10.125</v>
      </c>
      <c r="H77" s="75">
        <v>6.7249999999999996</v>
      </c>
      <c r="I77" s="48">
        <v>3.16</v>
      </c>
      <c r="J77" s="48">
        <v>1.22</v>
      </c>
      <c r="K77" s="48">
        <v>1.1000000000000001</v>
      </c>
      <c r="L77" s="48">
        <v>1.19</v>
      </c>
      <c r="M77" s="48">
        <v>1.1599999999999999</v>
      </c>
      <c r="N77" s="48">
        <v>1.88</v>
      </c>
      <c r="O77" s="130">
        <f t="shared" ref="O77:T77" si="129">$C$5*8/I77/1024</f>
        <v>253.1645569620253</v>
      </c>
      <c r="P77" s="131">
        <f t="shared" si="129"/>
        <v>655.73770491803282</v>
      </c>
      <c r="Q77" s="131">
        <f t="shared" si="129"/>
        <v>727.27272727272725</v>
      </c>
      <c r="R77" s="131">
        <f t="shared" si="129"/>
        <v>672.26890756302521</v>
      </c>
      <c r="S77" s="131">
        <f t="shared" si="129"/>
        <v>689.65517241379314</v>
      </c>
      <c r="T77" s="132">
        <f t="shared" si="129"/>
        <v>425.53191489361706</v>
      </c>
      <c r="U77" s="34">
        <f t="shared" ref="U77:Z77" si="130">$H$2*C77</f>
        <v>14.174999999999999</v>
      </c>
      <c r="V77" s="34">
        <f t="shared" si="130"/>
        <v>30.701999999999998</v>
      </c>
      <c r="W77" s="34">
        <f t="shared" si="130"/>
        <v>35.427</v>
      </c>
      <c r="X77" s="34">
        <f t="shared" si="130"/>
        <v>32.513999999999996</v>
      </c>
      <c r="Y77" s="34">
        <f t="shared" si="130"/>
        <v>30.375</v>
      </c>
      <c r="Z77" s="35">
        <f t="shared" si="130"/>
        <v>20.174999999999997</v>
      </c>
      <c r="AA77" s="34">
        <f t="shared" ref="AA77:AF77" si="131">U77*I77</f>
        <v>44.792999999999999</v>
      </c>
      <c r="AB77" s="34">
        <f t="shared" si="131"/>
        <v>37.456439999999994</v>
      </c>
      <c r="AC77" s="34">
        <f t="shared" si="131"/>
        <v>38.969700000000003</v>
      </c>
      <c r="AD77" s="34">
        <f t="shared" si="131"/>
        <v>38.691659999999992</v>
      </c>
      <c r="AE77" s="34">
        <f t="shared" si="131"/>
        <v>35.234999999999999</v>
      </c>
      <c r="AF77" s="35">
        <f t="shared" si="131"/>
        <v>37.928999999999995</v>
      </c>
      <c r="AG77" s="24"/>
    </row>
    <row r="78" spans="1:34" ht="15" customHeight="1" x14ac:dyDescent="0.25">
      <c r="A78" s="107"/>
      <c r="B78" s="35">
        <v>4</v>
      </c>
      <c r="C78" s="48">
        <v>4.7229999999999999</v>
      </c>
      <c r="D78" s="48">
        <v>10.128</v>
      </c>
      <c r="E78" s="48">
        <v>11.758999999999999</v>
      </c>
      <c r="F78" s="48">
        <v>10.295999999999999</v>
      </c>
      <c r="G78" s="48">
        <v>11.391999999999999</v>
      </c>
      <c r="H78" s="75">
        <v>6.4169999999999998</v>
      </c>
      <c r="I78" s="48">
        <v>3.17</v>
      </c>
      <c r="J78" s="48">
        <v>1.24</v>
      </c>
      <c r="K78" s="48">
        <v>1.1299999999999999</v>
      </c>
      <c r="L78" s="48">
        <v>1.22</v>
      </c>
      <c r="M78" s="48">
        <v>1.21</v>
      </c>
      <c r="N78" s="48">
        <v>2.2600000000000002</v>
      </c>
      <c r="O78" s="130">
        <f t="shared" ref="O78:T78" si="132">$C$5*8/I78/1024</f>
        <v>252.36593059936908</v>
      </c>
      <c r="P78" s="131">
        <f t="shared" si="132"/>
        <v>645.16129032258061</v>
      </c>
      <c r="Q78" s="131">
        <f t="shared" si="132"/>
        <v>707.96460176991161</v>
      </c>
      <c r="R78" s="131">
        <f t="shared" si="132"/>
        <v>655.73770491803282</v>
      </c>
      <c r="S78" s="131">
        <f t="shared" si="132"/>
        <v>661.15702479338847</v>
      </c>
      <c r="T78" s="132">
        <f t="shared" si="132"/>
        <v>353.98230088495569</v>
      </c>
      <c r="U78" s="34">
        <f t="shared" ref="U78:Z78" si="133">$H$2*C78</f>
        <v>14.169</v>
      </c>
      <c r="V78" s="34">
        <f t="shared" si="133"/>
        <v>30.384</v>
      </c>
      <c r="W78" s="34">
        <f t="shared" si="133"/>
        <v>35.276999999999994</v>
      </c>
      <c r="X78" s="34">
        <f t="shared" si="133"/>
        <v>30.887999999999998</v>
      </c>
      <c r="Y78" s="34">
        <f t="shared" si="133"/>
        <v>34.176000000000002</v>
      </c>
      <c r="Z78" s="35">
        <f t="shared" si="133"/>
        <v>19.250999999999998</v>
      </c>
      <c r="AA78" s="34">
        <f t="shared" ref="AA78:AF78" si="134">U78*I78</f>
        <v>44.915730000000003</v>
      </c>
      <c r="AB78" s="34">
        <f t="shared" si="134"/>
        <v>37.676160000000003</v>
      </c>
      <c r="AC78" s="34">
        <f t="shared" si="134"/>
        <v>39.863009999999989</v>
      </c>
      <c r="AD78" s="34">
        <f t="shared" si="134"/>
        <v>37.68336</v>
      </c>
      <c r="AE78" s="34">
        <f t="shared" si="134"/>
        <v>41.352960000000003</v>
      </c>
      <c r="AF78" s="35">
        <f t="shared" si="134"/>
        <v>43.507260000000002</v>
      </c>
      <c r="AG78" s="24"/>
    </row>
    <row r="79" spans="1:34" ht="15" customHeight="1" x14ac:dyDescent="0.25">
      <c r="A79" s="107"/>
      <c r="B79" s="38">
        <v>5</v>
      </c>
      <c r="C79" s="48">
        <v>4.7560000000000002</v>
      </c>
      <c r="D79" s="48">
        <v>10.335000000000001</v>
      </c>
      <c r="E79" s="48">
        <v>11.606</v>
      </c>
      <c r="F79" s="48">
        <v>11.558</v>
      </c>
      <c r="G79" s="48">
        <v>10.915999999999999</v>
      </c>
      <c r="H79" s="76">
        <v>7.7349999999999994</v>
      </c>
      <c r="I79" s="48">
        <v>3.13</v>
      </c>
      <c r="J79" s="48">
        <v>1.25</v>
      </c>
      <c r="K79" s="48">
        <v>1.1200000000000001</v>
      </c>
      <c r="L79" s="48">
        <v>1.1599999999999999</v>
      </c>
      <c r="M79" s="48">
        <v>1.3</v>
      </c>
      <c r="N79" s="48">
        <v>1.5799999999999998</v>
      </c>
      <c r="O79" s="133">
        <f t="shared" ref="O79:T79" si="135">$C$5*8/I79/1024</f>
        <v>255.59105431309905</v>
      </c>
      <c r="P79" s="134">
        <f t="shared" si="135"/>
        <v>640</v>
      </c>
      <c r="Q79" s="134">
        <f t="shared" si="135"/>
        <v>714.28571428571422</v>
      </c>
      <c r="R79" s="134">
        <f t="shared" si="135"/>
        <v>689.65517241379314</v>
      </c>
      <c r="S79" s="134">
        <f t="shared" si="135"/>
        <v>615.38461538461536</v>
      </c>
      <c r="T79" s="135">
        <f t="shared" si="135"/>
        <v>506.32911392405066</v>
      </c>
      <c r="U79" s="37">
        <f t="shared" ref="U79:Z79" si="136">$H$2*C79</f>
        <v>14.268000000000001</v>
      </c>
      <c r="V79" s="37">
        <f t="shared" si="136"/>
        <v>31.005000000000003</v>
      </c>
      <c r="W79" s="37">
        <f t="shared" si="136"/>
        <v>34.817999999999998</v>
      </c>
      <c r="X79" s="37">
        <f t="shared" si="136"/>
        <v>34.673999999999999</v>
      </c>
      <c r="Y79" s="37">
        <f t="shared" si="136"/>
        <v>32.747999999999998</v>
      </c>
      <c r="Z79" s="38">
        <f t="shared" si="136"/>
        <v>23.204999999999998</v>
      </c>
      <c r="AA79" s="37">
        <f t="shared" ref="AA79:AF79" si="137">U79*I79</f>
        <v>44.658839999999998</v>
      </c>
      <c r="AB79" s="37">
        <f t="shared" si="137"/>
        <v>38.756250000000001</v>
      </c>
      <c r="AC79" s="37">
        <f t="shared" si="137"/>
        <v>38.996160000000003</v>
      </c>
      <c r="AD79" s="37">
        <f t="shared" si="137"/>
        <v>40.221839999999993</v>
      </c>
      <c r="AE79" s="37">
        <f t="shared" si="137"/>
        <v>42.572400000000002</v>
      </c>
      <c r="AF79" s="38">
        <f t="shared" si="137"/>
        <v>36.663899999999991</v>
      </c>
      <c r="AG79" s="24"/>
      <c r="AH79" s="117"/>
    </row>
    <row r="80" spans="1:34" ht="15" customHeight="1" x14ac:dyDescent="0.25">
      <c r="A80" s="107"/>
      <c r="B80" s="42" t="s">
        <v>22</v>
      </c>
      <c r="C80" s="61">
        <f t="shared" ref="C80:AF80" si="138">AVERAGE(C75:C79)</f>
        <v>4.7313999999999998</v>
      </c>
      <c r="D80" s="61">
        <f t="shared" si="138"/>
        <v>10.278200000000002</v>
      </c>
      <c r="E80" s="61">
        <f t="shared" si="138"/>
        <v>11.6286</v>
      </c>
      <c r="F80" s="61">
        <f t="shared" si="138"/>
        <v>10.936399999999999</v>
      </c>
      <c r="G80" s="61">
        <f t="shared" si="138"/>
        <v>10.8886</v>
      </c>
      <c r="H80" s="61">
        <f t="shared" si="138"/>
        <v>6.8376000000000001</v>
      </c>
      <c r="I80" s="61">
        <f t="shared" si="138"/>
        <v>3.1520000000000001</v>
      </c>
      <c r="J80" s="61">
        <f t="shared" si="138"/>
        <v>1.256</v>
      </c>
      <c r="K80" s="61">
        <f t="shared" si="138"/>
        <v>1.1000000000000001</v>
      </c>
      <c r="L80" s="61">
        <f t="shared" si="138"/>
        <v>1.198</v>
      </c>
      <c r="M80" s="61">
        <f t="shared" si="138"/>
        <v>1.202</v>
      </c>
      <c r="N80" s="61">
        <f t="shared" si="138"/>
        <v>1.9940000000000002</v>
      </c>
      <c r="O80" s="38">
        <f t="shared" si="138"/>
        <v>253.81160996220029</v>
      </c>
      <c r="P80" s="38">
        <f t="shared" si="138"/>
        <v>637.2108068000606</v>
      </c>
      <c r="Q80" s="38">
        <f t="shared" si="138"/>
        <v>728.36027411769214</v>
      </c>
      <c r="R80" s="38">
        <f t="shared" si="138"/>
        <v>668.01323129591015</v>
      </c>
      <c r="S80" s="38">
        <f t="shared" si="138"/>
        <v>666.92357304467509</v>
      </c>
      <c r="T80" s="38">
        <f t="shared" si="138"/>
        <v>408.27977705163579</v>
      </c>
      <c r="U80" s="38">
        <f t="shared" si="138"/>
        <v>14.1942</v>
      </c>
      <c r="V80" s="38">
        <f t="shared" si="138"/>
        <v>30.834600000000002</v>
      </c>
      <c r="W80" s="38">
        <f t="shared" si="138"/>
        <v>34.885799999999996</v>
      </c>
      <c r="X80" s="38">
        <f t="shared" si="138"/>
        <v>32.809199999999997</v>
      </c>
      <c r="Y80" s="38">
        <f t="shared" si="138"/>
        <v>32.665800000000004</v>
      </c>
      <c r="Z80" s="38">
        <f t="shared" si="138"/>
        <v>20.512799999999995</v>
      </c>
      <c r="AA80" s="38">
        <f t="shared" si="138"/>
        <v>44.739683999999997</v>
      </c>
      <c r="AB80" s="38">
        <f t="shared" si="138"/>
        <v>38.732454000000004</v>
      </c>
      <c r="AC80" s="38">
        <f t="shared" si="138"/>
        <v>38.375993999999999</v>
      </c>
      <c r="AD80" s="38">
        <f t="shared" si="138"/>
        <v>39.286847999999992</v>
      </c>
      <c r="AE80" s="38">
        <f t="shared" si="138"/>
        <v>39.278808000000005</v>
      </c>
      <c r="AF80" s="38">
        <f t="shared" si="138"/>
        <v>40.565081999999997</v>
      </c>
      <c r="AG80" s="24"/>
      <c r="AH80" s="117"/>
    </row>
    <row r="81" spans="1:34" ht="15" customHeight="1" x14ac:dyDescent="0.25">
      <c r="A81" s="108"/>
      <c r="B81" s="42" t="s">
        <v>23</v>
      </c>
      <c r="C81" s="61">
        <f>_xlfn.STDEV.P(C75:C79)</f>
        <v>1.3245376551838836E-2</v>
      </c>
      <c r="D81" s="61">
        <f t="shared" ref="D81:AF81" si="139">_xlfn.STDEV.P(D75:D79)</f>
        <v>9.5558149835584708E-2</v>
      </c>
      <c r="E81" s="61">
        <f t="shared" si="139"/>
        <v>0.14289940517720848</v>
      </c>
      <c r="F81" s="61">
        <f t="shared" si="139"/>
        <v>0.42825627841282149</v>
      </c>
      <c r="G81" s="61">
        <f t="shared" si="139"/>
        <v>0.42253217628956941</v>
      </c>
      <c r="H81" s="61">
        <f t="shared" si="139"/>
        <v>0.47403274148522689</v>
      </c>
      <c r="I81" s="61">
        <f t="shared" si="139"/>
        <v>1.3266499161421638E-2</v>
      </c>
      <c r="J81" s="61">
        <f t="shared" si="139"/>
        <v>2.5768197453450273E-2</v>
      </c>
      <c r="K81" s="61">
        <f t="shared" si="139"/>
        <v>4.1472882706655417E-2</v>
      </c>
      <c r="L81" s="61">
        <f t="shared" si="139"/>
        <v>2.2271057451320107E-2</v>
      </c>
      <c r="M81" s="61">
        <f t="shared" si="139"/>
        <v>5.5281099844341063E-2</v>
      </c>
      <c r="N81" s="61">
        <f t="shared" si="139"/>
        <v>0.2532666578924288</v>
      </c>
      <c r="O81" s="61">
        <f t="shared" si="139"/>
        <v>1.0699685315337188</v>
      </c>
      <c r="P81" s="61">
        <f t="shared" si="139"/>
        <v>13.07087423990844</v>
      </c>
      <c r="Q81" s="61">
        <f t="shared" si="139"/>
        <v>28.851452698729453</v>
      </c>
      <c r="R81" s="61">
        <f t="shared" si="139"/>
        <v>12.567217097265843</v>
      </c>
      <c r="S81" s="61">
        <f t="shared" si="139"/>
        <v>29.730436844653195</v>
      </c>
      <c r="T81" s="61">
        <f t="shared" si="139"/>
        <v>56.049840106288784</v>
      </c>
      <c r="U81" s="61">
        <f t="shared" si="139"/>
        <v>3.9736129655516567E-2</v>
      </c>
      <c r="V81" s="61">
        <f t="shared" si="139"/>
        <v>0.28667444950675475</v>
      </c>
      <c r="W81" s="61">
        <f t="shared" si="139"/>
        <v>0.42869821553162601</v>
      </c>
      <c r="X81" s="61">
        <f t="shared" si="139"/>
        <v>1.2847688352384643</v>
      </c>
      <c r="Y81" s="61">
        <f t="shared" si="139"/>
        <v>1.2675965288687097</v>
      </c>
      <c r="Z81" s="61">
        <f t="shared" si="139"/>
        <v>1.4220982244556812</v>
      </c>
      <c r="AA81" s="61">
        <f t="shared" si="139"/>
        <v>0.11085654849399024</v>
      </c>
      <c r="AB81" s="61">
        <f t="shared" si="139"/>
        <v>1.0418579263143333</v>
      </c>
      <c r="AC81" s="61">
        <f t="shared" si="139"/>
        <v>1.5565611465226799</v>
      </c>
      <c r="AD81" s="61">
        <f t="shared" si="139"/>
        <v>1.2064532637180747</v>
      </c>
      <c r="AE81" s="61">
        <f t="shared" si="139"/>
        <v>2.5703987715403245</v>
      </c>
      <c r="AF81" s="61">
        <f t="shared" si="139"/>
        <v>2.8651041218943547</v>
      </c>
      <c r="AG81" s="24"/>
      <c r="AH81" s="117"/>
    </row>
    <row r="82" spans="1:34" ht="15" customHeight="1" x14ac:dyDescent="0.25">
      <c r="A82" s="107" t="s">
        <v>4</v>
      </c>
      <c r="B82" s="35">
        <v>1</v>
      </c>
      <c r="C82" s="48">
        <v>9.7149999999999999</v>
      </c>
      <c r="D82" s="48">
        <v>11.407999999999999</v>
      </c>
      <c r="E82" s="48">
        <v>11.13</v>
      </c>
      <c r="F82" s="48">
        <v>12.388</v>
      </c>
      <c r="G82" s="48">
        <v>9.4510000000000005</v>
      </c>
      <c r="H82" s="62">
        <v>6.8739999999999997</v>
      </c>
      <c r="I82" s="48">
        <v>0.8</v>
      </c>
      <c r="J82" s="48">
        <v>0.64</v>
      </c>
      <c r="K82" s="48">
        <v>0.69</v>
      </c>
      <c r="L82" s="48">
        <v>0.6</v>
      </c>
      <c r="M82" s="34">
        <v>0.77</v>
      </c>
      <c r="N82" s="48">
        <v>1.22</v>
      </c>
      <c r="O82" s="136">
        <f t="shared" ref="O82:T82" si="140">$D$5*8/I82/1024</f>
        <v>1000</v>
      </c>
      <c r="P82" s="137">
        <f t="shared" si="140"/>
        <v>1250</v>
      </c>
      <c r="Q82" s="137">
        <f t="shared" si="140"/>
        <v>1159.4202898550725</v>
      </c>
      <c r="R82" s="137">
        <f t="shared" si="140"/>
        <v>1333.3333333333335</v>
      </c>
      <c r="S82" s="137">
        <f t="shared" si="140"/>
        <v>1038.9610389610389</v>
      </c>
      <c r="T82" s="138">
        <f t="shared" si="140"/>
        <v>655.73770491803282</v>
      </c>
      <c r="U82" s="34">
        <f t="shared" ref="U82:Z82" si="141">$H$2*C82</f>
        <v>29.145</v>
      </c>
      <c r="V82" s="34">
        <f t="shared" si="141"/>
        <v>34.223999999999997</v>
      </c>
      <c r="W82" s="34">
        <f t="shared" si="141"/>
        <v>33.39</v>
      </c>
      <c r="X82" s="34">
        <f t="shared" si="141"/>
        <v>37.164000000000001</v>
      </c>
      <c r="Y82" s="34">
        <f t="shared" si="141"/>
        <v>28.353000000000002</v>
      </c>
      <c r="Z82" s="34">
        <f t="shared" si="141"/>
        <v>20.622</v>
      </c>
      <c r="AA82" s="28">
        <f t="shared" ref="AA82:AF82" si="142">U82*I82</f>
        <v>23.316000000000003</v>
      </c>
      <c r="AB82" s="29">
        <f t="shared" si="142"/>
        <v>21.903359999999999</v>
      </c>
      <c r="AC82" s="29">
        <f t="shared" si="142"/>
        <v>23.039099999999998</v>
      </c>
      <c r="AD82" s="29">
        <f t="shared" si="142"/>
        <v>22.298400000000001</v>
      </c>
      <c r="AE82" s="29">
        <f t="shared" si="142"/>
        <v>21.831810000000001</v>
      </c>
      <c r="AF82" s="30">
        <f t="shared" si="142"/>
        <v>25.158839999999998</v>
      </c>
      <c r="AG82" s="24"/>
    </row>
    <row r="83" spans="1:34" ht="15" customHeight="1" x14ac:dyDescent="0.25">
      <c r="A83" s="107"/>
      <c r="B83" s="35">
        <v>2</v>
      </c>
      <c r="C83" s="48">
        <v>9.7110000000000003</v>
      </c>
      <c r="D83" s="48">
        <v>10.99</v>
      </c>
      <c r="E83" s="48">
        <v>11.111000000000001</v>
      </c>
      <c r="F83" s="48">
        <v>12.505000000000001</v>
      </c>
      <c r="G83" s="48">
        <v>9.1269999999999989</v>
      </c>
      <c r="H83" s="35">
        <v>5.843</v>
      </c>
      <c r="I83" s="48">
        <v>0.81</v>
      </c>
      <c r="J83" s="48">
        <v>0.64</v>
      </c>
      <c r="K83" s="48">
        <v>0.65</v>
      </c>
      <c r="L83" s="48">
        <v>0.61</v>
      </c>
      <c r="M83" s="34">
        <v>0.78</v>
      </c>
      <c r="N83" s="48">
        <v>1.38</v>
      </c>
      <c r="O83" s="139">
        <f t="shared" ref="O83:T83" si="143">$D$5*8/I83/1024</f>
        <v>987.65432098765427</v>
      </c>
      <c r="P83" s="140">
        <f t="shared" si="143"/>
        <v>1250</v>
      </c>
      <c r="Q83" s="140">
        <f t="shared" si="143"/>
        <v>1230.7692307692307</v>
      </c>
      <c r="R83" s="140">
        <f t="shared" si="143"/>
        <v>1311.4754098360656</v>
      </c>
      <c r="S83" s="140">
        <f t="shared" si="143"/>
        <v>1025.6410256410256</v>
      </c>
      <c r="T83" s="141">
        <f t="shared" si="143"/>
        <v>579.71014492753625</v>
      </c>
      <c r="U83" s="34">
        <f t="shared" ref="U83:Z83" si="144">$H$2*C83</f>
        <v>29.133000000000003</v>
      </c>
      <c r="V83" s="34">
        <f t="shared" si="144"/>
        <v>32.97</v>
      </c>
      <c r="W83" s="34">
        <f t="shared" si="144"/>
        <v>33.332999999999998</v>
      </c>
      <c r="X83" s="34">
        <f t="shared" si="144"/>
        <v>37.515000000000001</v>
      </c>
      <c r="Y83" s="34">
        <f t="shared" si="144"/>
        <v>27.380999999999997</v>
      </c>
      <c r="Z83" s="34">
        <f t="shared" si="144"/>
        <v>17.529</v>
      </c>
      <c r="AA83" s="33">
        <f t="shared" ref="AA83:AF83" si="145">U83*I83</f>
        <v>23.597730000000002</v>
      </c>
      <c r="AB83" s="34">
        <f t="shared" si="145"/>
        <v>21.1008</v>
      </c>
      <c r="AC83" s="34">
        <f t="shared" si="145"/>
        <v>21.666450000000001</v>
      </c>
      <c r="AD83" s="34">
        <f t="shared" si="145"/>
        <v>22.884149999999998</v>
      </c>
      <c r="AE83" s="34">
        <f t="shared" si="145"/>
        <v>21.35718</v>
      </c>
      <c r="AF83" s="35">
        <f t="shared" si="145"/>
        <v>24.190019999999997</v>
      </c>
      <c r="AG83" s="24"/>
    </row>
    <row r="84" spans="1:34" ht="15" customHeight="1" x14ac:dyDescent="0.25">
      <c r="A84" s="107"/>
      <c r="B84" s="35">
        <v>3</v>
      </c>
      <c r="C84" s="48">
        <v>9.7639999999999993</v>
      </c>
      <c r="D84" s="48">
        <v>11.623000000000001</v>
      </c>
      <c r="E84" s="48">
        <v>11.137</v>
      </c>
      <c r="F84" s="48">
        <v>12.265000000000001</v>
      </c>
      <c r="G84" s="48">
        <v>9.9079999999999995</v>
      </c>
      <c r="H84" s="62">
        <v>7.6349999999999998</v>
      </c>
      <c r="I84" s="48">
        <v>0.8</v>
      </c>
      <c r="J84" s="48">
        <v>0.66</v>
      </c>
      <c r="K84" s="48">
        <v>0.74</v>
      </c>
      <c r="L84" s="48">
        <v>0.63</v>
      </c>
      <c r="M84" s="6">
        <v>0.85</v>
      </c>
      <c r="N84" s="48">
        <v>0.94</v>
      </c>
      <c r="O84" s="139">
        <f t="shared" ref="O84:T84" si="146">$D$5*8/I84/1024</f>
        <v>1000</v>
      </c>
      <c r="P84" s="140">
        <f t="shared" si="146"/>
        <v>1212.121212121212</v>
      </c>
      <c r="Q84" s="140">
        <f t="shared" si="146"/>
        <v>1081.081081081081</v>
      </c>
      <c r="R84" s="140">
        <f t="shared" si="146"/>
        <v>1269.8412698412699</v>
      </c>
      <c r="S84" s="140">
        <f t="shared" si="146"/>
        <v>941.17647058823536</v>
      </c>
      <c r="T84" s="141">
        <f t="shared" si="146"/>
        <v>851.06382978723411</v>
      </c>
      <c r="U84" s="34">
        <f t="shared" ref="U84:Z84" si="147">$H$2*C84</f>
        <v>29.291999999999998</v>
      </c>
      <c r="V84" s="34">
        <f t="shared" si="147"/>
        <v>34.869</v>
      </c>
      <c r="W84" s="34">
        <f t="shared" si="147"/>
        <v>33.411000000000001</v>
      </c>
      <c r="X84" s="34">
        <f t="shared" si="147"/>
        <v>36.795000000000002</v>
      </c>
      <c r="Y84" s="34">
        <f t="shared" si="147"/>
        <v>29.723999999999997</v>
      </c>
      <c r="Z84" s="34">
        <f t="shared" si="147"/>
        <v>22.905000000000001</v>
      </c>
      <c r="AA84" s="33">
        <f t="shared" ref="AA84:AF84" si="148">U84*I84</f>
        <v>23.433599999999998</v>
      </c>
      <c r="AB84" s="34">
        <f t="shared" si="148"/>
        <v>23.013540000000003</v>
      </c>
      <c r="AC84" s="34">
        <f t="shared" si="148"/>
        <v>24.724140000000002</v>
      </c>
      <c r="AD84" s="34">
        <f t="shared" si="148"/>
        <v>23.18085</v>
      </c>
      <c r="AE84" s="34">
        <f t="shared" si="148"/>
        <v>25.265399999999996</v>
      </c>
      <c r="AF84" s="35">
        <f t="shared" si="148"/>
        <v>21.5307</v>
      </c>
      <c r="AG84" s="24"/>
    </row>
    <row r="85" spans="1:34" ht="15" customHeight="1" x14ac:dyDescent="0.25">
      <c r="A85" s="107"/>
      <c r="B85" s="35">
        <v>4</v>
      </c>
      <c r="C85" s="48">
        <v>9.6829999999999998</v>
      </c>
      <c r="D85" s="48">
        <v>11.57</v>
      </c>
      <c r="E85" s="48">
        <v>11.151</v>
      </c>
      <c r="F85" s="48">
        <v>12.936</v>
      </c>
      <c r="G85" s="48">
        <v>9.5350000000000001</v>
      </c>
      <c r="H85" s="26">
        <v>7.1269999999999998</v>
      </c>
      <c r="I85" s="48">
        <v>0.79</v>
      </c>
      <c r="J85" s="48">
        <v>0.71</v>
      </c>
      <c r="K85" s="48">
        <v>0.68</v>
      </c>
      <c r="L85" s="48">
        <v>0.59</v>
      </c>
      <c r="M85" s="34">
        <v>0.86</v>
      </c>
      <c r="N85" s="48">
        <v>1.0900000000000001</v>
      </c>
      <c r="O85" s="139">
        <f t="shared" ref="O85:T85" si="149">$D$5*8/I85/1024</f>
        <v>1012.6582278481012</v>
      </c>
      <c r="P85" s="140">
        <f t="shared" si="149"/>
        <v>1126.7605633802818</v>
      </c>
      <c r="Q85" s="140">
        <f t="shared" si="149"/>
        <v>1176.4705882352941</v>
      </c>
      <c r="R85" s="140">
        <f t="shared" si="149"/>
        <v>1355.9322033898306</v>
      </c>
      <c r="S85" s="140">
        <f t="shared" si="149"/>
        <v>930.23255813953494</v>
      </c>
      <c r="T85" s="141">
        <f t="shared" si="149"/>
        <v>733.94495412844026</v>
      </c>
      <c r="U85" s="34">
        <f t="shared" ref="U85:Z85" si="150">$H$2*C85</f>
        <v>29.048999999999999</v>
      </c>
      <c r="V85" s="34">
        <f t="shared" si="150"/>
        <v>34.71</v>
      </c>
      <c r="W85" s="34">
        <f t="shared" si="150"/>
        <v>33.453000000000003</v>
      </c>
      <c r="X85" s="34">
        <f t="shared" si="150"/>
        <v>38.808</v>
      </c>
      <c r="Y85" s="34">
        <f t="shared" si="150"/>
        <v>28.605</v>
      </c>
      <c r="Z85" s="34">
        <f t="shared" si="150"/>
        <v>21.381</v>
      </c>
      <c r="AA85" s="33">
        <f t="shared" ref="AA85:AF85" si="151">U85*I85</f>
        <v>22.948710000000002</v>
      </c>
      <c r="AB85" s="34">
        <f t="shared" si="151"/>
        <v>24.644099999999998</v>
      </c>
      <c r="AC85" s="34">
        <f t="shared" si="151"/>
        <v>22.748040000000003</v>
      </c>
      <c r="AD85" s="34">
        <f t="shared" si="151"/>
        <v>22.896719999999998</v>
      </c>
      <c r="AE85" s="34">
        <f t="shared" si="151"/>
        <v>24.600300000000001</v>
      </c>
      <c r="AF85" s="35">
        <f t="shared" si="151"/>
        <v>23.305290000000003</v>
      </c>
      <c r="AG85" s="24"/>
    </row>
    <row r="86" spans="1:34" ht="15" customHeight="1" x14ac:dyDescent="0.25">
      <c r="A86" s="107"/>
      <c r="B86" s="38">
        <v>5</v>
      </c>
      <c r="C86" s="48">
        <v>9.6790000000000003</v>
      </c>
      <c r="D86" s="48">
        <v>11.478</v>
      </c>
      <c r="E86" s="48">
        <v>11.134</v>
      </c>
      <c r="F86" s="48">
        <v>11.686999999999999</v>
      </c>
      <c r="G86" s="48">
        <v>9.270999999999999</v>
      </c>
      <c r="H86" s="62">
        <v>10.964</v>
      </c>
      <c r="I86" s="48">
        <v>0.79</v>
      </c>
      <c r="J86" s="48">
        <v>0.66</v>
      </c>
      <c r="K86" s="48">
        <v>0.62</v>
      </c>
      <c r="L86" s="48">
        <v>0.64</v>
      </c>
      <c r="M86" s="34">
        <v>0.78</v>
      </c>
      <c r="N86" s="48">
        <v>0.67</v>
      </c>
      <c r="O86" s="142">
        <f t="shared" ref="O86:T86" si="152">$D$5*8/I86/1024</f>
        <v>1012.6582278481012</v>
      </c>
      <c r="P86" s="143">
        <f t="shared" si="152"/>
        <v>1212.121212121212</v>
      </c>
      <c r="Q86" s="143">
        <f t="shared" si="152"/>
        <v>1290.3225806451612</v>
      </c>
      <c r="R86" s="143">
        <f t="shared" si="152"/>
        <v>1250</v>
      </c>
      <c r="S86" s="143">
        <f t="shared" si="152"/>
        <v>1025.6410256410256</v>
      </c>
      <c r="T86" s="144">
        <f t="shared" si="152"/>
        <v>1194.0298507462685</v>
      </c>
      <c r="U86" s="37">
        <f t="shared" ref="U86:Z86" si="153">$H$2*C86</f>
        <v>29.036999999999999</v>
      </c>
      <c r="V86" s="37">
        <f t="shared" si="153"/>
        <v>34.433999999999997</v>
      </c>
      <c r="W86" s="37">
        <f t="shared" si="153"/>
        <v>33.402000000000001</v>
      </c>
      <c r="X86" s="37">
        <f t="shared" si="153"/>
        <v>35.061</v>
      </c>
      <c r="Y86" s="37">
        <f t="shared" si="153"/>
        <v>27.812999999999995</v>
      </c>
      <c r="Z86" s="37">
        <f t="shared" si="153"/>
        <v>32.892000000000003</v>
      </c>
      <c r="AA86" s="36">
        <f t="shared" ref="AA86:AF86" si="154">U86*I86</f>
        <v>22.939230000000002</v>
      </c>
      <c r="AB86" s="37">
        <f t="shared" si="154"/>
        <v>22.72644</v>
      </c>
      <c r="AC86" s="37">
        <f t="shared" si="154"/>
        <v>20.709240000000001</v>
      </c>
      <c r="AD86" s="37">
        <f t="shared" si="154"/>
        <v>22.439040000000002</v>
      </c>
      <c r="AE86" s="37">
        <f t="shared" si="154"/>
        <v>21.694139999999997</v>
      </c>
      <c r="AF86" s="38">
        <f t="shared" si="154"/>
        <v>22.037640000000003</v>
      </c>
      <c r="AG86" s="24"/>
    </row>
    <row r="87" spans="1:34" ht="15" customHeight="1" x14ac:dyDescent="0.25">
      <c r="A87" s="107"/>
      <c r="B87" s="53" t="s">
        <v>22</v>
      </c>
      <c r="C87" s="61">
        <f t="shared" ref="C87:AF87" si="155">AVERAGE(C82:C86)</f>
        <v>9.7104000000000017</v>
      </c>
      <c r="D87" s="61">
        <f t="shared" si="155"/>
        <v>11.4138</v>
      </c>
      <c r="E87" s="61">
        <f t="shared" si="155"/>
        <v>11.1326</v>
      </c>
      <c r="F87" s="61">
        <f t="shared" si="155"/>
        <v>12.356199999999999</v>
      </c>
      <c r="G87" s="61">
        <f t="shared" si="155"/>
        <v>9.458400000000001</v>
      </c>
      <c r="H87" s="61">
        <f t="shared" si="155"/>
        <v>7.6885999999999992</v>
      </c>
      <c r="I87" s="61">
        <f t="shared" si="155"/>
        <v>0.79800000000000004</v>
      </c>
      <c r="J87" s="61">
        <f t="shared" si="155"/>
        <v>0.66200000000000003</v>
      </c>
      <c r="K87" s="61">
        <f t="shared" si="155"/>
        <v>0.67600000000000005</v>
      </c>
      <c r="L87" s="61">
        <f t="shared" si="155"/>
        <v>0.61399999999999999</v>
      </c>
      <c r="M87" s="61">
        <f t="shared" si="155"/>
        <v>0.80800000000000005</v>
      </c>
      <c r="N87" s="61">
        <f t="shared" si="155"/>
        <v>1.06</v>
      </c>
      <c r="O87" s="60">
        <f t="shared" si="155"/>
        <v>1002.5941553367713</v>
      </c>
      <c r="P87" s="60">
        <f t="shared" si="155"/>
        <v>1210.2005975245411</v>
      </c>
      <c r="Q87" s="60">
        <f t="shared" si="155"/>
        <v>1187.6127541171677</v>
      </c>
      <c r="R87" s="60">
        <f t="shared" si="155"/>
        <v>1304.1164432801002</v>
      </c>
      <c r="S87" s="60">
        <f t="shared" si="155"/>
        <v>992.33042379417202</v>
      </c>
      <c r="T87" s="60">
        <f t="shared" si="155"/>
        <v>802.89729690150239</v>
      </c>
      <c r="U87" s="38">
        <f t="shared" si="155"/>
        <v>29.1312</v>
      </c>
      <c r="V87" s="38">
        <f t="shared" si="155"/>
        <v>34.241399999999999</v>
      </c>
      <c r="W87" s="38">
        <f t="shared" si="155"/>
        <v>33.397799999999997</v>
      </c>
      <c r="X87" s="38">
        <f t="shared" si="155"/>
        <v>37.068600000000004</v>
      </c>
      <c r="Y87" s="38">
        <f t="shared" si="155"/>
        <v>28.3752</v>
      </c>
      <c r="Z87" s="38">
        <f t="shared" si="155"/>
        <v>23.065800000000003</v>
      </c>
      <c r="AA87" s="38">
        <f t="shared" si="155"/>
        <v>23.247054000000002</v>
      </c>
      <c r="AB87" s="38">
        <f t="shared" si="155"/>
        <v>22.677647999999998</v>
      </c>
      <c r="AC87" s="38">
        <f t="shared" si="155"/>
        <v>22.577394000000005</v>
      </c>
      <c r="AD87" s="38">
        <f t="shared" si="155"/>
        <v>22.739832</v>
      </c>
      <c r="AE87" s="38">
        <f t="shared" si="155"/>
        <v>22.949766</v>
      </c>
      <c r="AF87" s="38">
        <f t="shared" si="155"/>
        <v>23.244498</v>
      </c>
      <c r="AG87" s="24"/>
    </row>
    <row r="88" spans="1:34" ht="15" customHeight="1" x14ac:dyDescent="0.25">
      <c r="A88" s="108"/>
      <c r="B88" s="53" t="s">
        <v>23</v>
      </c>
      <c r="C88" s="61">
        <f>_xlfn.STDEV.P(C82:C86)</f>
        <v>3.0434191298603357E-2</v>
      </c>
      <c r="D88" s="61">
        <f t="shared" ref="D88:AF88" si="156">_xlfn.STDEV.P(D82:D86)</f>
        <v>0.22446594396478067</v>
      </c>
      <c r="E88" s="61">
        <f t="shared" si="156"/>
        <v>1.2908911650483671E-2</v>
      </c>
      <c r="F88" s="61">
        <f t="shared" si="156"/>
        <v>0.40384818929889998</v>
      </c>
      <c r="G88" s="61">
        <f t="shared" si="156"/>
        <v>0.26570931485365756</v>
      </c>
      <c r="H88" s="61">
        <f t="shared" si="156"/>
        <v>1.7387538756247263</v>
      </c>
      <c r="I88" s="61">
        <f t="shared" si="156"/>
        <v>7.4833147735478894E-3</v>
      </c>
      <c r="J88" s="61">
        <f t="shared" si="156"/>
        <v>2.5612496949731375E-2</v>
      </c>
      <c r="K88" s="61">
        <f t="shared" si="156"/>
        <v>4.0298883359219759E-2</v>
      </c>
      <c r="L88" s="61">
        <f t="shared" si="156"/>
        <v>1.8547236990991426E-2</v>
      </c>
      <c r="M88" s="61">
        <f t="shared" si="156"/>
        <v>3.8678159211627414E-2</v>
      </c>
      <c r="N88" s="61">
        <f t="shared" si="156"/>
        <v>0.24306377763870921</v>
      </c>
      <c r="O88" s="61">
        <f t="shared" si="156"/>
        <v>9.3726095109981777</v>
      </c>
      <c r="P88" s="61">
        <f t="shared" si="156"/>
        <v>45.027995055654372</v>
      </c>
      <c r="Q88" s="61">
        <f t="shared" si="156"/>
        <v>70.256316732386367</v>
      </c>
      <c r="R88" s="61">
        <f t="shared" si="156"/>
        <v>39.232718479488199</v>
      </c>
      <c r="S88" s="61">
        <f t="shared" si="156"/>
        <v>46.618619690197093</v>
      </c>
      <c r="T88" s="61">
        <f t="shared" si="156"/>
        <v>215.18715828796419</v>
      </c>
      <c r="U88" s="61">
        <f t="shared" si="156"/>
        <v>9.1302573895810438E-2</v>
      </c>
      <c r="V88" s="61">
        <f t="shared" si="156"/>
        <v>0.6733978318943421</v>
      </c>
      <c r="W88" s="61">
        <f t="shared" si="156"/>
        <v>3.872673495145329E-2</v>
      </c>
      <c r="X88" s="61">
        <f t="shared" si="156"/>
        <v>1.2115445678966994</v>
      </c>
      <c r="Y88" s="61">
        <f t="shared" si="156"/>
        <v>0.79712794456097236</v>
      </c>
      <c r="Z88" s="61">
        <f t="shared" si="156"/>
        <v>5.2162616268741679</v>
      </c>
      <c r="AA88" s="61">
        <f t="shared" si="156"/>
        <v>0.26316966972658484</v>
      </c>
      <c r="AB88" s="61">
        <f t="shared" si="156"/>
        <v>1.1889582907133451</v>
      </c>
      <c r="AC88" s="61">
        <f t="shared" si="156"/>
        <v>1.3542990227508844</v>
      </c>
      <c r="AD88" s="61">
        <f t="shared" si="156"/>
        <v>0.32412233612634489</v>
      </c>
      <c r="AE88" s="61">
        <f t="shared" si="156"/>
        <v>1.6400716901599144</v>
      </c>
      <c r="AF88" s="61">
        <f t="shared" si="156"/>
        <v>1.3383588927996841</v>
      </c>
      <c r="AG88" s="24"/>
    </row>
    <row r="89" spans="1:34" ht="1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4" ht="1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4" ht="1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4" ht="15" customHeight="1" x14ac:dyDescent="0.25">
      <c r="A92" s="109" t="s">
        <v>49</v>
      </c>
      <c r="B92" s="100"/>
      <c r="C92" s="106" t="s">
        <v>11</v>
      </c>
      <c r="D92" s="102"/>
      <c r="E92" s="102"/>
      <c r="F92" s="102"/>
      <c r="G92" s="102"/>
      <c r="H92" s="103"/>
      <c r="I92" s="106" t="s">
        <v>12</v>
      </c>
      <c r="J92" s="102"/>
      <c r="K92" s="102"/>
      <c r="L92" s="102"/>
      <c r="M92" s="102"/>
      <c r="N92" s="102"/>
      <c r="O92" s="145" t="s">
        <v>13</v>
      </c>
      <c r="P92" s="146"/>
      <c r="Q92" s="146"/>
      <c r="R92" s="146"/>
      <c r="S92" s="146"/>
      <c r="T92" s="147"/>
      <c r="U92" s="106" t="s">
        <v>14</v>
      </c>
      <c r="V92" s="102"/>
      <c r="W92" s="102"/>
      <c r="X92" s="102"/>
      <c r="Y92" s="102"/>
      <c r="Z92" s="102"/>
      <c r="AA92" s="106" t="s">
        <v>15</v>
      </c>
      <c r="AB92" s="102"/>
      <c r="AC92" s="102"/>
      <c r="AD92" s="102"/>
      <c r="AE92" s="102"/>
      <c r="AF92" s="103"/>
      <c r="AG92" s="24"/>
    </row>
    <row r="93" spans="1:34" ht="15" customHeight="1" x14ac:dyDescent="0.25">
      <c r="A93" s="97"/>
      <c r="B93" s="111"/>
      <c r="C93" s="6" t="s">
        <v>16</v>
      </c>
      <c r="D93" s="6" t="s">
        <v>17</v>
      </c>
      <c r="E93" s="6" t="s">
        <v>18</v>
      </c>
      <c r="F93" s="6" t="s">
        <v>19</v>
      </c>
      <c r="G93" s="6" t="s">
        <v>20</v>
      </c>
      <c r="H93" s="26" t="s">
        <v>21</v>
      </c>
      <c r="I93" s="6" t="s">
        <v>16</v>
      </c>
      <c r="J93" s="6" t="s">
        <v>17</v>
      </c>
      <c r="K93" s="6" t="s">
        <v>18</v>
      </c>
      <c r="L93" s="6" t="s">
        <v>19</v>
      </c>
      <c r="M93" s="6" t="s">
        <v>20</v>
      </c>
      <c r="N93" s="26" t="s">
        <v>21</v>
      </c>
      <c r="O93" s="6" t="s">
        <v>16</v>
      </c>
      <c r="P93" s="6" t="s">
        <v>17</v>
      </c>
      <c r="Q93" s="6" t="s">
        <v>18</v>
      </c>
      <c r="R93" s="6" t="s">
        <v>19</v>
      </c>
      <c r="S93" s="6" t="s">
        <v>20</v>
      </c>
      <c r="T93" s="26" t="s">
        <v>21</v>
      </c>
      <c r="U93" s="52" t="s">
        <v>16</v>
      </c>
      <c r="V93" s="52" t="s">
        <v>17</v>
      </c>
      <c r="W93" s="52" t="s">
        <v>18</v>
      </c>
      <c r="X93" s="52" t="s">
        <v>19</v>
      </c>
      <c r="Y93" s="52" t="s">
        <v>20</v>
      </c>
      <c r="Z93" s="53" t="s">
        <v>21</v>
      </c>
      <c r="AA93" s="52" t="s">
        <v>16</v>
      </c>
      <c r="AB93" s="52" t="s">
        <v>17</v>
      </c>
      <c r="AC93" s="52" t="s">
        <v>18</v>
      </c>
      <c r="AD93" s="52" t="s">
        <v>19</v>
      </c>
      <c r="AE93" s="52" t="s">
        <v>20</v>
      </c>
      <c r="AF93" s="53" t="s">
        <v>21</v>
      </c>
      <c r="AG93" s="24"/>
    </row>
    <row r="94" spans="1:34" ht="15" customHeight="1" x14ac:dyDescent="0.25">
      <c r="A94" s="107" t="s">
        <v>2</v>
      </c>
      <c r="B94" s="34">
        <v>1</v>
      </c>
      <c r="C94" s="63">
        <v>4.7919999999999998</v>
      </c>
      <c r="D94" s="58">
        <v>9.7330000000000005</v>
      </c>
      <c r="E94" s="58">
        <v>10.782</v>
      </c>
      <c r="F94" s="58">
        <v>11.182</v>
      </c>
      <c r="G94" s="58">
        <v>11.195</v>
      </c>
      <c r="H94" s="64">
        <v>8.9860000000000007</v>
      </c>
      <c r="I94" s="58">
        <v>9.6300000000000008</v>
      </c>
      <c r="J94" s="58">
        <v>4.21</v>
      </c>
      <c r="K94" s="58">
        <v>3.76</v>
      </c>
      <c r="L94" s="58">
        <v>3.61</v>
      </c>
      <c r="M94" s="58">
        <v>3.47</v>
      </c>
      <c r="N94" s="64">
        <v>4.4800000000000004</v>
      </c>
      <c r="O94" s="119">
        <f t="shared" ref="O94:T94" si="157">$B$5*8/I94/1024</f>
        <v>83.073727933541008</v>
      </c>
      <c r="P94" s="119">
        <f t="shared" si="157"/>
        <v>190.02375296912115</v>
      </c>
      <c r="Q94" s="119">
        <f t="shared" si="157"/>
        <v>212.76595744680853</v>
      </c>
      <c r="R94" s="119">
        <f t="shared" si="157"/>
        <v>221.606648199446</v>
      </c>
      <c r="S94" s="119">
        <f t="shared" si="157"/>
        <v>230.54755043227664</v>
      </c>
      <c r="T94" s="120">
        <f t="shared" si="157"/>
        <v>178.57142857142856</v>
      </c>
      <c r="U94" s="34">
        <f t="shared" ref="U94:Z94" si="158">$H$2*C94</f>
        <v>14.375999999999999</v>
      </c>
      <c r="V94" s="34">
        <f t="shared" si="158"/>
        <v>29.199000000000002</v>
      </c>
      <c r="W94" s="34">
        <f t="shared" si="158"/>
        <v>32.346000000000004</v>
      </c>
      <c r="X94" s="34">
        <f t="shared" si="158"/>
        <v>33.545999999999999</v>
      </c>
      <c r="Y94" s="34">
        <f t="shared" si="158"/>
        <v>33.585000000000001</v>
      </c>
      <c r="Z94" s="35">
        <f t="shared" si="158"/>
        <v>26.958000000000002</v>
      </c>
      <c r="AA94" s="34">
        <f t="shared" ref="AA94:AF94" si="159">U94*I94</f>
        <v>138.44087999999999</v>
      </c>
      <c r="AB94" s="34">
        <f t="shared" si="159"/>
        <v>122.92779</v>
      </c>
      <c r="AC94" s="34">
        <f t="shared" si="159"/>
        <v>121.62096000000001</v>
      </c>
      <c r="AD94" s="34">
        <f t="shared" si="159"/>
        <v>121.10105999999999</v>
      </c>
      <c r="AE94" s="34">
        <f t="shared" si="159"/>
        <v>116.53995</v>
      </c>
      <c r="AF94" s="35">
        <f t="shared" si="159"/>
        <v>120.77184000000003</v>
      </c>
      <c r="AG94" s="24"/>
    </row>
    <row r="95" spans="1:34" ht="15" customHeight="1" x14ac:dyDescent="0.25">
      <c r="A95" s="107"/>
      <c r="B95" s="34">
        <v>2</v>
      </c>
      <c r="C95" s="65">
        <v>4.7930000000000001</v>
      </c>
      <c r="D95" s="48">
        <v>9.5860000000000003</v>
      </c>
      <c r="E95" s="48">
        <v>10.833</v>
      </c>
      <c r="F95" s="48">
        <v>11.473000000000001</v>
      </c>
      <c r="G95" s="48">
        <v>11.523</v>
      </c>
      <c r="H95" s="62">
        <v>7.8049999999999997</v>
      </c>
      <c r="I95" s="48">
        <v>9.6199999999999992</v>
      </c>
      <c r="J95" s="48">
        <v>4.21</v>
      </c>
      <c r="K95" s="48">
        <v>3.89</v>
      </c>
      <c r="L95" s="48">
        <v>3.78</v>
      </c>
      <c r="M95" s="48">
        <v>3.9400000000000004</v>
      </c>
      <c r="N95" s="62">
        <v>5.31</v>
      </c>
      <c r="O95" s="122">
        <f t="shared" ref="O95:T95" si="160">$B$5*8/I95/1024</f>
        <v>83.160083160083161</v>
      </c>
      <c r="P95" s="122">
        <f t="shared" si="160"/>
        <v>190.02375296912115</v>
      </c>
      <c r="Q95" s="122">
        <f t="shared" si="160"/>
        <v>205.65552699228792</v>
      </c>
      <c r="R95" s="122">
        <f t="shared" si="160"/>
        <v>211.64021164021165</v>
      </c>
      <c r="S95" s="122">
        <f t="shared" si="160"/>
        <v>203.04568527918781</v>
      </c>
      <c r="T95" s="123">
        <f t="shared" si="160"/>
        <v>150.65913370998118</v>
      </c>
      <c r="U95" s="34">
        <f t="shared" ref="U95:Z95" si="161">$H$2*C95</f>
        <v>14.379000000000001</v>
      </c>
      <c r="V95" s="34">
        <f t="shared" si="161"/>
        <v>28.758000000000003</v>
      </c>
      <c r="W95" s="34">
        <f t="shared" si="161"/>
        <v>32.499000000000002</v>
      </c>
      <c r="X95" s="34">
        <f t="shared" si="161"/>
        <v>34.419000000000004</v>
      </c>
      <c r="Y95" s="34">
        <f t="shared" si="161"/>
        <v>34.569000000000003</v>
      </c>
      <c r="Z95" s="35">
        <f t="shared" si="161"/>
        <v>23.414999999999999</v>
      </c>
      <c r="AA95" s="34">
        <f t="shared" ref="AA95:AF95" si="162">U95*I95</f>
        <v>138.32598000000002</v>
      </c>
      <c r="AB95" s="34">
        <f t="shared" si="162"/>
        <v>121.07118000000001</v>
      </c>
      <c r="AC95" s="34">
        <f t="shared" si="162"/>
        <v>126.42111000000001</v>
      </c>
      <c r="AD95" s="34">
        <f t="shared" si="162"/>
        <v>130.10382000000001</v>
      </c>
      <c r="AE95" s="34">
        <f t="shared" si="162"/>
        <v>136.20186000000001</v>
      </c>
      <c r="AF95" s="35">
        <f t="shared" si="162"/>
        <v>124.33364999999999</v>
      </c>
      <c r="AG95" s="24"/>
    </row>
    <row r="96" spans="1:34" ht="15" customHeight="1" x14ac:dyDescent="0.25">
      <c r="A96" s="107"/>
      <c r="B96" s="34">
        <v>3</v>
      </c>
      <c r="C96" s="65">
        <v>4.7930000000000001</v>
      </c>
      <c r="D96" s="48">
        <v>9.8109999999999999</v>
      </c>
      <c r="E96" s="48">
        <v>10.744999999999999</v>
      </c>
      <c r="F96" s="48">
        <v>11.148999999999999</v>
      </c>
      <c r="G96" s="48">
        <v>10.924999999999999</v>
      </c>
      <c r="H96" s="62">
        <v>11.346</v>
      </c>
      <c r="I96" s="48">
        <v>9.6300000000000008</v>
      </c>
      <c r="J96" s="48">
        <v>4.17</v>
      </c>
      <c r="K96" s="48">
        <v>3.89</v>
      </c>
      <c r="L96" s="48">
        <v>3.46</v>
      </c>
      <c r="M96" s="48">
        <v>3.73</v>
      </c>
      <c r="N96" s="62">
        <v>3.48</v>
      </c>
      <c r="O96" s="122">
        <f t="shared" ref="O96:T96" si="163">$B$5*8/I96/1024</f>
        <v>83.073727933541008</v>
      </c>
      <c r="P96" s="122">
        <f t="shared" si="163"/>
        <v>191.84652278177458</v>
      </c>
      <c r="Q96" s="122">
        <f t="shared" si="163"/>
        <v>205.65552699228792</v>
      </c>
      <c r="R96" s="122">
        <f t="shared" si="163"/>
        <v>231.21387283236996</v>
      </c>
      <c r="S96" s="122">
        <f t="shared" si="163"/>
        <v>214.47721179624665</v>
      </c>
      <c r="T96" s="123">
        <f t="shared" si="163"/>
        <v>229.88505747126436</v>
      </c>
      <c r="U96" s="34">
        <f t="shared" ref="U96:Z96" si="164">$H$2*C96</f>
        <v>14.379000000000001</v>
      </c>
      <c r="V96" s="34">
        <f t="shared" si="164"/>
        <v>29.433</v>
      </c>
      <c r="W96" s="34">
        <f t="shared" si="164"/>
        <v>32.234999999999999</v>
      </c>
      <c r="X96" s="34">
        <f t="shared" si="164"/>
        <v>33.446999999999996</v>
      </c>
      <c r="Y96" s="34">
        <f t="shared" si="164"/>
        <v>32.774999999999999</v>
      </c>
      <c r="Z96" s="35">
        <f t="shared" si="164"/>
        <v>34.037999999999997</v>
      </c>
      <c r="AA96" s="34">
        <f t="shared" ref="AA96:AF96" si="165">U96*I96</f>
        <v>138.46977000000001</v>
      </c>
      <c r="AB96" s="34">
        <f t="shared" si="165"/>
        <v>122.73560999999999</v>
      </c>
      <c r="AC96" s="34">
        <f t="shared" si="165"/>
        <v>125.39415</v>
      </c>
      <c r="AD96" s="34">
        <f t="shared" si="165"/>
        <v>115.72661999999998</v>
      </c>
      <c r="AE96" s="34">
        <f t="shared" si="165"/>
        <v>122.25075</v>
      </c>
      <c r="AF96" s="35">
        <f t="shared" si="165"/>
        <v>118.45223999999999</v>
      </c>
      <c r="AG96" s="24"/>
    </row>
    <row r="97" spans="1:33" ht="15" customHeight="1" x14ac:dyDescent="0.25">
      <c r="A97" s="107"/>
      <c r="B97" s="34">
        <v>4</v>
      </c>
      <c r="C97" s="65">
        <v>4.8079999999999998</v>
      </c>
      <c r="D97" s="48">
        <v>9.7929999999999993</v>
      </c>
      <c r="E97" s="48">
        <v>10.819000000000001</v>
      </c>
      <c r="F97" s="48">
        <v>10.743</v>
      </c>
      <c r="G97" s="48">
        <v>11.392999999999999</v>
      </c>
      <c r="H97" s="62">
        <v>11.034000000000001</v>
      </c>
      <c r="I97" s="48">
        <v>9.6300000000000008</v>
      </c>
      <c r="J97" s="48">
        <v>4.22</v>
      </c>
      <c r="K97" s="48">
        <v>3.53</v>
      </c>
      <c r="L97" s="48">
        <v>3.49</v>
      </c>
      <c r="M97" s="48">
        <v>3.54</v>
      </c>
      <c r="N97" s="62">
        <v>3.62</v>
      </c>
      <c r="O97" s="122">
        <f t="shared" ref="O97:T97" si="166">$B$5*8/I97/1024</f>
        <v>83.073727933541008</v>
      </c>
      <c r="P97" s="122">
        <f t="shared" si="166"/>
        <v>189.57345971563981</v>
      </c>
      <c r="Q97" s="122">
        <f t="shared" si="166"/>
        <v>226.62889518413598</v>
      </c>
      <c r="R97" s="122">
        <f t="shared" si="166"/>
        <v>229.22636103151862</v>
      </c>
      <c r="S97" s="122">
        <f t="shared" si="166"/>
        <v>225.98870056497174</v>
      </c>
      <c r="T97" s="123">
        <f t="shared" si="166"/>
        <v>220.99447513812154</v>
      </c>
      <c r="U97" s="34">
        <f t="shared" ref="U97:Z97" si="167">$H$2*C97</f>
        <v>14.423999999999999</v>
      </c>
      <c r="V97" s="34">
        <f t="shared" si="167"/>
        <v>29.378999999999998</v>
      </c>
      <c r="W97" s="34">
        <f t="shared" si="167"/>
        <v>32.457000000000001</v>
      </c>
      <c r="X97" s="34">
        <f t="shared" si="167"/>
        <v>32.228999999999999</v>
      </c>
      <c r="Y97" s="34">
        <f t="shared" si="167"/>
        <v>34.178999999999995</v>
      </c>
      <c r="Z97" s="35">
        <f t="shared" si="167"/>
        <v>33.102000000000004</v>
      </c>
      <c r="AA97" s="34">
        <f t="shared" ref="AA97:AF97" si="168">U97*I97</f>
        <v>138.90312</v>
      </c>
      <c r="AB97" s="34">
        <f t="shared" si="168"/>
        <v>123.97937999999998</v>
      </c>
      <c r="AC97" s="34">
        <f t="shared" si="168"/>
        <v>114.57321</v>
      </c>
      <c r="AD97" s="34">
        <f t="shared" si="168"/>
        <v>112.47921000000001</v>
      </c>
      <c r="AE97" s="34">
        <f t="shared" si="168"/>
        <v>120.99365999999998</v>
      </c>
      <c r="AF97" s="35">
        <f t="shared" si="168"/>
        <v>119.82924000000001</v>
      </c>
      <c r="AG97" s="24"/>
    </row>
    <row r="98" spans="1:33" ht="15" customHeight="1" x14ac:dyDescent="0.25">
      <c r="A98" s="107"/>
      <c r="B98" s="37">
        <v>5</v>
      </c>
      <c r="C98" s="66">
        <v>4.7939999999999996</v>
      </c>
      <c r="D98" s="67">
        <v>9.6950000000000003</v>
      </c>
      <c r="E98" s="67">
        <v>10.746</v>
      </c>
      <c r="F98" s="78">
        <v>11.379</v>
      </c>
      <c r="G98" s="78">
        <v>10.969999999999999</v>
      </c>
      <c r="H98" s="62">
        <v>10.930999999999999</v>
      </c>
      <c r="I98" s="78">
        <v>9.6300000000000008</v>
      </c>
      <c r="J98" s="78">
        <v>4.22</v>
      </c>
      <c r="K98" s="78">
        <v>3.69</v>
      </c>
      <c r="L98" s="78">
        <v>3.7</v>
      </c>
      <c r="M98" s="67">
        <v>3.35</v>
      </c>
      <c r="N98" s="68">
        <v>3.69</v>
      </c>
      <c r="O98" s="125">
        <f t="shared" ref="O98:T98" si="169">$B$5*8/I98/1024</f>
        <v>83.073727933541008</v>
      </c>
      <c r="P98" s="125">
        <f t="shared" si="169"/>
        <v>189.57345971563981</v>
      </c>
      <c r="Q98" s="125">
        <f t="shared" si="169"/>
        <v>216.80216802168022</v>
      </c>
      <c r="R98" s="125">
        <f t="shared" si="169"/>
        <v>216.2162162162162</v>
      </c>
      <c r="S98" s="125">
        <f t="shared" si="169"/>
        <v>238.80597014925374</v>
      </c>
      <c r="T98" s="126">
        <f t="shared" si="169"/>
        <v>216.80216802168022</v>
      </c>
      <c r="U98" s="37">
        <f t="shared" ref="U98:Z98" si="170">$H$2*C98</f>
        <v>14.381999999999998</v>
      </c>
      <c r="V98" s="37">
        <f t="shared" si="170"/>
        <v>29.085000000000001</v>
      </c>
      <c r="W98" s="37">
        <f t="shared" si="170"/>
        <v>32.238</v>
      </c>
      <c r="X98" s="37">
        <f t="shared" si="170"/>
        <v>34.137</v>
      </c>
      <c r="Y98" s="37">
        <f t="shared" si="170"/>
        <v>32.909999999999997</v>
      </c>
      <c r="Z98" s="38">
        <f t="shared" si="170"/>
        <v>32.792999999999999</v>
      </c>
      <c r="AA98" s="37">
        <f t="shared" ref="AA98:AF98" si="171">U98*I98</f>
        <v>138.49866</v>
      </c>
      <c r="AB98" s="37">
        <f t="shared" si="171"/>
        <v>122.73869999999999</v>
      </c>
      <c r="AC98" s="37">
        <f t="shared" si="171"/>
        <v>118.95822</v>
      </c>
      <c r="AD98" s="37">
        <f t="shared" si="171"/>
        <v>126.30690000000001</v>
      </c>
      <c r="AE98" s="37">
        <f t="shared" si="171"/>
        <v>110.24849999999999</v>
      </c>
      <c r="AF98" s="38">
        <f t="shared" si="171"/>
        <v>121.00617</v>
      </c>
      <c r="AG98" s="24"/>
    </row>
    <row r="99" spans="1:33" ht="15" customHeight="1" x14ac:dyDescent="0.25">
      <c r="A99" s="107"/>
      <c r="B99" s="53" t="s">
        <v>22</v>
      </c>
      <c r="C99" s="38">
        <f t="shared" ref="C99:AF99" si="172">AVERAGE(C94:C98)</f>
        <v>4.7960000000000003</v>
      </c>
      <c r="D99" s="38">
        <f t="shared" si="172"/>
        <v>9.7236000000000011</v>
      </c>
      <c r="E99" s="37">
        <f t="shared" si="172"/>
        <v>10.785</v>
      </c>
      <c r="F99" s="70">
        <f t="shared" si="172"/>
        <v>11.1852</v>
      </c>
      <c r="G99" s="70">
        <f t="shared" si="172"/>
        <v>11.2012</v>
      </c>
      <c r="H99" s="70">
        <f t="shared" si="172"/>
        <v>10.020399999999999</v>
      </c>
      <c r="I99" s="70">
        <f t="shared" si="172"/>
        <v>9.6280000000000019</v>
      </c>
      <c r="J99" s="70">
        <f t="shared" si="172"/>
        <v>4.2059999999999995</v>
      </c>
      <c r="K99" s="70">
        <f t="shared" si="172"/>
        <v>3.7520000000000002</v>
      </c>
      <c r="L99" s="70">
        <f t="shared" si="172"/>
        <v>3.6079999999999997</v>
      </c>
      <c r="M99" s="38">
        <f t="shared" si="172"/>
        <v>3.6060000000000003</v>
      </c>
      <c r="N99" s="35">
        <f t="shared" si="172"/>
        <v>4.1160000000000005</v>
      </c>
      <c r="O99" s="38">
        <f t="shared" si="172"/>
        <v>83.090998978849456</v>
      </c>
      <c r="P99" s="38">
        <f t="shared" si="172"/>
        <v>190.20818963025931</v>
      </c>
      <c r="Q99" s="38">
        <f t="shared" si="172"/>
        <v>213.5016149274401</v>
      </c>
      <c r="R99" s="38">
        <f t="shared" si="172"/>
        <v>221.9806619839525</v>
      </c>
      <c r="S99" s="38">
        <f t="shared" si="172"/>
        <v>222.57302364438732</v>
      </c>
      <c r="T99" s="38">
        <f t="shared" si="172"/>
        <v>199.38245258249518</v>
      </c>
      <c r="U99" s="35">
        <f t="shared" si="172"/>
        <v>14.388</v>
      </c>
      <c r="V99" s="35">
        <f t="shared" si="172"/>
        <v>29.170800000000003</v>
      </c>
      <c r="W99" s="35">
        <f t="shared" si="172"/>
        <v>32.355000000000004</v>
      </c>
      <c r="X99" s="35">
        <f t="shared" si="172"/>
        <v>33.555600000000005</v>
      </c>
      <c r="Y99" s="35">
        <f t="shared" si="172"/>
        <v>33.6036</v>
      </c>
      <c r="Z99" s="35">
        <f t="shared" si="172"/>
        <v>30.061200000000003</v>
      </c>
      <c r="AA99" s="35">
        <f t="shared" si="172"/>
        <v>138.527682</v>
      </c>
      <c r="AB99" s="35">
        <f t="shared" si="172"/>
        <v>122.69053199999999</v>
      </c>
      <c r="AC99" s="35">
        <f t="shared" si="172"/>
        <v>121.39353000000001</v>
      </c>
      <c r="AD99" s="35">
        <f t="shared" si="172"/>
        <v>121.143522</v>
      </c>
      <c r="AE99" s="35">
        <f t="shared" si="172"/>
        <v>121.24694400000001</v>
      </c>
      <c r="AF99" s="35">
        <f t="shared" si="172"/>
        <v>120.87862800000001</v>
      </c>
      <c r="AG99" s="24"/>
    </row>
    <row r="100" spans="1:33" ht="15" customHeight="1" x14ac:dyDescent="0.25">
      <c r="A100" s="108"/>
      <c r="B100" s="53" t="s">
        <v>23</v>
      </c>
      <c r="C100" s="35">
        <f>_xlfn.STDEV.P(C94:C98)</f>
        <v>6.033241251599296E-3</v>
      </c>
      <c r="D100" s="35">
        <f t="shared" ref="D100:AF100" si="173">_xlfn.STDEV.P(D94:D98)</f>
        <v>8.0368152896529613E-2</v>
      </c>
      <c r="E100" s="77">
        <f t="shared" si="173"/>
        <v>3.6304269721342979E-2</v>
      </c>
      <c r="F100" s="70">
        <f t="shared" si="173"/>
        <v>0.25189235796268217</v>
      </c>
      <c r="G100" s="70">
        <f t="shared" si="173"/>
        <v>0.23243097900236986</v>
      </c>
      <c r="H100" s="70">
        <f t="shared" si="173"/>
        <v>1.3850468006533332</v>
      </c>
      <c r="I100" s="70">
        <f t="shared" si="173"/>
        <v>4.0000000000006255E-3</v>
      </c>
      <c r="J100" s="70">
        <f t="shared" si="173"/>
        <v>1.8547236990991357E-2</v>
      </c>
      <c r="K100" s="70">
        <f t="shared" si="173"/>
        <v>0.13511476603243641</v>
      </c>
      <c r="L100" s="70">
        <f t="shared" si="173"/>
        <v>0.12155657119218188</v>
      </c>
      <c r="M100" s="77">
        <f t="shared" si="173"/>
        <v>0.20751867385852299</v>
      </c>
      <c r="N100" s="70">
        <f t="shared" si="173"/>
        <v>0.69139279718550428</v>
      </c>
      <c r="O100" s="35">
        <f t="shared" si="173"/>
        <v>3.4542090616861289E-2</v>
      </c>
      <c r="P100" s="35">
        <f t="shared" si="173"/>
        <v>0.84355597423328033</v>
      </c>
      <c r="Q100" s="35">
        <f t="shared" si="173"/>
        <v>7.8343158139920046</v>
      </c>
      <c r="R100" s="35">
        <f t="shared" si="173"/>
        <v>7.4571572585104926</v>
      </c>
      <c r="S100" s="35">
        <f t="shared" si="173"/>
        <v>12.534971812141579</v>
      </c>
      <c r="T100" s="77">
        <f t="shared" si="173"/>
        <v>30.026639613081461</v>
      </c>
      <c r="U100" s="70">
        <f t="shared" si="173"/>
        <v>1.8099723754797771E-2</v>
      </c>
      <c r="V100" s="70">
        <f t="shared" si="173"/>
        <v>0.24110445868958819</v>
      </c>
      <c r="W100" s="70">
        <f t="shared" si="173"/>
        <v>0.10891280916402901</v>
      </c>
      <c r="X100" s="70">
        <f t="shared" si="173"/>
        <v>0.75567707388804783</v>
      </c>
      <c r="Y100" s="70">
        <f t="shared" si="173"/>
        <v>0.69729293700710981</v>
      </c>
      <c r="Z100" s="70">
        <f t="shared" si="173"/>
        <v>4.1551404019599465</v>
      </c>
      <c r="AA100" s="70">
        <f t="shared" si="173"/>
        <v>0.19665607139368699</v>
      </c>
      <c r="AB100" s="70">
        <f t="shared" si="173"/>
        <v>0.9321023128262157</v>
      </c>
      <c r="AC100" s="70">
        <f t="shared" si="173"/>
        <v>4.3308369894097858</v>
      </c>
      <c r="AD100" s="70">
        <f t="shared" si="173"/>
        <v>6.5017281602983124</v>
      </c>
      <c r="AE100" s="70">
        <f t="shared" si="173"/>
        <v>8.577212306740698</v>
      </c>
      <c r="AF100" s="70">
        <f t="shared" si="173"/>
        <v>1.9469679792066412</v>
      </c>
      <c r="AG100" s="24"/>
    </row>
    <row r="101" spans="1:33" ht="15" customHeight="1" x14ac:dyDescent="0.25">
      <c r="A101" s="107" t="s">
        <v>3</v>
      </c>
      <c r="B101" s="34">
        <v>1</v>
      </c>
      <c r="C101" s="63">
        <v>4.5439999999999996</v>
      </c>
      <c r="D101" s="58">
        <v>9.8670000000000009</v>
      </c>
      <c r="E101" s="58">
        <v>11.154999999999999</v>
      </c>
      <c r="F101" s="78">
        <v>10.484</v>
      </c>
      <c r="G101" s="78">
        <v>10.452</v>
      </c>
      <c r="H101" s="48">
        <v>5.5970000000000004</v>
      </c>
      <c r="I101" s="65">
        <v>3.18</v>
      </c>
      <c r="J101" s="78">
        <v>1.26</v>
      </c>
      <c r="K101" s="48">
        <v>1.1599999999999999</v>
      </c>
      <c r="L101" s="78">
        <v>1.19</v>
      </c>
      <c r="M101" s="58">
        <v>1.24</v>
      </c>
      <c r="N101" s="48">
        <v>2.31</v>
      </c>
      <c r="O101" s="136">
        <f t="shared" ref="O101:T101" si="174">$C$5*8/I101/1024</f>
        <v>251.57232704402514</v>
      </c>
      <c r="P101" s="137">
        <f t="shared" si="174"/>
        <v>634.92063492063494</v>
      </c>
      <c r="Q101" s="137">
        <f t="shared" si="174"/>
        <v>689.65517241379314</v>
      </c>
      <c r="R101" s="137">
        <f t="shared" si="174"/>
        <v>672.26890756302521</v>
      </c>
      <c r="S101" s="137">
        <f t="shared" si="174"/>
        <v>645.16129032258061</v>
      </c>
      <c r="T101" s="138">
        <f t="shared" si="174"/>
        <v>346.32034632034629</v>
      </c>
      <c r="U101" s="34">
        <f t="shared" ref="U101:Z101" si="175">$H$2*C101</f>
        <v>13.631999999999998</v>
      </c>
      <c r="V101" s="34">
        <f t="shared" si="175"/>
        <v>29.601000000000003</v>
      </c>
      <c r="W101" s="34">
        <f t="shared" si="175"/>
        <v>33.464999999999996</v>
      </c>
      <c r="X101" s="34">
        <f t="shared" si="175"/>
        <v>31.451999999999998</v>
      </c>
      <c r="Y101" s="34">
        <f t="shared" si="175"/>
        <v>31.356000000000002</v>
      </c>
      <c r="Z101" s="35">
        <f t="shared" si="175"/>
        <v>16.791</v>
      </c>
      <c r="AA101" s="34">
        <f t="shared" ref="AA101:AF101" si="176">U101*I101</f>
        <v>43.349759999999996</v>
      </c>
      <c r="AB101" s="34">
        <f t="shared" si="176"/>
        <v>37.297260000000001</v>
      </c>
      <c r="AC101" s="34">
        <f t="shared" si="176"/>
        <v>38.819399999999995</v>
      </c>
      <c r="AD101" s="34">
        <f t="shared" si="176"/>
        <v>37.427879999999995</v>
      </c>
      <c r="AE101" s="34">
        <f t="shared" si="176"/>
        <v>38.881440000000005</v>
      </c>
      <c r="AF101" s="35">
        <f t="shared" si="176"/>
        <v>38.787210000000002</v>
      </c>
      <c r="AG101" s="24"/>
    </row>
    <row r="102" spans="1:33" ht="15" customHeight="1" x14ac:dyDescent="0.25">
      <c r="A102" s="107"/>
      <c r="B102" s="34">
        <v>2</v>
      </c>
      <c r="C102" s="65">
        <v>4.5270000000000001</v>
      </c>
      <c r="D102" s="48">
        <v>9.7639999999999993</v>
      </c>
      <c r="E102" s="48">
        <v>11.675000000000001</v>
      </c>
      <c r="F102" s="48">
        <v>10.209</v>
      </c>
      <c r="G102" s="48">
        <v>10.433</v>
      </c>
      <c r="H102" s="48">
        <v>6.1589999999999998</v>
      </c>
      <c r="I102" s="65">
        <v>3.18</v>
      </c>
      <c r="J102" s="48">
        <v>1.32</v>
      </c>
      <c r="K102" s="48">
        <v>1.02</v>
      </c>
      <c r="L102" s="48">
        <v>1.25</v>
      </c>
      <c r="M102" s="48">
        <v>1.0900000000000001</v>
      </c>
      <c r="N102" s="48">
        <v>2.2200000000000002</v>
      </c>
      <c r="O102" s="139">
        <f t="shared" ref="O102:T102" si="177">$C$5*8/I102/1024</f>
        <v>251.57232704402514</v>
      </c>
      <c r="P102" s="140">
        <f t="shared" si="177"/>
        <v>606.06060606060601</v>
      </c>
      <c r="Q102" s="140">
        <f t="shared" si="177"/>
        <v>784.31372549019602</v>
      </c>
      <c r="R102" s="140">
        <f t="shared" si="177"/>
        <v>640</v>
      </c>
      <c r="S102" s="140">
        <f t="shared" si="177"/>
        <v>733.94495412844026</v>
      </c>
      <c r="T102" s="141">
        <f t="shared" si="177"/>
        <v>360.36036036036035</v>
      </c>
      <c r="U102" s="34">
        <f t="shared" ref="U102:Z102" si="178">$H$2*C102</f>
        <v>13.581</v>
      </c>
      <c r="V102" s="34">
        <f t="shared" si="178"/>
        <v>29.291999999999998</v>
      </c>
      <c r="W102" s="34">
        <f t="shared" si="178"/>
        <v>35.025000000000006</v>
      </c>
      <c r="X102" s="34">
        <f t="shared" si="178"/>
        <v>30.626999999999999</v>
      </c>
      <c r="Y102" s="34">
        <f t="shared" si="178"/>
        <v>31.298999999999999</v>
      </c>
      <c r="Z102" s="35">
        <f t="shared" si="178"/>
        <v>18.477</v>
      </c>
      <c r="AA102" s="34">
        <f t="shared" ref="AA102:AF102" si="179">U102*I102</f>
        <v>43.187580000000004</v>
      </c>
      <c r="AB102" s="34">
        <f t="shared" si="179"/>
        <v>38.665439999999997</v>
      </c>
      <c r="AC102" s="34">
        <f t="shared" si="179"/>
        <v>35.725500000000004</v>
      </c>
      <c r="AD102" s="34">
        <f t="shared" si="179"/>
        <v>38.283749999999998</v>
      </c>
      <c r="AE102" s="34">
        <f t="shared" si="179"/>
        <v>34.11591</v>
      </c>
      <c r="AF102" s="35">
        <f t="shared" si="179"/>
        <v>41.018940000000008</v>
      </c>
      <c r="AG102" s="24"/>
    </row>
    <row r="103" spans="1:33" ht="15" customHeight="1" x14ac:dyDescent="0.25">
      <c r="A103" s="107"/>
      <c r="B103" s="34">
        <v>3</v>
      </c>
      <c r="C103" s="65">
        <v>4.5529999999999999</v>
      </c>
      <c r="D103" s="48">
        <v>9.9580000000000002</v>
      </c>
      <c r="E103" s="48">
        <v>11.023999999999999</v>
      </c>
      <c r="F103" s="48">
        <v>10.973000000000001</v>
      </c>
      <c r="G103" s="48">
        <v>10.577</v>
      </c>
      <c r="H103" s="48">
        <v>6.5609999999999999</v>
      </c>
      <c r="I103" s="65">
        <v>3.19</v>
      </c>
      <c r="J103" s="48">
        <v>1.28</v>
      </c>
      <c r="K103" s="48">
        <v>1.17</v>
      </c>
      <c r="L103" s="48">
        <v>1.21</v>
      </c>
      <c r="M103" s="48">
        <v>1.1599999999999999</v>
      </c>
      <c r="N103" s="48">
        <v>1.99</v>
      </c>
      <c r="O103" s="139">
        <f t="shared" ref="O103:T103" si="180">$C$5*8/I103/1024</f>
        <v>250.78369905956114</v>
      </c>
      <c r="P103" s="140">
        <f t="shared" si="180"/>
        <v>625</v>
      </c>
      <c r="Q103" s="140">
        <f t="shared" si="180"/>
        <v>683.76068376068383</v>
      </c>
      <c r="R103" s="140">
        <f t="shared" si="180"/>
        <v>661.15702479338847</v>
      </c>
      <c r="S103" s="140">
        <f t="shared" si="180"/>
        <v>689.65517241379314</v>
      </c>
      <c r="T103" s="141">
        <f t="shared" si="180"/>
        <v>402.0100502512563</v>
      </c>
      <c r="U103" s="34">
        <f t="shared" ref="U103:Z103" si="181">$H$2*C103</f>
        <v>13.658999999999999</v>
      </c>
      <c r="V103" s="34">
        <f t="shared" si="181"/>
        <v>29.874000000000002</v>
      </c>
      <c r="W103" s="34">
        <f t="shared" si="181"/>
        <v>33.071999999999996</v>
      </c>
      <c r="X103" s="34">
        <f t="shared" si="181"/>
        <v>32.919000000000004</v>
      </c>
      <c r="Y103" s="34">
        <f t="shared" si="181"/>
        <v>31.731000000000002</v>
      </c>
      <c r="Z103" s="35">
        <f t="shared" si="181"/>
        <v>19.683</v>
      </c>
      <c r="AA103" s="34">
        <f t="shared" ref="AA103:AF103" si="182">U103*I103</f>
        <v>43.572209999999998</v>
      </c>
      <c r="AB103" s="34">
        <f t="shared" si="182"/>
        <v>38.238720000000001</v>
      </c>
      <c r="AC103" s="34">
        <f t="shared" si="182"/>
        <v>38.694239999999994</v>
      </c>
      <c r="AD103" s="34">
        <f t="shared" si="182"/>
        <v>39.831990000000005</v>
      </c>
      <c r="AE103" s="34">
        <f t="shared" si="182"/>
        <v>36.807960000000001</v>
      </c>
      <c r="AF103" s="35">
        <f t="shared" si="182"/>
        <v>39.169170000000001</v>
      </c>
      <c r="AG103" s="24"/>
    </row>
    <row r="104" spans="1:33" ht="15" customHeight="1" x14ac:dyDescent="0.25">
      <c r="A104" s="107"/>
      <c r="B104" s="34">
        <v>4</v>
      </c>
      <c r="C104" s="65">
        <v>4.5789999999999997</v>
      </c>
      <c r="D104" s="48">
        <v>9.6850000000000005</v>
      </c>
      <c r="E104" s="48">
        <v>10.984999999999999</v>
      </c>
      <c r="F104" s="48">
        <v>10.856</v>
      </c>
      <c r="G104" s="48">
        <v>10.459</v>
      </c>
      <c r="H104" s="48">
        <v>6.5780000000000003</v>
      </c>
      <c r="I104" s="65">
        <v>3.18</v>
      </c>
      <c r="J104" s="48">
        <v>1.23</v>
      </c>
      <c r="K104" s="48">
        <v>1.18</v>
      </c>
      <c r="L104" s="48">
        <v>1.1599999999999999</v>
      </c>
      <c r="M104" s="48">
        <v>1.26</v>
      </c>
      <c r="N104" s="48">
        <v>1.97</v>
      </c>
      <c r="O104" s="139">
        <f t="shared" ref="O104:T104" si="183">$C$5*8/I104/1024</f>
        <v>251.57232704402514</v>
      </c>
      <c r="P104" s="140">
        <f t="shared" si="183"/>
        <v>650.40650406504062</v>
      </c>
      <c r="Q104" s="140">
        <f t="shared" si="183"/>
        <v>677.96610169491532</v>
      </c>
      <c r="R104" s="140">
        <f t="shared" si="183"/>
        <v>689.65517241379314</v>
      </c>
      <c r="S104" s="140">
        <f t="shared" si="183"/>
        <v>634.92063492063494</v>
      </c>
      <c r="T104" s="141">
        <f t="shared" si="183"/>
        <v>406.09137055837562</v>
      </c>
      <c r="U104" s="34">
        <f t="shared" ref="U104:Z104" si="184">$H$2*C104</f>
        <v>13.736999999999998</v>
      </c>
      <c r="V104" s="34">
        <f t="shared" si="184"/>
        <v>29.055</v>
      </c>
      <c r="W104" s="34">
        <f t="shared" si="184"/>
        <v>32.954999999999998</v>
      </c>
      <c r="X104" s="34">
        <f t="shared" si="184"/>
        <v>32.567999999999998</v>
      </c>
      <c r="Y104" s="34">
        <f t="shared" si="184"/>
        <v>31.376999999999999</v>
      </c>
      <c r="Z104" s="35">
        <f t="shared" si="184"/>
        <v>19.734000000000002</v>
      </c>
      <c r="AA104" s="34">
        <f t="shared" ref="AA104:AF104" si="185">U104*I104</f>
        <v>43.683659999999996</v>
      </c>
      <c r="AB104" s="34">
        <f t="shared" si="185"/>
        <v>35.737650000000002</v>
      </c>
      <c r="AC104" s="34">
        <f t="shared" si="185"/>
        <v>38.886899999999997</v>
      </c>
      <c r="AD104" s="34">
        <f t="shared" si="185"/>
        <v>37.778879999999994</v>
      </c>
      <c r="AE104" s="34">
        <f t="shared" si="185"/>
        <v>39.535019999999996</v>
      </c>
      <c r="AF104" s="35">
        <f t="shared" si="185"/>
        <v>38.875980000000006</v>
      </c>
      <c r="AG104" s="24"/>
    </row>
    <row r="105" spans="1:33" ht="15" customHeight="1" x14ac:dyDescent="0.25">
      <c r="A105" s="107"/>
      <c r="B105" s="37">
        <v>5</v>
      </c>
      <c r="C105" s="66">
        <v>4.5309999999999997</v>
      </c>
      <c r="D105" s="67">
        <v>10.007999999999999</v>
      </c>
      <c r="E105" s="67">
        <v>11.121</v>
      </c>
      <c r="F105" s="67">
        <v>9.9689999999999994</v>
      </c>
      <c r="G105" s="67">
        <v>10.852</v>
      </c>
      <c r="H105" s="48">
        <v>7.6070000000000002</v>
      </c>
      <c r="I105" s="66">
        <v>3.2</v>
      </c>
      <c r="J105" s="67">
        <v>1.31</v>
      </c>
      <c r="K105" s="48">
        <v>1.1000000000000001</v>
      </c>
      <c r="L105" s="67">
        <v>1.21</v>
      </c>
      <c r="M105" s="67">
        <v>1.21</v>
      </c>
      <c r="N105" s="48">
        <v>1.68</v>
      </c>
      <c r="O105" s="142">
        <f t="shared" ref="O105:T105" si="186">$C$5*8/I105/1024</f>
        <v>250</v>
      </c>
      <c r="P105" s="143">
        <f t="shared" si="186"/>
        <v>610.68702290076328</v>
      </c>
      <c r="Q105" s="143">
        <f t="shared" si="186"/>
        <v>727.27272727272725</v>
      </c>
      <c r="R105" s="143">
        <f t="shared" si="186"/>
        <v>661.15702479338847</v>
      </c>
      <c r="S105" s="143">
        <f t="shared" si="186"/>
        <v>661.15702479338847</v>
      </c>
      <c r="T105" s="144">
        <f t="shared" si="186"/>
        <v>476.1904761904762</v>
      </c>
      <c r="U105" s="37">
        <f t="shared" ref="U105:Z105" si="187">$H$2*C105</f>
        <v>13.593</v>
      </c>
      <c r="V105" s="37">
        <f t="shared" si="187"/>
        <v>30.023999999999997</v>
      </c>
      <c r="W105" s="37">
        <f t="shared" si="187"/>
        <v>33.363</v>
      </c>
      <c r="X105" s="37">
        <f t="shared" si="187"/>
        <v>29.906999999999996</v>
      </c>
      <c r="Y105" s="37">
        <f t="shared" si="187"/>
        <v>32.555999999999997</v>
      </c>
      <c r="Z105" s="38">
        <f t="shared" si="187"/>
        <v>22.821000000000002</v>
      </c>
      <c r="AA105" s="37">
        <f t="shared" ref="AA105:AF105" si="188">U105*I105</f>
        <v>43.497600000000006</v>
      </c>
      <c r="AB105" s="37">
        <f t="shared" si="188"/>
        <v>39.331440000000001</v>
      </c>
      <c r="AC105" s="37">
        <f t="shared" si="188"/>
        <v>36.699300000000001</v>
      </c>
      <c r="AD105" s="37">
        <f t="shared" si="188"/>
        <v>36.187469999999998</v>
      </c>
      <c r="AE105" s="37">
        <f t="shared" si="188"/>
        <v>39.392759999999996</v>
      </c>
      <c r="AF105" s="38">
        <f t="shared" si="188"/>
        <v>38.339280000000002</v>
      </c>
      <c r="AG105" s="24"/>
    </row>
    <row r="106" spans="1:33" ht="15" customHeight="1" x14ac:dyDescent="0.25">
      <c r="A106" s="107"/>
      <c r="B106" s="42" t="s">
        <v>22</v>
      </c>
      <c r="C106" s="60">
        <f t="shared" ref="C106:AF106" si="189">AVERAGE(C101:C105)</f>
        <v>4.5467999999999993</v>
      </c>
      <c r="D106" s="60">
        <f t="shared" si="189"/>
        <v>9.8563999999999989</v>
      </c>
      <c r="E106" s="60">
        <f t="shared" si="189"/>
        <v>11.192</v>
      </c>
      <c r="F106" s="60">
        <f t="shared" si="189"/>
        <v>10.498200000000001</v>
      </c>
      <c r="G106" s="60">
        <f t="shared" si="189"/>
        <v>10.554599999999999</v>
      </c>
      <c r="H106" s="61">
        <f t="shared" si="189"/>
        <v>6.5004000000000008</v>
      </c>
      <c r="I106" s="61">
        <f t="shared" si="189"/>
        <v>3.1859999999999999</v>
      </c>
      <c r="J106" s="61">
        <f t="shared" si="189"/>
        <v>1.28</v>
      </c>
      <c r="K106" s="61">
        <f t="shared" si="189"/>
        <v>1.1259999999999999</v>
      </c>
      <c r="L106" s="61">
        <f t="shared" si="189"/>
        <v>1.204</v>
      </c>
      <c r="M106" s="61">
        <f t="shared" si="189"/>
        <v>1.1919999999999999</v>
      </c>
      <c r="N106" s="61">
        <f t="shared" si="189"/>
        <v>2.0339999999999998</v>
      </c>
      <c r="O106" s="38">
        <f t="shared" si="189"/>
        <v>251.10013603832732</v>
      </c>
      <c r="P106" s="38">
        <f t="shared" si="189"/>
        <v>625.41495358940892</v>
      </c>
      <c r="Q106" s="38">
        <f t="shared" si="189"/>
        <v>712.59368212646314</v>
      </c>
      <c r="R106" s="38">
        <f t="shared" si="189"/>
        <v>664.84762591271897</v>
      </c>
      <c r="S106" s="38">
        <f t="shared" si="189"/>
        <v>672.96781531576744</v>
      </c>
      <c r="T106" s="38">
        <f t="shared" si="189"/>
        <v>398.19452073616293</v>
      </c>
      <c r="U106" s="38">
        <f t="shared" si="189"/>
        <v>13.6404</v>
      </c>
      <c r="V106" s="38">
        <f t="shared" si="189"/>
        <v>29.569200000000002</v>
      </c>
      <c r="W106" s="38">
        <f t="shared" si="189"/>
        <v>33.576000000000001</v>
      </c>
      <c r="X106" s="38">
        <f t="shared" si="189"/>
        <v>31.494599999999998</v>
      </c>
      <c r="Y106" s="38">
        <f t="shared" si="189"/>
        <v>31.663799999999998</v>
      </c>
      <c r="Z106" s="38">
        <f t="shared" si="189"/>
        <v>19.501200000000001</v>
      </c>
      <c r="AA106" s="38">
        <f t="shared" si="189"/>
        <v>43.458162000000002</v>
      </c>
      <c r="AB106" s="38">
        <f t="shared" si="189"/>
        <v>37.854101999999997</v>
      </c>
      <c r="AC106" s="38">
        <f t="shared" si="189"/>
        <v>37.765067999999999</v>
      </c>
      <c r="AD106" s="38">
        <f t="shared" si="189"/>
        <v>37.901993999999995</v>
      </c>
      <c r="AE106" s="38">
        <f t="shared" si="189"/>
        <v>37.746617999999998</v>
      </c>
      <c r="AF106" s="38">
        <f t="shared" si="189"/>
        <v>39.238116000000005</v>
      </c>
      <c r="AG106" s="24"/>
    </row>
    <row r="107" spans="1:33" ht="15" customHeight="1" x14ac:dyDescent="0.25">
      <c r="A107" s="108"/>
      <c r="B107" s="42" t="s">
        <v>23</v>
      </c>
      <c r="C107" s="61">
        <f>_xlfn.STDEV.P(C101:C105)</f>
        <v>1.8573098825990179E-2</v>
      </c>
      <c r="D107" s="61">
        <f t="shared" ref="D107:AF107" si="190">_xlfn.STDEV.P(D101:D105)</f>
        <v>0.11944304081862596</v>
      </c>
      <c r="E107" s="61">
        <f t="shared" si="190"/>
        <v>0.24930784183414736</v>
      </c>
      <c r="F107" s="61">
        <f t="shared" si="190"/>
        <v>0.37877349432081475</v>
      </c>
      <c r="G107" s="61">
        <f t="shared" si="190"/>
        <v>0.15709945894241667</v>
      </c>
      <c r="H107" s="61">
        <f t="shared" si="190"/>
        <v>0.65832259569301865</v>
      </c>
      <c r="I107" s="61">
        <f t="shared" si="190"/>
        <v>7.9999999999999846E-3</v>
      </c>
      <c r="J107" s="61">
        <f t="shared" si="190"/>
        <v>3.2863353450309996E-2</v>
      </c>
      <c r="K107" s="61">
        <f t="shared" si="190"/>
        <v>5.9866518188383018E-2</v>
      </c>
      <c r="L107" s="61">
        <f t="shared" si="190"/>
        <v>2.9393876913398165E-2</v>
      </c>
      <c r="M107" s="61">
        <f t="shared" si="190"/>
        <v>6.1122827159744486E-2</v>
      </c>
      <c r="N107" s="61">
        <f t="shared" si="190"/>
        <v>0.22005453869438818</v>
      </c>
      <c r="O107" s="61">
        <f t="shared" si="190"/>
        <v>0.62917798784492818</v>
      </c>
      <c r="P107" s="61">
        <f t="shared" si="190"/>
        <v>16.165459906006131</v>
      </c>
      <c r="Q107" s="61">
        <f t="shared" si="190"/>
        <v>39.789006862811711</v>
      </c>
      <c r="R107" s="61">
        <f t="shared" si="190"/>
        <v>16.218109455041667</v>
      </c>
      <c r="S107" s="61">
        <f t="shared" si="190"/>
        <v>35.656597946739097</v>
      </c>
      <c r="T107" s="61">
        <f t="shared" si="190"/>
        <v>45.348960809462682</v>
      </c>
      <c r="U107" s="61">
        <f t="shared" si="190"/>
        <v>5.5719296477970234E-2</v>
      </c>
      <c r="V107" s="61">
        <f t="shared" si="190"/>
        <v>0.35832912245587872</v>
      </c>
      <c r="W107" s="61">
        <f t="shared" si="190"/>
        <v>0.7479235255024439</v>
      </c>
      <c r="X107" s="61">
        <f t="shared" si="190"/>
        <v>1.1363204829624449</v>
      </c>
      <c r="Y107" s="61">
        <f t="shared" si="190"/>
        <v>0.47129837682724846</v>
      </c>
      <c r="Z107" s="61">
        <f t="shared" si="190"/>
        <v>1.9749677870790701</v>
      </c>
      <c r="AA107" s="61">
        <f t="shared" si="190"/>
        <v>0.17342275656902523</v>
      </c>
      <c r="AB107" s="61">
        <f t="shared" si="190"/>
        <v>1.2472505765627038</v>
      </c>
      <c r="AC107" s="61">
        <f t="shared" si="190"/>
        <v>1.3060767714403281</v>
      </c>
      <c r="AD107" s="61">
        <f t="shared" si="190"/>
        <v>1.1874473371160534</v>
      </c>
      <c r="AE107" s="61">
        <f t="shared" si="190"/>
        <v>2.0619944515774034</v>
      </c>
      <c r="AF107" s="61">
        <f t="shared" si="190"/>
        <v>0.92934950671101313</v>
      </c>
      <c r="AG107" s="24"/>
    </row>
    <row r="108" spans="1:33" ht="15" customHeight="1" x14ac:dyDescent="0.25">
      <c r="A108" s="107" t="s">
        <v>4</v>
      </c>
      <c r="B108" s="35">
        <v>1</v>
      </c>
      <c r="C108" s="63">
        <v>9.59</v>
      </c>
      <c r="D108" s="58">
        <v>11.61</v>
      </c>
      <c r="E108" s="58">
        <v>10.922000000000001</v>
      </c>
      <c r="F108" s="58">
        <v>12.329000000000001</v>
      </c>
      <c r="G108" s="58">
        <v>8.979000000000001</v>
      </c>
      <c r="H108" s="64">
        <v>7.6520000000000001</v>
      </c>
      <c r="I108" s="63">
        <v>0.79</v>
      </c>
      <c r="J108" s="58">
        <v>0.63</v>
      </c>
      <c r="K108" s="58">
        <v>0.66</v>
      </c>
      <c r="L108" s="58">
        <v>0.6</v>
      </c>
      <c r="M108" s="58">
        <v>0.82</v>
      </c>
      <c r="N108" s="64">
        <v>0.98899999999999999</v>
      </c>
      <c r="O108" s="136">
        <f t="shared" ref="O108:T108" si="191">$D$5*8/I108/1024</f>
        <v>1012.6582278481012</v>
      </c>
      <c r="P108" s="137">
        <f t="shared" si="191"/>
        <v>1269.8412698412699</v>
      </c>
      <c r="Q108" s="137">
        <f t="shared" si="191"/>
        <v>1212.121212121212</v>
      </c>
      <c r="R108" s="137">
        <f t="shared" si="191"/>
        <v>1333.3333333333335</v>
      </c>
      <c r="S108" s="137">
        <f t="shared" si="191"/>
        <v>975.60975609756099</v>
      </c>
      <c r="T108" s="138">
        <f t="shared" si="191"/>
        <v>808.8978766430738</v>
      </c>
      <c r="U108" s="34">
        <f t="shared" ref="U108:Z108" si="192">$H$2*C108</f>
        <v>28.77</v>
      </c>
      <c r="V108" s="34">
        <f t="shared" si="192"/>
        <v>34.83</v>
      </c>
      <c r="W108" s="34">
        <f t="shared" si="192"/>
        <v>32.766000000000005</v>
      </c>
      <c r="X108" s="34">
        <f t="shared" si="192"/>
        <v>36.987000000000002</v>
      </c>
      <c r="Y108" s="34">
        <f t="shared" si="192"/>
        <v>26.937000000000005</v>
      </c>
      <c r="Z108" s="34">
        <f t="shared" si="192"/>
        <v>22.956</v>
      </c>
      <c r="AA108" s="28">
        <f t="shared" ref="AA108:AF108" si="193">U108*I108</f>
        <v>22.728300000000001</v>
      </c>
      <c r="AB108" s="29">
        <f t="shared" si="193"/>
        <v>21.942899999999998</v>
      </c>
      <c r="AC108" s="29">
        <f t="shared" si="193"/>
        <v>21.625560000000004</v>
      </c>
      <c r="AD108" s="29">
        <f t="shared" si="193"/>
        <v>22.1922</v>
      </c>
      <c r="AE108" s="29">
        <f t="shared" si="193"/>
        <v>22.088340000000002</v>
      </c>
      <c r="AF108" s="30">
        <f t="shared" si="193"/>
        <v>22.703484</v>
      </c>
      <c r="AG108" s="24"/>
    </row>
    <row r="109" spans="1:33" ht="15" customHeight="1" x14ac:dyDescent="0.25">
      <c r="A109" s="107"/>
      <c r="B109" s="35">
        <v>2</v>
      </c>
      <c r="C109" s="65">
        <v>9.6319999999999997</v>
      </c>
      <c r="D109" s="48">
        <v>11.4</v>
      </c>
      <c r="E109" s="48">
        <v>10.932</v>
      </c>
      <c r="F109" s="48">
        <v>12.311999999999999</v>
      </c>
      <c r="G109" s="48">
        <v>9.3480000000000008</v>
      </c>
      <c r="H109" s="62">
        <v>6.4340000000000002</v>
      </c>
      <c r="I109" s="65">
        <v>0.79</v>
      </c>
      <c r="J109" s="48">
        <v>0.6</v>
      </c>
      <c r="K109" s="48">
        <v>0.65</v>
      </c>
      <c r="L109" s="48">
        <v>0.6</v>
      </c>
      <c r="M109" s="48">
        <v>0.79</v>
      </c>
      <c r="N109" s="62">
        <v>1.07</v>
      </c>
      <c r="O109" s="139">
        <f t="shared" ref="O109:T109" si="194">$D$5*8/I109/1024</f>
        <v>1012.6582278481012</v>
      </c>
      <c r="P109" s="140">
        <f t="shared" si="194"/>
        <v>1333.3333333333335</v>
      </c>
      <c r="Q109" s="140">
        <f t="shared" si="194"/>
        <v>1230.7692307692307</v>
      </c>
      <c r="R109" s="140">
        <f t="shared" si="194"/>
        <v>1333.3333333333335</v>
      </c>
      <c r="S109" s="140">
        <f t="shared" si="194"/>
        <v>1012.6582278481012</v>
      </c>
      <c r="T109" s="141">
        <f t="shared" si="194"/>
        <v>747.66355140186909</v>
      </c>
      <c r="U109" s="34">
        <f t="shared" ref="U109:Z109" si="195">$H$2*C109</f>
        <v>28.896000000000001</v>
      </c>
      <c r="V109" s="34">
        <f t="shared" si="195"/>
        <v>34.200000000000003</v>
      </c>
      <c r="W109" s="34">
        <f t="shared" si="195"/>
        <v>32.795999999999999</v>
      </c>
      <c r="X109" s="34">
        <f t="shared" si="195"/>
        <v>36.936</v>
      </c>
      <c r="Y109" s="34">
        <f t="shared" si="195"/>
        <v>28.044000000000004</v>
      </c>
      <c r="Z109" s="34">
        <f t="shared" si="195"/>
        <v>19.302</v>
      </c>
      <c r="AA109" s="33">
        <f t="shared" ref="AA109:AF109" si="196">U109*I109</f>
        <v>22.827840000000002</v>
      </c>
      <c r="AB109" s="34">
        <f t="shared" si="196"/>
        <v>20.52</v>
      </c>
      <c r="AC109" s="34">
        <f t="shared" si="196"/>
        <v>21.317399999999999</v>
      </c>
      <c r="AD109" s="34">
        <f t="shared" si="196"/>
        <v>22.1616</v>
      </c>
      <c r="AE109" s="34">
        <f t="shared" si="196"/>
        <v>22.154760000000003</v>
      </c>
      <c r="AF109" s="35">
        <f t="shared" si="196"/>
        <v>20.65314</v>
      </c>
      <c r="AG109" s="24"/>
    </row>
    <row r="110" spans="1:33" ht="15" customHeight="1" x14ac:dyDescent="0.25">
      <c r="A110" s="107"/>
      <c r="B110" s="35">
        <v>3</v>
      </c>
      <c r="C110" s="65">
        <v>9.593</v>
      </c>
      <c r="D110" s="48">
        <v>11.481999999999999</v>
      </c>
      <c r="E110" s="48">
        <v>10.923999999999999</v>
      </c>
      <c r="F110" s="48">
        <v>11.315</v>
      </c>
      <c r="G110" s="48">
        <v>9.016</v>
      </c>
      <c r="H110" s="62">
        <v>7.4710000000000001</v>
      </c>
      <c r="I110" s="65">
        <v>0.78</v>
      </c>
      <c r="J110" s="48">
        <v>0.65</v>
      </c>
      <c r="K110" s="48">
        <v>0.75</v>
      </c>
      <c r="L110" s="48">
        <v>0.65</v>
      </c>
      <c r="M110" s="48">
        <v>0.85</v>
      </c>
      <c r="N110" s="62">
        <v>1.03</v>
      </c>
      <c r="O110" s="139">
        <f t="shared" ref="O110:T110" si="197">$D$5*8/I110/1024</f>
        <v>1025.6410256410256</v>
      </c>
      <c r="P110" s="140">
        <f t="shared" si="197"/>
        <v>1230.7692307692307</v>
      </c>
      <c r="Q110" s="140">
        <f t="shared" si="197"/>
        <v>1066.6666666666667</v>
      </c>
      <c r="R110" s="140">
        <f t="shared" si="197"/>
        <v>1230.7692307692307</v>
      </c>
      <c r="S110" s="140">
        <f t="shared" si="197"/>
        <v>941.17647058823536</v>
      </c>
      <c r="T110" s="141">
        <f t="shared" si="197"/>
        <v>776.69902912621353</v>
      </c>
      <c r="U110" s="34">
        <f t="shared" ref="U110:Z110" si="198">$H$2*C110</f>
        <v>28.779</v>
      </c>
      <c r="V110" s="34">
        <f t="shared" si="198"/>
        <v>34.445999999999998</v>
      </c>
      <c r="W110" s="34">
        <f t="shared" si="198"/>
        <v>32.771999999999998</v>
      </c>
      <c r="X110" s="34">
        <f t="shared" si="198"/>
        <v>33.945</v>
      </c>
      <c r="Y110" s="34">
        <f t="shared" si="198"/>
        <v>27.048000000000002</v>
      </c>
      <c r="Z110" s="34">
        <f t="shared" si="198"/>
        <v>22.413</v>
      </c>
      <c r="AA110" s="33">
        <f t="shared" ref="AA110:AF110" si="199">U110*I110</f>
        <v>22.447620000000001</v>
      </c>
      <c r="AB110" s="34">
        <f t="shared" si="199"/>
        <v>22.389900000000001</v>
      </c>
      <c r="AC110" s="34">
        <f t="shared" si="199"/>
        <v>24.579000000000001</v>
      </c>
      <c r="AD110" s="34">
        <f t="shared" si="199"/>
        <v>22.064250000000001</v>
      </c>
      <c r="AE110" s="34">
        <f t="shared" si="199"/>
        <v>22.9908</v>
      </c>
      <c r="AF110" s="35">
        <f t="shared" si="199"/>
        <v>23.08539</v>
      </c>
      <c r="AG110" s="24"/>
    </row>
    <row r="111" spans="1:33" ht="15" customHeight="1" x14ac:dyDescent="0.25">
      <c r="A111" s="107"/>
      <c r="B111" s="35">
        <v>4</v>
      </c>
      <c r="C111" s="65">
        <v>9.5630000000000006</v>
      </c>
      <c r="D111" s="48">
        <v>11.510999999999999</v>
      </c>
      <c r="E111" s="48">
        <v>10.891</v>
      </c>
      <c r="F111" s="48">
        <v>12.481999999999999</v>
      </c>
      <c r="G111" s="48">
        <v>9.8879999999999999</v>
      </c>
      <c r="H111" s="62">
        <v>6.766</v>
      </c>
      <c r="I111" s="65">
        <v>0.78</v>
      </c>
      <c r="J111" s="48">
        <v>0.63</v>
      </c>
      <c r="K111" s="48">
        <v>0.72</v>
      </c>
      <c r="L111" s="48">
        <v>0.63</v>
      </c>
      <c r="M111" s="48">
        <v>0.83</v>
      </c>
      <c r="N111" s="62">
        <v>1.1399999999999999</v>
      </c>
      <c r="O111" s="139">
        <f t="shared" ref="O111:T111" si="200">$D$5*8/I111/1024</f>
        <v>1025.6410256410256</v>
      </c>
      <c r="P111" s="140">
        <f t="shared" si="200"/>
        <v>1269.8412698412699</v>
      </c>
      <c r="Q111" s="140">
        <f t="shared" si="200"/>
        <v>1111.1111111111111</v>
      </c>
      <c r="R111" s="140">
        <f t="shared" si="200"/>
        <v>1269.8412698412699</v>
      </c>
      <c r="S111" s="140">
        <f t="shared" si="200"/>
        <v>963.85542168674704</v>
      </c>
      <c r="T111" s="141">
        <f t="shared" si="200"/>
        <v>701.75438596491233</v>
      </c>
      <c r="U111" s="34">
        <f t="shared" ref="U111:Z111" si="201">$H$2*C111</f>
        <v>28.689</v>
      </c>
      <c r="V111" s="34">
        <f t="shared" si="201"/>
        <v>34.533000000000001</v>
      </c>
      <c r="W111" s="34">
        <f t="shared" si="201"/>
        <v>32.673000000000002</v>
      </c>
      <c r="X111" s="34">
        <f t="shared" si="201"/>
        <v>37.445999999999998</v>
      </c>
      <c r="Y111" s="34">
        <f t="shared" si="201"/>
        <v>29.664000000000001</v>
      </c>
      <c r="Z111" s="34">
        <f t="shared" si="201"/>
        <v>20.298000000000002</v>
      </c>
      <c r="AA111" s="33">
        <f t="shared" ref="AA111:AF111" si="202">U111*I111</f>
        <v>22.377420000000001</v>
      </c>
      <c r="AB111" s="34">
        <f t="shared" si="202"/>
        <v>21.755790000000001</v>
      </c>
      <c r="AC111" s="34">
        <f t="shared" si="202"/>
        <v>23.524560000000001</v>
      </c>
      <c r="AD111" s="34">
        <f t="shared" si="202"/>
        <v>23.590979999999998</v>
      </c>
      <c r="AE111" s="34">
        <f t="shared" si="202"/>
        <v>24.621120000000001</v>
      </c>
      <c r="AF111" s="35">
        <f t="shared" si="202"/>
        <v>23.139720000000001</v>
      </c>
      <c r="AG111" s="24"/>
    </row>
    <row r="112" spans="1:33" ht="15" customHeight="1" x14ac:dyDescent="0.25">
      <c r="A112" s="107"/>
      <c r="B112" s="38">
        <v>5</v>
      </c>
      <c r="C112" s="66">
        <v>9.5410000000000004</v>
      </c>
      <c r="D112" s="67">
        <v>12.093</v>
      </c>
      <c r="E112" s="67">
        <v>10.89</v>
      </c>
      <c r="F112" s="67">
        <v>12.972</v>
      </c>
      <c r="G112" s="67">
        <v>9.8050000000000015</v>
      </c>
      <c r="H112" s="62">
        <v>9.7070000000000007</v>
      </c>
      <c r="I112" s="66">
        <v>0.78</v>
      </c>
      <c r="J112" s="67">
        <v>0.66</v>
      </c>
      <c r="K112" s="67">
        <v>0.61</v>
      </c>
      <c r="L112" s="67">
        <v>0.59</v>
      </c>
      <c r="M112" s="67">
        <v>0.72</v>
      </c>
      <c r="N112" s="68">
        <v>0.82</v>
      </c>
      <c r="O112" s="142">
        <f t="shared" ref="O112:T112" si="203">$D$5*8/I112/1024</f>
        <v>1025.6410256410256</v>
      </c>
      <c r="P112" s="143">
        <f t="shared" si="203"/>
        <v>1212.121212121212</v>
      </c>
      <c r="Q112" s="143">
        <f t="shared" si="203"/>
        <v>1311.4754098360656</v>
      </c>
      <c r="R112" s="143">
        <f t="shared" si="203"/>
        <v>1355.9322033898306</v>
      </c>
      <c r="S112" s="143">
        <f t="shared" si="203"/>
        <v>1111.1111111111111</v>
      </c>
      <c r="T112" s="144">
        <f t="shared" si="203"/>
        <v>975.60975609756099</v>
      </c>
      <c r="U112" s="37">
        <f t="shared" ref="U112:Z112" si="204">$H$2*C112</f>
        <v>28.623000000000001</v>
      </c>
      <c r="V112" s="37">
        <f t="shared" si="204"/>
        <v>36.278999999999996</v>
      </c>
      <c r="W112" s="37">
        <f t="shared" si="204"/>
        <v>32.67</v>
      </c>
      <c r="X112" s="37">
        <f t="shared" si="204"/>
        <v>38.915999999999997</v>
      </c>
      <c r="Y112" s="37">
        <f t="shared" si="204"/>
        <v>29.415000000000006</v>
      </c>
      <c r="Z112" s="37">
        <f t="shared" si="204"/>
        <v>29.121000000000002</v>
      </c>
      <c r="AA112" s="36">
        <f t="shared" ref="AA112:AF112" si="205">U112*I112</f>
        <v>22.325940000000003</v>
      </c>
      <c r="AB112" s="37">
        <f t="shared" si="205"/>
        <v>23.944139999999997</v>
      </c>
      <c r="AC112" s="37">
        <f t="shared" si="205"/>
        <v>19.928699999999999</v>
      </c>
      <c r="AD112" s="37">
        <f t="shared" si="205"/>
        <v>22.960439999999998</v>
      </c>
      <c r="AE112" s="37">
        <f t="shared" si="205"/>
        <v>21.178800000000003</v>
      </c>
      <c r="AF112" s="38">
        <f t="shared" si="205"/>
        <v>23.87922</v>
      </c>
      <c r="AG112" s="24"/>
    </row>
    <row r="113" spans="1:33" ht="15" customHeight="1" x14ac:dyDescent="0.25">
      <c r="A113" s="107"/>
      <c r="B113" s="53" t="s">
        <v>22</v>
      </c>
      <c r="C113" s="61">
        <f t="shared" ref="C113:AF113" si="206">AVERAGE(C108:C112)</f>
        <v>9.5838000000000001</v>
      </c>
      <c r="D113" s="61">
        <f t="shared" si="206"/>
        <v>11.619200000000001</v>
      </c>
      <c r="E113" s="61">
        <f t="shared" si="206"/>
        <v>10.911799999999999</v>
      </c>
      <c r="F113" s="61">
        <f t="shared" si="206"/>
        <v>12.282</v>
      </c>
      <c r="G113" s="61">
        <f t="shared" si="206"/>
        <v>9.4071999999999996</v>
      </c>
      <c r="H113" s="61">
        <f t="shared" si="206"/>
        <v>7.6059999999999999</v>
      </c>
      <c r="I113" s="61">
        <f t="shared" si="206"/>
        <v>0.78400000000000014</v>
      </c>
      <c r="J113" s="61">
        <f t="shared" si="206"/>
        <v>0.63400000000000001</v>
      </c>
      <c r="K113" s="61">
        <f t="shared" si="206"/>
        <v>0.67800000000000005</v>
      </c>
      <c r="L113" s="61">
        <f t="shared" si="206"/>
        <v>0.61399999999999999</v>
      </c>
      <c r="M113" s="61">
        <f t="shared" si="206"/>
        <v>0.80199999999999994</v>
      </c>
      <c r="N113" s="61">
        <f t="shared" si="206"/>
        <v>1.0098</v>
      </c>
      <c r="O113" s="60">
        <f t="shared" si="206"/>
        <v>1020.4479065238559</v>
      </c>
      <c r="P113" s="60">
        <f t="shared" si="206"/>
        <v>1263.1812631812631</v>
      </c>
      <c r="Q113" s="60">
        <f t="shared" si="206"/>
        <v>1186.4287261008571</v>
      </c>
      <c r="R113" s="60">
        <f t="shared" si="206"/>
        <v>1304.6418741333996</v>
      </c>
      <c r="S113" s="60">
        <f t="shared" si="206"/>
        <v>1000.8821974663512</v>
      </c>
      <c r="T113" s="60">
        <f t="shared" si="206"/>
        <v>802.1249198467259</v>
      </c>
      <c r="U113" s="38">
        <f t="shared" si="206"/>
        <v>28.751399999999997</v>
      </c>
      <c r="V113" s="38">
        <f t="shared" si="206"/>
        <v>34.857600000000005</v>
      </c>
      <c r="W113" s="38">
        <f t="shared" si="206"/>
        <v>32.735400000000006</v>
      </c>
      <c r="X113" s="38">
        <f t="shared" si="206"/>
        <v>36.845999999999997</v>
      </c>
      <c r="Y113" s="38">
        <f t="shared" si="206"/>
        <v>28.221600000000002</v>
      </c>
      <c r="Z113" s="38">
        <f t="shared" si="206"/>
        <v>22.818000000000001</v>
      </c>
      <c r="AA113" s="38">
        <f t="shared" si="206"/>
        <v>22.541423999999999</v>
      </c>
      <c r="AB113" s="38">
        <f t="shared" si="206"/>
        <v>22.110545999999999</v>
      </c>
      <c r="AC113" s="38">
        <f t="shared" si="206"/>
        <v>22.195044000000003</v>
      </c>
      <c r="AD113" s="38">
        <f t="shared" si="206"/>
        <v>22.593893999999999</v>
      </c>
      <c r="AE113" s="38">
        <f t="shared" si="206"/>
        <v>22.606764000000005</v>
      </c>
      <c r="AF113" s="38">
        <f t="shared" si="206"/>
        <v>22.692190799999999</v>
      </c>
      <c r="AG113" s="24"/>
    </row>
    <row r="114" spans="1:33" ht="15" customHeight="1" x14ac:dyDescent="0.25">
      <c r="A114" s="108"/>
      <c r="B114" s="53" t="s">
        <v>23</v>
      </c>
      <c r="C114" s="61">
        <f>_xlfn.STDEV.P(C108:C112)</f>
        <v>3.069462493662338E-2</v>
      </c>
      <c r="D114" s="61">
        <f t="shared" ref="D114:AF114" si="207">_xlfn.STDEV.P(D108:D112)</f>
        <v>0.24623192319437387</v>
      </c>
      <c r="E114" s="61">
        <f t="shared" si="207"/>
        <v>1.7713271860387566E-2</v>
      </c>
      <c r="F114" s="61">
        <f t="shared" si="207"/>
        <v>0.53931400871848301</v>
      </c>
      <c r="G114" s="61">
        <f t="shared" si="207"/>
        <v>0.38191904901431667</v>
      </c>
      <c r="H114" s="61">
        <f t="shared" si="207"/>
        <v>1.1413786400664765</v>
      </c>
      <c r="I114" s="61">
        <f t="shared" si="207"/>
        <v>4.8989794855663609E-3</v>
      </c>
      <c r="J114" s="61">
        <f t="shared" si="207"/>
        <v>2.0591260281974021E-2</v>
      </c>
      <c r="K114" s="61">
        <f t="shared" si="207"/>
        <v>5.0358713248056686E-2</v>
      </c>
      <c r="L114" s="61">
        <f t="shared" si="207"/>
        <v>2.2449944320643667E-2</v>
      </c>
      <c r="M114" s="61">
        <f t="shared" si="207"/>
        <v>4.5343136195018535E-2</v>
      </c>
      <c r="N114" s="61">
        <f t="shared" si="207"/>
        <v>0.10718283444656464</v>
      </c>
      <c r="O114" s="61">
        <f t="shared" si="207"/>
        <v>6.3602460052792953</v>
      </c>
      <c r="P114" s="61">
        <f t="shared" si="207"/>
        <v>41.635785049347476</v>
      </c>
      <c r="Q114" s="61">
        <f t="shared" si="207"/>
        <v>87.496915731913219</v>
      </c>
      <c r="R114" s="61">
        <f t="shared" si="207"/>
        <v>46.787491990879637</v>
      </c>
      <c r="S114" s="61">
        <f t="shared" si="207"/>
        <v>59.772134869472438</v>
      </c>
      <c r="T114" s="61">
        <f t="shared" si="207"/>
        <v>93.626515471081333</v>
      </c>
      <c r="U114" s="61">
        <f t="shared" si="207"/>
        <v>9.208387480987093E-2</v>
      </c>
      <c r="V114" s="61">
        <f t="shared" si="207"/>
        <v>0.73869576958311967</v>
      </c>
      <c r="W114" s="61">
        <f t="shared" si="207"/>
        <v>5.3139815581162285E-2</v>
      </c>
      <c r="X114" s="61">
        <f t="shared" si="207"/>
        <v>1.6179420261554482</v>
      </c>
      <c r="Y114" s="61">
        <f t="shared" si="207"/>
        <v>1.14575714704295</v>
      </c>
      <c r="Z114" s="61">
        <f t="shared" si="207"/>
        <v>3.424135920199439</v>
      </c>
      <c r="AA114" s="61">
        <f t="shared" si="207"/>
        <v>0.19954278795285982</v>
      </c>
      <c r="AB114" s="61">
        <f t="shared" si="207"/>
        <v>1.1066977178181938</v>
      </c>
      <c r="AC114" s="61">
        <f t="shared" si="207"/>
        <v>1.6541913521427929</v>
      </c>
      <c r="AD114" s="61">
        <f t="shared" si="207"/>
        <v>0.59283984351930907</v>
      </c>
      <c r="AE114" s="61">
        <f t="shared" si="207"/>
        <v>1.1590742848601199</v>
      </c>
      <c r="AF114" s="61">
        <f t="shared" si="207"/>
        <v>1.0882813991549061</v>
      </c>
      <c r="AG114" s="24"/>
    </row>
    <row r="115" spans="1:33" ht="1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ht="1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ht="1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ht="1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ht="1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ht="1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ht="1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ht="1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ht="1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ht="1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ht="1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ht="1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ht="1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ht="1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ht="1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ht="1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ht="1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ht="1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ht="1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ht="1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ht="1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ht="15.75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ht="15.75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ht="15.75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ht="15.75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ht="15.75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ht="15.75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ht="15.75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ht="15.75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ht="15.75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ht="15.7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ht="15.7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ht="15.7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ht="15.7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ht="15.7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ht="15.7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ht="15.7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ht="15.7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ht="15.7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ht="15.7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ht="15.7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ht="15.7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ht="15.7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ht="15.7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ht="15.7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ht="15.7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ht="15.7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ht="15.7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ht="15.7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ht="15.7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ht="15.7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ht="15.7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ht="15.7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ht="15.7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ht="15.7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ht="15.7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ht="15.7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ht="15.7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ht="15.7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ht="15.7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ht="15.7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ht="15.7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ht="15.7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ht="15.7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ht="15.7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ht="15.7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ht="15.7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ht="15.7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1:33" ht="15.7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ht="15.7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ht="15.7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ht="15.7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ht="15.7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ht="15.7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ht="15.7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1:33" ht="15.7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1:33" ht="15.7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spans="1:33" ht="15.7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spans="1:33" ht="15.7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spans="1:33" ht="15.7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spans="1:33" ht="15.7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spans="1:33" ht="15.7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spans="1:33" ht="15.7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spans="1:33" ht="15.7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spans="1:33" ht="15.7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spans="1:33" ht="15.7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spans="1:33" ht="15.7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spans="1:33" ht="15.7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spans="1:33" ht="15.7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spans="1:33" ht="15.7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spans="1:33" ht="15.7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spans="1:33" ht="15.7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spans="1:33" ht="15.7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spans="1:33" ht="15.7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spans="1:33" ht="15.7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spans="1:33" ht="15.7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spans="1:33" ht="15.7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spans="1:33" ht="15.7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spans="1:33" ht="15.7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spans="1:33" ht="15.7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spans="1:33" ht="15.7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spans="1:33" ht="15.7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spans="1:33" ht="15.7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spans="1:33" ht="15.7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spans="1:33" ht="15.7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spans="1:33" ht="15.7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spans="1:33" ht="15.7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spans="1:33" ht="15.7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spans="1:33" ht="15.7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spans="1:33" ht="15.7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spans="1:33" ht="15.7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spans="1:33" ht="15.7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spans="1:33" ht="15.7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spans="1:33" ht="15.7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spans="1:33" ht="15.7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spans="1:33" ht="15.7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spans="1:33" ht="15.7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spans="1:33" ht="15.7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spans="1:33" ht="15.7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spans="1:33" ht="15.7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spans="1:33" ht="15.7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spans="1:33" ht="15.7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spans="1:33" ht="15.7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spans="1:33" ht="15.7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spans="1:33" ht="15.7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spans="1:33" ht="15.7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spans="1:33" ht="15.7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spans="1:33" ht="15.7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spans="1:33" ht="15.7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spans="1:33" ht="15.7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spans="1:33" ht="15.7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spans="1:33" ht="15.7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spans="1:33" ht="15.7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spans="1:33" ht="15.7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spans="1:33" ht="15.7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spans="1:33" ht="15.7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spans="1:33" ht="15.7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spans="1:33" ht="15.7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spans="1:33" ht="15.7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spans="1:33" ht="15.7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spans="1:33" ht="15.7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spans="1:33" ht="15.7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spans="1:33" ht="15.7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spans="1:33" ht="15.7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spans="1:33" ht="15.7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spans="1:33" ht="15.7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spans="1:33" ht="15.7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spans="1:33" ht="15.7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spans="1:33" ht="15.7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spans="1:33" ht="15.7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spans="1:33" ht="15.7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spans="1:33" ht="15.7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spans="1:33" ht="15.7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spans="1:33" ht="15.7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spans="1:33" ht="15.7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spans="1:33" ht="15.7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spans="1:33" ht="15.7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spans="1:33" ht="15.7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spans="1:33" ht="15.7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spans="1:33" ht="15.7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spans="1:33" ht="15.7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spans="1:33" ht="15.7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spans="1:33" ht="15.7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spans="1:33" ht="15.7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spans="1:33" ht="15.7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spans="1:33" ht="15.7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spans="1:33" ht="15.7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spans="1:33" ht="15.7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spans="1:33" ht="15.7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spans="1:33" ht="15.7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spans="1:33" ht="15.7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spans="1:33" ht="15.7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spans="1:33" ht="15.7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spans="1:33" ht="15.7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spans="1:33" ht="15.7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spans="1:33" ht="15.7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spans="1:33" ht="15.7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spans="1:33" ht="15.7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spans="1:33" ht="15.7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spans="1:33" ht="15.7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spans="1:33" ht="15.7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spans="1:33" ht="15.7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spans="1:33" ht="15.7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spans="1:33" ht="15.7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spans="1:33" ht="15.7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spans="1:33" ht="15.7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spans="1:33" ht="15.7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spans="1:33" ht="15.7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spans="1:33" ht="15.7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spans="1:33" ht="15.7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spans="1:33" ht="15.7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spans="1:33" ht="15.7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spans="1:33" ht="15.7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spans="1:33" ht="15.7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spans="1:33" ht="15.7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spans="1:33" ht="15.7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spans="1:33" ht="15.7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spans="1:33" ht="15.7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spans="1:33" ht="15.7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spans="1:33" ht="15.7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spans="1:33" ht="15.7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spans="1:33" ht="15.7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spans="1:33" ht="15.7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spans="1:33" ht="15.7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spans="1:33" ht="15.7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spans="1:33" ht="15.7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spans="1:33" ht="15.7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spans="1:33" ht="15.7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spans="1:33" ht="15.7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spans="1:33" ht="15.7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spans="1:33" ht="15.7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spans="1:33" ht="15.7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spans="1:33" ht="15.7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spans="1:33" ht="15.7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spans="1:33" ht="15.7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spans="1:33" ht="15.7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spans="1:33" ht="15.7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spans="1:33" ht="15.7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spans="1:33" ht="15.7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spans="1:33" ht="15.7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spans="1:33" ht="15.7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spans="1:33" ht="15.7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spans="1:33" ht="15.7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spans="1:33" ht="15.7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spans="1:33" ht="15.7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spans="1:33" ht="15.7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spans="1:33" ht="15.7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spans="1:33" ht="15.7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spans="1:33" ht="15.7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spans="1:33" ht="15.7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spans="1:33" ht="15.7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spans="1:33" ht="15.7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spans="1:33" ht="15.7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spans="1:33" ht="15.7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spans="1:33" ht="15.7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spans="1:33" ht="15.7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spans="1:33" ht="15.7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spans="1:33" ht="15.7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spans="1:33" ht="15.7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spans="1:33" ht="15.7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spans="1:33" ht="15.7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spans="1:33" ht="15.7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spans="1:33" ht="15.7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spans="1:33" ht="15.7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spans="1:33" ht="15.7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spans="1:33" ht="15.7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spans="1:33" ht="15.7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spans="1:33" ht="15.7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spans="1:33" ht="15.7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spans="1:33" ht="15.7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spans="1:33" ht="15.7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spans="1:33" ht="15.7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spans="1:33" ht="15.7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spans="1:33" ht="15.7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spans="1:33" ht="15.7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spans="1:33" ht="15.7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spans="1:33" ht="15.7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spans="1:33" ht="15.7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spans="1:33" ht="15.7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spans="1:33" ht="15.7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spans="1:33" ht="15.7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spans="1:33" ht="15.7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spans="1:33" ht="15.7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spans="1:33" ht="15.7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spans="1:33" ht="15.7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spans="1:33" ht="15.7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spans="1:33" ht="15.7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spans="1:33" ht="15.7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spans="1:33" ht="15.7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spans="1:33" ht="15.7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spans="1:33" ht="15.7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spans="1:33" ht="15.7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spans="1:33" ht="15.7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spans="1:33" ht="15.7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spans="1:33" ht="15.7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spans="1:33" ht="15.7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spans="1:33" ht="15.7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spans="1:33" ht="15.7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spans="1:33" ht="15.7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spans="1:33" ht="15.7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spans="1:33" ht="15.7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spans="1:33" ht="15.7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spans="1:33" ht="15.7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spans="1:33" ht="15.7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spans="1:33" ht="15.7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spans="1:33" ht="15.7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spans="1:33" ht="15.7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spans="1:33" ht="15.7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spans="1:33" ht="15.7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spans="1:33" ht="15.7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spans="1:33" ht="15.7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spans="1:33" ht="15.7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spans="1:33" ht="15.7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spans="1:33" ht="15.7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spans="1:33" ht="15.7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spans="1:33" ht="15.7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spans="1:33" ht="15.7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spans="1:33" ht="15.7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spans="1:33" ht="15.7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spans="1:33" ht="15.7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spans="1:33" ht="15.7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spans="1:33" ht="15.7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spans="1:33" ht="15.7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spans="1:33" ht="15.7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spans="1:33" ht="15.7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spans="1:33" ht="15.7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spans="1:33" ht="15.7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spans="1:33" ht="15.7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spans="1:33" ht="15.7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spans="1:33" ht="15.7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spans="1:33" ht="15.7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spans="1:33" ht="15.7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spans="1:33" ht="15.7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spans="1:33" ht="15.7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spans="1:33" ht="15.7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spans="1:33" ht="15.7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spans="1:33" ht="15.7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spans="1:33" ht="15.7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spans="1:33" ht="15.7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spans="1:33" ht="15.7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spans="1:33" ht="15.7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spans="1:33" ht="15.7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spans="1:33" ht="15.7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spans="1:33" ht="15.7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spans="1:33" ht="15.7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spans="1:33" ht="15.7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spans="1:33" ht="15.7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spans="1:33" ht="15.7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spans="1:33" ht="15.7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spans="1:33" ht="15.7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spans="1:33" ht="15.7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spans="1:33" ht="15.7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spans="1:33" ht="15.7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spans="1:33" ht="15.7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spans="1:33" ht="15.7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spans="1:33" ht="15.7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spans="1:33" ht="15.7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spans="1:33" ht="15.7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spans="1:33" ht="15.7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spans="1:33" ht="15.7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spans="1:33" ht="15.7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spans="1:33" ht="15.7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spans="1:33" ht="15.7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spans="1:33" ht="15.7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spans="1:33" ht="15.7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spans="1:33" ht="15.7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spans="1:33" ht="15.7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spans="1:33" ht="15.7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spans="1:33" ht="15.7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spans="1:33" ht="15.7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spans="1:33" ht="15.7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spans="1:33" ht="15.7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spans="1:33" ht="15.7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spans="1:33" ht="15.7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spans="1:33" ht="15.7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spans="1:33" ht="15.7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spans="1:33" ht="15.7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spans="1:33" ht="15.7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spans="1:33" ht="15.7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spans="1:33" ht="15.7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spans="1:33" ht="15.7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spans="1:33" ht="15.7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spans="1:33" ht="15.7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spans="1:33" ht="15.7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spans="1:33" ht="15.7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spans="1:33" ht="15.7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spans="1:33" ht="15.7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spans="1:33" ht="15.7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spans="1:33" ht="15.7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spans="1:33" ht="15.7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spans="1:33" ht="15.7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spans="1:33" ht="15.7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spans="1:33" ht="15.7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spans="1:33" ht="15.7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spans="1:33" ht="15.7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spans="1:33" ht="15.7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spans="1:33" ht="15.7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spans="1:33" ht="15.7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spans="1:33" ht="15.7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spans="1:33" ht="15.7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spans="1:33" ht="15.7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spans="1:33" ht="15.7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spans="1:33" ht="15.7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spans="1:33" ht="15.7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spans="1:33" ht="15.7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spans="1:33" ht="15.7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spans="1:33" ht="15.7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spans="1:33" ht="15.7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spans="1:33" ht="15.7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spans="1:33" ht="15.7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spans="1:33" ht="15.7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spans="1:33" ht="15.7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spans="1:33" ht="15.7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spans="1:33" ht="15.7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spans="1:33" ht="15.7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spans="1:33" ht="15.7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spans="1:33" ht="15.7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spans="1:33" ht="15.7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spans="1:33" ht="15.7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spans="1:33" ht="15.7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spans="1:33" ht="15.7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spans="1:33" ht="15.7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spans="1:33" ht="15.7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spans="1:33" ht="15.7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spans="1:33" ht="15.7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spans="1:33" ht="15.7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spans="1:33" ht="15.7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spans="1:33" ht="15.7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spans="1:33" ht="15.7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spans="1:33" ht="15.7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spans="1:33" ht="15.7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spans="1:33" ht="15.7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spans="1:33" ht="15.7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spans="1:33" ht="15.7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spans="1:33" ht="15.7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spans="1:33" ht="15.7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spans="1:33" ht="15.7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spans="1:33" ht="15.7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spans="1:33" ht="15.7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spans="1:33" ht="15.7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spans="1:33" ht="15.7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spans="1:33" ht="15.7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spans="1:33" ht="15.7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spans="1:33" ht="15.7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spans="1:33" ht="15.7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spans="1:33" ht="15.7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spans="1:33" ht="15.7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spans="1:33" ht="15.7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spans="1:33" ht="15.7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spans="1:33" ht="15.7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spans="1:33" ht="15.7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spans="1:33" ht="15.7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spans="1:33" ht="15.7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spans="1:33" ht="15.7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spans="1:33" ht="15.7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spans="1:33" ht="15.7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spans="1:33" ht="15.7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spans="1:33" ht="15.7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spans="1:33" ht="15.7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spans="1:33" ht="15.7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spans="1:33" ht="15.7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spans="1:33" ht="15.7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spans="1:33" ht="15.7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spans="1:33" ht="15.7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spans="1:33" ht="15.7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spans="1:33" ht="15.7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spans="1:33" ht="15.7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spans="1:33" ht="15.7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spans="1:33" ht="15.7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spans="1:33" ht="15.7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spans="1:33" ht="15.7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spans="1:33" ht="15.7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spans="1:33" ht="15.7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spans="1:33" ht="15.7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spans="1:33" ht="15.7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spans="1:33" ht="15.7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spans="1:33" ht="15.7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spans="1:33" ht="15.7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spans="1:33" ht="15.7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spans="1:33" ht="15.7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spans="1:33" ht="15.7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spans="1:33" ht="15.7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spans="1:33" ht="15.7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spans="1:33" ht="15.7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spans="1:33" ht="15.7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spans="1:33" ht="15.7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spans="1:33" ht="15.7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spans="1:33" ht="15.7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spans="1:33" ht="15.7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spans="1:33" ht="15.7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spans="1:33" ht="15.7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spans="1:33" ht="15.7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spans="1:33" ht="15.7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spans="1:33" ht="15.7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spans="1:33" ht="15.7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spans="1:33" ht="15.7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spans="1:33" ht="15.7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spans="1:33" ht="15.7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spans="1:33" ht="15.7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spans="1:33" ht="15.7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spans="1:33" ht="15.7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spans="1:33" ht="15.7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spans="1:33" ht="15.7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spans="1:33" ht="15.7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spans="1:33" ht="15.7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spans="1:33" ht="15.7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spans="1:33" ht="15.7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spans="1:33" ht="15.7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spans="1:33" ht="15.7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spans="1:33" ht="15.7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spans="1:33" ht="15.7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spans="1:33" ht="15.7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spans="1:33" ht="15.7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spans="1:33" ht="15.7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spans="1:33" ht="15.7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spans="1:33" ht="15.7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spans="1:33" ht="15.7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spans="1:33" ht="15.7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spans="1:33" ht="15.7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spans="1:33" ht="15.7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spans="1:33" ht="15.7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spans="1:33" ht="15.7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spans="1:33" ht="15.7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spans="1:33" ht="15.7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spans="1:33" ht="15.7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spans="1:33" ht="15.7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spans="1:33" ht="15.7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spans="1:33" ht="15.7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spans="1:33" ht="15.7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spans="1:33" ht="15.7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spans="1:33" ht="15.7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spans="1:33" ht="15.7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spans="1:33" ht="15.7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spans="1:33" ht="15.7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spans="1:33" ht="15.7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spans="1:33" ht="15.7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spans="1:33" ht="15.7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spans="1:33" ht="15.7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spans="1:33" ht="15.7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spans="1:33" ht="15.7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spans="1:33" ht="15.7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spans="1:33" ht="15.7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spans="1:33" ht="15.7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spans="1:33" ht="15.7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spans="1:33" ht="15.7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spans="1:33" ht="15.7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spans="1:33" ht="15.7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spans="1:33" ht="15.7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spans="1:33" ht="15.7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spans="1:33" ht="15.7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spans="1:33" ht="15.7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spans="1:33" ht="15.7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spans="1:33" ht="15.7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spans="1:33" ht="15.7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spans="1:33" ht="15.7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spans="1:33" ht="15.7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spans="1:33" ht="15.7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spans="1:33" ht="15.7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spans="1:33" ht="15.7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spans="1:33" ht="15.7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spans="1:33" ht="15.7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spans="1:33" ht="15.7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spans="1:33" ht="15.7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spans="1:33" ht="15.7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spans="1:33" ht="15.7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spans="1:33" ht="15.7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spans="1:33" ht="15.7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spans="1:33" ht="15.7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spans="1:33" ht="15.7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spans="1:33" ht="15.7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spans="1:33" ht="15.7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spans="1:33" ht="15.7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spans="1:33" ht="15.7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spans="1:33" ht="15.7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spans="1:33" ht="15.7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spans="1:33" ht="15.7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spans="1:33" ht="15.7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spans="1:33" ht="15.7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spans="1:33" ht="15.7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spans="1:33" ht="15.7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spans="1:33" ht="15.7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spans="1:33" ht="15.7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spans="1:33" ht="15.7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spans="1:33" ht="15.7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spans="1:33" ht="15.7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spans="1:33" ht="15.7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spans="1:33" ht="15.7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spans="1:33" ht="15.7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spans="1:33" ht="15.7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spans="1:33" ht="15.7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spans="1:33" ht="15.7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spans="1:33" ht="15.7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spans="1:33" ht="15.7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spans="1:33" ht="15.7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spans="1:33" ht="15.7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spans="1:33" ht="15.7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spans="1:33" ht="15.7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spans="1:33" ht="15.7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spans="1:33" ht="15.7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spans="1:33" ht="15.7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spans="1:33" ht="15.7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spans="1:33" ht="15.7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spans="1:33" ht="15.7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spans="1:33" ht="15.7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spans="1:33" ht="15.7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spans="1:33" ht="15.7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spans="1:33" ht="15.7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spans="1:33" ht="15.7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spans="1:33" ht="15.7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spans="1:33" ht="15.7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spans="1:33" ht="15.7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spans="1:33" ht="15.7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spans="1:33" ht="15.7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spans="1:33" ht="15.7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spans="1:33" ht="15.7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spans="1:33" ht="15.7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spans="1:33" ht="15.7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spans="1:33" ht="15.7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spans="1:33" ht="15.7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spans="1:33" ht="15.7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spans="1:33" ht="15.7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spans="1:33" ht="15.7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spans="1:33" ht="15.7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spans="1:33" ht="15.7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spans="1:33" ht="15.7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spans="1:33" ht="15.7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spans="1:33" ht="15.7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spans="1:33" ht="15.7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spans="1:33" ht="15.7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spans="1:33" ht="15.7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spans="1:33" ht="15.7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spans="1:33" ht="15.7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spans="1:33" ht="15.7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spans="1:33" ht="15.7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spans="1:33" ht="15.7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spans="1:33" ht="15.7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spans="1:33" ht="15.7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spans="1:33" ht="15.7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spans="1:33" ht="15.7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spans="1:33" ht="15.7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spans="1:33" ht="15.7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spans="1:33" ht="15.7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spans="1:33" ht="15.7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spans="1:33" ht="15.7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spans="1:33" ht="15.7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spans="1:33" ht="15.7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spans="1:33" ht="15.7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spans="1:33" ht="15.7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spans="1:33" ht="15.7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spans="1:33" ht="15.7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spans="1:33" ht="15.7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spans="1:33" ht="15.7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spans="1:33" ht="15.7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spans="1:33" ht="15.7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spans="1:33" ht="15.7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spans="1:33" ht="15.7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spans="1:33" ht="15.7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spans="1:33" ht="15.7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spans="1:33" ht="15.7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spans="1:33" ht="15.7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spans="1:33" ht="15.7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spans="1:33" ht="15.7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spans="1:33" ht="15.7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spans="1:33" ht="15.7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spans="1:33" ht="15.7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spans="1:33" ht="15.7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spans="1:33" ht="15.7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spans="1:33" ht="15.7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spans="1:33" ht="15.7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spans="1:33" ht="15.7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spans="1:33" ht="15.7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spans="1:33" ht="15.7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spans="1:33" ht="15.7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spans="1:33" ht="15.7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spans="1:33" ht="15.7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spans="1:33" ht="15.7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spans="1:33" ht="15.7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spans="1:33" ht="15.7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spans="1:33" ht="15.7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spans="1:33" ht="15.7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spans="1:33" ht="15.7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spans="1:33" ht="15.7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spans="1:33" ht="15.7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spans="1:33" ht="15.7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spans="1:33" ht="15.7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spans="1:33" ht="15.7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spans="1:33" ht="15.7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spans="1:33" ht="15.7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spans="1:33" ht="15.7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spans="1:33" ht="15.7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spans="1:33" ht="15.7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spans="1:33" ht="15.7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spans="1:33" ht="15.7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spans="1:33" ht="15.7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spans="1:33" ht="15.7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spans="1:33" ht="15.7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spans="1:33" ht="15.7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spans="1:33" ht="15.7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spans="1:33" ht="15.7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spans="1:33" ht="15.7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spans="1:33" ht="15.7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spans="1:33" ht="15.7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spans="1:33" ht="15.7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spans="1:33" ht="15.7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spans="1:33" ht="15.7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spans="1:33" ht="15.7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spans="1:33" ht="15.7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spans="1:33" ht="15.7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spans="1:33" ht="15.7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spans="1:33" ht="15.7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spans="1:33" ht="15.7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spans="1:33" ht="15.7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spans="1:33" ht="15.7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spans="1:33" ht="15.7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spans="1:33" ht="15.7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spans="1:33" ht="15.7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spans="1:33" ht="15.7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spans="1:33" ht="15.7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spans="1:33" ht="15.7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spans="1:33" ht="15.7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spans="1:33" ht="15.7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spans="1:33" ht="15.7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spans="1:33" ht="15.7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spans="1:33" ht="15.7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spans="1:33" ht="15.7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spans="1:33" ht="15.7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spans="1:33" ht="15.7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spans="1:33" ht="15.7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spans="1:33" ht="15.7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spans="1:33" ht="15.7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spans="1:33" ht="15.7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spans="1:33" ht="15.7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spans="1:33" ht="15.7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spans="1:33" ht="15.7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spans="1:33" ht="15.7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spans="1:33" ht="15.7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spans="1:33" ht="15.7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spans="1:33" ht="15.7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spans="1:33" ht="15.7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spans="1:33" ht="15.7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spans="1:33" ht="15.7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spans="1:33" ht="15.7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spans="1:33" ht="15.7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spans="1:33" ht="15.7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spans="1:33" ht="15.7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spans="1:33" ht="15.7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spans="1:33" ht="15.7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spans="1:33" ht="15.7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spans="1:33" ht="15.7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spans="1:33" ht="15.7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spans="1:33" ht="15.7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spans="1:33" ht="15.7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spans="1:33" ht="15.7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spans="1:33" ht="15.7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spans="1:33" ht="15.7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spans="1:33" ht="15.7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spans="1:33" ht="15.7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spans="1:33" ht="15.7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spans="1:33" ht="15.7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spans="1:33" ht="15.7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spans="1:33" ht="15.7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spans="1:33" ht="15.7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spans="1:33" ht="15.7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spans="1:33" ht="15.7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spans="1:33" ht="15.7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spans="1:33" ht="15.7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spans="1:33" ht="15.7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spans="1:33" ht="15.7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spans="1:33" ht="15.7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spans="1:33" ht="15.7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spans="1:33" ht="15.7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spans="1:33" ht="15.7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spans="1:33" ht="15.7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spans="1:33" ht="15.7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spans="1:33" ht="15.7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spans="1:33" ht="15.7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spans="1:33" ht="15.7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spans="1:33" ht="15.7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spans="1:33" ht="15.7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spans="1:33" ht="15.7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spans="1:33" ht="15.7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spans="1:33" ht="15.7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spans="1:33" ht="15.7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spans="1:33" ht="15.7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spans="1:33" ht="15.7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spans="1:33" ht="15.7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spans="1:33" ht="15.7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spans="1:33" ht="15.7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spans="1:33" ht="15.7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spans="1:33" ht="15.7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spans="1:33" ht="15.7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spans="1:33" ht="15.7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spans="1:33" ht="15.7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spans="1:33" ht="15.7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spans="1:33" ht="15.7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spans="1:33" ht="15.7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spans="1:33" ht="15.7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spans="1:33" ht="15.7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spans="1:33" ht="15.7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spans="1:33" ht="15.7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spans="1:33" ht="15.7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spans="1:33" ht="15.7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spans="1:33" ht="15.7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spans="1:33" ht="15.7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spans="1:33" ht="15.7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spans="1:33" ht="15.7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spans="1:33" ht="15.7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spans="1:33" ht="15.7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spans="1:33" ht="15.7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spans="1:33" ht="15.7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spans="1:33" ht="15.7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spans="1:33" ht="15.7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spans="1:33" ht="15.7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spans="1:33" ht="15.7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spans="1:33" ht="15.7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spans="1:33" ht="15.7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spans="1:33" ht="15.7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spans="1:33" ht="15.7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spans="1:33" ht="15.7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spans="1:33" ht="15.7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spans="1:33" ht="15.7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spans="1:33" ht="15.7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spans="1:33" ht="15.7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spans="1:33" ht="15.7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spans="1:33" ht="15.7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spans="1:33" ht="15.7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spans="1:33" ht="15.7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spans="1:33" ht="15.7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spans="1:33" ht="15.7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spans="1:33" ht="15.7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spans="1:33" ht="15.7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spans="1:33" ht="15.7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spans="1:33" ht="15.7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spans="1:33" ht="15.7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spans="1:33" ht="15.7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spans="1:33" ht="15.7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spans="1:33" ht="15.7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spans="1:33" ht="15.7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spans="1:33" ht="15.7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spans="1:33" ht="15.7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spans="1:33" ht="15.7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spans="1:33" ht="15.7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spans="1:33" ht="15.7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spans="1:33" ht="15.7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spans="1:33" ht="15.7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spans="1:33" ht="15.7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spans="1:33" ht="15.7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spans="1:33" ht="15.7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spans="1:33" ht="15.7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spans="1:33" ht="15.7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spans="1:33" ht="15.7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spans="1:33" ht="15.7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spans="1:33" ht="15.7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spans="1:33" ht="15.7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spans="1:33" ht="15.7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spans="1:33" ht="15.7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spans="1:33" ht="15.7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spans="1:33" ht="15.7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spans="1:33" ht="15.7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spans="1:33" ht="15.7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spans="1:33" ht="15.7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spans="1:33" ht="15.7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spans="1:33" ht="15.7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spans="1:33" ht="15.7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spans="1:33" ht="15.7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spans="1:33" ht="15.7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spans="1:33" ht="15.7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spans="1:33" ht="15.7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spans="1:33" ht="15.7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spans="1:33" ht="15.7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spans="1:33" ht="15.7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spans="1:33" ht="15.7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spans="1:33" ht="15.7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spans="1:33" ht="15.7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spans="1:33" ht="15.7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spans="1:33" ht="15.7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spans="1:33" ht="15.7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spans="1:33" ht="15.7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spans="1:33" ht="15.7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spans="1:33" ht="15.7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spans="1:33" ht="15.7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spans="1:33" ht="15.7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spans="1:33" ht="15.7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spans="1:33" ht="15.7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 spans="1:33" ht="15.7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 spans="1:33" ht="15.7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 spans="1:33" ht="15.7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 spans="1:33" ht="15.7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 spans="1:33" ht="15.7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 spans="1:33" ht="15.7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 spans="1:33" ht="15.7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 spans="1:33" ht="15.7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 spans="1:33" ht="15.7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 spans="1:33" ht="15.7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 spans="1:33" ht="15.7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 spans="1:33" ht="15.7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 spans="1:33" ht="15.7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 spans="1:33" ht="15.7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 spans="1:33" ht="15.7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 spans="1:33" ht="15.7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 spans="1:33" ht="15.7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 spans="1:33" ht="15.7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 spans="1:33" ht="15.7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 spans="1:33" ht="15.75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 spans="1:33" ht="15.75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 spans="1:33" ht="15.75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</row>
    <row r="1001" spans="1:33" ht="15.75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</row>
  </sheetData>
  <mergeCells count="36">
    <mergeCell ref="A19:A25"/>
    <mergeCell ref="A26:A32"/>
    <mergeCell ref="A12:A18"/>
    <mergeCell ref="I10:N10"/>
    <mergeCell ref="C38:H38"/>
    <mergeCell ref="I38:N38"/>
    <mergeCell ref="A38:B39"/>
    <mergeCell ref="C10:H10"/>
    <mergeCell ref="AA66:AF66"/>
    <mergeCell ref="A68:A74"/>
    <mergeCell ref="A66:B67"/>
    <mergeCell ref="A92:B93"/>
    <mergeCell ref="A54:A60"/>
    <mergeCell ref="A75:A81"/>
    <mergeCell ref="A82:A88"/>
    <mergeCell ref="C92:H92"/>
    <mergeCell ref="I92:N92"/>
    <mergeCell ref="O92:T92"/>
    <mergeCell ref="U92:Z92"/>
    <mergeCell ref="AA92:AF92"/>
    <mergeCell ref="A94:A100"/>
    <mergeCell ref="A101:A107"/>
    <mergeCell ref="A108:A114"/>
    <mergeCell ref="O10:T10"/>
    <mergeCell ref="AA10:AF10"/>
    <mergeCell ref="U10:Z10"/>
    <mergeCell ref="O38:T38"/>
    <mergeCell ref="U38:Z38"/>
    <mergeCell ref="A10:B11"/>
    <mergeCell ref="A40:A46"/>
    <mergeCell ref="A47:A53"/>
    <mergeCell ref="C66:H66"/>
    <mergeCell ref="I66:N66"/>
    <mergeCell ref="O66:T66"/>
    <mergeCell ref="U66:Z66"/>
    <mergeCell ref="AA38:A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H2" sqref="H2"/>
    </sheetView>
  </sheetViews>
  <sheetFormatPr defaultRowHeight="15.75" x14ac:dyDescent="0.25"/>
  <cols>
    <col min="1" max="1" width="13.25" customWidth="1"/>
    <col min="2" max="2" width="21" customWidth="1"/>
    <col min="3" max="3" width="18.375" customWidth="1"/>
    <col min="8" max="8" width="13.25" customWidth="1"/>
    <col min="9" max="9" width="21" customWidth="1"/>
    <col min="10" max="10" width="19.125" customWidth="1"/>
  </cols>
  <sheetData>
    <row r="1" spans="1:10" x14ac:dyDescent="0.25">
      <c r="A1" s="113" t="s">
        <v>56</v>
      </c>
      <c r="B1" s="113"/>
      <c r="C1" s="113"/>
      <c r="H1" s="114" t="s">
        <v>57</v>
      </c>
      <c r="I1" s="115"/>
      <c r="J1" s="116"/>
    </row>
    <row r="2" spans="1:10" x14ac:dyDescent="0.25">
      <c r="A2" s="93" t="s">
        <v>50</v>
      </c>
      <c r="B2" s="93" t="s">
        <v>51</v>
      </c>
      <c r="C2" s="93" t="s">
        <v>52</v>
      </c>
      <c r="D2" s="1"/>
      <c r="H2" s="93" t="s">
        <v>50</v>
      </c>
      <c r="I2" s="93" t="s">
        <v>51</v>
      </c>
      <c r="J2" s="93" t="s">
        <v>52</v>
      </c>
    </row>
    <row r="3" spans="1:10" x14ac:dyDescent="0.25">
      <c r="A3" s="93">
        <v>1</v>
      </c>
      <c r="B3" s="1">
        <v>0.874</v>
      </c>
      <c r="C3" s="92">
        <v>0.58890100000000001</v>
      </c>
      <c r="H3" s="93">
        <v>1</v>
      </c>
      <c r="I3" s="1">
        <v>0.82199999999999995</v>
      </c>
      <c r="J3" s="92">
        <v>7.9600000000000001E-3</v>
      </c>
    </row>
    <row r="4" spans="1:10" x14ac:dyDescent="0.25">
      <c r="A4" s="93">
        <v>2</v>
      </c>
      <c r="B4" s="1">
        <v>0.94299999999999995</v>
      </c>
      <c r="C4" s="92">
        <v>0.58834799999999998</v>
      </c>
      <c r="H4" s="93">
        <v>2</v>
      </c>
      <c r="I4" s="1">
        <v>0.745</v>
      </c>
      <c r="J4" s="92">
        <v>7.8309999999999994E-3</v>
      </c>
    </row>
    <row r="5" spans="1:10" x14ac:dyDescent="0.25">
      <c r="A5" s="93">
        <v>3</v>
      </c>
      <c r="B5" s="1">
        <v>0.94299999999999995</v>
      </c>
      <c r="C5" s="92">
        <v>0.58866200000000002</v>
      </c>
      <c r="H5" s="93">
        <v>3</v>
      </c>
      <c r="I5" s="1">
        <v>0.93200000000000005</v>
      </c>
      <c r="J5" s="92">
        <v>7.8480000000000008E-3</v>
      </c>
    </row>
    <row r="6" spans="1:10" x14ac:dyDescent="0.25">
      <c r="A6" s="93">
        <v>4</v>
      </c>
      <c r="B6" s="1">
        <v>0.94299999999999995</v>
      </c>
      <c r="C6" s="92">
        <v>0.58842399999999995</v>
      </c>
      <c r="H6" s="93">
        <v>4</v>
      </c>
      <c r="I6" s="1">
        <v>0.93200000000000005</v>
      </c>
      <c r="J6" s="92">
        <v>7.8120000000000004E-3</v>
      </c>
    </row>
    <row r="7" spans="1:10" x14ac:dyDescent="0.25">
      <c r="A7" s="93">
        <v>5</v>
      </c>
      <c r="B7" s="1">
        <v>0.94299999999999995</v>
      </c>
      <c r="C7" s="92">
        <v>0.58821900000000005</v>
      </c>
      <c r="H7" s="93">
        <v>5</v>
      </c>
      <c r="I7" s="1">
        <v>0.93200000000000005</v>
      </c>
      <c r="J7" s="92">
        <v>7.8449999999999995E-3</v>
      </c>
    </row>
    <row r="8" spans="1:10" x14ac:dyDescent="0.25">
      <c r="A8" s="93">
        <v>6</v>
      </c>
      <c r="B8" s="1">
        <v>0.94299999999999995</v>
      </c>
      <c r="C8" s="92">
        <v>0.58823499999999995</v>
      </c>
      <c r="H8" s="93">
        <v>6</v>
      </c>
      <c r="I8" s="1">
        <v>0.93200000000000005</v>
      </c>
      <c r="J8" s="92">
        <v>7.8639999999999995E-3</v>
      </c>
    </row>
    <row r="9" spans="1:10" x14ac:dyDescent="0.25">
      <c r="A9" s="93">
        <v>7</v>
      </c>
      <c r="B9" s="1">
        <v>0.94299999999999995</v>
      </c>
      <c r="C9" s="92">
        <v>0.58868100000000001</v>
      </c>
      <c r="H9" s="93">
        <v>7</v>
      </c>
      <c r="I9" s="1">
        <v>0.93200000000000005</v>
      </c>
      <c r="J9" s="92">
        <v>7.8449999999999995E-3</v>
      </c>
    </row>
    <row r="10" spans="1:10" x14ac:dyDescent="0.25">
      <c r="A10" s="93" t="s">
        <v>22</v>
      </c>
      <c r="B10" s="94">
        <f>AVERAGE(B3:B9)</f>
        <v>0.93314285714285705</v>
      </c>
      <c r="C10" s="93">
        <f>AVERAGE(C3:C9)</f>
        <v>0.58849571428571423</v>
      </c>
      <c r="H10" s="93" t="s">
        <v>22</v>
      </c>
      <c r="I10" s="93">
        <f>AVERAGE(I3:I9)</f>
        <v>0.88957142857142879</v>
      </c>
      <c r="J10" s="93">
        <f>AVERAGE(J3:J9)</f>
        <v>7.8578571428571421E-3</v>
      </c>
    </row>
    <row r="11" spans="1:10" x14ac:dyDescent="0.25">
      <c r="A11" s="93" t="s">
        <v>23</v>
      </c>
      <c r="B11" s="94">
        <f>_xlfn.STDEV.P(B3:B9)</f>
        <v>2.4144970321719885E-2</v>
      </c>
      <c r="C11" s="93">
        <f>_xlfn.STDEV.P(C3:C9)</f>
        <v>2.3837048851718686E-4</v>
      </c>
      <c r="H11" s="93" t="s">
        <v>23</v>
      </c>
      <c r="I11" s="93">
        <f>_xlfn.STDEV.P(I3:I9)</f>
        <v>7.0170928336979216E-2</v>
      </c>
      <c r="J11" s="93">
        <f>_xlfn.STDEV.P(J3:J9)</f>
        <v>4.4276496736590481E-5</v>
      </c>
    </row>
    <row r="17" spans="6:10" x14ac:dyDescent="0.25">
      <c r="F17" s="113" t="s">
        <v>53</v>
      </c>
      <c r="G17" s="113"/>
      <c r="H17" s="113"/>
      <c r="I17" s="113"/>
      <c r="J17" s="93">
        <f>C10-J10</f>
        <v>0.58063785714285709</v>
      </c>
    </row>
  </sheetData>
  <mergeCells count="3">
    <mergeCell ref="F17:I17"/>
    <mergeCell ref="A1:C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selection activeCell="M5" sqref="M5"/>
    </sheetView>
  </sheetViews>
  <sheetFormatPr defaultColWidth="11.25" defaultRowHeight="15" customHeight="1" x14ac:dyDescent="0.25"/>
  <cols>
    <col min="1" max="1" width="24" style="86" customWidth="1"/>
    <col min="2" max="2" width="17.125" style="86" customWidth="1"/>
    <col min="3" max="3" width="15.75" style="86" customWidth="1"/>
    <col min="4" max="4" width="16.375" style="86" customWidth="1"/>
    <col min="5" max="5" width="15.375" style="86" customWidth="1"/>
    <col min="6" max="6" width="16.25" style="86" customWidth="1"/>
    <col min="7" max="7" width="14.75" style="86" customWidth="1"/>
    <col min="8" max="15" width="10.625" style="86" customWidth="1"/>
    <col min="16" max="16" width="13.75" style="86" customWidth="1"/>
    <col min="17" max="29" width="10.625" style="86" customWidth="1"/>
    <col min="30" max="16384" width="11.25" style="86"/>
  </cols>
  <sheetData>
    <row r="1" spans="1:23" ht="15.75" customHeight="1" x14ac:dyDescent="0.25">
      <c r="A1" s="2" t="s">
        <v>24</v>
      </c>
      <c r="B1" s="2" t="s">
        <v>25</v>
      </c>
      <c r="C1" s="3" t="s">
        <v>26</v>
      </c>
      <c r="D1" s="3" t="s">
        <v>27</v>
      </c>
      <c r="E1" s="3" t="s">
        <v>28</v>
      </c>
      <c r="F1" s="4" t="s">
        <v>29</v>
      </c>
      <c r="H1" s="154" t="s">
        <v>54</v>
      </c>
      <c r="R1" s="85"/>
      <c r="S1" s="104"/>
      <c r="T1" s="105"/>
      <c r="U1" s="105"/>
      <c r="V1" s="105"/>
      <c r="W1" s="105"/>
    </row>
    <row r="2" spans="1:23" ht="15.75" customHeight="1" x14ac:dyDescent="0.25">
      <c r="A2" s="2" t="s">
        <v>31</v>
      </c>
      <c r="B2" s="2">
        <v>3</v>
      </c>
      <c r="C2" s="3">
        <v>3</v>
      </c>
      <c r="D2" s="3">
        <v>3</v>
      </c>
      <c r="E2" s="3">
        <v>3</v>
      </c>
      <c r="F2" s="4">
        <v>3</v>
      </c>
      <c r="H2" s="153" t="s">
        <v>55</v>
      </c>
      <c r="I2" s="153">
        <f>Timer_measurements!$J$17</f>
        <v>0.58063785714285709</v>
      </c>
      <c r="R2" s="85"/>
      <c r="S2" s="85"/>
      <c r="T2" s="85"/>
      <c r="U2" s="85"/>
      <c r="V2" s="85"/>
      <c r="W2" s="85"/>
    </row>
    <row r="3" spans="1:23" ht="15.75" customHeight="1" x14ac:dyDescent="0.25">
      <c r="A3" s="7" t="s">
        <v>32</v>
      </c>
      <c r="B3" s="79">
        <v>1.4999999999999999E-2</v>
      </c>
      <c r="C3" s="24">
        <v>7.4999999999999997E-2</v>
      </c>
      <c r="D3" s="8">
        <v>0.3</v>
      </c>
      <c r="E3" s="8">
        <v>0.75</v>
      </c>
      <c r="F3" s="9">
        <v>7.5</v>
      </c>
    </row>
    <row r="4" spans="1:23" ht="15.75" customHeight="1" x14ac:dyDescent="0.25">
      <c r="A4" s="7" t="s">
        <v>33</v>
      </c>
      <c r="B4" s="7">
        <v>0.1</v>
      </c>
      <c r="C4" s="8">
        <v>0.5</v>
      </c>
      <c r="D4" s="8">
        <v>2</v>
      </c>
      <c r="E4" s="8">
        <v>5</v>
      </c>
      <c r="F4" s="9">
        <v>50</v>
      </c>
    </row>
    <row r="5" spans="1:23" ht="15.75" customHeight="1" x14ac:dyDescent="0.25">
      <c r="A5" s="7" t="s">
        <v>34</v>
      </c>
      <c r="B5" s="7">
        <v>0.8</v>
      </c>
      <c r="C5" s="8">
        <v>4</v>
      </c>
      <c r="D5" s="8">
        <v>16</v>
      </c>
      <c r="E5" s="8">
        <v>40</v>
      </c>
      <c r="F5" s="9">
        <v>400</v>
      </c>
    </row>
    <row r="6" spans="1:23" ht="15.75" customHeight="1" x14ac:dyDescent="0.25">
      <c r="A6" s="7" t="s">
        <v>35</v>
      </c>
      <c r="B6" s="7">
        <v>2</v>
      </c>
      <c r="C6" s="8">
        <v>10</v>
      </c>
      <c r="D6" s="8">
        <v>40</v>
      </c>
      <c r="E6" s="8">
        <v>100</v>
      </c>
      <c r="F6" s="9"/>
    </row>
    <row r="7" spans="1:23" ht="15.75" customHeight="1" x14ac:dyDescent="0.25">
      <c r="A7" s="10" t="s">
        <v>36</v>
      </c>
      <c r="B7" s="10">
        <v>8</v>
      </c>
      <c r="C7" s="11">
        <v>40</v>
      </c>
      <c r="D7" s="11">
        <v>160</v>
      </c>
      <c r="E7" s="11">
        <v>400</v>
      </c>
      <c r="F7" s="12"/>
    </row>
    <row r="8" spans="1:23" ht="15.75" customHeight="1" x14ac:dyDescent="0.25"/>
    <row r="9" spans="1:23" ht="15.75" customHeight="1" x14ac:dyDescent="0.25">
      <c r="A9" s="13" t="s">
        <v>37</v>
      </c>
      <c r="B9" s="98" t="s">
        <v>25</v>
      </c>
      <c r="C9" s="99"/>
      <c r="D9" s="100"/>
      <c r="E9" s="98" t="s">
        <v>26</v>
      </c>
      <c r="F9" s="99"/>
      <c r="G9" s="100"/>
      <c r="H9" s="98" t="s">
        <v>27</v>
      </c>
      <c r="I9" s="99"/>
      <c r="J9" s="100"/>
      <c r="K9" s="98" t="s">
        <v>28</v>
      </c>
      <c r="L9" s="99"/>
      <c r="M9" s="100"/>
      <c r="N9" s="98" t="s">
        <v>29</v>
      </c>
      <c r="O9" s="99"/>
      <c r="P9" s="100"/>
    </row>
    <row r="10" spans="1:23" ht="15.75" customHeight="1" x14ac:dyDescent="0.25">
      <c r="A10" s="14" t="s">
        <v>38</v>
      </c>
      <c r="B10" s="15" t="s">
        <v>11</v>
      </c>
      <c r="C10" s="83" t="s">
        <v>14</v>
      </c>
      <c r="D10" s="17" t="s">
        <v>15</v>
      </c>
      <c r="E10" s="15" t="s">
        <v>11</v>
      </c>
      <c r="F10" s="83" t="s">
        <v>14</v>
      </c>
      <c r="G10" s="17" t="s">
        <v>15</v>
      </c>
      <c r="H10" s="15" t="s">
        <v>11</v>
      </c>
      <c r="I10" s="83" t="s">
        <v>14</v>
      </c>
      <c r="J10" s="17" t="s">
        <v>15</v>
      </c>
      <c r="K10" s="15" t="s">
        <v>11</v>
      </c>
      <c r="L10" s="83" t="s">
        <v>14</v>
      </c>
      <c r="M10" s="17" t="s">
        <v>15</v>
      </c>
      <c r="N10" s="15" t="s">
        <v>11</v>
      </c>
      <c r="O10" s="83" t="s">
        <v>14</v>
      </c>
      <c r="P10" s="17" t="s">
        <v>15</v>
      </c>
    </row>
    <row r="11" spans="1:23" ht="15.75" customHeight="1" x14ac:dyDescent="0.25">
      <c r="A11" s="87">
        <v>1</v>
      </c>
      <c r="B11" s="86">
        <f>1.689-(Timer_measurements!$J$17)</f>
        <v>1.1083621428571431</v>
      </c>
      <c r="C11" s="86">
        <f t="shared" ref="C11:C15" si="0">$B$2*B11</f>
        <v>3.3250864285714292</v>
      </c>
      <c r="D11" s="90">
        <f t="shared" ref="D11:D15" si="1">C11*$B$3</f>
        <v>4.9876296428571436E-2</v>
      </c>
      <c r="E11" s="86">
        <f>1.709-(Timer_measurements!$J$17)</f>
        <v>1.1283621428571431</v>
      </c>
      <c r="F11" s="86">
        <f t="shared" ref="F11:F15" si="2">$C$2*E11</f>
        <v>3.3850864285714293</v>
      </c>
      <c r="G11" s="90">
        <f t="shared" ref="G11:G15" si="3">F11*$C$3</f>
        <v>0.25388148214285716</v>
      </c>
      <c r="H11" s="86">
        <f>1.662-(Timer_measurements!$J$17)</f>
        <v>1.0813621428571429</v>
      </c>
      <c r="I11" s="86">
        <f t="shared" ref="I11:I15" si="4">$D$2*H11</f>
        <v>3.2440864285714288</v>
      </c>
      <c r="J11" s="90">
        <f t="shared" ref="J11:J15" si="5">I11*$D$3</f>
        <v>0.97322592857142864</v>
      </c>
      <c r="K11" s="86">
        <f>1.625-(Timer_measurements!$J$17)</f>
        <v>1.044362142857143</v>
      </c>
      <c r="L11" s="86">
        <f t="shared" ref="L11:L15" si="6">$E$2*K11</f>
        <v>3.133086428571429</v>
      </c>
      <c r="M11" s="90">
        <f t="shared" ref="M11:M15" si="7">L11*$E$3</f>
        <v>2.3498148214285717</v>
      </c>
      <c r="N11" s="86">
        <f>1.622-(Timer_measurements!$J$17)</f>
        <v>1.0413621428571429</v>
      </c>
      <c r="O11" s="86">
        <f t="shared" ref="O11:O15" si="8">$F$2*N11</f>
        <v>3.1240864285714287</v>
      </c>
      <c r="P11" s="90">
        <f t="shared" ref="P11:P15" si="9">O11*$F$3</f>
        <v>23.430648214285714</v>
      </c>
    </row>
    <row r="12" spans="1:23" ht="15.75" customHeight="1" x14ac:dyDescent="0.25">
      <c r="A12" s="87">
        <v>2</v>
      </c>
      <c r="B12" s="86">
        <f>1.62-(Timer_measurements!$J$17)</f>
        <v>1.0393621428571431</v>
      </c>
      <c r="C12" s="86">
        <f t="shared" si="0"/>
        <v>3.1180864285714294</v>
      </c>
      <c r="D12" s="90">
        <f t="shared" si="1"/>
        <v>4.6771296428571439E-2</v>
      </c>
      <c r="E12" s="86">
        <f>1.694-(Timer_measurements!$J$17)</f>
        <v>1.113362142857143</v>
      </c>
      <c r="F12" s="86">
        <f t="shared" si="2"/>
        <v>3.3400864285714289</v>
      </c>
      <c r="G12" s="90">
        <f t="shared" si="3"/>
        <v>0.25050648214285715</v>
      </c>
      <c r="H12" s="86">
        <f>1.652-(Timer_measurements!$J$17)</f>
        <v>1.0713621428571427</v>
      </c>
      <c r="I12" s="86">
        <f t="shared" si="4"/>
        <v>3.2140864285714281</v>
      </c>
      <c r="J12" s="90">
        <f t="shared" si="5"/>
        <v>0.96422592857142841</v>
      </c>
      <c r="K12" s="86">
        <f>1.631-(Timer_measurements!$J$17)</f>
        <v>1.0503621428571428</v>
      </c>
      <c r="L12" s="86">
        <f t="shared" si="6"/>
        <v>3.1510864285714284</v>
      </c>
      <c r="M12" s="90">
        <f t="shared" si="7"/>
        <v>2.3633148214285713</v>
      </c>
      <c r="N12" s="86">
        <f>1.614-(Timer_measurements!$J$17)</f>
        <v>1.0333621428571429</v>
      </c>
      <c r="O12" s="86">
        <f t="shared" si="8"/>
        <v>3.1000864285714287</v>
      </c>
      <c r="P12" s="90">
        <f t="shared" si="9"/>
        <v>23.250648214285714</v>
      </c>
    </row>
    <row r="13" spans="1:23" ht="15.75" customHeight="1" x14ac:dyDescent="0.25">
      <c r="A13" s="87">
        <v>3</v>
      </c>
      <c r="B13" s="86">
        <f>1.675-(Timer_measurements!$J$17)</f>
        <v>1.0943621428571428</v>
      </c>
      <c r="C13" s="86">
        <f t="shared" si="0"/>
        <v>3.2830864285714285</v>
      </c>
      <c r="D13" s="90">
        <f t="shared" si="1"/>
        <v>4.9246296428571423E-2</v>
      </c>
      <c r="E13" s="86">
        <f>1.709-(Timer_measurements!$J$17)</f>
        <v>1.1283621428571431</v>
      </c>
      <c r="F13" s="86">
        <f t="shared" si="2"/>
        <v>3.3850864285714293</v>
      </c>
      <c r="G13" s="90">
        <f t="shared" si="3"/>
        <v>0.25388148214285716</v>
      </c>
      <c r="H13" s="86">
        <f>1.662-(Timer_measurements!$J$17)</f>
        <v>1.0813621428571429</v>
      </c>
      <c r="I13" s="86">
        <f t="shared" si="4"/>
        <v>3.2440864285714288</v>
      </c>
      <c r="J13" s="90">
        <f t="shared" si="5"/>
        <v>0.97322592857142864</v>
      </c>
      <c r="K13" s="86">
        <f>1.626-(Timer_measurements!$J$17)</f>
        <v>1.0453621428571429</v>
      </c>
      <c r="L13" s="86">
        <f t="shared" si="6"/>
        <v>3.1360864285714287</v>
      </c>
      <c r="M13" s="90">
        <f t="shared" si="7"/>
        <v>2.3520648214285718</v>
      </c>
      <c r="N13" s="86">
        <f>1.62-(Timer_measurements!$J$17)</f>
        <v>1.0393621428571431</v>
      </c>
      <c r="O13" s="86">
        <f t="shared" si="8"/>
        <v>3.1180864285714294</v>
      </c>
      <c r="P13" s="90">
        <f t="shared" si="9"/>
        <v>23.38564821428572</v>
      </c>
    </row>
    <row r="14" spans="1:23" ht="15.75" customHeight="1" x14ac:dyDescent="0.25">
      <c r="A14" s="87">
        <v>4</v>
      </c>
      <c r="B14" s="86">
        <f>1.629-(Timer_measurements!$J$17)</f>
        <v>1.048362142857143</v>
      </c>
      <c r="C14" s="86">
        <f t="shared" si="0"/>
        <v>3.1450864285714291</v>
      </c>
      <c r="D14" s="90">
        <f t="shared" si="1"/>
        <v>4.7176296428571435E-2</v>
      </c>
      <c r="E14" s="86">
        <f>1.707-(Timer_measurements!$J$17)</f>
        <v>1.1263621428571429</v>
      </c>
      <c r="F14" s="86">
        <f t="shared" si="2"/>
        <v>3.3790864285714286</v>
      </c>
      <c r="G14" s="90">
        <f t="shared" si="3"/>
        <v>0.25343148214285716</v>
      </c>
      <c r="H14" s="86">
        <f>1.663-(Timer_measurements!$J$17)</f>
        <v>1.0823621428571428</v>
      </c>
      <c r="I14" s="86">
        <f t="shared" si="4"/>
        <v>3.2470864285714285</v>
      </c>
      <c r="J14" s="90">
        <f t="shared" si="5"/>
        <v>0.97412592857142855</v>
      </c>
      <c r="K14" s="86">
        <f>1.633-(Timer_measurements!$J$17)</f>
        <v>1.052362142857143</v>
      </c>
      <c r="L14" s="86">
        <f t="shared" si="6"/>
        <v>3.1570864285714291</v>
      </c>
      <c r="M14" s="90">
        <f t="shared" si="7"/>
        <v>2.3678148214285719</v>
      </c>
      <c r="N14" s="86">
        <f>1.623-(Timer_measurements!$J$17)</f>
        <v>1.0423621428571428</v>
      </c>
      <c r="O14" s="86">
        <f t="shared" si="8"/>
        <v>3.1270864285714284</v>
      </c>
      <c r="P14" s="90">
        <f t="shared" si="9"/>
        <v>23.453148214285712</v>
      </c>
    </row>
    <row r="15" spans="1:23" ht="15.75" customHeight="1" x14ac:dyDescent="0.25">
      <c r="A15" s="87">
        <v>5</v>
      </c>
      <c r="B15" s="86">
        <f>1.67-(Timer_measurements!$J$17)</f>
        <v>1.0893621428571429</v>
      </c>
      <c r="C15" s="86">
        <f t="shared" si="0"/>
        <v>3.2680864285714288</v>
      </c>
      <c r="D15" s="90">
        <f t="shared" si="1"/>
        <v>4.9021296428571427E-2</v>
      </c>
      <c r="E15" s="86">
        <f>1.703-(Timer_measurements!$J$17)</f>
        <v>1.1223621428571429</v>
      </c>
      <c r="F15" s="86">
        <f t="shared" si="2"/>
        <v>3.3670864285714286</v>
      </c>
      <c r="G15" s="90">
        <f t="shared" si="3"/>
        <v>0.25253148214285714</v>
      </c>
      <c r="H15" s="86">
        <f>1.659-(Timer_measurements!$J$17)</f>
        <v>1.0783621428571428</v>
      </c>
      <c r="I15" s="86">
        <f t="shared" si="4"/>
        <v>3.2350864285714285</v>
      </c>
      <c r="J15" s="90">
        <f t="shared" si="5"/>
        <v>0.9705259285714285</v>
      </c>
      <c r="K15" s="86">
        <f>1.63-(Timer_measurements!$J$17)</f>
        <v>1.0493621428571429</v>
      </c>
      <c r="L15" s="86">
        <f t="shared" si="6"/>
        <v>3.1480864285714287</v>
      </c>
      <c r="M15" s="90">
        <f t="shared" si="7"/>
        <v>2.3610648214285717</v>
      </c>
      <c r="N15" s="86">
        <f>1.623-(Timer_measurements!$J$17)</f>
        <v>1.0423621428571428</v>
      </c>
      <c r="O15" s="86">
        <f t="shared" si="8"/>
        <v>3.1270864285714284</v>
      </c>
      <c r="P15" s="90">
        <f t="shared" si="9"/>
        <v>23.453148214285712</v>
      </c>
    </row>
    <row r="16" spans="1:23" ht="15.75" customHeight="1" x14ac:dyDescent="0.25">
      <c r="A16" s="14" t="s">
        <v>22</v>
      </c>
      <c r="B16" s="15">
        <f t="shared" ref="B16:P16" si="10">AVERAGE(B11:B15)</f>
        <v>1.0759621428571429</v>
      </c>
      <c r="C16" s="83">
        <f t="shared" si="10"/>
        <v>3.2278864285714293</v>
      </c>
      <c r="D16" s="84">
        <f t="shared" si="10"/>
        <v>4.8418296428571428E-2</v>
      </c>
      <c r="E16" s="15">
        <f t="shared" si="10"/>
        <v>1.1237621428571429</v>
      </c>
      <c r="F16" s="83">
        <f t="shared" si="10"/>
        <v>3.371286428571429</v>
      </c>
      <c r="G16" s="84">
        <f t="shared" si="10"/>
        <v>0.25284648214285721</v>
      </c>
      <c r="H16" s="15">
        <f t="shared" si="10"/>
        <v>1.078962142857143</v>
      </c>
      <c r="I16" s="83">
        <f t="shared" si="10"/>
        <v>3.2368864285714287</v>
      </c>
      <c r="J16" s="84">
        <f t="shared" si="10"/>
        <v>0.97106592857142859</v>
      </c>
      <c r="K16" s="15">
        <f t="shared" si="10"/>
        <v>1.0483621428571428</v>
      </c>
      <c r="L16" s="83">
        <f t="shared" si="10"/>
        <v>3.1450864285714291</v>
      </c>
      <c r="M16" s="84">
        <f t="shared" si="10"/>
        <v>2.3588148214285716</v>
      </c>
      <c r="N16" s="15">
        <f t="shared" si="10"/>
        <v>1.0397621428571429</v>
      </c>
      <c r="O16" s="83">
        <f t="shared" si="10"/>
        <v>3.1192864285714288</v>
      </c>
      <c r="P16" s="84">
        <f t="shared" si="10"/>
        <v>23.394648214285713</v>
      </c>
    </row>
    <row r="17" spans="1:16" ht="15.75" customHeight="1" x14ac:dyDescent="0.25">
      <c r="A17" s="14" t="s">
        <v>23</v>
      </c>
      <c r="B17" s="15">
        <f>_xlfn.STDEV.P(B11:B15)</f>
        <v>2.7089481353469974E-2</v>
      </c>
      <c r="C17" s="15">
        <f t="shared" ref="C17:P17" si="11">_xlfn.STDEV.P(C11:C15)</f>
        <v>8.1268444060409922E-2</v>
      </c>
      <c r="D17" s="15">
        <f t="shared" si="11"/>
        <v>1.2190266609061477E-3</v>
      </c>
      <c r="E17" s="15">
        <f t="shared" si="11"/>
        <v>5.6426943918663902E-3</v>
      </c>
      <c r="F17" s="15">
        <f t="shared" si="11"/>
        <v>1.6928083175599171E-2</v>
      </c>
      <c r="G17" s="15">
        <f t="shared" si="11"/>
        <v>1.2696062381699362E-3</v>
      </c>
      <c r="H17" s="15">
        <f t="shared" si="11"/>
        <v>4.0298883359220486E-3</v>
      </c>
      <c r="I17" s="15">
        <f t="shared" si="11"/>
        <v>1.2089665007766147E-2</v>
      </c>
      <c r="J17" s="15">
        <f t="shared" si="11"/>
        <v>3.6268995023298538E-3</v>
      </c>
      <c r="K17" s="15">
        <f t="shared" si="11"/>
        <v>3.0331501776206084E-3</v>
      </c>
      <c r="L17" s="15">
        <f t="shared" si="11"/>
        <v>9.0994505328618244E-3</v>
      </c>
      <c r="M17" s="15">
        <f t="shared" si="11"/>
        <v>6.8245878996463904E-3</v>
      </c>
      <c r="N17" s="15">
        <f t="shared" si="11"/>
        <v>3.3823069050575162E-3</v>
      </c>
      <c r="O17" s="15">
        <f t="shared" si="11"/>
        <v>1.0146920715172548E-2</v>
      </c>
      <c r="P17" s="15">
        <f t="shared" si="11"/>
        <v>7.6101905363793867E-2</v>
      </c>
    </row>
    <row r="18" spans="1:16" ht="15.75" customHeight="1" x14ac:dyDescent="0.25"/>
    <row r="19" spans="1:16" ht="15.75" customHeight="1" x14ac:dyDescent="0.25"/>
    <row r="20" spans="1:16" ht="15.75" customHeight="1" x14ac:dyDescent="0.25"/>
    <row r="21" spans="1:16" ht="15.75" customHeight="1" x14ac:dyDescent="0.25">
      <c r="A21" s="21" t="s">
        <v>39</v>
      </c>
      <c r="B21" s="98" t="s">
        <v>25</v>
      </c>
      <c r="C21" s="99"/>
      <c r="D21" s="100"/>
      <c r="E21" s="98" t="s">
        <v>26</v>
      </c>
      <c r="F21" s="99"/>
      <c r="G21" s="100"/>
      <c r="H21" s="98" t="s">
        <v>27</v>
      </c>
      <c r="I21" s="99"/>
      <c r="J21" s="100"/>
      <c r="K21" s="98" t="s">
        <v>28</v>
      </c>
      <c r="L21" s="99"/>
      <c r="M21" s="100"/>
      <c r="N21" s="98" t="s">
        <v>29</v>
      </c>
      <c r="O21" s="99"/>
      <c r="P21" s="100"/>
    </row>
    <row r="22" spans="1:16" ht="15.75" customHeight="1" x14ac:dyDescent="0.25">
      <c r="A22" s="14" t="s">
        <v>38</v>
      </c>
      <c r="B22" s="15" t="s">
        <v>11</v>
      </c>
      <c r="C22" s="83" t="s">
        <v>14</v>
      </c>
      <c r="D22" s="17" t="s">
        <v>15</v>
      </c>
      <c r="E22" s="15" t="s">
        <v>11</v>
      </c>
      <c r="F22" s="83" t="s">
        <v>14</v>
      </c>
      <c r="G22" s="17" t="s">
        <v>15</v>
      </c>
      <c r="H22" s="15" t="s">
        <v>11</v>
      </c>
      <c r="I22" s="83" t="s">
        <v>14</v>
      </c>
      <c r="J22" s="17" t="s">
        <v>15</v>
      </c>
      <c r="K22" s="15" t="s">
        <v>11</v>
      </c>
      <c r="L22" s="83" t="s">
        <v>14</v>
      </c>
      <c r="M22" s="17" t="s">
        <v>15</v>
      </c>
      <c r="N22" s="15" t="s">
        <v>11</v>
      </c>
      <c r="O22" s="83" t="s">
        <v>14</v>
      </c>
      <c r="P22" s="17" t="s">
        <v>15</v>
      </c>
    </row>
    <row r="23" spans="1:16" ht="15.75" customHeight="1" x14ac:dyDescent="0.25">
      <c r="A23" s="87">
        <v>1</v>
      </c>
      <c r="B23" s="86">
        <f>0.76602-(Timer_measurements!$J$17)</f>
        <v>0.18538214285714294</v>
      </c>
      <c r="C23" s="86">
        <f t="shared" ref="C23:C27" si="12">$B$2*B23</f>
        <v>0.55614642857142882</v>
      </c>
      <c r="D23" s="90">
        <f t="shared" ref="D23:D27" si="13">C23*$B$4</f>
        <v>5.5614642857142883E-2</v>
      </c>
      <c r="E23" s="86">
        <f>0.76031-(Timer_measurements!$J$17)</f>
        <v>0.17967214285714295</v>
      </c>
      <c r="F23" s="86">
        <f t="shared" ref="F23:F27" si="14">$C$2*E23</f>
        <v>0.53901642857142884</v>
      </c>
      <c r="G23" s="90">
        <f t="shared" ref="G23:G27" si="15">F23*$C$4</f>
        <v>0.26950821428571442</v>
      </c>
      <c r="H23" s="86">
        <f>0.75003-(Timer_measurements!$J$17)</f>
        <v>0.16939214285714288</v>
      </c>
      <c r="I23" s="86">
        <f t="shared" ref="I23:I27" si="16">$D$2*H23</f>
        <v>0.50817642857142864</v>
      </c>
      <c r="J23" s="90">
        <f t="shared" ref="J23:J27" si="17">I23*$D$4</f>
        <v>1.0163528571428573</v>
      </c>
      <c r="K23" s="86">
        <f>0.754307-(Timer_measurements!$J$17)</f>
        <v>0.17366914285714286</v>
      </c>
      <c r="L23" s="86">
        <f t="shared" ref="L23:L27" si="18">$E$2*K23</f>
        <v>0.52100742857142857</v>
      </c>
      <c r="M23" s="90">
        <f t="shared" ref="M23:M27" si="19">L23*$E$4</f>
        <v>2.6050371428571428</v>
      </c>
      <c r="N23" s="86">
        <f>0.747418-(Timer_measurements!$J$17)</f>
        <v>0.16678014285714293</v>
      </c>
      <c r="O23" s="86">
        <f t="shared" ref="O23:O27" si="20">$F$2*N23</f>
        <v>0.5003404285714288</v>
      </c>
      <c r="P23" s="90">
        <f t="shared" ref="P23:P27" si="21">O23*$F$4</f>
        <v>25.017021428571439</v>
      </c>
    </row>
    <row r="24" spans="1:16" ht="15.75" customHeight="1" x14ac:dyDescent="0.25">
      <c r="A24" s="87">
        <v>2</v>
      </c>
      <c r="B24" s="86">
        <f>0.77038-(Timer_measurements!$J$17)</f>
        <v>0.18974214285714286</v>
      </c>
      <c r="C24" s="86">
        <f t="shared" si="12"/>
        <v>0.56922642857142858</v>
      </c>
      <c r="D24" s="90">
        <f t="shared" si="13"/>
        <v>5.6922642857142859E-2</v>
      </c>
      <c r="E24" s="86">
        <f>0.758761-(Timer_measurements!$J$17)</f>
        <v>0.17812314285714292</v>
      </c>
      <c r="F24" s="86">
        <f t="shared" si="14"/>
        <v>0.53436942857142877</v>
      </c>
      <c r="G24" s="90">
        <f t="shared" si="15"/>
        <v>0.26718471428571439</v>
      </c>
      <c r="H24" s="86">
        <f>0.753037-(Timer_measurements!$J$17)</f>
        <v>0.17239914285714286</v>
      </c>
      <c r="I24" s="86">
        <f t="shared" si="16"/>
        <v>0.51719742857142859</v>
      </c>
      <c r="J24" s="90">
        <f t="shared" si="17"/>
        <v>1.0343948571428572</v>
      </c>
      <c r="K24" s="86">
        <f>0.749023-(Timer_measurements!$J$17)</f>
        <v>0.1683851428571429</v>
      </c>
      <c r="L24" s="86">
        <f t="shared" si="18"/>
        <v>0.5051554285714287</v>
      </c>
      <c r="M24" s="90">
        <f t="shared" si="19"/>
        <v>2.5257771428571436</v>
      </c>
      <c r="N24" s="86">
        <f>0.75032-(Timer_measurements!$J$17)</f>
        <v>0.16968214285714289</v>
      </c>
      <c r="O24" s="86">
        <f t="shared" si="20"/>
        <v>0.50904642857142868</v>
      </c>
      <c r="P24" s="90">
        <f t="shared" si="21"/>
        <v>25.452321428571434</v>
      </c>
    </row>
    <row r="25" spans="1:16" ht="15.75" customHeight="1" x14ac:dyDescent="0.25">
      <c r="A25" s="87">
        <v>3</v>
      </c>
      <c r="B25" s="86">
        <f>0.769264-(Timer_measurements!$J$17)</f>
        <v>0.18862614285714285</v>
      </c>
      <c r="C25" s="86">
        <f t="shared" si="12"/>
        <v>0.56587842857142856</v>
      </c>
      <c r="D25" s="90">
        <f t="shared" si="13"/>
        <v>5.6587842857142856E-2</v>
      </c>
      <c r="E25" s="86">
        <f>0.765319-(Timer_measurements!$J$17)</f>
        <v>0.18468114285714288</v>
      </c>
      <c r="F25" s="86">
        <f t="shared" si="14"/>
        <v>0.55404342857142863</v>
      </c>
      <c r="G25" s="90">
        <f t="shared" si="15"/>
        <v>0.27702171428571432</v>
      </c>
      <c r="H25" s="86">
        <f>0.755194-(Timer_measurements!$J$17)</f>
        <v>0.17455614285714294</v>
      </c>
      <c r="I25" s="86">
        <f t="shared" si="16"/>
        <v>0.52366842857142881</v>
      </c>
      <c r="J25" s="90">
        <f t="shared" si="17"/>
        <v>1.0473368571428576</v>
      </c>
      <c r="K25" s="86">
        <f>0.748964-(Timer_measurements!$J$17)</f>
        <v>0.16832614285714287</v>
      </c>
      <c r="L25" s="86">
        <f t="shared" si="18"/>
        <v>0.50497842857142861</v>
      </c>
      <c r="M25" s="90">
        <f t="shared" si="19"/>
        <v>2.5248921428571429</v>
      </c>
      <c r="N25" s="86">
        <f>0.749013-(Timer_measurements!$J$17)</f>
        <v>0.16837514285714295</v>
      </c>
      <c r="O25" s="86">
        <f t="shared" si="20"/>
        <v>0.50512542857142884</v>
      </c>
      <c r="P25" s="90">
        <f t="shared" si="21"/>
        <v>25.256271428571441</v>
      </c>
    </row>
    <row r="26" spans="1:16" ht="15.75" customHeight="1" x14ac:dyDescent="0.25">
      <c r="A26" s="87">
        <v>4</v>
      </c>
      <c r="B26" s="86">
        <f>0.763214-(Timer_measurements!$J$17)</f>
        <v>0.18257614285714285</v>
      </c>
      <c r="C26" s="86">
        <f t="shared" si="12"/>
        <v>0.54772842857142856</v>
      </c>
      <c r="D26" s="90">
        <f t="shared" si="13"/>
        <v>5.4772842857142859E-2</v>
      </c>
      <c r="E26" s="86">
        <f>0.767513-(Timer_measurements!$J$17)</f>
        <v>0.18687514285714291</v>
      </c>
      <c r="F26" s="86">
        <f t="shared" si="14"/>
        <v>0.56062542857142872</v>
      </c>
      <c r="G26" s="90">
        <f t="shared" si="15"/>
        <v>0.28031271428571436</v>
      </c>
      <c r="H26" s="86">
        <f>0.757925-(Timer_measurements!$J$17)</f>
        <v>0.17728714285714287</v>
      </c>
      <c r="I26" s="86">
        <f t="shared" si="16"/>
        <v>0.5318614285714286</v>
      </c>
      <c r="J26" s="90">
        <f t="shared" si="17"/>
        <v>1.0637228571428572</v>
      </c>
      <c r="K26" s="86">
        <f>0.752238-(Timer_measurements!$J$17)</f>
        <v>0.17160014285714287</v>
      </c>
      <c r="L26" s="86">
        <f t="shared" si="18"/>
        <v>0.5148004285714286</v>
      </c>
      <c r="M26" s="90">
        <f t="shared" si="19"/>
        <v>2.5740021428571431</v>
      </c>
      <c r="N26" s="86">
        <f>0.749148-(Timer_measurements!$J$17)</f>
        <v>0.16851014285714294</v>
      </c>
      <c r="O26" s="86">
        <f t="shared" si="20"/>
        <v>0.50553042857142882</v>
      </c>
      <c r="P26" s="90">
        <f t="shared" si="21"/>
        <v>25.276521428571442</v>
      </c>
    </row>
    <row r="27" spans="1:16" ht="15.75" customHeight="1" x14ac:dyDescent="0.25">
      <c r="A27" s="87">
        <v>5</v>
      </c>
      <c r="B27" s="86">
        <f>0.764385-(Timer_measurements!$J$17)</f>
        <v>0.18374714285714289</v>
      </c>
      <c r="C27" s="86">
        <f t="shared" si="12"/>
        <v>0.55124142857142866</v>
      </c>
      <c r="D27" s="90">
        <f t="shared" si="13"/>
        <v>5.5124142857142872E-2</v>
      </c>
      <c r="E27" s="86">
        <f>0.75421-(Timer_measurements!$J$17)</f>
        <v>0.17357214285714295</v>
      </c>
      <c r="F27" s="86">
        <f t="shared" si="14"/>
        <v>0.52071642857142886</v>
      </c>
      <c r="G27" s="90">
        <f t="shared" si="15"/>
        <v>0.26035821428571443</v>
      </c>
      <c r="H27" s="86">
        <f>0.748859-(Timer_measurements!$J$17)</f>
        <v>0.16822114285714296</v>
      </c>
      <c r="I27" s="86">
        <f t="shared" si="16"/>
        <v>0.50466342857142887</v>
      </c>
      <c r="J27" s="90">
        <f t="shared" si="17"/>
        <v>1.0093268571428577</v>
      </c>
      <c r="K27" s="86">
        <f>0.75077-(Timer_measurements!$J$17)</f>
        <v>0.17013214285714295</v>
      </c>
      <c r="L27" s="86">
        <f t="shared" si="18"/>
        <v>0.51039642857142886</v>
      </c>
      <c r="M27" s="90">
        <f t="shared" si="19"/>
        <v>2.5519821428571445</v>
      </c>
      <c r="N27" s="86">
        <f>0.751318-(Timer_measurements!$J$17)</f>
        <v>0.17068014285714295</v>
      </c>
      <c r="O27" s="86">
        <f t="shared" si="20"/>
        <v>0.51204042857142884</v>
      </c>
      <c r="P27" s="90">
        <f t="shared" si="21"/>
        <v>25.60202142857144</v>
      </c>
    </row>
    <row r="28" spans="1:16" ht="15.75" customHeight="1" x14ac:dyDescent="0.25">
      <c r="A28" s="14" t="s">
        <v>22</v>
      </c>
      <c r="B28" s="15">
        <f t="shared" ref="B28:P28" si="22">AVERAGE(B23:B27)</f>
        <v>0.18601474285714287</v>
      </c>
      <c r="C28" s="83">
        <f t="shared" si="22"/>
        <v>0.55804422857142866</v>
      </c>
      <c r="D28" s="84">
        <f t="shared" si="22"/>
        <v>5.5804422857142863E-2</v>
      </c>
      <c r="E28" s="15">
        <f t="shared" si="22"/>
        <v>0.18058474285714293</v>
      </c>
      <c r="F28" s="83">
        <f t="shared" si="22"/>
        <v>0.54175422857142874</v>
      </c>
      <c r="G28" s="84">
        <f t="shared" si="22"/>
        <v>0.27087711428571437</v>
      </c>
      <c r="H28" s="15">
        <f t="shared" si="22"/>
        <v>0.17237114285714289</v>
      </c>
      <c r="I28" s="83">
        <f t="shared" si="22"/>
        <v>0.51711342857142872</v>
      </c>
      <c r="J28" s="84">
        <f t="shared" si="22"/>
        <v>1.0342268571428574</v>
      </c>
      <c r="K28" s="15">
        <f t="shared" si="22"/>
        <v>0.17042254285714289</v>
      </c>
      <c r="L28" s="83">
        <f t="shared" si="22"/>
        <v>0.5112676285714286</v>
      </c>
      <c r="M28" s="84">
        <f t="shared" si="22"/>
        <v>2.5563381428571432</v>
      </c>
      <c r="N28" s="15">
        <f t="shared" si="22"/>
        <v>0.16880554285714294</v>
      </c>
      <c r="O28" s="83">
        <f t="shared" si="22"/>
        <v>0.50641662857142877</v>
      </c>
      <c r="P28" s="84">
        <f t="shared" si="22"/>
        <v>25.320831428571438</v>
      </c>
    </row>
    <row r="29" spans="1:16" ht="15.75" customHeight="1" x14ac:dyDescent="0.25">
      <c r="A29" s="14" t="s">
        <v>23</v>
      </c>
      <c r="B29" s="15">
        <f>_xlfn.STDEV.P(B23:B27)</f>
        <v>2.7596769086253481E-3</v>
      </c>
      <c r="C29" s="15">
        <f t="shared" ref="C29:P29" si="23">_xlfn.STDEV.P(C23:C27)</f>
        <v>8.279030725876043E-3</v>
      </c>
      <c r="D29" s="15">
        <f t="shared" si="23"/>
        <v>8.2790307258760309E-4</v>
      </c>
      <c r="E29" s="15">
        <f t="shared" si="23"/>
        <v>4.7416979490473438E-3</v>
      </c>
      <c r="F29" s="15">
        <f t="shared" si="23"/>
        <v>1.4225093847142031E-2</v>
      </c>
      <c r="G29" s="15">
        <f t="shared" si="23"/>
        <v>7.1125469235710156E-3</v>
      </c>
      <c r="H29" s="15">
        <f t="shared" si="23"/>
        <v>3.3178006570618273E-3</v>
      </c>
      <c r="I29" s="15">
        <f t="shared" si="23"/>
        <v>9.9534019711854816E-3</v>
      </c>
      <c r="J29" s="15">
        <f t="shared" si="23"/>
        <v>1.9906803942370963E-2</v>
      </c>
      <c r="K29" s="15">
        <f t="shared" si="23"/>
        <v>2.0276773510595684E-3</v>
      </c>
      <c r="L29" s="15">
        <f t="shared" si="23"/>
        <v>6.083032053178704E-3</v>
      </c>
      <c r="M29" s="15">
        <f t="shared" si="23"/>
        <v>3.0415160265893526E-2</v>
      </c>
      <c r="N29" s="15">
        <f t="shared" si="23"/>
        <v>1.3158497786601607E-3</v>
      </c>
      <c r="O29" s="15">
        <f t="shared" si="23"/>
        <v>3.947549335980482E-3</v>
      </c>
      <c r="P29" s="15">
        <f t="shared" si="23"/>
        <v>0.19737746679902371</v>
      </c>
    </row>
    <row r="30" spans="1:16" ht="15.75" customHeight="1" x14ac:dyDescent="0.25"/>
    <row r="31" spans="1:16" ht="15.75" customHeight="1" x14ac:dyDescent="0.25"/>
    <row r="32" spans="1:16" ht="15.75" customHeight="1" x14ac:dyDescent="0.25"/>
    <row r="33" spans="1:16" ht="15.75" customHeight="1" x14ac:dyDescent="0.25">
      <c r="A33" s="21" t="s">
        <v>40</v>
      </c>
      <c r="B33" s="98" t="s">
        <v>25</v>
      </c>
      <c r="C33" s="99"/>
      <c r="D33" s="100"/>
      <c r="E33" s="98" t="s">
        <v>26</v>
      </c>
      <c r="F33" s="99"/>
      <c r="G33" s="100"/>
      <c r="H33" s="98" t="s">
        <v>27</v>
      </c>
      <c r="I33" s="99"/>
      <c r="J33" s="100"/>
      <c r="K33" s="98" t="s">
        <v>28</v>
      </c>
      <c r="L33" s="99"/>
      <c r="M33" s="100"/>
      <c r="N33" s="98" t="s">
        <v>29</v>
      </c>
      <c r="O33" s="99"/>
      <c r="P33" s="100"/>
    </row>
    <row r="34" spans="1:16" ht="15.75" customHeight="1" x14ac:dyDescent="0.25">
      <c r="A34" s="14" t="s">
        <v>38</v>
      </c>
      <c r="B34" s="15" t="s">
        <v>11</v>
      </c>
      <c r="C34" s="83" t="s">
        <v>14</v>
      </c>
      <c r="D34" s="17" t="s">
        <v>15</v>
      </c>
      <c r="E34" s="15" t="s">
        <v>11</v>
      </c>
      <c r="F34" s="83" t="s">
        <v>14</v>
      </c>
      <c r="G34" s="17" t="s">
        <v>15</v>
      </c>
      <c r="H34" s="15" t="s">
        <v>11</v>
      </c>
      <c r="I34" s="83" t="s">
        <v>14</v>
      </c>
      <c r="J34" s="17" t="s">
        <v>15</v>
      </c>
      <c r="K34" s="15" t="s">
        <v>11</v>
      </c>
      <c r="L34" s="83" t="s">
        <v>14</v>
      </c>
      <c r="M34" s="17" t="s">
        <v>15</v>
      </c>
      <c r="N34" s="15" t="s">
        <v>11</v>
      </c>
      <c r="O34" s="83" t="s">
        <v>14</v>
      </c>
      <c r="P34" s="17" t="s">
        <v>15</v>
      </c>
    </row>
    <row r="35" spans="1:16" ht="15.75" customHeight="1" x14ac:dyDescent="0.25">
      <c r="A35" s="87">
        <v>1</v>
      </c>
      <c r="B35" s="86">
        <f>0.616223-(Timer_measurements!$J$17)</f>
        <v>3.5585142857142871E-2</v>
      </c>
      <c r="C35" s="86">
        <f t="shared" ref="C35:C39" si="24">$B$2*B35</f>
        <v>0.10675542857142861</v>
      </c>
      <c r="D35" s="90">
        <f t="shared" ref="D35:D39" si="25">C35*$B$5</f>
        <v>8.5404342857142893E-2</v>
      </c>
      <c r="E35" s="86">
        <f>0.617045-(Timer_measurements!$J$17)</f>
        <v>3.640714285714286E-2</v>
      </c>
      <c r="F35" s="86">
        <f t="shared" ref="F35:F39" si="26">$C$2*E35</f>
        <v>0.10922142857142858</v>
      </c>
      <c r="G35" s="90">
        <f t="shared" ref="G35:G39" si="27">F35*$C$5</f>
        <v>0.43688571428571432</v>
      </c>
      <c r="H35" s="86">
        <f>0.61024-(Timer_measurements!$J$17)</f>
        <v>2.960214285714291E-2</v>
      </c>
      <c r="I35" s="86">
        <f t="shared" ref="I35:I39" si="28">$D$2*H35</f>
        <v>8.880642857142873E-2</v>
      </c>
      <c r="J35" s="90">
        <f t="shared" ref="J35:J39" si="29">I35*$D$5</f>
        <v>1.4209028571428597</v>
      </c>
      <c r="K35" s="86">
        <f>0.614127-(Timer_measurements!$J$17)</f>
        <v>3.3489142857142884E-2</v>
      </c>
      <c r="L35" s="86">
        <f t="shared" ref="L35:L39" si="30">$E$2*K35</f>
        <v>0.10046742857142865</v>
      </c>
      <c r="M35" s="90">
        <f t="shared" ref="M35:M39" si="31">L35*$E$5</f>
        <v>4.0186971428571461</v>
      </c>
      <c r="N35" s="86">
        <f>0.613975-(Timer_measurements!$J$17)</f>
        <v>3.3337142857142954E-2</v>
      </c>
      <c r="O35" s="86">
        <f t="shared" ref="O35:O39" si="32">$F$2*N35</f>
        <v>0.10001142857142886</v>
      </c>
      <c r="P35" s="90">
        <f t="shared" ref="P35:P39" si="33">O35*$F$5</f>
        <v>40.004571428571545</v>
      </c>
    </row>
    <row r="36" spans="1:16" ht="15.75" customHeight="1" x14ac:dyDescent="0.25">
      <c r="A36" s="87">
        <v>2</v>
      </c>
      <c r="B36" s="86">
        <f>0.61318-(Timer_measurements!$J$17)</f>
        <v>3.2542142857142853E-2</v>
      </c>
      <c r="C36" s="86">
        <f t="shared" si="24"/>
        <v>9.7626428571428558E-2</v>
      </c>
      <c r="D36" s="90">
        <f t="shared" si="25"/>
        <v>7.8101142857142855E-2</v>
      </c>
      <c r="E36" s="86">
        <f>0.614734-(Timer_measurements!$J$17)</f>
        <v>3.4096142857142908E-2</v>
      </c>
      <c r="F36" s="86">
        <f t="shared" si="26"/>
        <v>0.10228842857142872</v>
      </c>
      <c r="G36" s="90">
        <f t="shared" si="27"/>
        <v>0.4091537142857149</v>
      </c>
      <c r="H36" s="86">
        <f>0.615319-(Timer_measurements!$J$17)</f>
        <v>3.4681142857142855E-2</v>
      </c>
      <c r="I36" s="86">
        <f t="shared" si="28"/>
        <v>0.10404342857142856</v>
      </c>
      <c r="J36" s="90">
        <f t="shared" si="29"/>
        <v>1.664694857142857</v>
      </c>
      <c r="K36" s="86">
        <f>0.613025-(Timer_measurements!$J$17)</f>
        <v>3.2387142857142948E-2</v>
      </c>
      <c r="L36" s="86">
        <f t="shared" si="30"/>
        <v>9.7161428571428843E-2</v>
      </c>
      <c r="M36" s="90">
        <f t="shared" si="31"/>
        <v>3.8864571428571537</v>
      </c>
      <c r="N36" s="86">
        <f>0.613294-(Timer_measurements!$J$17)</f>
        <v>3.2656142857142911E-2</v>
      </c>
      <c r="O36" s="86">
        <f t="shared" si="32"/>
        <v>9.7968428571428734E-2</v>
      </c>
      <c r="P36" s="90">
        <f t="shared" si="33"/>
        <v>39.187371428571495</v>
      </c>
    </row>
    <row r="37" spans="1:16" ht="15.75" customHeight="1" x14ac:dyDescent="0.25">
      <c r="A37" s="87">
        <v>3</v>
      </c>
      <c r="B37" s="86">
        <f>0.613982-(Timer_measurements!$J$17)</f>
        <v>3.3344142857142933E-2</v>
      </c>
      <c r="C37" s="86">
        <f t="shared" si="24"/>
        <v>0.1000324285714288</v>
      </c>
      <c r="D37" s="90">
        <f t="shared" si="25"/>
        <v>8.002594285714304E-2</v>
      </c>
      <c r="E37" s="86">
        <f>0.615935-(Timer_measurements!$J$17)</f>
        <v>3.5297142857142916E-2</v>
      </c>
      <c r="F37" s="86">
        <f t="shared" si="26"/>
        <v>0.10589142857142875</v>
      </c>
      <c r="G37" s="90">
        <f t="shared" si="27"/>
        <v>0.42356571428571499</v>
      </c>
      <c r="H37" s="86">
        <f>0.614095-(Timer_measurements!$J$17)</f>
        <v>3.3457142857142852E-2</v>
      </c>
      <c r="I37" s="86">
        <f t="shared" si="28"/>
        <v>0.10037142857142856</v>
      </c>
      <c r="J37" s="90">
        <f t="shared" si="29"/>
        <v>1.6059428571428569</v>
      </c>
      <c r="K37" s="86">
        <f>0.616002-(Timer_measurements!$J$17)</f>
        <v>3.5364142857142955E-2</v>
      </c>
      <c r="L37" s="86">
        <f t="shared" si="30"/>
        <v>0.10609242857142887</v>
      </c>
      <c r="M37" s="90">
        <f t="shared" si="31"/>
        <v>4.2436971428571546</v>
      </c>
      <c r="N37" s="86">
        <f>0.614095-(Timer_measurements!$J$17)</f>
        <v>3.3457142857142852E-2</v>
      </c>
      <c r="O37" s="86">
        <f t="shared" si="32"/>
        <v>0.10037142857142856</v>
      </c>
      <c r="P37" s="90">
        <f t="shared" si="33"/>
        <v>40.148571428571422</v>
      </c>
    </row>
    <row r="38" spans="1:16" ht="15.75" customHeight="1" x14ac:dyDescent="0.25">
      <c r="A38" s="87">
        <v>4</v>
      </c>
      <c r="B38" s="86">
        <f>0.613658-(Timer_measurements!$J$17)</f>
        <v>3.3020142857142942E-2</v>
      </c>
      <c r="C38" s="86">
        <f t="shared" si="24"/>
        <v>9.9060428571428827E-2</v>
      </c>
      <c r="D38" s="90">
        <f t="shared" si="25"/>
        <v>7.9248342857143064E-2</v>
      </c>
      <c r="E38" s="86">
        <f>0.61323-(Timer_measurements!$J$17)</f>
        <v>3.2592142857142958E-2</v>
      </c>
      <c r="F38" s="86">
        <f t="shared" si="26"/>
        <v>9.7776428571428875E-2</v>
      </c>
      <c r="G38" s="90">
        <f t="shared" si="27"/>
        <v>0.3911057142857155</v>
      </c>
      <c r="H38" s="86">
        <f>0.617924-(Timer_measurements!$J$17)</f>
        <v>3.7286142857142934E-2</v>
      </c>
      <c r="I38" s="86">
        <f t="shared" si="28"/>
        <v>0.1118584285714288</v>
      </c>
      <c r="J38" s="90">
        <f t="shared" si="29"/>
        <v>1.7897348571428608</v>
      </c>
      <c r="K38" s="86">
        <f>0.614028-(Timer_measurements!$J$17)</f>
        <v>3.3390142857142924E-2</v>
      </c>
      <c r="L38" s="86">
        <f t="shared" si="30"/>
        <v>0.10017042857142877</v>
      </c>
      <c r="M38" s="90">
        <f t="shared" si="31"/>
        <v>4.0068171428571508</v>
      </c>
      <c r="N38" s="86">
        <f>0.614371-(Timer_measurements!$J$17)</f>
        <v>3.3733142857142906E-2</v>
      </c>
      <c r="O38" s="86">
        <f t="shared" si="32"/>
        <v>0.10119942857142872</v>
      </c>
      <c r="P38" s="90">
        <f t="shared" si="33"/>
        <v>40.479771428571489</v>
      </c>
    </row>
    <row r="39" spans="1:16" ht="15.75" customHeight="1" x14ac:dyDescent="0.25">
      <c r="A39" s="87">
        <v>5</v>
      </c>
      <c r="B39" s="86">
        <f>0.617186-(Timer_measurements!$J$17)</f>
        <v>3.6548142857142918E-2</v>
      </c>
      <c r="C39" s="86">
        <f t="shared" si="24"/>
        <v>0.10964442857142875</v>
      </c>
      <c r="D39" s="90">
        <f t="shared" si="25"/>
        <v>8.7715542857143003E-2</v>
      </c>
      <c r="E39" s="86">
        <f>0.613129-(Timer_measurements!$J$17)</f>
        <v>3.2491142857142941E-2</v>
      </c>
      <c r="F39" s="86">
        <f t="shared" si="26"/>
        <v>9.7473428571428822E-2</v>
      </c>
      <c r="G39" s="90">
        <f t="shared" si="27"/>
        <v>0.38989371428571529</v>
      </c>
      <c r="H39" s="86">
        <f>0.61534-(Timer_measurements!$J$17)</f>
        <v>3.4702142857142904E-2</v>
      </c>
      <c r="I39" s="86">
        <f t="shared" si="28"/>
        <v>0.10410642857142871</v>
      </c>
      <c r="J39" s="90">
        <f t="shared" si="29"/>
        <v>1.6657028571428594</v>
      </c>
      <c r="K39" s="86">
        <f>0.61348-(Timer_measurements!$J$17)</f>
        <v>3.2842142857142931E-2</v>
      </c>
      <c r="L39" s="86">
        <f t="shared" si="30"/>
        <v>9.8526428571428792E-2</v>
      </c>
      <c r="M39" s="90">
        <f t="shared" si="31"/>
        <v>3.9410571428571517</v>
      </c>
      <c r="N39" s="86">
        <f>0.613008-(Timer_measurements!$J$17)</f>
        <v>3.2370142857142903E-2</v>
      </c>
      <c r="O39" s="86">
        <f t="shared" si="32"/>
        <v>9.7110428571428709E-2</v>
      </c>
      <c r="P39" s="90">
        <f t="shared" si="33"/>
        <v>38.844171428571485</v>
      </c>
    </row>
    <row r="40" spans="1:16" ht="15.75" customHeight="1" x14ac:dyDescent="0.25">
      <c r="A40" s="14" t="s">
        <v>22</v>
      </c>
      <c r="B40" s="15">
        <f t="shared" ref="B40:P40" si="34">AVERAGE(B35:B39)</f>
        <v>3.4207942857142903E-2</v>
      </c>
      <c r="C40" s="83">
        <f t="shared" si="34"/>
        <v>0.10262382857142871</v>
      </c>
      <c r="D40" s="84">
        <f t="shared" si="34"/>
        <v>8.2099062857142968E-2</v>
      </c>
      <c r="E40" s="15">
        <f t="shared" si="34"/>
        <v>3.4176742857142915E-2</v>
      </c>
      <c r="F40" s="83">
        <f t="shared" si="34"/>
        <v>0.10253022857142875</v>
      </c>
      <c r="G40" s="84">
        <f t="shared" si="34"/>
        <v>0.41012091428571501</v>
      </c>
      <c r="H40" s="15">
        <f t="shared" si="34"/>
        <v>3.3945742857142892E-2</v>
      </c>
      <c r="I40" s="83">
        <f t="shared" si="34"/>
        <v>0.10183722857142867</v>
      </c>
      <c r="J40" s="84">
        <f t="shared" si="34"/>
        <v>1.6293956571428587</v>
      </c>
      <c r="K40" s="15">
        <f t="shared" si="34"/>
        <v>3.3494542857142928E-2</v>
      </c>
      <c r="L40" s="83">
        <f t="shared" si="34"/>
        <v>0.10048362857142878</v>
      </c>
      <c r="M40" s="84">
        <f t="shared" si="34"/>
        <v>4.0193451428571514</v>
      </c>
      <c r="N40" s="15">
        <f t="shared" si="34"/>
        <v>3.3110742857142904E-2</v>
      </c>
      <c r="O40" s="83">
        <f t="shared" si="34"/>
        <v>9.9332228571428718E-2</v>
      </c>
      <c r="P40" s="84">
        <f t="shared" si="34"/>
        <v>39.732891428571484</v>
      </c>
    </row>
    <row r="41" spans="1:16" ht="15.75" customHeight="1" x14ac:dyDescent="0.25">
      <c r="A41" s="14" t="s">
        <v>23</v>
      </c>
      <c r="B41" s="15">
        <f>_xlfn.STDEV.P(B35:B39)</f>
        <v>1.5687654254221695E-3</v>
      </c>
      <c r="C41" s="15">
        <f t="shared" ref="C41:P41" si="35">_xlfn.STDEV.P(C35:C39)</f>
        <v>4.7062962762665084E-3</v>
      </c>
      <c r="D41" s="15">
        <f t="shared" si="35"/>
        <v>3.7650370210132048E-3</v>
      </c>
      <c r="E41" s="15">
        <f t="shared" si="35"/>
        <v>1.5224113241827607E-3</v>
      </c>
      <c r="F41" s="15">
        <f t="shared" si="35"/>
        <v>4.5672339725482819E-3</v>
      </c>
      <c r="G41" s="15">
        <f t="shared" si="35"/>
        <v>1.8268935890193128E-2</v>
      </c>
      <c r="H41" s="15">
        <f t="shared" si="35"/>
        <v>2.5050675519833841E-3</v>
      </c>
      <c r="I41" s="15">
        <f t="shared" si="35"/>
        <v>7.5152026559501522E-3</v>
      </c>
      <c r="J41" s="15">
        <f t="shared" si="35"/>
        <v>0.12024324249520243</v>
      </c>
      <c r="K41" s="15">
        <f t="shared" si="35"/>
        <v>1.0157059810791758E-3</v>
      </c>
      <c r="L41" s="15">
        <f t="shared" si="35"/>
        <v>3.0471179432375278E-3</v>
      </c>
      <c r="M41" s="15">
        <f t="shared" si="35"/>
        <v>0.1218847177295011</v>
      </c>
      <c r="N41" s="15">
        <f t="shared" si="35"/>
        <v>5.1259754193713877E-4</v>
      </c>
      <c r="O41" s="15">
        <f t="shared" si="35"/>
        <v>1.5377926258114164E-3</v>
      </c>
      <c r="P41" s="15">
        <f t="shared" si="35"/>
        <v>0.61511705032456621</v>
      </c>
    </row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>
      <c r="A45" s="21" t="s">
        <v>41</v>
      </c>
      <c r="B45" s="98" t="s">
        <v>25</v>
      </c>
      <c r="C45" s="99"/>
      <c r="D45" s="100"/>
      <c r="E45" s="98" t="s">
        <v>26</v>
      </c>
      <c r="F45" s="99"/>
      <c r="G45" s="100"/>
      <c r="H45" s="98" t="s">
        <v>27</v>
      </c>
      <c r="I45" s="99"/>
      <c r="J45" s="100"/>
      <c r="K45" s="98" t="s">
        <v>28</v>
      </c>
      <c r="L45" s="99"/>
      <c r="M45" s="100"/>
      <c r="N45" s="98" t="s">
        <v>29</v>
      </c>
      <c r="O45" s="99"/>
      <c r="P45" s="100"/>
    </row>
    <row r="46" spans="1:16" ht="15.75" customHeight="1" x14ac:dyDescent="0.25">
      <c r="A46" s="14" t="s">
        <v>38</v>
      </c>
      <c r="B46" s="15" t="s">
        <v>11</v>
      </c>
      <c r="C46" s="83" t="s">
        <v>14</v>
      </c>
      <c r="D46" s="17" t="s">
        <v>15</v>
      </c>
      <c r="E46" s="15" t="s">
        <v>11</v>
      </c>
      <c r="F46" s="83" t="s">
        <v>14</v>
      </c>
      <c r="G46" s="17" t="s">
        <v>15</v>
      </c>
      <c r="H46" s="15" t="s">
        <v>11</v>
      </c>
      <c r="I46" s="83" t="s">
        <v>14</v>
      </c>
      <c r="J46" s="17" t="s">
        <v>15</v>
      </c>
      <c r="K46" s="15" t="s">
        <v>11</v>
      </c>
      <c r="L46" s="83" t="s">
        <v>14</v>
      </c>
      <c r="M46" s="17" t="s">
        <v>15</v>
      </c>
      <c r="N46" s="15" t="s">
        <v>11</v>
      </c>
      <c r="O46" s="83" t="s">
        <v>14</v>
      </c>
      <c r="P46" s="17" t="s">
        <v>15</v>
      </c>
    </row>
    <row r="47" spans="1:16" ht="15.75" customHeight="1" x14ac:dyDescent="0.25">
      <c r="A47" s="87">
        <v>1</v>
      </c>
      <c r="B47" s="86">
        <f>0.602151-(Timer_measurements!$J$17)</f>
        <v>2.1513142857142897E-2</v>
      </c>
      <c r="C47" s="86">
        <f t="shared" ref="C47:C51" si="36">$B$2*B47</f>
        <v>6.4539428571428692E-2</v>
      </c>
      <c r="D47" s="90">
        <f t="shared" ref="D47:D51" si="37">C47*$B$6</f>
        <v>0.12907885714285738</v>
      </c>
      <c r="E47" s="86">
        <f>0.602221-(Timer_measurements!$J$17)</f>
        <v>2.1583142857142912E-2</v>
      </c>
      <c r="F47" s="86">
        <f t="shared" ref="F47:F51" si="38">$C$2*E47</f>
        <v>6.4749428571428735E-2</v>
      </c>
      <c r="G47" s="90">
        <f t="shared" ref="G47:G51" si="39">F47*$C$6</f>
        <v>0.64749428571428735</v>
      </c>
      <c r="H47" s="86">
        <f>0.60248-(Timer_measurements!$J$17)</f>
        <v>2.1842142857142921E-2</v>
      </c>
      <c r="I47" s="86">
        <f t="shared" ref="I47:I51" si="40">$D$2*H47</f>
        <v>6.5526428571428763E-2</v>
      </c>
      <c r="J47" s="90">
        <f t="shared" ref="J47:J51" si="41">I47*$D$6</f>
        <v>2.6210571428571505</v>
      </c>
      <c r="K47" s="86">
        <f>0.602294-(Timer_measurements!$J$17)</f>
        <v>2.1656142857142902E-2</v>
      </c>
      <c r="L47" s="86">
        <f t="shared" ref="L47:L51" si="42">$E$2*K47</f>
        <v>6.4968428571428705E-2</v>
      </c>
      <c r="M47" s="90">
        <f t="shared" ref="M47:M51" si="43">L47*$E$6</f>
        <v>6.4968428571428705</v>
      </c>
      <c r="N47" s="24"/>
      <c r="P47" s="90"/>
    </row>
    <row r="48" spans="1:16" ht="15.75" customHeight="1" x14ac:dyDescent="0.25">
      <c r="A48" s="87">
        <v>2</v>
      </c>
      <c r="B48" s="86">
        <f>0.602068-(Timer_measurements!$J$17)</f>
        <v>2.1430142857142953E-2</v>
      </c>
      <c r="C48" s="86">
        <f t="shared" si="36"/>
        <v>6.4290428571428859E-2</v>
      </c>
      <c r="D48" s="90">
        <f t="shared" si="37"/>
        <v>0.12858085714285772</v>
      </c>
      <c r="E48" s="86">
        <f>0.601863-(Timer_measurements!$J$17)</f>
        <v>2.1225142857142942E-2</v>
      </c>
      <c r="F48" s="86">
        <f t="shared" si="38"/>
        <v>6.3675428571428827E-2</v>
      </c>
      <c r="G48" s="90">
        <f t="shared" si="39"/>
        <v>0.63675428571428827</v>
      </c>
      <c r="H48" s="86">
        <f>0.602086-(Timer_measurements!$J$17)</f>
        <v>2.1448142857142916E-2</v>
      </c>
      <c r="I48" s="86">
        <f t="shared" si="40"/>
        <v>6.4344428571428747E-2</v>
      </c>
      <c r="J48" s="90">
        <f t="shared" si="41"/>
        <v>2.5737771428571499</v>
      </c>
      <c r="K48" s="86">
        <f>0.602314-(Timer_measurements!$J$17)</f>
        <v>2.1676142857142922E-2</v>
      </c>
      <c r="L48" s="86">
        <f t="shared" si="42"/>
        <v>6.5028428571428765E-2</v>
      </c>
      <c r="M48" s="90">
        <f t="shared" si="43"/>
        <v>6.5028428571428769</v>
      </c>
      <c r="N48" s="25"/>
      <c r="P48" s="90"/>
    </row>
    <row r="49" spans="1:16" ht="15.75" customHeight="1" x14ac:dyDescent="0.25">
      <c r="A49" s="87">
        <v>3</v>
      </c>
      <c r="B49" s="86">
        <f>0.601934-(Timer_measurements!$J$17)</f>
        <v>2.1296142857142875E-2</v>
      </c>
      <c r="C49" s="86">
        <f t="shared" si="36"/>
        <v>6.3888428571428624E-2</v>
      </c>
      <c r="D49" s="90">
        <f t="shared" si="37"/>
        <v>0.12777685714285725</v>
      </c>
      <c r="E49" s="86">
        <f>0.602461-(Timer_measurements!$J$17)</f>
        <v>2.182314285714293E-2</v>
      </c>
      <c r="F49" s="86">
        <f t="shared" si="38"/>
        <v>6.5469428571428789E-2</v>
      </c>
      <c r="G49" s="90">
        <f t="shared" si="39"/>
        <v>0.65469428571428789</v>
      </c>
      <c r="H49" s="86">
        <f>0.602396-(Timer_measurements!$J$17)</f>
        <v>2.1758142857142948E-2</v>
      </c>
      <c r="I49" s="86">
        <f t="shared" si="40"/>
        <v>6.5274428571428844E-2</v>
      </c>
      <c r="J49" s="90">
        <f t="shared" si="41"/>
        <v>2.6109771428571538</v>
      </c>
      <c r="K49" s="86">
        <f>0.602127-(Timer_measurements!$J$17)</f>
        <v>2.1489142857142873E-2</v>
      </c>
      <c r="L49" s="86">
        <f t="shared" si="42"/>
        <v>6.446742857142862E-2</v>
      </c>
      <c r="M49" s="90">
        <f t="shared" si="43"/>
        <v>6.446742857142862</v>
      </c>
      <c r="N49" s="25"/>
      <c r="P49" s="90"/>
    </row>
    <row r="50" spans="1:16" ht="15.75" customHeight="1" x14ac:dyDescent="0.25">
      <c r="A50" s="87">
        <v>4</v>
      </c>
      <c r="B50" s="86">
        <f>0.60295-(Timer_measurements!$J$17)</f>
        <v>2.2312142857142891E-2</v>
      </c>
      <c r="C50" s="86">
        <f t="shared" si="36"/>
        <v>6.6936428571428674E-2</v>
      </c>
      <c r="D50" s="90">
        <f t="shared" si="37"/>
        <v>0.13387285714285735</v>
      </c>
      <c r="E50" s="86">
        <f>0.602123-(Timer_measurements!$J$17)</f>
        <v>2.1485142857142869E-2</v>
      </c>
      <c r="F50" s="86">
        <f t="shared" si="38"/>
        <v>6.4455428571428608E-2</v>
      </c>
      <c r="G50" s="90">
        <f t="shared" si="39"/>
        <v>0.64455428571428608</v>
      </c>
      <c r="H50" s="86">
        <f>0.602189-(Timer_measurements!$J$17)</f>
        <v>2.155114285714288E-2</v>
      </c>
      <c r="I50" s="86">
        <f t="shared" si="40"/>
        <v>6.4653428571428639E-2</v>
      </c>
      <c r="J50" s="90">
        <f t="shared" si="41"/>
        <v>2.5861371428571456</v>
      </c>
      <c r="K50" s="86">
        <f>0.601984-(Timer_measurements!$J$17)</f>
        <v>2.1346142857142869E-2</v>
      </c>
      <c r="L50" s="86">
        <f t="shared" si="42"/>
        <v>6.4038428571428607E-2</v>
      </c>
      <c r="M50" s="90">
        <f t="shared" si="43"/>
        <v>6.4038428571428607</v>
      </c>
      <c r="N50" s="25"/>
      <c r="P50" s="90"/>
    </row>
    <row r="51" spans="1:16" ht="15.75" customHeight="1" x14ac:dyDescent="0.25">
      <c r="A51" s="87">
        <v>5</v>
      </c>
      <c r="B51" s="86">
        <f>0.601691-(Timer_measurements!$J$17)</f>
        <v>2.1053142857142881E-2</v>
      </c>
      <c r="C51" s="86">
        <f t="shared" si="36"/>
        <v>6.3159428571428644E-2</v>
      </c>
      <c r="D51" s="90">
        <f t="shared" si="37"/>
        <v>0.12631885714285729</v>
      </c>
      <c r="E51" s="86">
        <f>0.602227-(Timer_measurements!$J$17)</f>
        <v>2.1589142857142862E-2</v>
      </c>
      <c r="F51" s="86">
        <f t="shared" si="38"/>
        <v>6.4767428571428587E-2</v>
      </c>
      <c r="G51" s="90">
        <f t="shared" si="39"/>
        <v>0.64767428571428587</v>
      </c>
      <c r="H51" s="86">
        <f>0.602251-(Timer_measurements!$J$17)</f>
        <v>2.1613142857142886E-2</v>
      </c>
      <c r="I51" s="86">
        <f t="shared" si="40"/>
        <v>6.4839428571428659E-2</v>
      </c>
      <c r="J51" s="90">
        <f t="shared" si="41"/>
        <v>2.5935771428571464</v>
      </c>
      <c r="K51" s="86">
        <f>0.602081-(Timer_measurements!$J$17)</f>
        <v>2.1443142857142883E-2</v>
      </c>
      <c r="L51" s="86">
        <f t="shared" si="42"/>
        <v>6.4329428571428648E-2</v>
      </c>
      <c r="M51" s="90">
        <f t="shared" si="43"/>
        <v>6.4329428571428648</v>
      </c>
      <c r="N51" s="25"/>
      <c r="P51" s="90"/>
    </row>
    <row r="52" spans="1:16" ht="15.75" customHeight="1" x14ac:dyDescent="0.25">
      <c r="A52" s="14" t="s">
        <v>22</v>
      </c>
      <c r="B52" s="15">
        <f t="shared" ref="B52:M52" si="44">AVERAGE(B47:B51)</f>
        <v>2.15209428571429E-2</v>
      </c>
      <c r="C52" s="83">
        <f t="shared" si="44"/>
        <v>6.4562828571428699E-2</v>
      </c>
      <c r="D52" s="84">
        <f t="shared" si="44"/>
        <v>0.1291256571428574</v>
      </c>
      <c r="E52" s="15">
        <f t="shared" si="44"/>
        <v>2.1541142857142904E-2</v>
      </c>
      <c r="F52" s="83">
        <f t="shared" si="44"/>
        <v>6.4623428571428707E-2</v>
      </c>
      <c r="G52" s="84">
        <f t="shared" si="44"/>
        <v>0.64623428571428709</v>
      </c>
      <c r="H52" s="15">
        <f t="shared" si="44"/>
        <v>2.1642542857142909E-2</v>
      </c>
      <c r="I52" s="83">
        <f t="shared" si="44"/>
        <v>6.4927628571428725E-2</v>
      </c>
      <c r="J52" s="84">
        <f t="shared" si="44"/>
        <v>2.5971051428571492</v>
      </c>
      <c r="K52" s="15">
        <f t="shared" si="44"/>
        <v>2.1522142857142889E-2</v>
      </c>
      <c r="L52" s="83">
        <f t="shared" si="44"/>
        <v>6.4566428571428663E-2</v>
      </c>
      <c r="M52" s="84">
        <f t="shared" si="44"/>
        <v>6.4566428571428656</v>
      </c>
      <c r="N52" s="15"/>
      <c r="O52" s="83"/>
      <c r="P52" s="84"/>
    </row>
    <row r="53" spans="1:16" ht="15.75" customHeight="1" x14ac:dyDescent="0.25">
      <c r="A53" s="14" t="s">
        <v>23</v>
      </c>
      <c r="B53" s="15">
        <f>_xlfn.STDEV.P(B47:B51)</f>
        <v>4.2512934502337191E-4</v>
      </c>
      <c r="C53" s="15">
        <f t="shared" ref="C53:M53" si="45">_xlfn.STDEV.P(C47:C51)</f>
        <v>1.2753880350701156E-3</v>
      </c>
      <c r="D53" s="15">
        <f t="shared" si="45"/>
        <v>2.5507760701402311E-3</v>
      </c>
      <c r="E53" s="15">
        <f t="shared" si="45"/>
        <v>1.931755678133189E-4</v>
      </c>
      <c r="F53" s="15">
        <f t="shared" si="45"/>
        <v>5.795267034399567E-4</v>
      </c>
      <c r="G53" s="15">
        <f t="shared" si="45"/>
        <v>5.7952670343995672E-3</v>
      </c>
      <c r="H53" s="15">
        <f t="shared" si="45"/>
        <v>1.4157203113610961E-4</v>
      </c>
      <c r="I53" s="15">
        <f t="shared" si="45"/>
        <v>4.2471609340832882E-4</v>
      </c>
      <c r="J53" s="15">
        <f t="shared" si="45"/>
        <v>1.6988643736333152E-2</v>
      </c>
      <c r="K53" s="15">
        <f t="shared" si="45"/>
        <v>1.2647371268372128E-4</v>
      </c>
      <c r="L53" s="15">
        <f t="shared" si="45"/>
        <v>3.7942113805116383E-4</v>
      </c>
      <c r="M53" s="15">
        <f t="shared" si="45"/>
        <v>3.7942113805116494E-2</v>
      </c>
      <c r="N53" s="15"/>
      <c r="O53" s="83"/>
      <c r="P53" s="84"/>
    </row>
    <row r="54" spans="1:16" ht="15.75" customHeight="1" x14ac:dyDescent="0.25"/>
    <row r="55" spans="1:16" ht="15.75" customHeight="1" x14ac:dyDescent="0.25"/>
    <row r="56" spans="1:16" ht="15.75" customHeight="1" x14ac:dyDescent="0.25">
      <c r="A56" s="21" t="s">
        <v>42</v>
      </c>
      <c r="B56" s="98" t="s">
        <v>25</v>
      </c>
      <c r="C56" s="99"/>
      <c r="D56" s="100"/>
      <c r="E56" s="98" t="s">
        <v>26</v>
      </c>
      <c r="F56" s="99"/>
      <c r="G56" s="100"/>
      <c r="H56" s="98" t="s">
        <v>27</v>
      </c>
      <c r="I56" s="99"/>
      <c r="J56" s="100"/>
      <c r="K56" s="98" t="s">
        <v>28</v>
      </c>
      <c r="L56" s="99"/>
      <c r="M56" s="100"/>
      <c r="N56" s="98" t="s">
        <v>29</v>
      </c>
      <c r="O56" s="99"/>
      <c r="P56" s="100"/>
    </row>
    <row r="57" spans="1:16" ht="15.75" customHeight="1" x14ac:dyDescent="0.25">
      <c r="A57" s="14" t="s">
        <v>38</v>
      </c>
      <c r="B57" s="22" t="s">
        <v>11</v>
      </c>
      <c r="C57" s="83" t="s">
        <v>14</v>
      </c>
      <c r="D57" s="17" t="s">
        <v>15</v>
      </c>
      <c r="E57" s="22" t="s">
        <v>11</v>
      </c>
      <c r="F57" s="83" t="s">
        <v>14</v>
      </c>
      <c r="G57" s="17" t="s">
        <v>15</v>
      </c>
      <c r="H57" s="22" t="s">
        <v>11</v>
      </c>
      <c r="I57" s="83" t="s">
        <v>14</v>
      </c>
      <c r="J57" s="17" t="s">
        <v>15</v>
      </c>
      <c r="K57" s="22" t="s">
        <v>11</v>
      </c>
      <c r="L57" s="83" t="s">
        <v>14</v>
      </c>
      <c r="M57" s="17" t="s">
        <v>15</v>
      </c>
      <c r="N57" s="15" t="s">
        <v>11</v>
      </c>
      <c r="O57" s="83" t="s">
        <v>14</v>
      </c>
      <c r="P57" s="17" t="s">
        <v>15</v>
      </c>
    </row>
    <row r="58" spans="1:16" ht="15.75" customHeight="1" x14ac:dyDescent="0.25">
      <c r="A58" s="79">
        <v>1</v>
      </c>
      <c r="B58" s="86">
        <f>0.597403-(Timer_measurements!$J$17)</f>
        <v>1.6765142857142923E-2</v>
      </c>
      <c r="C58" s="86">
        <f t="shared" ref="C58:C62" si="46">$B$2*B58</f>
        <v>5.0295428571428769E-2</v>
      </c>
      <c r="D58" s="86">
        <f t="shared" ref="D58:D62" si="47">C58*$B$7</f>
        <v>0.40236342857143015</v>
      </c>
      <c r="E58" s="86">
        <f>0.597215-(Timer_measurements!$J$17)</f>
        <v>1.6577142857142957E-2</v>
      </c>
      <c r="F58" s="86">
        <f t="shared" ref="F58:F62" si="48">$C$2*E58</f>
        <v>4.9731428571428871E-2</v>
      </c>
      <c r="G58" s="86">
        <f t="shared" ref="G58:G62" si="49">F58*$C$7</f>
        <v>1.9892571428571548</v>
      </c>
      <c r="H58" s="86">
        <f>0.597594-(Timer_measurements!$J$17)</f>
        <v>1.6956142857142864E-2</v>
      </c>
      <c r="I58" s="86">
        <f t="shared" ref="I58:I62" si="50">$D$2*H58</f>
        <v>5.0868428571428592E-2</v>
      </c>
      <c r="J58" s="86">
        <f t="shared" ref="J58:J62" si="51">I58*$D$7</f>
        <v>8.1389485714285748</v>
      </c>
      <c r="K58" s="86">
        <f>0.597356-(Timer_measurements!$J$17)</f>
        <v>1.6718142857142904E-2</v>
      </c>
      <c r="L58" s="86">
        <f t="shared" ref="L58:L62" si="52">$E$2*K58</f>
        <v>5.0154428571428711E-2</v>
      </c>
      <c r="M58" s="90">
        <f t="shared" ref="M58:M62" si="53">L58*$E$7</f>
        <v>20.061771428571483</v>
      </c>
      <c r="N58" s="25"/>
      <c r="P58" s="90"/>
    </row>
    <row r="59" spans="1:16" ht="15.75" customHeight="1" x14ac:dyDescent="0.25">
      <c r="A59" s="87">
        <v>2</v>
      </c>
      <c r="B59" s="86">
        <f>0.597079-(Timer_measurements!$J$17)</f>
        <v>1.6441142857142932E-2</v>
      </c>
      <c r="C59" s="86">
        <f t="shared" si="46"/>
        <v>4.9323428571428796E-2</v>
      </c>
      <c r="D59" s="90">
        <f t="shared" si="47"/>
        <v>0.39458742857143037</v>
      </c>
      <c r="E59" s="86">
        <f>0.597165-(Timer_measurements!$J$17)</f>
        <v>1.6527142857142851E-2</v>
      </c>
      <c r="F59" s="86">
        <f t="shared" si="48"/>
        <v>4.9581428571428554E-2</v>
      </c>
      <c r="G59" s="90">
        <f t="shared" si="49"/>
        <v>1.9832571428571422</v>
      </c>
      <c r="H59" s="86">
        <f>0.597652-(Timer_measurements!$J$17)</f>
        <v>1.7014142857142867E-2</v>
      </c>
      <c r="I59" s="86">
        <f t="shared" si="50"/>
        <v>5.10424285714286E-2</v>
      </c>
      <c r="J59" s="90">
        <f t="shared" si="51"/>
        <v>8.1667885714285759</v>
      </c>
      <c r="K59" s="86">
        <f>0.597407-(Timer_measurements!$J$17)</f>
        <v>1.6769142857142927E-2</v>
      </c>
      <c r="L59" s="86">
        <f t="shared" si="52"/>
        <v>5.0307428571428781E-2</v>
      </c>
      <c r="M59" s="90">
        <f t="shared" si="53"/>
        <v>20.12297142857151</v>
      </c>
      <c r="N59" s="25"/>
      <c r="P59" s="90"/>
    </row>
    <row r="60" spans="1:16" ht="15.75" customHeight="1" x14ac:dyDescent="0.25">
      <c r="A60" s="87">
        <v>3</v>
      </c>
      <c r="B60" s="86">
        <f>0.597781-(Timer_measurements!$J$17)</f>
        <v>1.7143142857142912E-2</v>
      </c>
      <c r="C60" s="86">
        <f t="shared" si="46"/>
        <v>5.1429428571428737E-2</v>
      </c>
      <c r="D60" s="90">
        <f t="shared" si="47"/>
        <v>0.4114354285714299</v>
      </c>
      <c r="E60" s="86">
        <f>0.597379-(Timer_measurements!$J$17)</f>
        <v>1.6741142857142899E-2</v>
      </c>
      <c r="F60" s="86">
        <f t="shared" si="48"/>
        <v>5.0223428571428697E-2</v>
      </c>
      <c r="G60" s="90">
        <f t="shared" si="49"/>
        <v>2.0089371428571479</v>
      </c>
      <c r="H60" s="86">
        <f>0.597124-(Timer_measurements!$J$17)</f>
        <v>1.6486142857142894E-2</v>
      </c>
      <c r="I60" s="86">
        <f t="shared" si="50"/>
        <v>4.9458428571428681E-2</v>
      </c>
      <c r="J60" s="90">
        <f t="shared" si="51"/>
        <v>7.9133485714285889</v>
      </c>
      <c r="K60" s="86">
        <f>0.597282-(Timer_measurements!$J$17)</f>
        <v>1.6644142857142885E-2</v>
      </c>
      <c r="L60" s="86">
        <f t="shared" si="52"/>
        <v>4.9932428571428655E-2</v>
      </c>
      <c r="M60" s="90">
        <f t="shared" si="53"/>
        <v>19.972971428571462</v>
      </c>
      <c r="N60" s="25"/>
      <c r="P60" s="90"/>
    </row>
    <row r="61" spans="1:16" ht="15.75" customHeight="1" x14ac:dyDescent="0.25">
      <c r="A61" s="87">
        <v>4</v>
      </c>
      <c r="B61" s="86">
        <f>0.597306-(Timer_measurements!$J$17)</f>
        <v>1.6668142857142909E-2</v>
      </c>
      <c r="C61" s="86">
        <f t="shared" si="46"/>
        <v>5.0004428571428727E-2</v>
      </c>
      <c r="D61" s="90">
        <f t="shared" si="47"/>
        <v>0.40003542857142982</v>
      </c>
      <c r="E61" s="86">
        <f>0.597063-(Timer_measurements!$J$17)</f>
        <v>1.6425142857142916E-2</v>
      </c>
      <c r="F61" s="86">
        <f t="shared" si="48"/>
        <v>4.9275428571428748E-2</v>
      </c>
      <c r="G61" s="90">
        <f t="shared" si="49"/>
        <v>1.9710171428571499</v>
      </c>
      <c r="H61" s="86">
        <f>0.597546-(Timer_measurements!$J$17)</f>
        <v>1.6908142857142927E-2</v>
      </c>
      <c r="I61" s="86">
        <f t="shared" si="50"/>
        <v>5.0724428571428781E-2</v>
      </c>
      <c r="J61" s="90">
        <f t="shared" si="51"/>
        <v>8.115908571428605</v>
      </c>
      <c r="K61" s="86">
        <f>0.597322-(Timer_measurements!$J$17)</f>
        <v>1.6684142857142925E-2</v>
      </c>
      <c r="L61" s="86">
        <f t="shared" si="52"/>
        <v>5.0052428571428775E-2</v>
      </c>
      <c r="M61" s="90">
        <f t="shared" si="53"/>
        <v>20.02097142857151</v>
      </c>
      <c r="N61" s="25"/>
      <c r="P61" s="90"/>
    </row>
    <row r="62" spans="1:16" ht="15.75" customHeight="1" x14ac:dyDescent="0.25">
      <c r="A62" s="87">
        <v>5</v>
      </c>
      <c r="B62" s="86">
        <f>0.597325-(Timer_measurements!$J$17)</f>
        <v>1.66871428571429E-2</v>
      </c>
      <c r="C62" s="86">
        <f t="shared" si="46"/>
        <v>5.0061428571428701E-2</v>
      </c>
      <c r="D62" s="90">
        <f t="shared" si="47"/>
        <v>0.40049142857142961</v>
      </c>
      <c r="E62" s="86">
        <f>0.597685-(Timer_measurements!$J$17)</f>
        <v>1.7047142857142927E-2</v>
      </c>
      <c r="F62" s="86">
        <f t="shared" si="48"/>
        <v>5.1141428571428782E-2</v>
      </c>
      <c r="G62" s="90">
        <f t="shared" si="49"/>
        <v>2.0456571428571513</v>
      </c>
      <c r="H62" s="86">
        <f>0.597885-(Timer_measurements!$J$17)</f>
        <v>1.7247142857142905E-2</v>
      </c>
      <c r="I62" s="86">
        <f t="shared" si="50"/>
        <v>5.1741428571428716E-2</v>
      </c>
      <c r="J62" s="90">
        <f t="shared" si="51"/>
        <v>8.2786285714285945</v>
      </c>
      <c r="K62" s="86">
        <f>0.597378-(Timer_measurements!$J$17)</f>
        <v>1.674014285714287E-2</v>
      </c>
      <c r="L62" s="86">
        <f t="shared" si="52"/>
        <v>5.022042857142861E-2</v>
      </c>
      <c r="M62" s="90">
        <f t="shared" si="53"/>
        <v>20.088171428571442</v>
      </c>
      <c r="N62" s="25"/>
      <c r="P62" s="90"/>
    </row>
    <row r="63" spans="1:16" ht="15.75" customHeight="1" x14ac:dyDescent="0.25">
      <c r="A63" s="14" t="s">
        <v>22</v>
      </c>
      <c r="B63" s="15">
        <f t="shared" ref="B63:M63" si="54">AVERAGE(B58:B62)</f>
        <v>1.6740942857142914E-2</v>
      </c>
      <c r="C63" s="83">
        <f t="shared" si="54"/>
        <v>5.0222828571428749E-2</v>
      </c>
      <c r="D63" s="84">
        <f t="shared" si="54"/>
        <v>0.40178262857142999</v>
      </c>
      <c r="E63" s="15">
        <f t="shared" si="54"/>
        <v>1.6663542857142909E-2</v>
      </c>
      <c r="F63" s="83">
        <f t="shared" si="54"/>
        <v>4.9990628571428733E-2</v>
      </c>
      <c r="G63" s="84">
        <f t="shared" si="54"/>
        <v>1.999625142857149</v>
      </c>
      <c r="H63" s="15">
        <f t="shared" si="54"/>
        <v>1.6922342857142891E-2</v>
      </c>
      <c r="I63" s="83">
        <f t="shared" si="54"/>
        <v>5.0767028571428674E-2</v>
      </c>
      <c r="J63" s="84">
        <f t="shared" si="54"/>
        <v>8.1227245714285878</v>
      </c>
      <c r="K63" s="15">
        <f t="shared" si="54"/>
        <v>1.6711142857142904E-2</v>
      </c>
      <c r="L63" s="83">
        <f t="shared" si="54"/>
        <v>5.0133428571428704E-2</v>
      </c>
      <c r="M63" s="84">
        <f t="shared" si="54"/>
        <v>20.053371428571481</v>
      </c>
      <c r="N63" s="15"/>
      <c r="O63" s="83"/>
      <c r="P63" s="84"/>
    </row>
    <row r="64" spans="1:16" ht="15.75" customHeight="1" x14ac:dyDescent="0.25">
      <c r="A64" s="14" t="s">
        <v>23</v>
      </c>
      <c r="B64" s="15">
        <f>_xlfn.STDEV.P(B58:B62)</f>
        <v>2.2822129611409645E-4</v>
      </c>
      <c r="C64" s="15">
        <f t="shared" ref="C64:M64" si="55">_xlfn.STDEV.P(C58:C62)</f>
        <v>6.8466388834228945E-4</v>
      </c>
      <c r="D64" s="15">
        <f t="shared" si="55"/>
        <v>5.4773111067383156E-3</v>
      </c>
      <c r="E64" s="15">
        <f t="shared" si="55"/>
        <v>2.1729022067272914E-4</v>
      </c>
      <c r="F64" s="15">
        <f t="shared" si="55"/>
        <v>6.5187066201818748E-4</v>
      </c>
      <c r="G64" s="15">
        <f t="shared" si="55"/>
        <v>2.6074826480727498E-2</v>
      </c>
      <c r="H64" s="15">
        <f t="shared" si="55"/>
        <v>2.4719902912430689E-4</v>
      </c>
      <c r="I64" s="15">
        <f t="shared" si="55"/>
        <v>7.4159708737292062E-4</v>
      </c>
      <c r="J64" s="15">
        <f t="shared" si="55"/>
        <v>0.11865553397966731</v>
      </c>
      <c r="K64" s="15">
        <f t="shared" si="55"/>
        <v>4.3524705627958176E-5</v>
      </c>
      <c r="L64" s="15">
        <f t="shared" si="55"/>
        <v>1.3057411688387454E-4</v>
      </c>
      <c r="M64" s="15">
        <f t="shared" si="55"/>
        <v>5.222964675354904E-2</v>
      </c>
      <c r="N64" s="15"/>
      <c r="O64" s="83"/>
      <c r="P64" s="84"/>
    </row>
    <row r="65" spans="1:17" ht="15.75" customHeight="1" x14ac:dyDescent="0.25"/>
    <row r="66" spans="1:17" ht="15.75" customHeight="1" x14ac:dyDescent="0.25"/>
    <row r="67" spans="1:17" ht="15.75" customHeight="1" x14ac:dyDescent="0.25"/>
    <row r="68" spans="1:17" ht="15.75" customHeight="1" x14ac:dyDescent="0.25"/>
    <row r="69" spans="1:17" ht="15.75" customHeight="1" x14ac:dyDescent="0.25">
      <c r="A69" s="24"/>
      <c r="B69" s="24"/>
      <c r="C69" s="101" t="s">
        <v>11</v>
      </c>
      <c r="D69" s="102"/>
      <c r="E69" s="102"/>
      <c r="F69" s="102"/>
      <c r="G69" s="103"/>
      <c r="H69" s="106" t="s">
        <v>14</v>
      </c>
      <c r="I69" s="102"/>
      <c r="J69" s="102"/>
      <c r="K69" s="102"/>
      <c r="L69" s="102"/>
      <c r="M69" s="101" t="s">
        <v>15</v>
      </c>
      <c r="N69" s="102"/>
      <c r="O69" s="102"/>
      <c r="P69" s="102"/>
      <c r="Q69" s="103"/>
    </row>
    <row r="70" spans="1:17" ht="15.75" customHeight="1" x14ac:dyDescent="0.25">
      <c r="A70" s="24"/>
      <c r="B70" s="21" t="s">
        <v>10</v>
      </c>
      <c r="C70" s="25" t="s">
        <v>25</v>
      </c>
      <c r="D70" s="85" t="s">
        <v>26</v>
      </c>
      <c r="E70" s="85" t="s">
        <v>27</v>
      </c>
      <c r="F70" s="85" t="s">
        <v>28</v>
      </c>
      <c r="G70" s="26" t="s">
        <v>29</v>
      </c>
      <c r="H70" s="85" t="s">
        <v>25</v>
      </c>
      <c r="I70" s="85" t="s">
        <v>26</v>
      </c>
      <c r="J70" s="85" t="s">
        <v>27</v>
      </c>
      <c r="K70" s="85" t="s">
        <v>28</v>
      </c>
      <c r="L70" s="85" t="s">
        <v>29</v>
      </c>
      <c r="M70" s="25" t="s">
        <v>25</v>
      </c>
      <c r="N70" s="85" t="s">
        <v>26</v>
      </c>
      <c r="O70" s="85" t="s">
        <v>27</v>
      </c>
      <c r="P70" s="85" t="s">
        <v>28</v>
      </c>
      <c r="Q70" s="26" t="s">
        <v>29</v>
      </c>
    </row>
    <row r="71" spans="1:17" ht="15.75" customHeight="1" x14ac:dyDescent="0.25">
      <c r="A71" s="95" t="s">
        <v>43</v>
      </c>
      <c r="B71" s="89">
        <v>1</v>
      </c>
      <c r="C71" s="86">
        <f>1.625-(Timer_measurements!$J$17)</f>
        <v>1.044362142857143</v>
      </c>
      <c r="D71" s="86">
        <f>1.708-(Timer_measurements!$J$17)</f>
        <v>1.1273621428571428</v>
      </c>
      <c r="E71" s="86">
        <f>1.663-(Timer_measurements!$J$17)</f>
        <v>1.0823621428571428</v>
      </c>
      <c r="F71" s="86">
        <f>1.642-(Timer_measurements!$J$17)</f>
        <v>1.0613621428571429</v>
      </c>
      <c r="G71" s="86">
        <f>1.63-(Timer_measurements!$J$17)</f>
        <v>1.0493621428571429</v>
      </c>
      <c r="H71" s="81">
        <f t="shared" ref="H71:L75" si="56">C71*B$2</f>
        <v>3.133086428571429</v>
      </c>
      <c r="I71" s="81">
        <f t="shared" si="56"/>
        <v>3.3820864285714283</v>
      </c>
      <c r="J71" s="81">
        <f t="shared" si="56"/>
        <v>3.2470864285714285</v>
      </c>
      <c r="K71" s="81">
        <f t="shared" si="56"/>
        <v>3.1840864285714288</v>
      </c>
      <c r="L71" s="81">
        <f t="shared" si="56"/>
        <v>3.1480864285714287</v>
      </c>
      <c r="M71" s="22">
        <f t="shared" ref="M71:Q75" si="57">H71*B$3</f>
        <v>4.6996296428571435E-2</v>
      </c>
      <c r="N71" s="81">
        <f t="shared" si="57"/>
        <v>0.25365648214285713</v>
      </c>
      <c r="O71" s="81">
        <f t="shared" si="57"/>
        <v>0.97412592857142855</v>
      </c>
      <c r="P71" s="81">
        <f t="shared" si="57"/>
        <v>2.3880648214285713</v>
      </c>
      <c r="Q71" s="82">
        <f t="shared" si="57"/>
        <v>23.610648214285714</v>
      </c>
    </row>
    <row r="72" spans="1:17" ht="15.75" customHeight="1" x14ac:dyDescent="0.25">
      <c r="A72" s="96"/>
      <c r="B72" s="25">
        <v>2</v>
      </c>
      <c r="C72" s="86">
        <f>1.638-(Timer_measurements!$J$17)</f>
        <v>1.0573621428571429</v>
      </c>
      <c r="D72" s="86">
        <f>1.698-(Timer_measurements!$J$17)</f>
        <v>1.117362142857143</v>
      </c>
      <c r="E72" s="86">
        <f>1.658-(Timer_measurements!$J$17)</f>
        <v>1.0773621428571429</v>
      </c>
      <c r="F72" s="86">
        <f>1.632-(Timer_measurements!$J$17)</f>
        <v>1.0513621428571427</v>
      </c>
      <c r="G72" s="86">
        <f>1.629-(Timer_measurements!$J$17)</f>
        <v>1.048362142857143</v>
      </c>
      <c r="H72" s="24">
        <f t="shared" si="56"/>
        <v>3.1720864285714288</v>
      </c>
      <c r="I72" s="24">
        <f t="shared" si="56"/>
        <v>3.3520864285714289</v>
      </c>
      <c r="J72" s="24">
        <f t="shared" si="56"/>
        <v>3.2320864285714288</v>
      </c>
      <c r="K72" s="24">
        <f t="shared" si="56"/>
        <v>3.1540864285714281</v>
      </c>
      <c r="L72" s="24">
        <f t="shared" si="56"/>
        <v>3.1450864285714291</v>
      </c>
      <c r="M72" s="79">
        <f t="shared" si="57"/>
        <v>4.758129642857143E-2</v>
      </c>
      <c r="N72" s="24">
        <f t="shared" si="57"/>
        <v>0.25140648214285716</v>
      </c>
      <c r="O72" s="24">
        <f t="shared" si="57"/>
        <v>0.9696259285714286</v>
      </c>
      <c r="P72" s="24">
        <f t="shared" si="57"/>
        <v>2.3655648214285709</v>
      </c>
      <c r="Q72" s="90">
        <f t="shared" si="57"/>
        <v>23.588148214285717</v>
      </c>
    </row>
    <row r="73" spans="1:17" ht="15.75" customHeight="1" x14ac:dyDescent="0.25">
      <c r="A73" s="96"/>
      <c r="B73" s="25">
        <v>3</v>
      </c>
      <c r="C73" s="86">
        <f>1.763-(Timer_measurements!$J$17)</f>
        <v>1.1823621428571429</v>
      </c>
      <c r="D73" s="86">
        <f>1.706-(Timer_measurements!$J$17)</f>
        <v>1.125362142857143</v>
      </c>
      <c r="E73" s="86">
        <f>1.665-(Timer_measurements!$J$17)</f>
        <v>1.0843621428571431</v>
      </c>
      <c r="F73" s="86">
        <f>1.629-(Timer_measurements!$J$17)</f>
        <v>1.048362142857143</v>
      </c>
      <c r="G73" s="86">
        <f>1.628-(Timer_measurements!$J$17)</f>
        <v>1.0473621428571427</v>
      </c>
      <c r="H73" s="24">
        <f t="shared" si="56"/>
        <v>3.5470864285714288</v>
      </c>
      <c r="I73" s="24">
        <f t="shared" si="56"/>
        <v>3.3760864285714289</v>
      </c>
      <c r="J73" s="24">
        <f t="shared" si="56"/>
        <v>3.2530864285714292</v>
      </c>
      <c r="K73" s="24">
        <f t="shared" si="56"/>
        <v>3.1450864285714291</v>
      </c>
      <c r="L73" s="24">
        <f t="shared" si="56"/>
        <v>3.1420864285714281</v>
      </c>
      <c r="M73" s="79">
        <f t="shared" si="57"/>
        <v>5.3206296428571428E-2</v>
      </c>
      <c r="N73" s="24">
        <f t="shared" si="57"/>
        <v>0.25320648214285718</v>
      </c>
      <c r="O73" s="24">
        <f t="shared" si="57"/>
        <v>0.97592592857142868</v>
      </c>
      <c r="P73" s="24">
        <f t="shared" si="57"/>
        <v>2.358814821428572</v>
      </c>
      <c r="Q73" s="90">
        <f t="shared" si="57"/>
        <v>23.565648214285709</v>
      </c>
    </row>
    <row r="74" spans="1:17" ht="15.75" customHeight="1" x14ac:dyDescent="0.25">
      <c r="A74" s="96"/>
      <c r="B74" s="25">
        <v>4</v>
      </c>
      <c r="C74" s="86">
        <f>1.631-(Timer_measurements!$J$17)</f>
        <v>1.0503621428571428</v>
      </c>
      <c r="D74" s="86">
        <f>1.701-(Timer_measurements!$J$17)</f>
        <v>1.1203621428571431</v>
      </c>
      <c r="E74" s="86">
        <f>1.661-(Timer_measurements!$J$17)</f>
        <v>1.080362142857143</v>
      </c>
      <c r="F74" s="86">
        <f>1.63-(Timer_measurements!$J$17)</f>
        <v>1.0493621428571429</v>
      </c>
      <c r="G74" s="86">
        <f>1.631-(Timer_measurements!$J$17)</f>
        <v>1.0503621428571428</v>
      </c>
      <c r="H74" s="24">
        <f t="shared" si="56"/>
        <v>3.1510864285714284</v>
      </c>
      <c r="I74" s="24">
        <f t="shared" si="56"/>
        <v>3.3610864285714293</v>
      </c>
      <c r="J74" s="24">
        <f t="shared" si="56"/>
        <v>3.2410864285714291</v>
      </c>
      <c r="K74" s="24">
        <f t="shared" si="56"/>
        <v>3.1480864285714287</v>
      </c>
      <c r="L74" s="24">
        <f t="shared" si="56"/>
        <v>3.1510864285714284</v>
      </c>
      <c r="M74" s="79">
        <f t="shared" si="57"/>
        <v>4.7266296428571428E-2</v>
      </c>
      <c r="N74" s="24">
        <f t="shared" si="57"/>
        <v>0.25208148214285719</v>
      </c>
      <c r="O74" s="24">
        <f t="shared" si="57"/>
        <v>0.97232592857142874</v>
      </c>
      <c r="P74" s="24">
        <f t="shared" si="57"/>
        <v>2.3610648214285717</v>
      </c>
      <c r="Q74" s="90">
        <f t="shared" si="57"/>
        <v>23.633148214285711</v>
      </c>
    </row>
    <row r="75" spans="1:17" ht="15.75" customHeight="1" x14ac:dyDescent="0.25">
      <c r="A75" s="96"/>
      <c r="B75" s="25">
        <v>5</v>
      </c>
      <c r="C75" s="86">
        <f>1.645-(Timer_measurements!$J$17)</f>
        <v>1.064362142857143</v>
      </c>
      <c r="D75" s="86">
        <f>1.703-(Timer_measurements!$J$17)</f>
        <v>1.1223621428571429</v>
      </c>
      <c r="E75" s="86">
        <f>1.652-(Timer_measurements!$J$17)</f>
        <v>1.0713621428571427</v>
      </c>
      <c r="F75" s="86">
        <f>1.633-(Timer_measurements!$J$17)</f>
        <v>1.052362142857143</v>
      </c>
      <c r="G75" s="86">
        <f>1.633-(Timer_measurements!$J$17)</f>
        <v>1.052362142857143</v>
      </c>
      <c r="H75" s="39">
        <f t="shared" si="56"/>
        <v>3.1930864285714291</v>
      </c>
      <c r="I75" s="39">
        <f t="shared" si="56"/>
        <v>3.3670864285714286</v>
      </c>
      <c r="J75" s="39">
        <f t="shared" si="56"/>
        <v>3.2140864285714281</v>
      </c>
      <c r="K75" s="39">
        <f t="shared" si="56"/>
        <v>3.1570864285714291</v>
      </c>
      <c r="L75" s="39">
        <f t="shared" si="56"/>
        <v>3.1570864285714291</v>
      </c>
      <c r="M75" s="80">
        <f t="shared" si="57"/>
        <v>4.7896296428571433E-2</v>
      </c>
      <c r="N75" s="39">
        <f t="shared" si="57"/>
        <v>0.25253148214285714</v>
      </c>
      <c r="O75" s="39">
        <f t="shared" si="57"/>
        <v>0.96422592857142841</v>
      </c>
      <c r="P75" s="39">
        <f t="shared" si="57"/>
        <v>2.3678148214285719</v>
      </c>
      <c r="Q75" s="91">
        <f t="shared" si="57"/>
        <v>23.678148214285716</v>
      </c>
    </row>
    <row r="76" spans="1:17" ht="15.75" customHeight="1" x14ac:dyDescent="0.25">
      <c r="A76" s="96"/>
      <c r="B76" s="42" t="s">
        <v>22</v>
      </c>
      <c r="C76" s="88">
        <f t="shared" ref="C76:Q76" si="58">AVERAGE(C71:C75)</f>
        <v>1.0797621428571431</v>
      </c>
      <c r="D76" s="88">
        <f t="shared" si="58"/>
        <v>1.1225621428571428</v>
      </c>
      <c r="E76" s="88">
        <f t="shared" si="58"/>
        <v>1.079162142857143</v>
      </c>
      <c r="F76" s="88">
        <f t="shared" si="58"/>
        <v>1.052562142857143</v>
      </c>
      <c r="G76" s="88">
        <f t="shared" si="58"/>
        <v>1.0495621428571429</v>
      </c>
      <c r="H76" s="14">
        <f t="shared" si="58"/>
        <v>3.2392864285714289</v>
      </c>
      <c r="I76" s="14">
        <f t="shared" si="58"/>
        <v>3.367686428571429</v>
      </c>
      <c r="J76" s="14">
        <f t="shared" si="58"/>
        <v>3.2374864285714287</v>
      </c>
      <c r="K76" s="14">
        <f t="shared" si="58"/>
        <v>3.1576864285714286</v>
      </c>
      <c r="L76" s="14">
        <f t="shared" si="58"/>
        <v>3.1486864285714287</v>
      </c>
      <c r="M76" s="14">
        <f t="shared" si="58"/>
        <v>4.8589296428571432E-2</v>
      </c>
      <c r="N76" s="14">
        <f t="shared" si="58"/>
        <v>0.25257648214285722</v>
      </c>
      <c r="O76" s="14">
        <f t="shared" si="58"/>
        <v>0.97124592857142855</v>
      </c>
      <c r="P76" s="14">
        <f t="shared" si="58"/>
        <v>2.3682648214285718</v>
      </c>
      <c r="Q76" s="14">
        <f t="shared" si="58"/>
        <v>23.615148214285714</v>
      </c>
    </row>
    <row r="77" spans="1:17" ht="15.75" customHeight="1" x14ac:dyDescent="0.25">
      <c r="A77" s="97"/>
      <c r="B77" s="42" t="s">
        <v>23</v>
      </c>
      <c r="C77" s="14">
        <f>_xlfn.STDEV.P(C71:C75)</f>
        <v>5.1736254213075761E-2</v>
      </c>
      <c r="D77" s="14">
        <f t="shared" ref="D77:Q77" si="59">_xlfn.STDEV.P(D71:D75)</f>
        <v>3.5440090293338009E-3</v>
      </c>
      <c r="E77" s="14">
        <f t="shared" si="59"/>
        <v>4.5343136195019496E-3</v>
      </c>
      <c r="F77" s="14">
        <f t="shared" si="59"/>
        <v>4.6216880033165316E-3</v>
      </c>
      <c r="G77" s="14">
        <f t="shared" si="59"/>
        <v>1.720465053408594E-3</v>
      </c>
      <c r="H77" s="14">
        <f t="shared" si="59"/>
        <v>0.15520876263922728</v>
      </c>
      <c r="I77" s="14">
        <f t="shared" si="59"/>
        <v>1.0632027088001402E-2</v>
      </c>
      <c r="J77" s="14">
        <f t="shared" si="59"/>
        <v>1.3602940858505849E-2</v>
      </c>
      <c r="K77" s="14">
        <f t="shared" si="59"/>
        <v>1.3865064009949595E-2</v>
      </c>
      <c r="L77" s="14">
        <f t="shared" si="59"/>
        <v>5.1613951602257823E-3</v>
      </c>
      <c r="M77" s="14">
        <f t="shared" si="59"/>
        <v>2.3281314395884084E-3</v>
      </c>
      <c r="N77" s="14">
        <f t="shared" si="59"/>
        <v>7.9740203160011316E-4</v>
      </c>
      <c r="O77" s="14">
        <f t="shared" si="59"/>
        <v>4.0808822575517508E-3</v>
      </c>
      <c r="P77" s="14">
        <f t="shared" si="59"/>
        <v>1.0398798007462061E-2</v>
      </c>
      <c r="Q77" s="14">
        <f t="shared" si="59"/>
        <v>3.8710463701693371E-2</v>
      </c>
    </row>
    <row r="78" spans="1:17" ht="15.75" customHeight="1" x14ac:dyDescent="0.25">
      <c r="A78" s="95" t="s">
        <v>45</v>
      </c>
      <c r="B78" s="21">
        <v>1</v>
      </c>
      <c r="C78" s="86">
        <f>0.763501-(Timer_measurements!$J$17)</f>
        <v>0.18286314285714289</v>
      </c>
      <c r="D78" s="86">
        <f>0.763256-(Timer_measurements!$J$17)</f>
        <v>0.18261814285714295</v>
      </c>
      <c r="E78" s="86">
        <f>0.757984-(Timer_measurements!$J$17)</f>
        <v>0.1773461428571429</v>
      </c>
      <c r="F78" s="86">
        <f>0.754625-(Timer_measurements!$J$17)</f>
        <v>0.1739871428571429</v>
      </c>
      <c r="G78" s="86">
        <f>0.752118-(Timer_measurements!$J$17)</f>
        <v>0.17148014285714286</v>
      </c>
      <c r="H78" s="22">
        <f t="shared" ref="H78:L82" si="60">C78*B$2</f>
        <v>0.54858942857142867</v>
      </c>
      <c r="I78" s="81">
        <f t="shared" si="60"/>
        <v>0.54785442857142885</v>
      </c>
      <c r="J78" s="81">
        <f t="shared" si="60"/>
        <v>0.53203842857142869</v>
      </c>
      <c r="K78" s="81">
        <f t="shared" si="60"/>
        <v>0.52196142857142869</v>
      </c>
      <c r="L78" s="81">
        <f t="shared" si="60"/>
        <v>0.51444042857142858</v>
      </c>
      <c r="M78" s="22">
        <f t="shared" ref="M78:Q82" si="61">H78*B$4</f>
        <v>5.4858942857142871E-2</v>
      </c>
      <c r="N78" s="81">
        <f t="shared" si="61"/>
        <v>0.27392721428571443</v>
      </c>
      <c r="O78" s="81">
        <f t="shared" si="61"/>
        <v>1.0640768571428574</v>
      </c>
      <c r="P78" s="81">
        <f t="shared" si="61"/>
        <v>2.6098071428571434</v>
      </c>
      <c r="Q78" s="82">
        <f t="shared" si="61"/>
        <v>25.722021428571431</v>
      </c>
    </row>
    <row r="79" spans="1:17" ht="15.75" customHeight="1" x14ac:dyDescent="0.25">
      <c r="A79" s="96"/>
      <c r="B79" s="44">
        <v>2</v>
      </c>
      <c r="C79" s="86">
        <f>0.764821-(Timer_measurements!$J$17)</f>
        <v>0.18418314285714288</v>
      </c>
      <c r="D79" s="86">
        <f>0.76683-(Timer_measurements!$J$17)</f>
        <v>0.18619214285714292</v>
      </c>
      <c r="E79" s="86">
        <f>0.74238-(Timer_measurements!$J$17)</f>
        <v>0.16174214285714295</v>
      </c>
      <c r="F79" s="86">
        <f>0.75144-(Timer_measurements!$J$17)</f>
        <v>0.1708021428571429</v>
      </c>
      <c r="G79" s="86">
        <f>0.75441-(Timer_measurements!$J$17)</f>
        <v>0.17377214285714293</v>
      </c>
      <c r="H79" s="79">
        <f t="shared" si="60"/>
        <v>0.55254942857142864</v>
      </c>
      <c r="I79" s="24">
        <f t="shared" si="60"/>
        <v>0.55857642857142875</v>
      </c>
      <c r="J79" s="24">
        <f t="shared" si="60"/>
        <v>0.48522642857142884</v>
      </c>
      <c r="K79" s="24">
        <f t="shared" si="60"/>
        <v>0.51240642857142871</v>
      </c>
      <c r="L79" s="24">
        <f t="shared" si="60"/>
        <v>0.52131642857142879</v>
      </c>
      <c r="M79" s="79">
        <f t="shared" si="61"/>
        <v>5.5254942857142865E-2</v>
      </c>
      <c r="N79" s="24">
        <f t="shared" si="61"/>
        <v>0.27928821428571438</v>
      </c>
      <c r="O79" s="24">
        <f t="shared" si="61"/>
        <v>0.97045285714285767</v>
      </c>
      <c r="P79" s="24">
        <f t="shared" si="61"/>
        <v>2.5620321428571433</v>
      </c>
      <c r="Q79" s="90">
        <f t="shared" si="61"/>
        <v>26.065821428571439</v>
      </c>
    </row>
    <row r="80" spans="1:17" ht="15.75" customHeight="1" x14ac:dyDescent="0.25">
      <c r="A80" s="96"/>
      <c r="B80" s="44">
        <v>3</v>
      </c>
      <c r="C80" s="86">
        <f>0.757648-(Timer_measurements!$J$17)</f>
        <v>0.17701014285714289</v>
      </c>
      <c r="D80" s="86">
        <f>0.76781-(Timer_measurements!$J$17)</f>
        <v>0.1871721428571429</v>
      </c>
      <c r="E80" s="86">
        <f>0.75918-(Timer_measurements!$J$17)</f>
        <v>0.17854214285714287</v>
      </c>
      <c r="F80" s="86">
        <f>0.75049-(Timer_measurements!$J$17)</f>
        <v>0.1698521428571429</v>
      </c>
      <c r="G80" s="86">
        <f>0.74793-(Timer_measurements!$J$17)</f>
        <v>0.16729214285714289</v>
      </c>
      <c r="H80" s="79">
        <f t="shared" si="60"/>
        <v>0.53103042857142868</v>
      </c>
      <c r="I80" s="24">
        <f t="shared" si="60"/>
        <v>0.56151642857142869</v>
      </c>
      <c r="J80" s="24">
        <f t="shared" si="60"/>
        <v>0.53562642857142861</v>
      </c>
      <c r="K80" s="24">
        <f t="shared" si="60"/>
        <v>0.50955642857142869</v>
      </c>
      <c r="L80" s="24">
        <f t="shared" si="60"/>
        <v>0.50187642857142867</v>
      </c>
      <c r="M80" s="79">
        <f t="shared" si="61"/>
        <v>5.3103042857142874E-2</v>
      </c>
      <c r="N80" s="24">
        <f t="shared" si="61"/>
        <v>0.28075821428571435</v>
      </c>
      <c r="O80" s="24">
        <f t="shared" si="61"/>
        <v>1.0712528571428572</v>
      </c>
      <c r="P80" s="24">
        <f t="shared" si="61"/>
        <v>2.5477821428571437</v>
      </c>
      <c r="Q80" s="90">
        <f t="shared" si="61"/>
        <v>25.093821428571434</v>
      </c>
    </row>
    <row r="81" spans="1:17" ht="15.75" customHeight="1" x14ac:dyDescent="0.25">
      <c r="A81" s="96"/>
      <c r="B81" s="44">
        <v>4</v>
      </c>
      <c r="C81" s="86">
        <f>0.763436-(Timer_measurements!$J$17)</f>
        <v>0.18279814285714291</v>
      </c>
      <c r="D81" s="86">
        <f>0.76684-(Timer_measurements!$J$17)</f>
        <v>0.18620214285714287</v>
      </c>
      <c r="E81" s="86">
        <f>0.75416-(Timer_measurements!$J$17)</f>
        <v>0.17352214285714296</v>
      </c>
      <c r="F81" s="86">
        <f>0.75379-(Timer_measurements!$J$17)</f>
        <v>0.17315214285714287</v>
      </c>
      <c r="G81" s="86">
        <f>0.74789-(Timer_measurements!$J$17)</f>
        <v>0.16725214285714296</v>
      </c>
      <c r="H81" s="79">
        <f t="shared" si="60"/>
        <v>0.54839442857142873</v>
      </c>
      <c r="I81" s="24">
        <f t="shared" si="60"/>
        <v>0.55860642857142861</v>
      </c>
      <c r="J81" s="24">
        <f t="shared" si="60"/>
        <v>0.52056642857142887</v>
      </c>
      <c r="K81" s="24">
        <f t="shared" si="60"/>
        <v>0.5194564285714286</v>
      </c>
      <c r="L81" s="24">
        <f t="shared" si="60"/>
        <v>0.50175642857142888</v>
      </c>
      <c r="M81" s="79">
        <f t="shared" si="61"/>
        <v>5.4839442857142873E-2</v>
      </c>
      <c r="N81" s="24">
        <f t="shared" si="61"/>
        <v>0.27930321428571431</v>
      </c>
      <c r="O81" s="24">
        <f t="shared" si="61"/>
        <v>1.0411328571428577</v>
      </c>
      <c r="P81" s="24">
        <f t="shared" si="61"/>
        <v>2.5972821428571429</v>
      </c>
      <c r="Q81" s="90">
        <f t="shared" si="61"/>
        <v>25.087821428571445</v>
      </c>
    </row>
    <row r="82" spans="1:17" ht="15.75" customHeight="1" x14ac:dyDescent="0.25">
      <c r="A82" s="96"/>
      <c r="B82" s="44">
        <v>5</v>
      </c>
      <c r="C82" s="86">
        <f>0.76363-(Timer_measurements!$J$17)</f>
        <v>0.18299214285714294</v>
      </c>
      <c r="D82" s="86">
        <f>0.76466-(Timer_measurements!$J$17)</f>
        <v>0.18402214285714291</v>
      </c>
      <c r="E82" s="86">
        <f>0.76109-(Timer_measurements!$J$17)</f>
        <v>0.18045214285714295</v>
      </c>
      <c r="F82" s="86">
        <f>0.75954-(Timer_measurements!$J$17)</f>
        <v>0.1789021428571429</v>
      </c>
      <c r="G82" s="86">
        <f>0.75094-(Timer_measurements!$J$17)</f>
        <v>0.17030214285714296</v>
      </c>
      <c r="H82" s="79">
        <f t="shared" si="60"/>
        <v>0.54897642857142881</v>
      </c>
      <c r="I82" s="24">
        <f t="shared" si="60"/>
        <v>0.55206642857142874</v>
      </c>
      <c r="J82" s="24">
        <f t="shared" si="60"/>
        <v>0.54135642857142885</v>
      </c>
      <c r="K82" s="24">
        <f t="shared" si="60"/>
        <v>0.5367064285714287</v>
      </c>
      <c r="L82" s="24">
        <f t="shared" si="60"/>
        <v>0.51090642857142887</v>
      </c>
      <c r="M82" s="79">
        <f t="shared" si="61"/>
        <v>5.4897642857142881E-2</v>
      </c>
      <c r="N82" s="24">
        <f t="shared" si="61"/>
        <v>0.27603321428571437</v>
      </c>
      <c r="O82" s="24">
        <f t="shared" si="61"/>
        <v>1.0827128571428577</v>
      </c>
      <c r="P82" s="24">
        <f t="shared" si="61"/>
        <v>2.6835321428571435</v>
      </c>
      <c r="Q82" s="90">
        <f t="shared" si="61"/>
        <v>25.545321428571444</v>
      </c>
    </row>
    <row r="83" spans="1:17" ht="15.75" customHeight="1" x14ac:dyDescent="0.25">
      <c r="A83" s="96"/>
      <c r="B83" s="42" t="s">
        <v>22</v>
      </c>
      <c r="C83" s="88">
        <f t="shared" ref="C83:Q83" si="62">AVERAGE(C78:C82)</f>
        <v>0.18196934285714289</v>
      </c>
      <c r="D83" s="88">
        <f t="shared" si="62"/>
        <v>0.18524134285714292</v>
      </c>
      <c r="E83" s="88">
        <f t="shared" si="62"/>
        <v>0.17432094285714292</v>
      </c>
      <c r="F83" s="88">
        <f t="shared" si="62"/>
        <v>0.17333914285714289</v>
      </c>
      <c r="G83" s="88">
        <f t="shared" si="62"/>
        <v>0.17001974285714291</v>
      </c>
      <c r="H83" s="14">
        <f t="shared" si="62"/>
        <v>0.54590802857142873</v>
      </c>
      <c r="I83" s="14">
        <f t="shared" si="62"/>
        <v>0.55572402857142877</v>
      </c>
      <c r="J83" s="14">
        <f t="shared" si="62"/>
        <v>0.52296282857142884</v>
      </c>
      <c r="K83" s="14">
        <f t="shared" si="62"/>
        <v>0.52001742857142863</v>
      </c>
      <c r="L83" s="14">
        <f t="shared" si="62"/>
        <v>0.51005922857142871</v>
      </c>
      <c r="M83" s="14">
        <f t="shared" si="62"/>
        <v>5.4590802857142871E-2</v>
      </c>
      <c r="N83" s="14">
        <f t="shared" si="62"/>
        <v>0.27786201428571439</v>
      </c>
      <c r="O83" s="14">
        <f t="shared" si="62"/>
        <v>1.0459256571428577</v>
      </c>
      <c r="P83" s="14">
        <f t="shared" si="62"/>
        <v>2.6000871428571428</v>
      </c>
      <c r="Q83" s="14">
        <f t="shared" si="62"/>
        <v>25.502961428571439</v>
      </c>
    </row>
    <row r="84" spans="1:17" ht="15.75" customHeight="1" x14ac:dyDescent="0.25">
      <c r="A84" s="97"/>
      <c r="B84" s="42" t="s">
        <v>23</v>
      </c>
      <c r="C84" s="14">
        <f>_xlfn.STDEV.P(C78:C82)</f>
        <v>2.530868736224779E-3</v>
      </c>
      <c r="D84" s="14">
        <f t="shared" ref="D84:Q84" si="63">_xlfn.STDEV.P(D78:D82)</f>
        <v>1.6686984628745646E-3</v>
      </c>
      <c r="E84" s="14">
        <f t="shared" si="63"/>
        <v>6.6847029672229882E-3</v>
      </c>
      <c r="F84" s="14">
        <f t="shared" si="63"/>
        <v>3.1621948074082975E-3</v>
      </c>
      <c r="G84" s="14">
        <f t="shared" si="63"/>
        <v>2.505690930661636E-3</v>
      </c>
      <c r="H84" s="14">
        <f t="shared" si="63"/>
        <v>7.5926062086743365E-3</v>
      </c>
      <c r="I84" s="14">
        <f t="shared" si="63"/>
        <v>5.0060953886236943E-3</v>
      </c>
      <c r="J84" s="14">
        <f t="shared" si="63"/>
        <v>2.0054108901668963E-2</v>
      </c>
      <c r="K84" s="14">
        <f t="shared" si="63"/>
        <v>9.4865844222248932E-3</v>
      </c>
      <c r="L84" s="14">
        <f t="shared" si="63"/>
        <v>7.517072791984907E-3</v>
      </c>
      <c r="M84" s="14">
        <f t="shared" si="63"/>
        <v>7.5926062086743189E-4</v>
      </c>
      <c r="N84" s="14">
        <f t="shared" si="63"/>
        <v>2.5030476943118472E-3</v>
      </c>
      <c r="O84" s="14">
        <f t="shared" si="63"/>
        <v>4.0108217803337926E-2</v>
      </c>
      <c r="P84" s="14">
        <f t="shared" si="63"/>
        <v>4.7432922111124452E-2</v>
      </c>
      <c r="Q84" s="14">
        <f t="shared" si="63"/>
        <v>0.37585363959924506</v>
      </c>
    </row>
    <row r="85" spans="1:17" ht="15.75" customHeight="1" x14ac:dyDescent="0.25">
      <c r="A85" s="95" t="s">
        <v>46</v>
      </c>
      <c r="B85" s="21">
        <v>1</v>
      </c>
      <c r="C85" s="86">
        <f>0.617068-(Timer_measurements!$J$17)</f>
        <v>3.6430142857142855E-2</v>
      </c>
      <c r="D85" s="86">
        <f>0.617623-(Timer_measurements!$J$17)</f>
        <v>3.6985142857142939E-2</v>
      </c>
      <c r="E85" s="86">
        <f>0.61729-(Timer_measurements!$J$17)</f>
        <v>3.6652142857142911E-2</v>
      </c>
      <c r="F85" s="86">
        <f>0.616733-(Timer_measurements!$J$17)</f>
        <v>3.6095142857142881E-2</v>
      </c>
      <c r="G85" s="86">
        <f>0.616261-(Timer_measurements!$J$17)</f>
        <v>3.5623142857142853E-2</v>
      </c>
      <c r="H85" s="22">
        <f t="shared" ref="H85:L89" si="64">C85*B$2</f>
        <v>0.10929042857142857</v>
      </c>
      <c r="I85" s="81">
        <f t="shared" si="64"/>
        <v>0.11095542857142882</v>
      </c>
      <c r="J85" s="81">
        <f t="shared" si="64"/>
        <v>0.10995642857142873</v>
      </c>
      <c r="K85" s="81">
        <f t="shared" si="64"/>
        <v>0.10828542857142864</v>
      </c>
      <c r="L85" s="81">
        <f t="shared" si="64"/>
        <v>0.10686942857142856</v>
      </c>
      <c r="M85" s="22">
        <f t="shared" ref="M85:Q89" si="65">H85*B$5</f>
        <v>8.7432342857142853E-2</v>
      </c>
      <c r="N85" s="81">
        <f t="shared" si="65"/>
        <v>0.44382171428571526</v>
      </c>
      <c r="O85" s="81">
        <f t="shared" si="65"/>
        <v>1.7593028571428597</v>
      </c>
      <c r="P85" s="81">
        <f t="shared" si="65"/>
        <v>4.3314171428571457</v>
      </c>
      <c r="Q85" s="82">
        <f t="shared" si="65"/>
        <v>42.747771428571426</v>
      </c>
    </row>
    <row r="86" spans="1:17" ht="15.75" customHeight="1" x14ac:dyDescent="0.25">
      <c r="A86" s="96"/>
      <c r="B86" s="44">
        <v>2</v>
      </c>
      <c r="C86" s="86">
        <f>0.61881-(Timer_measurements!$J$17)</f>
        <v>3.8172142857142877E-2</v>
      </c>
      <c r="D86" s="86">
        <f>0.61488-(Timer_measurements!$J$17)</f>
        <v>3.4242142857142888E-2</v>
      </c>
      <c r="E86" s="86">
        <f>0.6264-(Timer_measurements!$J$17)</f>
        <v>4.5762142857142862E-2</v>
      </c>
      <c r="F86" s="86">
        <f>0.61725-(Timer_measurements!$J$17)</f>
        <v>3.6612142857142871E-2</v>
      </c>
      <c r="G86" s="86">
        <f>0.61702-(Timer_measurements!$J$17)</f>
        <v>3.6382142857142918E-2</v>
      </c>
      <c r="H86" s="79">
        <f t="shared" si="64"/>
        <v>0.11451642857142863</v>
      </c>
      <c r="I86" s="24">
        <f t="shared" si="64"/>
        <v>0.10272642857142866</v>
      </c>
      <c r="J86" s="24">
        <f t="shared" si="64"/>
        <v>0.13728642857142859</v>
      </c>
      <c r="K86" s="24">
        <f t="shared" si="64"/>
        <v>0.10983642857142861</v>
      </c>
      <c r="L86" s="24">
        <f t="shared" si="64"/>
        <v>0.10914642857142876</v>
      </c>
      <c r="M86" s="79">
        <f t="shared" si="65"/>
        <v>9.1613142857142907E-2</v>
      </c>
      <c r="N86" s="24">
        <f t="shared" si="65"/>
        <v>0.41090571428571465</v>
      </c>
      <c r="O86" s="24">
        <f t="shared" si="65"/>
        <v>2.1965828571428574</v>
      </c>
      <c r="P86" s="24">
        <f t="shared" si="65"/>
        <v>4.3934571428571445</v>
      </c>
      <c r="Q86" s="90">
        <f t="shared" si="65"/>
        <v>43.658571428571506</v>
      </c>
    </row>
    <row r="87" spans="1:17" ht="15.75" customHeight="1" x14ac:dyDescent="0.25">
      <c r="A87" s="96"/>
      <c r="B87" s="44">
        <v>3</v>
      </c>
      <c r="C87" s="86">
        <f>0.614369-(Timer_measurements!$J$17)</f>
        <v>3.3731142857142959E-2</v>
      </c>
      <c r="D87" s="86">
        <f>0.62027-(Timer_measurements!$J$17)</f>
        <v>3.9632142857142894E-2</v>
      </c>
      <c r="E87" s="86">
        <f>0.615821-(Timer_measurements!$J$17)</f>
        <v>3.5183142857142857E-2</v>
      </c>
      <c r="F87" s="86">
        <f>0.61702-(Timer_measurements!$J$17)</f>
        <v>3.6382142857142918E-2</v>
      </c>
      <c r="G87" s="86">
        <f>0.61654-(Timer_measurements!$J$17)</f>
        <v>3.5902142857142882E-2</v>
      </c>
      <c r="H87" s="79">
        <f t="shared" si="64"/>
        <v>0.10119342857142888</v>
      </c>
      <c r="I87" s="24">
        <f t="shared" si="64"/>
        <v>0.11889642857142868</v>
      </c>
      <c r="J87" s="24">
        <f t="shared" si="64"/>
        <v>0.10554942857142857</v>
      </c>
      <c r="K87" s="24">
        <f t="shared" si="64"/>
        <v>0.10914642857142876</v>
      </c>
      <c r="L87" s="24">
        <f t="shared" si="64"/>
        <v>0.10770642857142865</v>
      </c>
      <c r="M87" s="79">
        <f t="shared" si="65"/>
        <v>8.0954742857143103E-2</v>
      </c>
      <c r="N87" s="24">
        <f t="shared" si="65"/>
        <v>0.47558571428571472</v>
      </c>
      <c r="O87" s="24">
        <f t="shared" si="65"/>
        <v>1.6887908571428571</v>
      </c>
      <c r="P87" s="24">
        <f t="shared" si="65"/>
        <v>4.3658571428571502</v>
      </c>
      <c r="Q87" s="90">
        <f t="shared" si="65"/>
        <v>43.082571428571455</v>
      </c>
    </row>
    <row r="88" spans="1:17" ht="15.75" customHeight="1" x14ac:dyDescent="0.25">
      <c r="A88" s="96"/>
      <c r="B88" s="44">
        <v>4</v>
      </c>
      <c r="C88" s="86">
        <f>0.614833-(Timer_measurements!$J$17)</f>
        <v>3.4195142857142868E-2</v>
      </c>
      <c r="D88" s="86">
        <f>0.616123-(Timer_measurements!$J$17)</f>
        <v>3.5485142857142882E-2</v>
      </c>
      <c r="E88" s="86">
        <f>0.61195-(Timer_measurements!$J$17)</f>
        <v>3.1312142857142899E-2</v>
      </c>
      <c r="F88" s="86">
        <f>0.6133-(Timer_measurements!$J$17)</f>
        <v>3.2662142857142862E-2</v>
      </c>
      <c r="G88" s="86">
        <f>0.61717-(Timer_measurements!$J$17)</f>
        <v>3.6532142857142902E-2</v>
      </c>
      <c r="H88" s="79">
        <f t="shared" si="64"/>
        <v>0.10258542857142861</v>
      </c>
      <c r="I88" s="24">
        <f t="shared" si="64"/>
        <v>0.10645542857142865</v>
      </c>
      <c r="J88" s="24">
        <f t="shared" si="64"/>
        <v>9.3936428571428698E-2</v>
      </c>
      <c r="K88" s="24">
        <f t="shared" si="64"/>
        <v>9.7986428571428585E-2</v>
      </c>
      <c r="L88" s="24">
        <f t="shared" si="64"/>
        <v>0.10959642857142871</v>
      </c>
      <c r="M88" s="79">
        <f t="shared" si="65"/>
        <v>8.2068342857142887E-2</v>
      </c>
      <c r="N88" s="24">
        <f t="shared" si="65"/>
        <v>0.42582171428571458</v>
      </c>
      <c r="O88" s="24">
        <f t="shared" si="65"/>
        <v>1.5029828571428592</v>
      </c>
      <c r="P88" s="24">
        <f t="shared" si="65"/>
        <v>3.9194571428571434</v>
      </c>
      <c r="Q88" s="90">
        <f t="shared" si="65"/>
        <v>43.838571428571484</v>
      </c>
    </row>
    <row r="89" spans="1:17" ht="15.75" customHeight="1" x14ac:dyDescent="0.25">
      <c r="A89" s="96"/>
      <c r="B89" s="44">
        <v>5</v>
      </c>
      <c r="C89" s="86">
        <f>0.615553-(Timer_measurements!$J$17)</f>
        <v>3.4915142857142922E-2</v>
      </c>
      <c r="D89" s="86">
        <f>0.61907-(Timer_measurements!$J$17)</f>
        <v>3.8432142857142915E-2</v>
      </c>
      <c r="E89" s="86">
        <f>0.62152-(Timer_measurements!$J$17)</f>
        <v>4.0882142857142867E-2</v>
      </c>
      <c r="F89" s="86">
        <f>0.61668-(Timer_measurements!$J$17)</f>
        <v>3.6042142857142911E-2</v>
      </c>
      <c r="G89" s="86">
        <f>0.61699-(Timer_measurements!$J$17)</f>
        <v>3.6352142857142944E-2</v>
      </c>
      <c r="H89" s="80">
        <f t="shared" si="64"/>
        <v>0.10474542857142877</v>
      </c>
      <c r="I89" s="39">
        <f t="shared" si="64"/>
        <v>0.11529642857142874</v>
      </c>
      <c r="J89" s="39">
        <f t="shared" si="64"/>
        <v>0.1226464285714286</v>
      </c>
      <c r="K89" s="39">
        <f t="shared" si="64"/>
        <v>0.10812642857142873</v>
      </c>
      <c r="L89" s="39">
        <f t="shared" si="64"/>
        <v>0.10905642857142883</v>
      </c>
      <c r="M89" s="80">
        <f t="shared" si="65"/>
        <v>8.3796342857143019E-2</v>
      </c>
      <c r="N89" s="39">
        <f t="shared" si="65"/>
        <v>0.46118571428571498</v>
      </c>
      <c r="O89" s="39">
        <f t="shared" si="65"/>
        <v>1.9623428571428576</v>
      </c>
      <c r="P89" s="39">
        <f t="shared" si="65"/>
        <v>4.3250571428571494</v>
      </c>
      <c r="Q89" s="91">
        <f t="shared" si="65"/>
        <v>43.622571428571533</v>
      </c>
    </row>
    <row r="90" spans="1:17" ht="15.75" customHeight="1" x14ac:dyDescent="0.25">
      <c r="A90" s="96"/>
      <c r="B90" s="42" t="s">
        <v>22</v>
      </c>
      <c r="C90" s="14">
        <f t="shared" ref="C90:Q90" si="66">AVERAGE(C85:C89)</f>
        <v>3.5488742857142895E-2</v>
      </c>
      <c r="D90" s="14">
        <f t="shared" si="66"/>
        <v>3.69553428571429E-2</v>
      </c>
      <c r="E90" s="14">
        <f t="shared" si="66"/>
        <v>3.7958342857142877E-2</v>
      </c>
      <c r="F90" s="14">
        <f t="shared" si="66"/>
        <v>3.5558742857142889E-2</v>
      </c>
      <c r="G90" s="14">
        <f t="shared" si="66"/>
        <v>3.6158342857142901E-2</v>
      </c>
      <c r="H90" s="14">
        <f t="shared" si="66"/>
        <v>0.10646622857142869</v>
      </c>
      <c r="I90" s="14">
        <f t="shared" si="66"/>
        <v>0.11086602857142872</v>
      </c>
      <c r="J90" s="14">
        <f t="shared" si="66"/>
        <v>0.11387502857142864</v>
      </c>
      <c r="K90" s="14">
        <f t="shared" si="66"/>
        <v>0.10667622857142867</v>
      </c>
      <c r="L90" s="14">
        <f t="shared" si="66"/>
        <v>0.1084750285714287</v>
      </c>
      <c r="M90" s="14">
        <f t="shared" si="66"/>
        <v>8.5172982857142948E-2</v>
      </c>
      <c r="N90" s="14">
        <f t="shared" si="66"/>
        <v>0.44346411428571486</v>
      </c>
      <c r="O90" s="14">
        <f t="shared" si="66"/>
        <v>1.8220004571428583</v>
      </c>
      <c r="P90" s="14">
        <f t="shared" si="66"/>
        <v>4.2670491428571466</v>
      </c>
      <c r="Q90" s="14">
        <f t="shared" si="66"/>
        <v>43.390011428571469</v>
      </c>
    </row>
    <row r="91" spans="1:17" ht="15.75" customHeight="1" x14ac:dyDescent="0.25">
      <c r="A91" s="97"/>
      <c r="B91" s="42" t="s">
        <v>23</v>
      </c>
      <c r="C91" s="14">
        <f>_xlfn.STDEV.P(C85:C89)</f>
        <v>1.6234805326827691E-3</v>
      </c>
      <c r="D91" s="14">
        <f t="shared" ref="D91:Q91" si="67">_xlfn.STDEV.P(D85:D89)</f>
        <v>1.9426799427594928E-3</v>
      </c>
      <c r="E91" s="14">
        <f t="shared" si="67"/>
        <v>4.9603985485039302E-3</v>
      </c>
      <c r="F91" s="14">
        <f t="shared" si="67"/>
        <v>1.4628281648915692E-3</v>
      </c>
      <c r="G91" s="14">
        <f t="shared" si="67"/>
        <v>3.404258509573225E-4</v>
      </c>
      <c r="H91" s="14">
        <f t="shared" si="67"/>
        <v>4.8704415980483076E-3</v>
      </c>
      <c r="I91" s="14">
        <f t="shared" si="67"/>
        <v>5.8280398282784789E-3</v>
      </c>
      <c r="J91" s="14">
        <f t="shared" si="67"/>
        <v>1.4881195645511774E-2</v>
      </c>
      <c r="K91" s="14">
        <f t="shared" si="67"/>
        <v>4.3884844946747081E-3</v>
      </c>
      <c r="L91" s="14">
        <f t="shared" si="67"/>
        <v>1.0212775528719675E-3</v>
      </c>
      <c r="M91" s="14">
        <f t="shared" si="67"/>
        <v>3.8963532784386458E-3</v>
      </c>
      <c r="N91" s="14">
        <f t="shared" si="67"/>
        <v>2.3312159313113916E-2</v>
      </c>
      <c r="O91" s="14">
        <f t="shared" si="67"/>
        <v>0.23809913032818839</v>
      </c>
      <c r="P91" s="14">
        <f t="shared" si="67"/>
        <v>0.17553937978698833</v>
      </c>
      <c r="Q91" s="14">
        <f t="shared" si="67"/>
        <v>0.40851102114878785</v>
      </c>
    </row>
    <row r="92" spans="1:17" ht="15.75" customHeight="1" x14ac:dyDescent="0.25">
      <c r="A92" s="95" t="s">
        <v>47</v>
      </c>
      <c r="B92" s="21">
        <v>1</v>
      </c>
      <c r="C92" s="86">
        <f>0.605062-(Timer_measurements!$J$17)</f>
        <v>2.4424142857142894E-2</v>
      </c>
      <c r="D92" s="86">
        <f>0.60436-(Timer_measurements!$J$17)</f>
        <v>2.3722142857142914E-2</v>
      </c>
      <c r="E92" s="86">
        <f>0.6048-(Timer_measurements!$J$17)</f>
        <v>2.416214285714291E-2</v>
      </c>
      <c r="F92" s="86">
        <f>0.605073-(Timer_measurements!$J$17)</f>
        <v>2.4435142857142877E-2</v>
      </c>
      <c r="G92" s="82"/>
      <c r="H92" s="22">
        <f t="shared" ref="H92:K96" si="68">C92*B$2</f>
        <v>7.3272428571428683E-2</v>
      </c>
      <c r="I92" s="81">
        <f t="shared" si="68"/>
        <v>7.1166428571428741E-2</v>
      </c>
      <c r="J92" s="81">
        <f t="shared" si="68"/>
        <v>7.2486428571428729E-2</v>
      </c>
      <c r="K92" s="81">
        <f t="shared" si="68"/>
        <v>7.3305428571428632E-2</v>
      </c>
      <c r="L92" s="81"/>
      <c r="M92" s="22">
        <f t="shared" ref="M92:P96" si="69">H92*B$6</f>
        <v>0.14654485714285737</v>
      </c>
      <c r="N92" s="81">
        <f t="shared" si="69"/>
        <v>0.71166428571428741</v>
      </c>
      <c r="O92" s="81">
        <f t="shared" si="69"/>
        <v>2.8994571428571492</v>
      </c>
      <c r="P92" s="81">
        <f t="shared" si="69"/>
        <v>7.3305428571428628</v>
      </c>
      <c r="Q92" s="82"/>
    </row>
    <row r="93" spans="1:17" ht="15.75" customHeight="1" x14ac:dyDescent="0.25">
      <c r="A93" s="96"/>
      <c r="B93" s="44">
        <v>2</v>
      </c>
      <c r="C93" s="86">
        <f>0.604772-(Timer_measurements!$J$17)</f>
        <v>2.4134142857142882E-2</v>
      </c>
      <c r="D93" s="86">
        <f>0.60458-(Timer_measurements!$J$17)</f>
        <v>2.3942142857142912E-2</v>
      </c>
      <c r="E93" s="86">
        <f>0.60508-(Timer_measurements!$J$17)</f>
        <v>2.4442142857142857E-2</v>
      </c>
      <c r="F93" s="86">
        <f>0.60535-(Timer_measurements!$J$17)</f>
        <v>2.471214285714296E-2</v>
      </c>
      <c r="G93" s="90"/>
      <c r="H93" s="79">
        <f t="shared" si="68"/>
        <v>7.2402428571428645E-2</v>
      </c>
      <c r="I93" s="24">
        <f t="shared" si="68"/>
        <v>7.1826428571428735E-2</v>
      </c>
      <c r="J93" s="24">
        <f t="shared" si="68"/>
        <v>7.332642857142857E-2</v>
      </c>
      <c r="K93" s="24">
        <f t="shared" si="68"/>
        <v>7.4136428571428881E-2</v>
      </c>
      <c r="L93" s="24"/>
      <c r="M93" s="79">
        <f t="shared" si="69"/>
        <v>0.14480485714285729</v>
      </c>
      <c r="N93" s="24">
        <f t="shared" si="69"/>
        <v>0.71826428571428735</v>
      </c>
      <c r="O93" s="24">
        <f t="shared" si="69"/>
        <v>2.9330571428571428</v>
      </c>
      <c r="P93" s="24">
        <f t="shared" si="69"/>
        <v>7.4136428571428876</v>
      </c>
      <c r="Q93" s="90"/>
    </row>
    <row r="94" spans="1:17" ht="15.75" customHeight="1" x14ac:dyDescent="0.25">
      <c r="A94" s="96"/>
      <c r="B94" s="44">
        <v>3</v>
      </c>
      <c r="C94" s="86">
        <f>0.603719-(Timer_measurements!$J$17)</f>
        <v>2.3081142857142911E-2</v>
      </c>
      <c r="D94" s="86">
        <f>0.60484-(Timer_measurements!$J$17)</f>
        <v>2.420214285714295E-2</v>
      </c>
      <c r="E94" s="86">
        <f>0.60478-(Timer_measurements!$J$17)</f>
        <v>2.414214285714289E-2</v>
      </c>
      <c r="F94" s="86">
        <f>0.60483-(Timer_measurements!$J$17)</f>
        <v>2.4192142857142884E-2</v>
      </c>
      <c r="G94" s="90"/>
      <c r="H94" s="79">
        <f t="shared" si="68"/>
        <v>6.9243428571428733E-2</v>
      </c>
      <c r="I94" s="24">
        <f t="shared" si="68"/>
        <v>7.2606428571428849E-2</v>
      </c>
      <c r="J94" s="24">
        <f t="shared" si="68"/>
        <v>7.2426428571428669E-2</v>
      </c>
      <c r="K94" s="24">
        <f t="shared" si="68"/>
        <v>7.2576428571428653E-2</v>
      </c>
      <c r="L94" s="24"/>
      <c r="M94" s="79">
        <f t="shared" si="69"/>
        <v>0.13848685714285747</v>
      </c>
      <c r="N94" s="24">
        <f t="shared" si="69"/>
        <v>0.72606428571428849</v>
      </c>
      <c r="O94" s="24">
        <f t="shared" si="69"/>
        <v>2.8970571428571468</v>
      </c>
      <c r="P94" s="24">
        <f t="shared" si="69"/>
        <v>7.2576428571428657</v>
      </c>
      <c r="Q94" s="90"/>
    </row>
    <row r="95" spans="1:17" ht="15.75" customHeight="1" x14ac:dyDescent="0.25">
      <c r="A95" s="96"/>
      <c r="B95" s="44">
        <v>4</v>
      </c>
      <c r="C95" s="86">
        <f>0.604821-(Timer_measurements!$J$17)</f>
        <v>2.4183142857142959E-2</v>
      </c>
      <c r="D95" s="86">
        <f>0.60376-(Timer_measurements!$J$17)</f>
        <v>2.3122142857142869E-2</v>
      </c>
      <c r="E95" s="86">
        <f>0.60501-(Timer_measurements!$J$17)</f>
        <v>2.4372142857142953E-2</v>
      </c>
      <c r="F95" s="86">
        <f>0.60511-(Timer_measurements!$J$17)</f>
        <v>2.4472142857142942E-2</v>
      </c>
      <c r="G95" s="90"/>
      <c r="H95" s="79">
        <f t="shared" si="68"/>
        <v>7.2549428571428876E-2</v>
      </c>
      <c r="I95" s="24">
        <f t="shared" si="68"/>
        <v>6.9366428571428607E-2</v>
      </c>
      <c r="J95" s="24">
        <f t="shared" si="68"/>
        <v>7.311642857142886E-2</v>
      </c>
      <c r="K95" s="24">
        <f t="shared" si="68"/>
        <v>7.3416428571428827E-2</v>
      </c>
      <c r="L95" s="24"/>
      <c r="M95" s="79">
        <f t="shared" si="69"/>
        <v>0.14509885714285775</v>
      </c>
      <c r="N95" s="24">
        <f t="shared" si="69"/>
        <v>0.69366428571428607</v>
      </c>
      <c r="O95" s="24">
        <f t="shared" si="69"/>
        <v>2.9246571428571544</v>
      </c>
      <c r="P95" s="24">
        <f t="shared" si="69"/>
        <v>7.3416428571428831</v>
      </c>
      <c r="Q95" s="90"/>
    </row>
    <row r="96" spans="1:17" ht="15.75" customHeight="1" x14ac:dyDescent="0.25">
      <c r="A96" s="96"/>
      <c r="B96" s="44">
        <v>5</v>
      </c>
      <c r="C96" s="86">
        <f>0.6045-(Timer_measurements!$J$17)</f>
        <v>2.3862142857142943E-2</v>
      </c>
      <c r="D96" s="86">
        <f>0.60465-(Timer_measurements!$J$17)</f>
        <v>2.4012142857142926E-2</v>
      </c>
      <c r="E96" s="86">
        <f>0.60486-(Timer_measurements!$J$17)</f>
        <v>2.4222142857142859E-2</v>
      </c>
      <c r="F96" s="86">
        <f>0.6049-(Timer_measurements!$J$17)</f>
        <v>2.4262142857142899E-2</v>
      </c>
      <c r="G96" s="90"/>
      <c r="H96" s="80">
        <f t="shared" si="68"/>
        <v>7.1586428571428828E-2</v>
      </c>
      <c r="I96" s="39">
        <f t="shared" si="68"/>
        <v>7.2036428571428779E-2</v>
      </c>
      <c r="J96" s="39">
        <f t="shared" si="68"/>
        <v>7.2666428571428576E-2</v>
      </c>
      <c r="K96" s="39">
        <f t="shared" si="68"/>
        <v>7.2786428571428696E-2</v>
      </c>
      <c r="L96" s="39"/>
      <c r="M96" s="80">
        <f t="shared" si="69"/>
        <v>0.14317285714285766</v>
      </c>
      <c r="N96" s="39">
        <f t="shared" si="69"/>
        <v>0.72036428571428779</v>
      </c>
      <c r="O96" s="39">
        <f t="shared" si="69"/>
        <v>2.9066571428571431</v>
      </c>
      <c r="P96" s="39">
        <f t="shared" si="69"/>
        <v>7.2786428571428701</v>
      </c>
      <c r="Q96" s="91"/>
    </row>
    <row r="97" spans="1:17" ht="15.75" customHeight="1" x14ac:dyDescent="0.25">
      <c r="A97" s="96"/>
      <c r="B97" s="42" t="s">
        <v>22</v>
      </c>
      <c r="C97" s="14">
        <f t="shared" ref="C97:P97" si="70">AVERAGE(C92:C96)</f>
        <v>2.3936942857142918E-2</v>
      </c>
      <c r="D97" s="14">
        <f t="shared" si="70"/>
        <v>2.3800142857142915E-2</v>
      </c>
      <c r="E97" s="14">
        <f t="shared" si="70"/>
        <v>2.4268142857142894E-2</v>
      </c>
      <c r="F97" s="14">
        <f t="shared" si="70"/>
        <v>2.4414742857142912E-2</v>
      </c>
      <c r="G97" s="14"/>
      <c r="H97" s="14">
        <f t="shared" si="70"/>
        <v>7.1810828571428759E-2</v>
      </c>
      <c r="I97" s="14">
        <f t="shared" si="70"/>
        <v>7.140042857142874E-2</v>
      </c>
      <c r="J97" s="14">
        <f t="shared" si="70"/>
        <v>7.2804428571428687E-2</v>
      </c>
      <c r="K97" s="14">
        <f t="shared" si="70"/>
        <v>7.3244228571428732E-2</v>
      </c>
      <c r="L97" s="14"/>
      <c r="M97" s="14">
        <f t="shared" si="70"/>
        <v>0.14362165714285752</v>
      </c>
      <c r="N97" s="14">
        <f t="shared" si="70"/>
        <v>0.71400428571428742</v>
      </c>
      <c r="O97" s="14">
        <f t="shared" si="70"/>
        <v>2.9121771428571472</v>
      </c>
      <c r="P97" s="14">
        <f t="shared" si="70"/>
        <v>7.3244228571428751</v>
      </c>
      <c r="Q97" s="14"/>
    </row>
    <row r="98" spans="1:17" ht="15.75" customHeight="1" x14ac:dyDescent="0.25">
      <c r="A98" s="97"/>
      <c r="B98" s="42" t="s">
        <v>23</v>
      </c>
      <c r="C98" s="14">
        <f>_xlfn.STDEV.P(C92:C96)</f>
        <v>4.6364960907995824E-4</v>
      </c>
      <c r="D98" s="14">
        <f t="shared" ref="D98:P98" si="71">_xlfn.STDEV.P(D92:D96)</f>
        <v>3.7215050718764168E-4</v>
      </c>
      <c r="E98" s="14">
        <f t="shared" si="71"/>
        <v>1.1859173664298903E-4</v>
      </c>
      <c r="F98" s="14">
        <f t="shared" si="71"/>
        <v>1.8165637891362203E-4</v>
      </c>
      <c r="G98" s="14"/>
      <c r="H98" s="14">
        <f t="shared" si="71"/>
        <v>1.3909488272398748E-3</v>
      </c>
      <c r="I98" s="14">
        <f t="shared" si="71"/>
        <v>1.1164515215629251E-3</v>
      </c>
      <c r="J98" s="14">
        <f t="shared" si="71"/>
        <v>3.5577520992896702E-4</v>
      </c>
      <c r="K98" s="14">
        <f t="shared" si="71"/>
        <v>5.449691367408661E-4</v>
      </c>
      <c r="L98" s="14"/>
      <c r="M98" s="14">
        <f t="shared" si="71"/>
        <v>2.7818976544797497E-3</v>
      </c>
      <c r="N98" s="14">
        <f t="shared" si="71"/>
        <v>1.116451521562925E-2</v>
      </c>
      <c r="O98" s="14">
        <f t="shared" si="71"/>
        <v>1.4231008397158681E-2</v>
      </c>
      <c r="P98" s="14">
        <f t="shared" si="71"/>
        <v>5.4496913674086302E-2</v>
      </c>
      <c r="Q98" s="14"/>
    </row>
    <row r="99" spans="1:17" ht="15.75" customHeight="1" x14ac:dyDescent="0.25">
      <c r="A99" s="95" t="s">
        <v>48</v>
      </c>
      <c r="B99" s="89">
        <v>1</v>
      </c>
      <c r="C99" s="86">
        <f>0.599533-(Timer_measurements!$J$17)</f>
        <v>1.8895142857142888E-2</v>
      </c>
      <c r="D99" s="86">
        <f>0.598422-(Timer_measurements!$J$17)</f>
        <v>1.7784142857142915E-2</v>
      </c>
      <c r="E99" s="86">
        <f>0.599141-(Timer_measurements!$J$17)</f>
        <v>1.850314285714294E-2</v>
      </c>
      <c r="F99" s="86">
        <f>0.599024-(Timer_measurements!$J$17)</f>
        <v>1.8386142857142906E-2</v>
      </c>
      <c r="G99" s="82"/>
      <c r="H99" s="22">
        <f t="shared" ref="H99:K103" si="72">C99*B$2</f>
        <v>5.6685428571428664E-2</v>
      </c>
      <c r="I99" s="81">
        <f t="shared" si="72"/>
        <v>5.3352428571428745E-2</v>
      </c>
      <c r="J99" s="81">
        <f t="shared" si="72"/>
        <v>5.550942857142882E-2</v>
      </c>
      <c r="K99" s="81">
        <f t="shared" si="72"/>
        <v>5.5158428571428719E-2</v>
      </c>
      <c r="L99" s="81"/>
      <c r="M99" s="22">
        <f t="shared" ref="M99:P103" si="73">H99*B$7</f>
        <v>0.45348342857142931</v>
      </c>
      <c r="N99" s="81">
        <f t="shared" si="73"/>
        <v>2.1340971428571498</v>
      </c>
      <c r="O99" s="81">
        <f t="shared" si="73"/>
        <v>8.8815085714286113</v>
      </c>
      <c r="P99" s="81">
        <f t="shared" si="73"/>
        <v>22.063371428571486</v>
      </c>
      <c r="Q99" s="82"/>
    </row>
    <row r="100" spans="1:17" ht="15.75" customHeight="1" x14ac:dyDescent="0.25">
      <c r="A100" s="96"/>
      <c r="B100" s="44">
        <v>2</v>
      </c>
      <c r="C100" s="86">
        <f>0.598954-(Timer_measurements!$J$17)</f>
        <v>1.8316142857142892E-2</v>
      </c>
      <c r="D100" s="86">
        <f>0.59832-(Timer_measurements!$J$17)</f>
        <v>1.7682142857142868E-2</v>
      </c>
      <c r="E100" s="86">
        <f>0.59942-(Timer_measurements!$J$17)</f>
        <v>1.8782142857142858E-2</v>
      </c>
      <c r="F100" s="86">
        <f>0.599016-(Timer_measurements!$J$17)</f>
        <v>1.8378142857142898E-2</v>
      </c>
      <c r="G100" s="90"/>
      <c r="H100" s="79">
        <f t="shared" si="72"/>
        <v>5.4948428571428676E-2</v>
      </c>
      <c r="I100" s="24">
        <f t="shared" si="72"/>
        <v>5.3046428571428605E-2</v>
      </c>
      <c r="J100" s="24">
        <f t="shared" si="72"/>
        <v>5.6346428571428575E-2</v>
      </c>
      <c r="K100" s="24">
        <f t="shared" si="72"/>
        <v>5.5134428571428695E-2</v>
      </c>
      <c r="L100" s="24"/>
      <c r="M100" s="79">
        <f t="shared" si="73"/>
        <v>0.43958742857142941</v>
      </c>
      <c r="N100" s="24">
        <f t="shared" si="73"/>
        <v>2.1218571428571442</v>
      </c>
      <c r="O100" s="24">
        <f t="shared" si="73"/>
        <v>9.015428571428572</v>
      </c>
      <c r="P100" s="24">
        <f t="shared" si="73"/>
        <v>22.05377142857148</v>
      </c>
      <c r="Q100" s="90"/>
    </row>
    <row r="101" spans="1:17" ht="15.75" customHeight="1" x14ac:dyDescent="0.25">
      <c r="A101" s="96"/>
      <c r="B101" s="44">
        <v>3</v>
      </c>
      <c r="C101" s="86">
        <f>0.598801-(Timer_measurements!$J$17)</f>
        <v>1.8163142857142933E-2</v>
      </c>
      <c r="D101" s="86">
        <f>0.59791-(Timer_measurements!$J$17)</f>
        <v>1.7272142857142958E-2</v>
      </c>
      <c r="E101" s="86">
        <f>0.59888-(Timer_measurements!$J$17)</f>
        <v>1.8242142857142873E-2</v>
      </c>
      <c r="F101" s="86">
        <f>0.598997-(Timer_measurements!$J$17)</f>
        <v>1.8359142857142907E-2</v>
      </c>
      <c r="G101" s="90"/>
      <c r="H101" s="79">
        <f t="shared" si="72"/>
        <v>5.44894285714288E-2</v>
      </c>
      <c r="I101" s="24">
        <f t="shared" si="72"/>
        <v>5.1816428571428874E-2</v>
      </c>
      <c r="J101" s="24">
        <f t="shared" si="72"/>
        <v>5.472642857142862E-2</v>
      </c>
      <c r="K101" s="24">
        <f t="shared" si="72"/>
        <v>5.5077428571428722E-2</v>
      </c>
      <c r="L101" s="24"/>
      <c r="M101" s="79">
        <f t="shared" si="73"/>
        <v>0.4359154285714304</v>
      </c>
      <c r="N101" s="24">
        <f t="shared" si="73"/>
        <v>2.072657142857155</v>
      </c>
      <c r="O101" s="24">
        <f t="shared" si="73"/>
        <v>8.7562285714285792</v>
      </c>
      <c r="P101" s="24">
        <f t="shared" si="73"/>
        <v>22.03097142857149</v>
      </c>
      <c r="Q101" s="90"/>
    </row>
    <row r="102" spans="1:17" ht="15.75" customHeight="1" x14ac:dyDescent="0.25">
      <c r="A102" s="96"/>
      <c r="B102" s="44">
        <v>4</v>
      </c>
      <c r="C102" s="86">
        <f>0.599355-(Timer_measurements!$J$17)</f>
        <v>1.8717142857142877E-2</v>
      </c>
      <c r="D102" s="86">
        <f>0.59774-(Timer_measurements!$J$17)</f>
        <v>1.7102142857142955E-2</v>
      </c>
      <c r="E102" s="86">
        <f>0.59898-(Timer_measurements!$J$17)</f>
        <v>1.8342142857142862E-2</v>
      </c>
      <c r="F102" s="86">
        <f>0.599091-(Timer_measurements!$J$17)</f>
        <v>1.8453142857142946E-2</v>
      </c>
      <c r="G102" s="90"/>
      <c r="H102" s="79">
        <f t="shared" si="72"/>
        <v>5.615142857142863E-2</v>
      </c>
      <c r="I102" s="24">
        <f t="shared" si="72"/>
        <v>5.1306428571428864E-2</v>
      </c>
      <c r="J102" s="24">
        <f t="shared" si="72"/>
        <v>5.5026428571428587E-2</v>
      </c>
      <c r="K102" s="24">
        <f t="shared" si="72"/>
        <v>5.5359428571428837E-2</v>
      </c>
      <c r="L102" s="24"/>
      <c r="M102" s="79">
        <f t="shared" si="73"/>
        <v>0.44921142857142904</v>
      </c>
      <c r="N102" s="24">
        <f t="shared" si="73"/>
        <v>2.0522571428571545</v>
      </c>
      <c r="O102" s="24">
        <f t="shared" si="73"/>
        <v>8.804228571428574</v>
      </c>
      <c r="P102" s="24">
        <f t="shared" si="73"/>
        <v>22.143771428571533</v>
      </c>
      <c r="Q102" s="90"/>
    </row>
    <row r="103" spans="1:17" ht="15.75" customHeight="1" x14ac:dyDescent="0.25">
      <c r="A103" s="96"/>
      <c r="B103" s="44">
        <v>5</v>
      </c>
      <c r="C103" s="86">
        <f>0.599577-(Timer_measurements!$J$17)</f>
        <v>1.8939142857142932E-2</v>
      </c>
      <c r="D103" s="86">
        <f>0.59905-(Timer_measurements!$J$17)</f>
        <v>1.8412142857142877E-2</v>
      </c>
      <c r="E103" s="86">
        <f>0.59916-(Timer_measurements!$J$17)</f>
        <v>1.8522142857142931E-2</v>
      </c>
      <c r="F103" s="86">
        <f>0.59906-(Timer_measurements!$J$17)</f>
        <v>1.8422142857142942E-2</v>
      </c>
      <c r="G103" s="90"/>
      <c r="H103" s="80">
        <f t="shared" si="72"/>
        <v>5.6817428571428796E-2</v>
      </c>
      <c r="I103" s="39">
        <f t="shared" si="72"/>
        <v>5.5236428571428631E-2</v>
      </c>
      <c r="J103" s="39">
        <f t="shared" si="72"/>
        <v>5.5566428571428794E-2</v>
      </c>
      <c r="K103" s="39">
        <f t="shared" si="72"/>
        <v>5.5266428571428827E-2</v>
      </c>
      <c r="L103" s="39"/>
      <c r="M103" s="80">
        <f t="shared" si="73"/>
        <v>0.45453942857143037</v>
      </c>
      <c r="N103" s="39">
        <f t="shared" si="73"/>
        <v>2.2094571428571452</v>
      </c>
      <c r="O103" s="39">
        <f t="shared" si="73"/>
        <v>8.8906285714286071</v>
      </c>
      <c r="P103" s="39">
        <f t="shared" si="73"/>
        <v>22.106571428571531</v>
      </c>
      <c r="Q103" s="91"/>
    </row>
    <row r="104" spans="1:17" ht="15.75" customHeight="1" x14ac:dyDescent="0.25">
      <c r="A104" s="96"/>
      <c r="B104" s="42" t="s">
        <v>22</v>
      </c>
      <c r="C104" s="14">
        <f t="shared" ref="C104:F104" si="74">AVERAGE(C99:C103)</f>
        <v>1.8606142857142904E-2</v>
      </c>
      <c r="D104" s="14">
        <f t="shared" si="74"/>
        <v>1.7650542857142914E-2</v>
      </c>
      <c r="E104" s="14">
        <f t="shared" si="74"/>
        <v>1.8478342857142893E-2</v>
      </c>
      <c r="F104" s="14">
        <f t="shared" si="74"/>
        <v>1.8399742857142919E-2</v>
      </c>
      <c r="G104" s="14"/>
      <c r="H104" s="14">
        <f t="shared" ref="H104:P104" si="75">AVERAGE(H99:H103)</f>
        <v>5.5818428571428713E-2</v>
      </c>
      <c r="I104" s="14">
        <f t="shared" si="75"/>
        <v>5.2951628571428745E-2</v>
      </c>
      <c r="J104" s="14">
        <f t="shared" si="75"/>
        <v>5.5435028571428679E-2</v>
      </c>
      <c r="K104" s="14">
        <f t="shared" si="75"/>
        <v>5.5199228571428761E-2</v>
      </c>
      <c r="L104" s="14"/>
      <c r="M104" s="14">
        <f t="shared" si="75"/>
        <v>0.44654742857142971</v>
      </c>
      <c r="N104" s="14">
        <f t="shared" si="75"/>
        <v>2.1180651428571498</v>
      </c>
      <c r="O104" s="14">
        <f t="shared" si="75"/>
        <v>8.8696045714285887</v>
      </c>
      <c r="P104" s="14">
        <f t="shared" si="75"/>
        <v>22.079691428571504</v>
      </c>
      <c r="Q104" s="14"/>
    </row>
    <row r="105" spans="1:17" ht="15.75" customHeight="1" x14ac:dyDescent="0.25">
      <c r="A105" s="97"/>
      <c r="B105" s="42" t="s">
        <v>23</v>
      </c>
      <c r="C105" s="14">
        <f>_xlfn.STDEV.P(C99:C103)</f>
        <v>3.1211536328735394E-4</v>
      </c>
      <c r="D105" s="14">
        <f t="shared" ref="D105:P105" si="76">_xlfn.STDEV.P(D99:D103)</f>
        <v>4.5668615043591219E-4</v>
      </c>
      <c r="E105" s="14">
        <f t="shared" si="76"/>
        <v>1.8393955528923204E-4</v>
      </c>
      <c r="F105" s="14">
        <f t="shared" si="76"/>
        <v>3.3624990706336523E-5</v>
      </c>
      <c r="G105" s="14"/>
      <c r="H105" s="14">
        <f t="shared" si="76"/>
        <v>9.363460898620617E-4</v>
      </c>
      <c r="I105" s="14">
        <f t="shared" si="76"/>
        <v>1.3700584513077364E-3</v>
      </c>
      <c r="J105" s="14">
        <f t="shared" si="76"/>
        <v>5.5181866586769609E-4</v>
      </c>
      <c r="K105" s="14">
        <f t="shared" si="76"/>
        <v>1.008749721190096E-4</v>
      </c>
      <c r="L105" s="14"/>
      <c r="M105" s="14">
        <f t="shared" si="76"/>
        <v>7.4907687188964936E-3</v>
      </c>
      <c r="N105" s="14">
        <f t="shared" si="76"/>
        <v>5.4802338052309468E-2</v>
      </c>
      <c r="O105" s="14">
        <f t="shared" si="76"/>
        <v>8.8290986538831384E-2</v>
      </c>
      <c r="P105" s="14">
        <f t="shared" si="76"/>
        <v>4.0349988847602755E-2</v>
      </c>
      <c r="Q105" s="14"/>
    </row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S1:W1"/>
    <mergeCell ref="B9:D9"/>
    <mergeCell ref="E9:G9"/>
    <mergeCell ref="H9:J9"/>
    <mergeCell ref="K9:M9"/>
    <mergeCell ref="N9:P9"/>
    <mergeCell ref="B33:D33"/>
    <mergeCell ref="E33:G33"/>
    <mergeCell ref="H33:J33"/>
    <mergeCell ref="K33:M33"/>
    <mergeCell ref="N33:P33"/>
    <mergeCell ref="B21:D21"/>
    <mergeCell ref="E21:G21"/>
    <mergeCell ref="H21:J21"/>
    <mergeCell ref="K21:M21"/>
    <mergeCell ref="N21:P21"/>
    <mergeCell ref="B56:D56"/>
    <mergeCell ref="E56:G56"/>
    <mergeCell ref="H56:J56"/>
    <mergeCell ref="K56:M56"/>
    <mergeCell ref="N56:P56"/>
    <mergeCell ref="B45:D45"/>
    <mergeCell ref="E45:G45"/>
    <mergeCell ref="H45:J45"/>
    <mergeCell ref="K45:M45"/>
    <mergeCell ref="N45:P45"/>
    <mergeCell ref="A92:A98"/>
    <mergeCell ref="A99:A105"/>
    <mergeCell ref="C69:G69"/>
    <mergeCell ref="H69:L69"/>
    <mergeCell ref="M69:Q69"/>
    <mergeCell ref="A71:A77"/>
    <mergeCell ref="A78:A84"/>
    <mergeCell ref="A85:A9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Ble_4.1_invariance</vt:lpstr>
      <vt:lpstr>Tests</vt:lpstr>
      <vt:lpstr>Timer_measurements</vt:lpstr>
      <vt:lpstr>Ble_4.1_invariance_wo_timer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Gasper Kojek</dc:creator>
  <cp:lastModifiedBy>Gasper Kojek</cp:lastModifiedBy>
  <dcterms:created xsi:type="dcterms:W3CDTF">2019-03-02T21:52:35Z</dcterms:created>
  <dcterms:modified xsi:type="dcterms:W3CDTF">2019-03-08T08:55:01Z</dcterms:modified>
</cp:coreProperties>
</file>