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\Documents\GitHub\TeamSeaQuest\"/>
    </mc:Choice>
  </mc:AlternateContent>
  <xr:revisionPtr revIDLastSave="0" documentId="13_ncr:1_{00785824-3147-4CB8-9D72-E892FBAE8850}" xr6:coauthVersionLast="32" xr6:coauthVersionMax="32" xr10:uidLastSave="{00000000-0000-0000-0000-000000000000}"/>
  <bookViews>
    <workbookView xWindow="0" yWindow="0" windowWidth="33810" windowHeight="12780" activeTab="1" xr2:uid="{A22F8ED1-A248-4088-B6C1-C04117B8732D}"/>
  </bookViews>
  <sheets>
    <sheet name="Main Sheet" sheetId="1" r:id="rId1"/>
    <sheet name="Material Densitie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2" l="1"/>
  <c r="G37" i="2"/>
  <c r="J37" i="2"/>
  <c r="E36" i="2"/>
  <c r="B28" i="1"/>
  <c r="B18" i="1"/>
  <c r="B19" i="1" s="1"/>
  <c r="E19" i="1" s="1"/>
  <c r="K36" i="2"/>
  <c r="J36" i="2"/>
  <c r="G36" i="2"/>
  <c r="L34" i="2"/>
  <c r="L33" i="2"/>
  <c r="L30" i="2"/>
  <c r="L29" i="2"/>
  <c r="L28" i="2"/>
  <c r="L27" i="2"/>
  <c r="L26" i="2"/>
  <c r="K34" i="2"/>
  <c r="K33" i="2"/>
  <c r="J35" i="2"/>
  <c r="J34" i="2"/>
  <c r="J33" i="2"/>
  <c r="K30" i="2"/>
  <c r="K29" i="2"/>
  <c r="K28" i="2"/>
  <c r="K27" i="2"/>
  <c r="K26" i="2"/>
  <c r="J30" i="2"/>
  <c r="J29" i="2"/>
  <c r="J28" i="2"/>
  <c r="J27" i="2"/>
  <c r="J26" i="2"/>
  <c r="G35" i="2"/>
  <c r="E34" i="2"/>
  <c r="G34" i="2" s="1"/>
  <c r="E33" i="2"/>
  <c r="G33" i="2" s="1"/>
  <c r="G30" i="2"/>
  <c r="E30" i="2"/>
  <c r="E29" i="2"/>
  <c r="G29" i="2" s="1"/>
  <c r="E28" i="2"/>
  <c r="G28" i="2" s="1"/>
  <c r="E27" i="2"/>
  <c r="G27" i="2" s="1"/>
  <c r="E26" i="2"/>
  <c r="G26" i="2" s="1"/>
  <c r="B8" i="1"/>
  <c r="B9" i="1" s="1"/>
  <c r="E8" i="1"/>
  <c r="H7" i="1"/>
  <c r="E7" i="1"/>
  <c r="L36" i="2" l="1"/>
  <c r="K37" i="2"/>
  <c r="L37" i="2" s="1"/>
  <c r="B21" i="1"/>
  <c r="B20" i="1"/>
  <c r="B26" i="1" s="1"/>
  <c r="B27" i="1" s="1"/>
  <c r="K35" i="2"/>
  <c r="L35" i="2" s="1"/>
  <c r="E26" i="1" l="1"/>
  <c r="E27" i="1"/>
  <c r="B29" i="1" s="1"/>
  <c r="E29" i="1" l="1"/>
</calcChain>
</file>

<file path=xl/sharedStrings.xml><?xml version="1.0" encoding="utf-8"?>
<sst xmlns="http://schemas.openxmlformats.org/spreadsheetml/2006/main" count="132" uniqueCount="94">
  <si>
    <t>Team Sea Quest</t>
  </si>
  <si>
    <t>Cross Channel Boat Design</t>
  </si>
  <si>
    <t>Key Target Parameters</t>
  </si>
  <si>
    <t>Distance to Travel</t>
  </si>
  <si>
    <t>km</t>
  </si>
  <si>
    <t>=</t>
  </si>
  <si>
    <t>m</t>
  </si>
  <si>
    <t>N mi</t>
  </si>
  <si>
    <t>mi</t>
  </si>
  <si>
    <t>Boat Speed</t>
  </si>
  <si>
    <t>Knots</t>
  </si>
  <si>
    <t>mph</t>
  </si>
  <si>
    <t>km/h</t>
  </si>
  <si>
    <t xml:space="preserve">Travel Time </t>
  </si>
  <si>
    <t>h</t>
  </si>
  <si>
    <t>Max Travel Time</t>
  </si>
  <si>
    <t>Minimum Boat length</t>
  </si>
  <si>
    <t>Maximum Boat Length</t>
  </si>
  <si>
    <t xml:space="preserve">Base Hull </t>
  </si>
  <si>
    <t>Length</t>
  </si>
  <si>
    <t>Volume</t>
  </si>
  <si>
    <t>Air</t>
  </si>
  <si>
    <t>Battery</t>
  </si>
  <si>
    <t>20% 3D Print</t>
  </si>
  <si>
    <t>cu m</t>
  </si>
  <si>
    <t>Displacement</t>
  </si>
  <si>
    <t>kg/m3</t>
  </si>
  <si>
    <t>kg</t>
  </si>
  <si>
    <t>Fresh Water</t>
  </si>
  <si>
    <t>Salt Water</t>
  </si>
  <si>
    <t>Solid PLA</t>
  </si>
  <si>
    <t>Solid ABS</t>
  </si>
  <si>
    <t>Solid PETG</t>
  </si>
  <si>
    <t>Material Densities</t>
  </si>
  <si>
    <t xml:space="preserve">Motor </t>
  </si>
  <si>
    <t>Electronics etc</t>
  </si>
  <si>
    <t>Batteries</t>
  </si>
  <si>
    <t>Lead Acid</t>
  </si>
  <si>
    <t>LiPo</t>
  </si>
  <si>
    <t>Width</t>
  </si>
  <si>
    <t>Height</t>
  </si>
  <si>
    <t>Mass</t>
  </si>
  <si>
    <t>Density</t>
  </si>
  <si>
    <t>https://uk.rs-online.com/web/p/lead-acid-rechargeable-batteries/7270427/</t>
  </si>
  <si>
    <t>mm</t>
  </si>
  <si>
    <t>l</t>
  </si>
  <si>
    <t>https://docs-emea.rs-online.com/webdocs/1580/0900766b81580e52.pdf</t>
  </si>
  <si>
    <t>https://uk.rs-online.com/web/p/lead-acid-rechargeable-batteries/7270391/</t>
  </si>
  <si>
    <t>https://uk.rs-online.com/web/p/lead-acid-rechargeable-batteries/7270420/</t>
  </si>
  <si>
    <t>https://uk.rs-online.com/web/p/lead-acid-rechargeable-batteries/7270408/</t>
  </si>
  <si>
    <t>https://uk.rs-online.com/web/p/lithium-rechargeable-battery-packs/1449409/</t>
  </si>
  <si>
    <t>100 Ah Gel 12V</t>
  </si>
  <si>
    <t>55Ah Gel 12V</t>
  </si>
  <si>
    <t>33Ah Gel 12V</t>
  </si>
  <si>
    <t>20Ah Gel 12V</t>
  </si>
  <si>
    <t>10Ah Gel 12v</t>
  </si>
  <si>
    <t>https://uk.rs-online.com/web/p/lithium-rechargeable-battery-packs/1445697/</t>
  </si>
  <si>
    <t>13.8Ah 14.8V</t>
  </si>
  <si>
    <t>10.4Ah 3,7V</t>
  </si>
  <si>
    <t>Ah</t>
  </si>
  <si>
    <t>Volts</t>
  </si>
  <si>
    <t>W</t>
  </si>
  <si>
    <t>Wh/m3</t>
  </si>
  <si>
    <t>Capacity</t>
  </si>
  <si>
    <t>Energy</t>
  </si>
  <si>
    <t>Wh</t>
  </si>
  <si>
    <t>Energy Density</t>
  </si>
  <si>
    <t>Wh/kg</t>
  </si>
  <si>
    <t>Hobbyking 3S 5Ah</t>
  </si>
  <si>
    <t>https://hobbyking.com/en_us/turnigy-5000mah-3s-20c-lipo-pack-xt-90.html</t>
  </si>
  <si>
    <t>Source:</t>
  </si>
  <si>
    <t>Type</t>
  </si>
  <si>
    <t>18650 2.2Ah 3.7V</t>
  </si>
  <si>
    <t>Foam closed cell</t>
  </si>
  <si>
    <t>assumed</t>
  </si>
  <si>
    <t>Assume half cylinder just submerged</t>
  </si>
  <si>
    <t>https://marine.mandieselturbo.com/docs/librariesprovider6/propeller-aftship/basic-principles-of-propulsion.pdf</t>
  </si>
  <si>
    <t>Diameter = Breadth</t>
  </si>
  <si>
    <t>Radius = Draft</t>
  </si>
  <si>
    <t>Block Coefficient</t>
  </si>
  <si>
    <t>Admiralty Coeff</t>
  </si>
  <si>
    <t xml:space="preserve">= </t>
  </si>
  <si>
    <t>Velocity</t>
  </si>
  <si>
    <t>m/s</t>
  </si>
  <si>
    <t>Thrust</t>
  </si>
  <si>
    <t>N</t>
  </si>
  <si>
    <t>lb</t>
  </si>
  <si>
    <t>kW</t>
  </si>
  <si>
    <t>Lead Ballast</t>
  </si>
  <si>
    <t>Steel</t>
  </si>
  <si>
    <t>Aluminium</t>
  </si>
  <si>
    <t>Effective Power</t>
  </si>
  <si>
    <t>Real Power</t>
  </si>
  <si>
    <t>Tesla 2170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</si>
</sst>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arine.mandieselturbo.com/docs/librariesprovider6/propeller-aftship/basic-principles-of-propulsion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obbyking.com/en_us/turnigy-5000mah-3s-20c-lipo-pack-xt-9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A52A9-1BAC-4476-8971-CFF948921821}">
  <dimension ref="A1:I29"/>
  <sheetViews>
    <sheetView workbookViewId="0">
      <selection activeCell="D34" sqref="D34"/>
    </sheetView>
  </sheetViews>
  <sheetFormatPr defaultRowHeight="15" x14ac:dyDescent="0.25"/>
  <cols>
    <col min="1" max="1" width="22" customWidth="1"/>
    <col min="5" max="5" width="12" bestFit="1" customWidth="1"/>
  </cols>
  <sheetData>
    <row r="1" spans="1:9" ht="18.75" x14ac:dyDescent="0.3">
      <c r="A1" s="3" t="s">
        <v>0</v>
      </c>
    </row>
    <row r="3" spans="1:9" x14ac:dyDescent="0.25">
      <c r="A3" s="2" t="s">
        <v>1</v>
      </c>
    </row>
    <row r="5" spans="1:9" x14ac:dyDescent="0.25">
      <c r="A5" s="2" t="s">
        <v>2</v>
      </c>
    </row>
    <row r="7" spans="1:9" x14ac:dyDescent="0.25">
      <c r="A7" t="s">
        <v>3</v>
      </c>
      <c r="B7">
        <v>32</v>
      </c>
      <c r="C7" t="s">
        <v>4</v>
      </c>
      <c r="D7" s="1" t="s">
        <v>5</v>
      </c>
      <c r="E7">
        <f>B7*0.6214</f>
        <v>19.884799999999998</v>
      </c>
      <c r="F7" t="s">
        <v>8</v>
      </c>
      <c r="G7" s="1" t="s">
        <v>5</v>
      </c>
      <c r="H7">
        <f>B7/1.852</f>
        <v>17.278617710583152</v>
      </c>
      <c r="I7" t="s">
        <v>7</v>
      </c>
    </row>
    <row r="8" spans="1:9" x14ac:dyDescent="0.25">
      <c r="A8" t="s">
        <v>9</v>
      </c>
      <c r="B8">
        <f>H8*1.852</f>
        <v>9.26</v>
      </c>
      <c r="C8" t="s">
        <v>12</v>
      </c>
      <c r="D8" s="1" t="s">
        <v>5</v>
      </c>
      <c r="E8">
        <f>H8*1.15</f>
        <v>5.75</v>
      </c>
      <c r="F8" t="s">
        <v>11</v>
      </c>
      <c r="G8" s="1" t="s">
        <v>5</v>
      </c>
      <c r="H8">
        <v>5</v>
      </c>
      <c r="I8" t="s">
        <v>10</v>
      </c>
    </row>
    <row r="9" spans="1:9" x14ac:dyDescent="0.25">
      <c r="A9" t="s">
        <v>13</v>
      </c>
      <c r="B9">
        <f>B7/B8</f>
        <v>3.4557235421166306</v>
      </c>
      <c r="C9" t="s">
        <v>14</v>
      </c>
    </row>
    <row r="10" spans="1:9" x14ac:dyDescent="0.25">
      <c r="A10" t="s">
        <v>15</v>
      </c>
      <c r="B10">
        <v>10</v>
      </c>
      <c r="C10" t="s">
        <v>14</v>
      </c>
    </row>
    <row r="11" spans="1:9" x14ac:dyDescent="0.25">
      <c r="A11" t="s">
        <v>16</v>
      </c>
      <c r="B11">
        <v>1</v>
      </c>
      <c r="C11" t="s">
        <v>6</v>
      </c>
    </row>
    <row r="12" spans="1:9" x14ac:dyDescent="0.25">
      <c r="A12" t="s">
        <v>17</v>
      </c>
      <c r="B12">
        <v>4</v>
      </c>
      <c r="C12" t="s">
        <v>6</v>
      </c>
    </row>
    <row r="14" spans="1:9" x14ac:dyDescent="0.25">
      <c r="H14" s="4" t="s">
        <v>76</v>
      </c>
    </row>
    <row r="15" spans="1:9" x14ac:dyDescent="0.25">
      <c r="A15" t="s">
        <v>18</v>
      </c>
      <c r="B15" t="s">
        <v>75</v>
      </c>
    </row>
    <row r="16" spans="1:9" x14ac:dyDescent="0.25">
      <c r="A16" t="s">
        <v>19</v>
      </c>
      <c r="B16">
        <v>1</v>
      </c>
      <c r="C16" t="s">
        <v>6</v>
      </c>
    </row>
    <row r="17" spans="1:6" x14ac:dyDescent="0.25">
      <c r="A17" t="s">
        <v>77</v>
      </c>
      <c r="B17">
        <v>0.3</v>
      </c>
      <c r="C17" t="s">
        <v>6</v>
      </c>
    </row>
    <row r="18" spans="1:6" x14ac:dyDescent="0.25">
      <c r="A18" t="s">
        <v>78</v>
      </c>
      <c r="B18">
        <f>B17/2</f>
        <v>0.15</v>
      </c>
      <c r="C18" t="s">
        <v>6</v>
      </c>
    </row>
    <row r="19" spans="1:6" x14ac:dyDescent="0.25">
      <c r="A19" t="s">
        <v>20</v>
      </c>
      <c r="B19">
        <f>PI()* B18*B18/2</f>
        <v>3.5342917352885174E-2</v>
      </c>
      <c r="C19" t="s">
        <v>24</v>
      </c>
      <c r="D19" s="1" t="s">
        <v>5</v>
      </c>
      <c r="E19">
        <f>B19*1000</f>
        <v>35.342917352885173</v>
      </c>
      <c r="F19" t="s">
        <v>45</v>
      </c>
    </row>
    <row r="20" spans="1:6" x14ac:dyDescent="0.25">
      <c r="A20" t="s">
        <v>25</v>
      </c>
      <c r="B20">
        <f>B19*'Material Densities'!B8</f>
        <v>35.342917352885173</v>
      </c>
      <c r="C20" t="s">
        <v>27</v>
      </c>
    </row>
    <row r="21" spans="1:6" x14ac:dyDescent="0.25">
      <c r="A21" t="s">
        <v>79</v>
      </c>
      <c r="B21">
        <f>B19/(B16*B17*B18)</f>
        <v>0.78539816339744839</v>
      </c>
    </row>
    <row r="25" spans="1:6" x14ac:dyDescent="0.25">
      <c r="A25" t="s">
        <v>80</v>
      </c>
      <c r="B25">
        <v>500</v>
      </c>
    </row>
    <row r="26" spans="1:6" x14ac:dyDescent="0.25">
      <c r="A26" t="s">
        <v>91</v>
      </c>
      <c r="B26">
        <f>(B20/1000)^(2/3) * H8^3 /B25</f>
        <v>2.6924125449768965E-2</v>
      </c>
      <c r="C26" t="s">
        <v>87</v>
      </c>
      <c r="D26" s="1" t="s">
        <v>81</v>
      </c>
      <c r="E26">
        <f>B26*1000</f>
        <v>26.924125449768965</v>
      </c>
      <c r="F26" t="s">
        <v>61</v>
      </c>
    </row>
    <row r="27" spans="1:6" x14ac:dyDescent="0.25">
      <c r="A27" t="s">
        <v>92</v>
      </c>
      <c r="B27">
        <f>B26*2</f>
        <v>5.3848250899537931E-2</v>
      </c>
      <c r="C27" t="s">
        <v>87</v>
      </c>
      <c r="D27" s="1" t="s">
        <v>81</v>
      </c>
      <c r="E27">
        <f>B27*1000</f>
        <v>53.848250899537931</v>
      </c>
      <c r="F27" t="s">
        <v>61</v>
      </c>
    </row>
    <row r="28" spans="1:6" x14ac:dyDescent="0.25">
      <c r="A28" t="s">
        <v>82</v>
      </c>
      <c r="B28">
        <f>0.514*H8</f>
        <v>2.5700000000000003</v>
      </c>
      <c r="C28" t="s">
        <v>83</v>
      </c>
    </row>
    <row r="29" spans="1:6" x14ac:dyDescent="0.25">
      <c r="A29" t="s">
        <v>84</v>
      </c>
      <c r="B29">
        <f>E27/B28</f>
        <v>20.952626809158726</v>
      </c>
      <c r="C29" t="s">
        <v>85</v>
      </c>
      <c r="D29" s="1" t="s">
        <v>5</v>
      </c>
      <c r="E29">
        <f>B29*0.22</f>
        <v>4.60957789801492</v>
      </c>
      <c r="F29" t="s">
        <v>86</v>
      </c>
    </row>
  </sheetData>
  <hyperlinks>
    <hyperlink ref="H14" r:id="rId1" xr:uid="{24B7198A-FF46-4180-82C2-72501FE42DB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8C6-6FCE-46F0-965C-FF62A3D11F82}">
  <dimension ref="A1:M37"/>
  <sheetViews>
    <sheetView tabSelected="1" workbookViewId="0">
      <selection activeCell="F37" sqref="F37"/>
    </sheetView>
  </sheetViews>
  <sheetFormatPr defaultRowHeight="15" x14ac:dyDescent="0.25"/>
  <cols>
    <col min="1" max="1" width="17.85546875" customWidth="1"/>
    <col min="12" max="12" width="12" bestFit="1" customWidth="1"/>
  </cols>
  <sheetData>
    <row r="1" spans="1:4" ht="18.75" x14ac:dyDescent="0.3">
      <c r="A1" s="3" t="s">
        <v>0</v>
      </c>
    </row>
    <row r="3" spans="1:4" x14ac:dyDescent="0.25">
      <c r="A3" s="2" t="s">
        <v>1</v>
      </c>
    </row>
    <row r="4" spans="1:4" x14ac:dyDescent="0.25">
      <c r="A4" s="2"/>
    </row>
    <row r="5" spans="1:4" x14ac:dyDescent="0.25">
      <c r="A5" s="2" t="s">
        <v>33</v>
      </c>
    </row>
    <row r="7" spans="1:4" x14ac:dyDescent="0.25">
      <c r="A7" t="s">
        <v>21</v>
      </c>
      <c r="B7">
        <v>1.2250000000000001</v>
      </c>
      <c r="C7" t="s">
        <v>26</v>
      </c>
    </row>
    <row r="8" spans="1:4" x14ac:dyDescent="0.25">
      <c r="A8" t="s">
        <v>28</v>
      </c>
      <c r="B8">
        <v>1000</v>
      </c>
      <c r="C8" t="s">
        <v>26</v>
      </c>
    </row>
    <row r="9" spans="1:4" x14ac:dyDescent="0.25">
      <c r="A9" t="s">
        <v>29</v>
      </c>
      <c r="B9">
        <v>1025</v>
      </c>
      <c r="C9" t="s">
        <v>26</v>
      </c>
    </row>
    <row r="10" spans="1:4" x14ac:dyDescent="0.25">
      <c r="A10" t="s">
        <v>22</v>
      </c>
      <c r="B10">
        <v>2500</v>
      </c>
      <c r="C10" t="s">
        <v>26</v>
      </c>
    </row>
    <row r="11" spans="1:4" x14ac:dyDescent="0.25">
      <c r="A11" t="s">
        <v>73</v>
      </c>
      <c r="B11">
        <v>50</v>
      </c>
      <c r="C11" t="s">
        <v>26</v>
      </c>
    </row>
    <row r="12" spans="1:4" x14ac:dyDescent="0.25">
      <c r="A12" t="s">
        <v>23</v>
      </c>
      <c r="B12">
        <v>500</v>
      </c>
      <c r="C12" t="s">
        <v>26</v>
      </c>
      <c r="D12" t="s">
        <v>74</v>
      </c>
    </row>
    <row r="13" spans="1:4" x14ac:dyDescent="0.25">
      <c r="A13" t="s">
        <v>30</v>
      </c>
      <c r="B13">
        <v>1250</v>
      </c>
      <c r="C13" t="s">
        <v>26</v>
      </c>
    </row>
    <row r="14" spans="1:4" x14ac:dyDescent="0.25">
      <c r="A14" t="s">
        <v>31</v>
      </c>
      <c r="B14">
        <v>1070</v>
      </c>
      <c r="C14" t="s">
        <v>26</v>
      </c>
    </row>
    <row r="15" spans="1:4" x14ac:dyDescent="0.25">
      <c r="A15" t="s">
        <v>32</v>
      </c>
      <c r="B15">
        <v>1270</v>
      </c>
      <c r="C15" t="s">
        <v>26</v>
      </c>
    </row>
    <row r="16" spans="1:4" x14ac:dyDescent="0.25">
      <c r="A16" t="s">
        <v>34</v>
      </c>
      <c r="B16">
        <v>4000</v>
      </c>
      <c r="C16" t="s">
        <v>26</v>
      </c>
      <c r="D16" t="s">
        <v>74</v>
      </c>
    </row>
    <row r="17" spans="1:13" x14ac:dyDescent="0.25">
      <c r="A17" t="s">
        <v>35</v>
      </c>
      <c r="B17">
        <v>1000</v>
      </c>
      <c r="C17" t="s">
        <v>26</v>
      </c>
      <c r="D17" t="s">
        <v>74</v>
      </c>
    </row>
    <row r="18" spans="1:13" x14ac:dyDescent="0.25">
      <c r="A18" t="s">
        <v>88</v>
      </c>
      <c r="B18">
        <v>11340</v>
      </c>
      <c r="C18" t="s">
        <v>26</v>
      </c>
    </row>
    <row r="19" spans="1:13" x14ac:dyDescent="0.25">
      <c r="A19" t="s">
        <v>89</v>
      </c>
      <c r="B19">
        <v>7850</v>
      </c>
      <c r="C19" t="s">
        <v>26</v>
      </c>
    </row>
    <row r="20" spans="1:13" x14ac:dyDescent="0.25">
      <c r="A20" t="s">
        <v>90</v>
      </c>
      <c r="B20">
        <v>2800</v>
      </c>
      <c r="C20" t="s">
        <v>26</v>
      </c>
    </row>
    <row r="23" spans="1:13" x14ac:dyDescent="0.25">
      <c r="A23" s="2" t="s">
        <v>36</v>
      </c>
      <c r="B23" t="s">
        <v>19</v>
      </c>
      <c r="C23" t="s">
        <v>39</v>
      </c>
      <c r="D23" t="s">
        <v>40</v>
      </c>
      <c r="E23" t="s">
        <v>20</v>
      </c>
      <c r="F23" t="s">
        <v>41</v>
      </c>
      <c r="G23" t="s">
        <v>42</v>
      </c>
      <c r="H23" t="s">
        <v>63</v>
      </c>
      <c r="I23" t="s">
        <v>60</v>
      </c>
      <c r="J23" t="s">
        <v>64</v>
      </c>
      <c r="K23" t="s">
        <v>66</v>
      </c>
      <c r="M23" t="s">
        <v>70</v>
      </c>
    </row>
    <row r="24" spans="1:13" x14ac:dyDescent="0.25">
      <c r="A24" t="s">
        <v>71</v>
      </c>
      <c r="B24" t="s">
        <v>44</v>
      </c>
      <c r="C24" t="s">
        <v>44</v>
      </c>
      <c r="D24" t="s">
        <v>44</v>
      </c>
      <c r="E24" t="s">
        <v>45</v>
      </c>
      <c r="F24" t="s">
        <v>27</v>
      </c>
      <c r="G24" t="s">
        <v>26</v>
      </c>
      <c r="H24" t="s">
        <v>59</v>
      </c>
      <c r="I24" t="s">
        <v>60</v>
      </c>
      <c r="J24" t="s">
        <v>65</v>
      </c>
      <c r="K24" t="s">
        <v>62</v>
      </c>
      <c r="L24" t="s">
        <v>67</v>
      </c>
    </row>
    <row r="25" spans="1:13" x14ac:dyDescent="0.25">
      <c r="A25" t="s">
        <v>37</v>
      </c>
    </row>
    <row r="26" spans="1:13" x14ac:dyDescent="0.25">
      <c r="A26" t="s">
        <v>51</v>
      </c>
      <c r="B26">
        <v>330</v>
      </c>
      <c r="C26">
        <v>173</v>
      </c>
      <c r="D26">
        <v>220</v>
      </c>
      <c r="E26">
        <f>B26*C26*D26/1000000</f>
        <v>12.559799999999999</v>
      </c>
      <c r="F26">
        <v>30.4</v>
      </c>
      <c r="G26">
        <f>1000*F26/E26</f>
        <v>2420.4207073361044</v>
      </c>
      <c r="H26">
        <v>100</v>
      </c>
      <c r="I26">
        <v>12</v>
      </c>
      <c r="J26">
        <f>H26*I26</f>
        <v>1200</v>
      </c>
      <c r="K26">
        <f>J26/(E26/1000)</f>
        <v>95542.922658004114</v>
      </c>
      <c r="L26">
        <f>K26/G26</f>
        <v>39.473684210526315</v>
      </c>
      <c r="M26" t="s">
        <v>43</v>
      </c>
    </row>
    <row r="27" spans="1:13" x14ac:dyDescent="0.25">
      <c r="A27" t="s">
        <v>52</v>
      </c>
      <c r="B27">
        <v>229</v>
      </c>
      <c r="C27">
        <v>138</v>
      </c>
      <c r="D27">
        <v>205</v>
      </c>
      <c r="E27">
        <f>B27*C27*D27/1000000</f>
        <v>6.4784100000000002</v>
      </c>
      <c r="F27">
        <v>16.5</v>
      </c>
      <c r="G27">
        <f>1000*F27/E27</f>
        <v>2546.9212353031066</v>
      </c>
      <c r="H27">
        <v>55</v>
      </c>
      <c r="I27">
        <v>12</v>
      </c>
      <c r="J27">
        <f t="shared" ref="J27:J30" si="0">H27*I27</f>
        <v>660</v>
      </c>
      <c r="K27">
        <f t="shared" ref="K27:K30" si="1">J27/(E27/1000)</f>
        <v>101876.84941212427</v>
      </c>
      <c r="L27">
        <f t="shared" ref="L27:L30" si="2">K27/G27</f>
        <v>40</v>
      </c>
      <c r="M27" t="s">
        <v>49</v>
      </c>
    </row>
    <row r="28" spans="1:13" x14ac:dyDescent="0.25">
      <c r="A28" t="s">
        <v>53</v>
      </c>
      <c r="B28">
        <v>195</v>
      </c>
      <c r="C28">
        <v>164</v>
      </c>
      <c r="D28">
        <v>130</v>
      </c>
      <c r="E28">
        <f t="shared" ref="E28:E30" si="3">B28*C28*D28/1000000</f>
        <v>4.1574</v>
      </c>
      <c r="F28">
        <v>11.2</v>
      </c>
      <c r="G28">
        <f t="shared" ref="G28:G30" si="4">1000*F28/E28</f>
        <v>2693.9914369557896</v>
      </c>
      <c r="H28">
        <v>33</v>
      </c>
      <c r="I28">
        <v>12</v>
      </c>
      <c r="J28">
        <f t="shared" si="0"/>
        <v>396</v>
      </c>
      <c r="K28">
        <f t="shared" si="1"/>
        <v>95251.840092365412</v>
      </c>
      <c r="L28">
        <f t="shared" si="2"/>
        <v>35.357142857142854</v>
      </c>
      <c r="M28" t="s">
        <v>48</v>
      </c>
    </row>
    <row r="29" spans="1:13" x14ac:dyDescent="0.25">
      <c r="A29" t="s">
        <v>54</v>
      </c>
      <c r="B29">
        <v>181.5</v>
      </c>
      <c r="C29">
        <v>77</v>
      </c>
      <c r="D29">
        <v>167.5</v>
      </c>
      <c r="E29">
        <f t="shared" si="3"/>
        <v>2.3408962500000001</v>
      </c>
      <c r="F29">
        <v>5.78</v>
      </c>
      <c r="G29">
        <f t="shared" si="4"/>
        <v>2469.1397579025552</v>
      </c>
      <c r="H29">
        <v>20</v>
      </c>
      <c r="I29">
        <v>12</v>
      </c>
      <c r="J29">
        <f t="shared" si="0"/>
        <v>240</v>
      </c>
      <c r="K29">
        <f t="shared" si="1"/>
        <v>102524.83423816839</v>
      </c>
      <c r="L29">
        <f t="shared" si="2"/>
        <v>41.522491349480973</v>
      </c>
      <c r="M29" t="s">
        <v>47</v>
      </c>
    </row>
    <row r="30" spans="1:13" x14ac:dyDescent="0.25">
      <c r="A30" t="s">
        <v>55</v>
      </c>
      <c r="B30">
        <v>151</v>
      </c>
      <c r="C30">
        <v>51</v>
      </c>
      <c r="D30">
        <v>94</v>
      </c>
      <c r="E30">
        <f t="shared" si="3"/>
        <v>0.72389400000000004</v>
      </c>
      <c r="F30">
        <v>1.57</v>
      </c>
      <c r="G30">
        <f t="shared" si="4"/>
        <v>2168.8258225651821</v>
      </c>
      <c r="H30">
        <v>10</v>
      </c>
      <c r="I30">
        <v>12</v>
      </c>
      <c r="J30">
        <f t="shared" si="0"/>
        <v>120</v>
      </c>
      <c r="K30">
        <f t="shared" si="1"/>
        <v>165770.12656549164</v>
      </c>
      <c r="L30">
        <f t="shared" si="2"/>
        <v>76.433121019108285</v>
      </c>
      <c r="M30" t="s">
        <v>46</v>
      </c>
    </row>
    <row r="32" spans="1:13" x14ac:dyDescent="0.25">
      <c r="A32" t="s">
        <v>38</v>
      </c>
    </row>
    <row r="33" spans="1:13" x14ac:dyDescent="0.25">
      <c r="A33" t="s">
        <v>58</v>
      </c>
      <c r="B33">
        <v>73</v>
      </c>
      <c r="C33">
        <v>68</v>
      </c>
      <c r="D33">
        <v>19</v>
      </c>
      <c r="E33">
        <f t="shared" ref="E33:E36" si="5">B33*C33*D33/1000000</f>
        <v>9.4315999999999997E-2</v>
      </c>
      <c r="F33">
        <v>0.183</v>
      </c>
      <c r="G33">
        <f t="shared" ref="G33:G37" si="6">1000*F33/E33</f>
        <v>1940.2858475762332</v>
      </c>
      <c r="H33">
        <v>10.4</v>
      </c>
      <c r="I33">
        <v>3.7</v>
      </c>
      <c r="J33">
        <f t="shared" ref="J33:J37" si="7">H33*I33</f>
        <v>38.480000000000004</v>
      </c>
      <c r="K33">
        <f t="shared" ref="K33:K37" si="8">J33/(E33/1000)</f>
        <v>407990.16073624842</v>
      </c>
      <c r="L33">
        <f t="shared" ref="L33:L37" si="9">K33/G33</f>
        <v>210.27322404371586</v>
      </c>
      <c r="M33" t="s">
        <v>50</v>
      </c>
    </row>
    <row r="34" spans="1:13" x14ac:dyDescent="0.25">
      <c r="A34" t="s">
        <v>57</v>
      </c>
      <c r="B34">
        <v>74.5</v>
      </c>
      <c r="C34">
        <v>74.5</v>
      </c>
      <c r="D34">
        <v>72</v>
      </c>
      <c r="E34">
        <f t="shared" si="5"/>
        <v>0.39961799999999997</v>
      </c>
      <c r="F34">
        <v>0.77600000000000002</v>
      </c>
      <c r="G34">
        <f t="shared" si="6"/>
        <v>1941.8544710198241</v>
      </c>
      <c r="H34">
        <v>13.8</v>
      </c>
      <c r="I34">
        <v>14.8</v>
      </c>
      <c r="J34">
        <f t="shared" si="7"/>
        <v>204.24</v>
      </c>
      <c r="K34">
        <f t="shared" si="8"/>
        <v>511088.08912511455</v>
      </c>
      <c r="L34">
        <f t="shared" si="9"/>
        <v>263.1958762886598</v>
      </c>
      <c r="M34" t="s">
        <v>56</v>
      </c>
    </row>
    <row r="35" spans="1:13" x14ac:dyDescent="0.25">
      <c r="A35" s="1" t="s">
        <v>72</v>
      </c>
      <c r="E35">
        <v>0.16794999999999999</v>
      </c>
      <c r="F35">
        <v>4.4999999999999998E-2</v>
      </c>
      <c r="G35">
        <f t="shared" si="6"/>
        <v>267.93688597796967</v>
      </c>
      <c r="H35">
        <v>2.2000000000000002</v>
      </c>
      <c r="I35">
        <v>3.7</v>
      </c>
      <c r="J35">
        <f t="shared" si="7"/>
        <v>8.14</v>
      </c>
      <c r="K35">
        <f t="shared" si="8"/>
        <v>48466.805596903847</v>
      </c>
      <c r="L35">
        <f t="shared" si="9"/>
        <v>180.88888888888889</v>
      </c>
    </row>
    <row r="36" spans="1:13" x14ac:dyDescent="0.25">
      <c r="A36" t="s">
        <v>68</v>
      </c>
      <c r="B36">
        <v>141</v>
      </c>
      <c r="C36">
        <v>53</v>
      </c>
      <c r="D36">
        <v>23</v>
      </c>
      <c r="E36">
        <f t="shared" si="5"/>
        <v>0.171879</v>
      </c>
      <c r="F36">
        <v>0.36</v>
      </c>
      <c r="G36">
        <f t="shared" si="6"/>
        <v>2094.4967098947513</v>
      </c>
      <c r="H36">
        <v>5</v>
      </c>
      <c r="I36">
        <v>11.1</v>
      </c>
      <c r="J36">
        <f t="shared" si="7"/>
        <v>55.5</v>
      </c>
      <c r="K36">
        <f t="shared" si="8"/>
        <v>322901.57610877417</v>
      </c>
      <c r="L36">
        <f t="shared" si="9"/>
        <v>154.16666666666666</v>
      </c>
      <c r="M36" s="4" t="s">
        <v>69</v>
      </c>
    </row>
    <row r="37" spans="1:13" x14ac:dyDescent="0.25">
      <c r="A37" t="s">
        <v>93</v>
      </c>
      <c r="E37">
        <f>24250/100000</f>
        <v>0.24249999999999999</v>
      </c>
      <c r="F37">
        <v>6.6000000000000003E-2</v>
      </c>
      <c r="G37">
        <f t="shared" si="6"/>
        <v>272.16494845360825</v>
      </c>
      <c r="H37">
        <v>5.7</v>
      </c>
      <c r="I37">
        <v>3.7</v>
      </c>
      <c r="J37">
        <f t="shared" si="7"/>
        <v>21.090000000000003</v>
      </c>
      <c r="K37">
        <f t="shared" si="8"/>
        <v>86969.072164948477</v>
      </c>
      <c r="L37">
        <f t="shared" si="9"/>
        <v>319.54545454545462</v>
      </c>
    </row>
  </sheetData>
  <hyperlinks>
    <hyperlink ref="M36" r:id="rId1" xr:uid="{754A77AA-52AE-4C55-AC9B-9030C3D26F7B}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Sheet</vt:lpstr>
      <vt:lpstr>Material Densities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2018-05-18T11:59:44Z</dcterms:created>
  <dcterms:modified xsi:type="dcterms:W3CDTF">2018-05-18T15:54:11Z</dcterms:modified>
</cp:coreProperties>
</file>