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00-CODE\Cpp\RPCal-GCC\"/>
    </mc:Choice>
  </mc:AlternateContent>
  <xr:revisionPtr revIDLastSave="0" documentId="13_ncr:1_{41D06789-902E-4B95-BF8C-5FE003AF2F17}" xr6:coauthVersionLast="45" xr6:coauthVersionMax="45" xr10:uidLastSave="{00000000-0000-0000-0000-000000000000}"/>
  <bookViews>
    <workbookView xWindow="0" yWindow="1837" windowWidth="22500" windowHeight="12075" activeTab="1" xr2:uid="{00000000-000D-0000-FFFF-FFFF00000000}"/>
  </bookViews>
  <sheets>
    <sheet name="Example" sheetId="1" r:id="rId1"/>
    <sheet name="保定大发纸业" sheetId="9" r:id="rId2"/>
    <sheet name="优兰发" sheetId="8" r:id="rId3"/>
    <sheet name="鑫瑞纸业新线" sheetId="7" r:id="rId4"/>
    <sheet name="美洁纸业" sheetId="2" r:id="rId5"/>
    <sheet name="金南4200新线" sheetId="3" r:id="rId6"/>
    <sheet name="许昌宏伟纸业PM2" sheetId="4" r:id="rId7"/>
    <sheet name="许昌宏伟纸业PM1" sheetId="5" r:id="rId8"/>
    <sheet name="鸿达PM3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13" i="6" l="1"/>
  <c r="U13" i="6"/>
  <c r="T13" i="6"/>
  <c r="S13" i="6"/>
  <c r="R13" i="6"/>
  <c r="Q13" i="6"/>
  <c r="V13" i="6" s="1"/>
  <c r="V12" i="6"/>
  <c r="U12" i="6"/>
  <c r="T12" i="6"/>
  <c r="S12" i="6"/>
  <c r="R12" i="6"/>
  <c r="W12" i="6" s="1"/>
  <c r="Q12" i="6"/>
  <c r="U11" i="6"/>
  <c r="T11" i="6"/>
  <c r="S11" i="6"/>
  <c r="R11" i="6"/>
  <c r="W11" i="6" s="1"/>
  <c r="Q11" i="6"/>
  <c r="V11" i="6" s="1"/>
  <c r="U10" i="6"/>
  <c r="T10" i="6"/>
  <c r="S10" i="6"/>
  <c r="R10" i="6"/>
  <c r="W10" i="6" s="1"/>
  <c r="Q10" i="6"/>
  <c r="V10" i="6" s="1"/>
  <c r="W9" i="6"/>
  <c r="U9" i="6"/>
  <c r="T9" i="6"/>
  <c r="S9" i="6"/>
  <c r="R9" i="6"/>
  <c r="Q9" i="6"/>
  <c r="V9" i="6" s="1"/>
  <c r="W8" i="6"/>
  <c r="V8" i="6"/>
  <c r="U8" i="6"/>
  <c r="T8" i="6"/>
  <c r="S8" i="6"/>
  <c r="R8" i="6"/>
  <c r="Q8" i="6"/>
  <c r="W7" i="6"/>
  <c r="V7" i="6"/>
  <c r="U7" i="6"/>
  <c r="T7" i="6"/>
  <c r="S7" i="6"/>
  <c r="R7" i="6"/>
  <c r="Q7" i="6"/>
  <c r="V6" i="6"/>
  <c r="U6" i="6"/>
  <c r="T6" i="6"/>
  <c r="S6" i="6"/>
  <c r="R6" i="6"/>
  <c r="W6" i="6" s="1"/>
  <c r="Q6" i="6"/>
  <c r="W5" i="6"/>
  <c r="U5" i="6"/>
  <c r="T5" i="6"/>
  <c r="S5" i="6"/>
  <c r="R5" i="6"/>
  <c r="Q5" i="6"/>
  <c r="V5" i="6" s="1"/>
  <c r="V4" i="6"/>
  <c r="U4" i="6"/>
  <c r="T4" i="6"/>
  <c r="S4" i="6"/>
  <c r="R4" i="6"/>
  <c r="W4" i="6" s="1"/>
  <c r="Q4" i="6"/>
  <c r="U3" i="6"/>
  <c r="T3" i="6"/>
  <c r="S3" i="6"/>
  <c r="R3" i="6"/>
  <c r="W3" i="6" s="1"/>
  <c r="Q3" i="6"/>
  <c r="V3" i="6" s="1"/>
  <c r="U2" i="6"/>
  <c r="T2" i="6"/>
  <c r="S2" i="6"/>
  <c r="R2" i="6"/>
  <c r="W2" i="6" s="1"/>
  <c r="Q2" i="6"/>
  <c r="V2" i="6" s="1"/>
  <c r="W11" i="5"/>
  <c r="U11" i="5"/>
  <c r="T11" i="5"/>
  <c r="S11" i="5"/>
  <c r="R11" i="5"/>
  <c r="Q11" i="5"/>
  <c r="V11" i="5" s="1"/>
  <c r="V10" i="5"/>
  <c r="U10" i="5"/>
  <c r="T10" i="5"/>
  <c r="S10" i="5"/>
  <c r="R10" i="5"/>
  <c r="W10" i="5" s="1"/>
  <c r="Q10" i="5"/>
  <c r="U9" i="5"/>
  <c r="T9" i="5"/>
  <c r="S9" i="5"/>
  <c r="R9" i="5"/>
  <c r="W9" i="5" s="1"/>
  <c r="Q9" i="5"/>
  <c r="V9" i="5" s="1"/>
  <c r="U8" i="5"/>
  <c r="T8" i="5"/>
  <c r="S8" i="5"/>
  <c r="R8" i="5"/>
  <c r="W8" i="5" s="1"/>
  <c r="Q8" i="5"/>
  <c r="V8" i="5" s="1"/>
  <c r="W7" i="5"/>
  <c r="U7" i="5"/>
  <c r="T7" i="5"/>
  <c r="S7" i="5"/>
  <c r="R7" i="5"/>
  <c r="Q7" i="5"/>
  <c r="V7" i="5" s="1"/>
  <c r="W6" i="5"/>
  <c r="V6" i="5"/>
  <c r="U6" i="5"/>
  <c r="T6" i="5"/>
  <c r="S6" i="5"/>
  <c r="R6" i="5"/>
  <c r="Q6" i="5"/>
  <c r="W5" i="5"/>
  <c r="V5" i="5"/>
  <c r="U5" i="5"/>
  <c r="T5" i="5"/>
  <c r="S5" i="5"/>
  <c r="R5" i="5"/>
  <c r="Q5" i="5"/>
  <c r="V4" i="5"/>
  <c r="U4" i="5"/>
  <c r="T4" i="5"/>
  <c r="S4" i="5"/>
  <c r="R4" i="5"/>
  <c r="W4" i="5" s="1"/>
  <c r="Q4" i="5"/>
  <c r="W3" i="5"/>
  <c r="U3" i="5"/>
  <c r="T3" i="5"/>
  <c r="S3" i="5"/>
  <c r="R3" i="5"/>
  <c r="Q3" i="5"/>
  <c r="V3" i="5" s="1"/>
  <c r="V2" i="5"/>
  <c r="U2" i="5"/>
  <c r="T2" i="5"/>
  <c r="S2" i="5"/>
  <c r="R2" i="5"/>
  <c r="R12" i="5" s="1"/>
  <c r="Q2" i="5"/>
  <c r="Q12" i="5" s="1"/>
  <c r="W11" i="4"/>
  <c r="V11" i="4"/>
  <c r="U11" i="4"/>
  <c r="T11" i="4"/>
  <c r="S11" i="4"/>
  <c r="R11" i="4"/>
  <c r="Q11" i="4"/>
  <c r="V10" i="4"/>
  <c r="U10" i="4"/>
  <c r="T10" i="4"/>
  <c r="S10" i="4"/>
  <c r="R10" i="4"/>
  <c r="W10" i="4" s="1"/>
  <c r="Q10" i="4"/>
  <c r="W9" i="4"/>
  <c r="U9" i="4"/>
  <c r="T9" i="4"/>
  <c r="S9" i="4"/>
  <c r="R9" i="4"/>
  <c r="Q9" i="4"/>
  <c r="V9" i="4" s="1"/>
  <c r="V8" i="4"/>
  <c r="U8" i="4"/>
  <c r="T8" i="4"/>
  <c r="S8" i="4"/>
  <c r="R8" i="4"/>
  <c r="W8" i="4" s="1"/>
  <c r="Q8" i="4"/>
  <c r="U7" i="4"/>
  <c r="T7" i="4"/>
  <c r="S7" i="4"/>
  <c r="R7" i="4"/>
  <c r="W7" i="4" s="1"/>
  <c r="Q7" i="4"/>
  <c r="V7" i="4" s="1"/>
  <c r="U6" i="4"/>
  <c r="T6" i="4"/>
  <c r="S6" i="4"/>
  <c r="R6" i="4"/>
  <c r="W6" i="4" s="1"/>
  <c r="Q6" i="4"/>
  <c r="V6" i="4" s="1"/>
  <c r="W5" i="4"/>
  <c r="U5" i="4"/>
  <c r="T5" i="4"/>
  <c r="S5" i="4"/>
  <c r="R5" i="4"/>
  <c r="Q5" i="4"/>
  <c r="V5" i="4" s="1"/>
  <c r="W4" i="4"/>
  <c r="V4" i="4"/>
  <c r="U4" i="4"/>
  <c r="T4" i="4"/>
  <c r="S4" i="4"/>
  <c r="R4" i="4"/>
  <c r="R12" i="4" s="1"/>
  <c r="Q4" i="4"/>
  <c r="W3" i="4"/>
  <c r="V3" i="4"/>
  <c r="U3" i="4"/>
  <c r="T3" i="4"/>
  <c r="S3" i="4"/>
  <c r="R3" i="4"/>
  <c r="Q3" i="4"/>
  <c r="V2" i="4"/>
  <c r="U2" i="4"/>
  <c r="T2" i="4"/>
  <c r="S2" i="4"/>
  <c r="R2" i="4"/>
  <c r="W2" i="4" s="1"/>
  <c r="Q2" i="4"/>
  <c r="Q12" i="4" s="1"/>
  <c r="W12" i="3"/>
  <c r="U12" i="3"/>
  <c r="T12" i="3"/>
  <c r="S12" i="3"/>
  <c r="R12" i="3"/>
  <c r="Q12" i="3"/>
  <c r="V12" i="3" s="1"/>
  <c r="W11" i="3"/>
  <c r="U11" i="3"/>
  <c r="T11" i="3"/>
  <c r="S11" i="3"/>
  <c r="R11" i="3"/>
  <c r="Q11" i="3"/>
  <c r="V11" i="3" s="1"/>
  <c r="W10" i="3"/>
  <c r="V10" i="3"/>
  <c r="U10" i="3"/>
  <c r="T10" i="3"/>
  <c r="S10" i="3"/>
  <c r="R10" i="3"/>
  <c r="Q10" i="3"/>
  <c r="W9" i="3"/>
  <c r="V9" i="3"/>
  <c r="U9" i="3"/>
  <c r="T9" i="3"/>
  <c r="S9" i="3"/>
  <c r="R9" i="3"/>
  <c r="Q9" i="3"/>
  <c r="W8" i="3"/>
  <c r="V8" i="3"/>
  <c r="U8" i="3"/>
  <c r="T8" i="3"/>
  <c r="S8" i="3"/>
  <c r="R8" i="3"/>
  <c r="Q8" i="3"/>
  <c r="W7" i="3"/>
  <c r="V7" i="3"/>
  <c r="U7" i="3"/>
  <c r="T7" i="3"/>
  <c r="S7" i="3"/>
  <c r="R7" i="3"/>
  <c r="Q7" i="3"/>
  <c r="V6" i="3"/>
  <c r="U6" i="3"/>
  <c r="T6" i="3"/>
  <c r="S6" i="3"/>
  <c r="R6" i="3"/>
  <c r="W6" i="3" s="1"/>
  <c r="Q6" i="3"/>
  <c r="U5" i="3"/>
  <c r="T5" i="3"/>
  <c r="S5" i="3"/>
  <c r="R5" i="3"/>
  <c r="W5" i="3" s="1"/>
  <c r="Q5" i="3"/>
  <c r="Q13" i="3" s="1"/>
  <c r="U4" i="3"/>
  <c r="T4" i="3"/>
  <c r="S4" i="3"/>
  <c r="R4" i="3"/>
  <c r="W4" i="3" s="1"/>
  <c r="Q4" i="3"/>
  <c r="V4" i="3" s="1"/>
  <c r="W3" i="3"/>
  <c r="U3" i="3"/>
  <c r="T3" i="3"/>
  <c r="S3" i="3"/>
  <c r="R3" i="3"/>
  <c r="Q3" i="3"/>
  <c r="V3" i="3" s="1"/>
  <c r="W2" i="3"/>
  <c r="W13" i="3" s="1"/>
  <c r="V2" i="3"/>
  <c r="U2" i="3"/>
  <c r="T2" i="3"/>
  <c r="S2" i="3"/>
  <c r="R2" i="3"/>
  <c r="Q2" i="3"/>
  <c r="U11" i="2"/>
  <c r="T11" i="2"/>
  <c r="S11" i="2"/>
  <c r="R11" i="2"/>
  <c r="W11" i="2" s="1"/>
  <c r="Q11" i="2"/>
  <c r="V11" i="2" s="1"/>
  <c r="U10" i="2"/>
  <c r="T10" i="2"/>
  <c r="S10" i="2"/>
  <c r="R10" i="2"/>
  <c r="W10" i="2" s="1"/>
  <c r="Q10" i="2"/>
  <c r="V10" i="2" s="1"/>
  <c r="W9" i="2"/>
  <c r="U9" i="2"/>
  <c r="T9" i="2"/>
  <c r="S9" i="2"/>
  <c r="R9" i="2"/>
  <c r="Q9" i="2"/>
  <c r="V9" i="2" s="1"/>
  <c r="W8" i="2"/>
  <c r="V8" i="2"/>
  <c r="U8" i="2"/>
  <c r="T8" i="2"/>
  <c r="S8" i="2"/>
  <c r="R8" i="2"/>
  <c r="Q8" i="2"/>
  <c r="W7" i="2"/>
  <c r="V7" i="2"/>
  <c r="U7" i="2"/>
  <c r="T7" i="2"/>
  <c r="S7" i="2"/>
  <c r="R7" i="2"/>
  <c r="Q7" i="2"/>
  <c r="W6" i="2"/>
  <c r="V6" i="2"/>
  <c r="U6" i="2"/>
  <c r="T6" i="2"/>
  <c r="S6" i="2"/>
  <c r="R6" i="2"/>
  <c r="Q6" i="2"/>
  <c r="W5" i="2"/>
  <c r="V5" i="2"/>
  <c r="U5" i="2"/>
  <c r="T5" i="2"/>
  <c r="S5" i="2"/>
  <c r="R5" i="2"/>
  <c r="Q5" i="2"/>
  <c r="V4" i="2"/>
  <c r="U4" i="2"/>
  <c r="T4" i="2"/>
  <c r="S4" i="2"/>
  <c r="R4" i="2"/>
  <c r="W4" i="2" s="1"/>
  <c r="Q4" i="2"/>
  <c r="U3" i="2"/>
  <c r="T3" i="2"/>
  <c r="S3" i="2"/>
  <c r="R3" i="2"/>
  <c r="W3" i="2" s="1"/>
  <c r="Q3" i="2"/>
  <c r="V3" i="2" s="1"/>
  <c r="U2" i="2"/>
  <c r="T2" i="2"/>
  <c r="S2" i="2"/>
  <c r="R2" i="2"/>
  <c r="W2" i="2" s="1"/>
  <c r="Q2" i="2"/>
  <c r="Q12" i="2" s="1"/>
  <c r="X12" i="7"/>
  <c r="W11" i="7"/>
  <c r="V11" i="7"/>
  <c r="U11" i="7"/>
  <c r="T11" i="7"/>
  <c r="S11" i="7"/>
  <c r="R11" i="7"/>
  <c r="Q11" i="7"/>
  <c r="W10" i="7"/>
  <c r="V10" i="7"/>
  <c r="U10" i="7"/>
  <c r="T10" i="7"/>
  <c r="S10" i="7"/>
  <c r="R10" i="7"/>
  <c r="Q10" i="7"/>
  <c r="V9" i="7"/>
  <c r="U9" i="7"/>
  <c r="T9" i="7"/>
  <c r="S9" i="7"/>
  <c r="R9" i="7"/>
  <c r="W9" i="7" s="1"/>
  <c r="Q9" i="7"/>
  <c r="U8" i="7"/>
  <c r="T8" i="7"/>
  <c r="S8" i="7"/>
  <c r="R8" i="7"/>
  <c r="W8" i="7" s="1"/>
  <c r="Q8" i="7"/>
  <c r="V8" i="7" s="1"/>
  <c r="U7" i="7"/>
  <c r="T7" i="7"/>
  <c r="S7" i="7"/>
  <c r="R7" i="7"/>
  <c r="W7" i="7" s="1"/>
  <c r="Q7" i="7"/>
  <c r="V7" i="7" s="1"/>
  <c r="W6" i="7"/>
  <c r="U6" i="7"/>
  <c r="T6" i="7"/>
  <c r="S6" i="7"/>
  <c r="R6" i="7"/>
  <c r="Q6" i="7"/>
  <c r="V6" i="7" s="1"/>
  <c r="W5" i="7"/>
  <c r="V5" i="7"/>
  <c r="U5" i="7"/>
  <c r="T5" i="7"/>
  <c r="S5" i="7"/>
  <c r="R5" i="7"/>
  <c r="Q5" i="7"/>
  <c r="W4" i="7"/>
  <c r="V4" i="7"/>
  <c r="U4" i="7"/>
  <c r="T4" i="7"/>
  <c r="S4" i="7"/>
  <c r="R4" i="7"/>
  <c r="Q4" i="7"/>
  <c r="Q12" i="7" s="1"/>
  <c r="W3" i="7"/>
  <c r="V3" i="7"/>
  <c r="U3" i="7"/>
  <c r="T3" i="7"/>
  <c r="S3" i="7"/>
  <c r="R3" i="7"/>
  <c r="Q3" i="7"/>
  <c r="W2" i="7"/>
  <c r="V2" i="7"/>
  <c r="U2" i="7"/>
  <c r="T2" i="7"/>
  <c r="S2" i="7"/>
  <c r="R2" i="7"/>
  <c r="R12" i="7" s="1"/>
  <c r="Q2" i="7"/>
  <c r="W12" i="8"/>
  <c r="V12" i="8"/>
  <c r="U12" i="8"/>
  <c r="T12" i="8"/>
  <c r="S12" i="8"/>
  <c r="R12" i="8"/>
  <c r="Q12" i="8"/>
  <c r="W11" i="8"/>
  <c r="V11" i="8"/>
  <c r="U11" i="8"/>
  <c r="T11" i="8"/>
  <c r="S11" i="8"/>
  <c r="R11" i="8"/>
  <c r="Q11" i="8"/>
  <c r="W10" i="8"/>
  <c r="V10" i="8"/>
  <c r="U10" i="8"/>
  <c r="T10" i="8"/>
  <c r="S10" i="8"/>
  <c r="R10" i="8"/>
  <c r="Q10" i="8"/>
  <c r="W9" i="8"/>
  <c r="V9" i="8"/>
  <c r="U9" i="8"/>
  <c r="T9" i="8"/>
  <c r="S9" i="8"/>
  <c r="R9" i="8"/>
  <c r="Q9" i="8"/>
  <c r="V8" i="8"/>
  <c r="U8" i="8"/>
  <c r="T8" i="8"/>
  <c r="S8" i="8"/>
  <c r="R8" i="8"/>
  <c r="W8" i="8" s="1"/>
  <c r="Q8" i="8"/>
  <c r="U7" i="8"/>
  <c r="T7" i="8"/>
  <c r="S7" i="8"/>
  <c r="R7" i="8"/>
  <c r="W7" i="8" s="1"/>
  <c r="Q7" i="8"/>
  <c r="V7" i="8" s="1"/>
  <c r="U6" i="8"/>
  <c r="T6" i="8"/>
  <c r="S6" i="8"/>
  <c r="R6" i="8"/>
  <c r="W6" i="8" s="1"/>
  <c r="Q6" i="8"/>
  <c r="V6" i="8" s="1"/>
  <c r="W5" i="8"/>
  <c r="U5" i="8"/>
  <c r="T5" i="8"/>
  <c r="S5" i="8"/>
  <c r="R5" i="8"/>
  <c r="R13" i="8" s="1"/>
  <c r="Q5" i="8"/>
  <c r="V5" i="8" s="1"/>
  <c r="W4" i="8"/>
  <c r="V4" i="8"/>
  <c r="U4" i="8"/>
  <c r="T4" i="8"/>
  <c r="S4" i="8"/>
  <c r="R4" i="8"/>
  <c r="Q4" i="8"/>
  <c r="W3" i="8"/>
  <c r="V3" i="8"/>
  <c r="U3" i="8"/>
  <c r="T3" i="8"/>
  <c r="S3" i="8"/>
  <c r="R3" i="8"/>
  <c r="Q3" i="8"/>
  <c r="W2" i="8"/>
  <c r="V2" i="8"/>
  <c r="U2" i="8"/>
  <c r="T2" i="8"/>
  <c r="S2" i="8"/>
  <c r="R2" i="8"/>
  <c r="Q2" i="8"/>
  <c r="Q13" i="8" s="1"/>
  <c r="W15" i="9"/>
  <c r="U15" i="9"/>
  <c r="T15" i="9"/>
  <c r="S15" i="9"/>
  <c r="R15" i="9"/>
  <c r="Q15" i="9"/>
  <c r="V15" i="9" s="1"/>
  <c r="W14" i="9"/>
  <c r="V14" i="9"/>
  <c r="U14" i="9"/>
  <c r="T14" i="9"/>
  <c r="S14" i="9"/>
  <c r="R14" i="9"/>
  <c r="Q14" i="9"/>
  <c r="W13" i="9"/>
  <c r="V13" i="9"/>
  <c r="U13" i="9"/>
  <c r="T13" i="9"/>
  <c r="S13" i="9"/>
  <c r="R13" i="9"/>
  <c r="Q13" i="9"/>
  <c r="W12" i="9"/>
  <c r="V12" i="9"/>
  <c r="U12" i="9"/>
  <c r="T12" i="9"/>
  <c r="S12" i="9"/>
  <c r="R12" i="9"/>
  <c r="Q12" i="9"/>
  <c r="W11" i="9"/>
  <c r="V11" i="9"/>
  <c r="U11" i="9"/>
  <c r="T11" i="9"/>
  <c r="S11" i="9"/>
  <c r="R11" i="9"/>
  <c r="Q11" i="9"/>
  <c r="V10" i="9"/>
  <c r="U10" i="9"/>
  <c r="T10" i="9"/>
  <c r="S10" i="9"/>
  <c r="R10" i="9"/>
  <c r="W10" i="9" s="1"/>
  <c r="Q10" i="9"/>
  <c r="U9" i="9"/>
  <c r="T9" i="9"/>
  <c r="S9" i="9"/>
  <c r="R9" i="9"/>
  <c r="W9" i="9" s="1"/>
  <c r="Q9" i="9"/>
  <c r="V9" i="9" s="1"/>
  <c r="U8" i="9"/>
  <c r="T8" i="9"/>
  <c r="S8" i="9"/>
  <c r="R8" i="9"/>
  <c r="W8" i="9" s="1"/>
  <c r="Q8" i="9"/>
  <c r="V8" i="9" s="1"/>
  <c r="W7" i="9"/>
  <c r="U7" i="9"/>
  <c r="T7" i="9"/>
  <c r="S7" i="9"/>
  <c r="R7" i="9"/>
  <c r="Q7" i="9"/>
  <c r="V7" i="9" s="1"/>
  <c r="W6" i="9"/>
  <c r="V6" i="9"/>
  <c r="U6" i="9"/>
  <c r="T6" i="9"/>
  <c r="S6" i="9"/>
  <c r="R6" i="9"/>
  <c r="Q6" i="9"/>
  <c r="W5" i="9"/>
  <c r="V5" i="9"/>
  <c r="U5" i="9"/>
  <c r="T5" i="9"/>
  <c r="S5" i="9"/>
  <c r="R5" i="9"/>
  <c r="Q5" i="9"/>
  <c r="W4" i="9"/>
  <c r="V4" i="9"/>
  <c r="U4" i="9"/>
  <c r="T4" i="9"/>
  <c r="S4" i="9"/>
  <c r="R4" i="9"/>
  <c r="Q4" i="9"/>
  <c r="W3" i="9"/>
  <c r="V3" i="9"/>
  <c r="U3" i="9"/>
  <c r="T3" i="9"/>
  <c r="S3" i="9"/>
  <c r="R3" i="9"/>
  <c r="Q3" i="9"/>
  <c r="V2" i="9"/>
  <c r="U2" i="9"/>
  <c r="T2" i="9"/>
  <c r="S2" i="9"/>
  <c r="R2" i="9"/>
  <c r="W2" i="9" s="1"/>
  <c r="Q2" i="9"/>
  <c r="W12" i="1"/>
  <c r="V12" i="1"/>
  <c r="U12" i="1"/>
  <c r="T12" i="1"/>
  <c r="S12" i="1"/>
  <c r="R12" i="1"/>
  <c r="Q12" i="1"/>
  <c r="W11" i="1"/>
  <c r="V11" i="1"/>
  <c r="U11" i="1"/>
  <c r="T11" i="1"/>
  <c r="S11" i="1"/>
  <c r="R11" i="1"/>
  <c r="Q11" i="1"/>
  <c r="W10" i="1"/>
  <c r="V10" i="1"/>
  <c r="U10" i="1"/>
  <c r="T10" i="1"/>
  <c r="S10" i="1"/>
  <c r="R10" i="1"/>
  <c r="Q10" i="1"/>
  <c r="V9" i="1"/>
  <c r="U9" i="1"/>
  <c r="T9" i="1"/>
  <c r="S9" i="1"/>
  <c r="R9" i="1"/>
  <c r="W9" i="1" s="1"/>
  <c r="Q9" i="1"/>
  <c r="U8" i="1"/>
  <c r="T8" i="1"/>
  <c r="S8" i="1"/>
  <c r="R8" i="1"/>
  <c r="W8" i="1" s="1"/>
  <c r="Q8" i="1"/>
  <c r="V8" i="1" s="1"/>
  <c r="U7" i="1"/>
  <c r="T7" i="1"/>
  <c r="S7" i="1"/>
  <c r="R7" i="1"/>
  <c r="W7" i="1" s="1"/>
  <c r="Q7" i="1"/>
  <c r="V7" i="1" s="1"/>
  <c r="W6" i="1"/>
  <c r="U6" i="1"/>
  <c r="T6" i="1"/>
  <c r="S6" i="1"/>
  <c r="R6" i="1"/>
  <c r="Q6" i="1"/>
  <c r="V6" i="1" s="1"/>
  <c r="W5" i="1"/>
  <c r="V5" i="1"/>
  <c r="U5" i="1"/>
  <c r="T5" i="1"/>
  <c r="S5" i="1"/>
  <c r="R5" i="1"/>
  <c r="Q5" i="1"/>
  <c r="Q13" i="1" s="1"/>
  <c r="W4" i="1"/>
  <c r="V4" i="1"/>
  <c r="U4" i="1"/>
  <c r="T4" i="1"/>
  <c r="S4" i="1"/>
  <c r="R4" i="1"/>
  <c r="Q4" i="1"/>
  <c r="W3" i="1"/>
  <c r="V3" i="1"/>
  <c r="U3" i="1"/>
  <c r="T3" i="1"/>
  <c r="S3" i="1"/>
  <c r="R3" i="1"/>
  <c r="Q3" i="1"/>
  <c r="W2" i="1"/>
  <c r="V2" i="1"/>
  <c r="U2" i="1"/>
  <c r="T2" i="1"/>
  <c r="S2" i="1"/>
  <c r="R2" i="1"/>
  <c r="R13" i="1" s="1"/>
  <c r="Q2" i="1"/>
  <c r="V16" i="9" l="1"/>
  <c r="W12" i="2"/>
  <c r="W12" i="4"/>
  <c r="V12" i="5"/>
  <c r="V13" i="1"/>
  <c r="V13" i="8"/>
  <c r="W12" i="7"/>
  <c r="V12" i="7"/>
  <c r="W13" i="1"/>
  <c r="W13" i="8"/>
  <c r="V12" i="4"/>
  <c r="V14" i="6"/>
  <c r="W14" i="6"/>
  <c r="W16" i="9"/>
  <c r="Q16" i="9"/>
  <c r="R13" i="3"/>
  <c r="R16" i="9"/>
  <c r="R12" i="2"/>
  <c r="W2" i="5"/>
  <c r="W12" i="5" s="1"/>
  <c r="Q14" i="6"/>
  <c r="V5" i="3"/>
  <c r="V13" i="3" s="1"/>
  <c r="R14" i="6"/>
  <c r="V2" i="2"/>
  <c r="V12" i="2" s="1"/>
</calcChain>
</file>

<file path=xl/sharedStrings.xml><?xml version="1.0" encoding="utf-8"?>
<sst xmlns="http://schemas.openxmlformats.org/spreadsheetml/2006/main" count="378" uniqueCount="150">
  <si>
    <t>slotNumber</t>
    <phoneticPr fontId="1" type="noConversion"/>
  </si>
  <si>
    <t>boxNumber</t>
    <phoneticPr fontId="1" type="noConversion"/>
  </si>
  <si>
    <t>Location</t>
    <phoneticPr fontId="1" type="noConversion"/>
  </si>
  <si>
    <t>unitLocation</t>
    <phoneticPr fontId="1" type="noConversion"/>
  </si>
  <si>
    <t>PROCESS</t>
    <phoneticPr fontId="1" type="noConversion"/>
  </si>
  <si>
    <t>reelSpeed</t>
    <phoneticPr fontId="1" type="noConversion"/>
  </si>
  <si>
    <t>m/min</t>
    <phoneticPr fontId="1" type="noConversion"/>
  </si>
  <si>
    <t>basisWeight</t>
    <phoneticPr fontId="1" type="noConversion"/>
  </si>
  <si>
    <t>100-150</t>
    <phoneticPr fontId="1" type="noConversion"/>
  </si>
  <si>
    <t>g/m2</t>
    <phoneticPr fontId="1" type="noConversion"/>
  </si>
  <si>
    <t>paperType</t>
    <phoneticPr fontId="1" type="noConversion"/>
  </si>
  <si>
    <t>CORRUGATING MEDIUM</t>
    <phoneticPr fontId="1" type="noConversion"/>
  </si>
  <si>
    <t>wireWidth
[mm]</t>
    <phoneticPr fontId="1" type="noConversion"/>
  </si>
  <si>
    <t>slotWidth
[mm]</t>
    <phoneticPr fontId="1" type="noConversion"/>
  </si>
  <si>
    <t>minVacuum
[-kPa]</t>
    <phoneticPr fontId="1" type="noConversion"/>
  </si>
  <si>
    <t>maxVacuum
[-kPa]</t>
    <phoneticPr fontId="1" type="noConversion"/>
  </si>
  <si>
    <t>UNIT</t>
    <phoneticPr fontId="1" type="noConversion"/>
  </si>
  <si>
    <t>VALUE</t>
    <phoneticPr fontId="1" type="noConversion"/>
  </si>
  <si>
    <t>LOW VACUUM FOIL SUCTION BOXES</t>
    <phoneticPr fontId="1" type="noConversion"/>
  </si>
  <si>
    <t>MEDIUM VACUUM FOIL SUCTION BOXES</t>
    <phoneticPr fontId="1" type="noConversion"/>
  </si>
  <si>
    <t>LOW VACUUM AREA OF COUCH ROLL</t>
    <phoneticPr fontId="1" type="noConversion"/>
  </si>
  <si>
    <t>HIGH VACUUM AREA OF COUCH ROLL</t>
    <phoneticPr fontId="1" type="noConversion"/>
  </si>
  <si>
    <t>VACUUM ASSISTED PULSATIVE FOIL SUCTION BOXES</t>
    <phoneticPr fontId="1" type="noConversion"/>
  </si>
  <si>
    <t>rollDiameter
[mm]</t>
    <phoneticPr fontId="1" type="noConversion"/>
  </si>
  <si>
    <t>LOW VACUUM AREA OF PRESS SUCTION ROLL</t>
    <phoneticPr fontId="1" type="noConversion"/>
  </si>
  <si>
    <t>HIGH VACUUM AREA OF PRESS SUCTION ROLL</t>
    <phoneticPr fontId="1" type="noConversion"/>
  </si>
  <si>
    <t>110-140</t>
    <phoneticPr fontId="1" type="noConversion"/>
  </si>
  <si>
    <t>LOW VACUUM WET SUCTION FLATBOXES</t>
    <phoneticPr fontId="1" type="noConversion"/>
  </si>
  <si>
    <t>HIGH VACUUM DRY SUCTION FLATBOXES</t>
    <phoneticPr fontId="1" type="noConversion"/>
  </si>
  <si>
    <t>LOW VACUUM AREA OF PICK UP ROLL</t>
    <phoneticPr fontId="1" type="noConversion"/>
  </si>
  <si>
    <t>HIGH VACUUM AREA OF PICK UP ROLL</t>
    <phoneticPr fontId="1" type="noConversion"/>
  </si>
  <si>
    <t>LOW VACUUM FELT SLOTS SUCTION BOXES</t>
    <phoneticPr fontId="1" type="noConversion"/>
  </si>
  <si>
    <t>LOW VACUUM AREA OF PRESS SUCTION ROLL(FELTS 2&amp;1-NIPS)</t>
    <phoneticPr fontId="1" type="noConversion"/>
  </si>
  <si>
    <t>HIGH VACUUM AREA OF PRESS SUCTION ROLL(FELTS 2&amp;1-NIPS)</t>
    <phoneticPr fontId="1" type="noConversion"/>
  </si>
  <si>
    <t>120-170</t>
    <phoneticPr fontId="1" type="noConversion"/>
  </si>
  <si>
    <t>PRESS SUCTION ROLL(DOUBLE FELTED NIP)</t>
    <phoneticPr fontId="1" type="noConversion"/>
  </si>
  <si>
    <t>80-90</t>
    <phoneticPr fontId="1" type="noConversion"/>
  </si>
  <si>
    <t>LOW VACUUM AREA OF PRESS SUCTION ROLL(FELTS 1&amp;1-NIPS)</t>
    <phoneticPr fontId="1" type="noConversion"/>
  </si>
  <si>
    <t>HIGH VACUUM AREA OF PRESS SUCTION ROLL(FELTS 1&amp;1-NIPS)</t>
    <phoneticPr fontId="1" type="noConversion"/>
  </si>
  <si>
    <t>90-150</t>
    <phoneticPr fontId="1" type="noConversion"/>
  </si>
  <si>
    <t>Total</t>
  </si>
  <si>
    <t>Total</t>
  </si>
  <si>
    <t>Total</t>
  </si>
  <si>
    <t>Total</t>
  </si>
  <si>
    <t>Total</t>
  </si>
  <si>
    <t>Total</t>
  </si>
  <si>
    <t>50-50</t>
    <phoneticPr fontId="1" type="noConversion"/>
  </si>
  <si>
    <t>Total</t>
  </si>
  <si>
    <t>100-250</t>
    <phoneticPr fontId="1" type="noConversion"/>
  </si>
  <si>
    <t>refMinVac
[SI]</t>
  </si>
  <si>
    <t>refMaxVac
[SI]</t>
  </si>
  <si>
    <t>minFactor
[SI]</t>
  </si>
  <si>
    <t>maxFactor
[SI]</t>
  </si>
  <si>
    <t>airMinFlow
[m3/min]</t>
  </si>
  <si>
    <t>airMaxFlow
[m3/min]</t>
  </si>
  <si>
    <t>slotVacTime
[ms]</t>
  </si>
  <si>
    <t>unitVacTime
[ms]</t>
  </si>
  <si>
    <t>partVacTime
[ms]</t>
  </si>
  <si>
    <t>fixMinFlow
[m3/min]</t>
  </si>
  <si>
    <t>fixMaxFlow
[m3/min]</t>
  </si>
  <si>
    <t>Total</t>
  </si>
  <si>
    <t>refMinVac
[SI]</t>
  </si>
  <si>
    <t>refMaxVac
[SI]</t>
  </si>
  <si>
    <t>minFactor
[SI]</t>
  </si>
  <si>
    <t>maxFactor
[SI]</t>
  </si>
  <si>
    <t>airMinFlow
[m3/min]</t>
  </si>
  <si>
    <t>airMaxFlow
[m3/min]</t>
  </si>
  <si>
    <t>slotVacTime
[ms]</t>
  </si>
  <si>
    <t>unitVacTime
[ms]</t>
  </si>
  <si>
    <t>partVacTime
[ms]</t>
  </si>
  <si>
    <t>fixMinFlow
[m3/min]</t>
  </si>
  <si>
    <t>fixMaxFlow
[m3/min]</t>
  </si>
  <si>
    <t>Total</t>
  </si>
  <si>
    <t>refMinVac
[SI]</t>
  </si>
  <si>
    <t>refMaxVac
[SI]</t>
  </si>
  <si>
    <t>minFactor
[SI]</t>
  </si>
  <si>
    <t>maxFactor
[SI]</t>
  </si>
  <si>
    <t>airMinFlow
[m3/min]</t>
  </si>
  <si>
    <t>airMaxFlow
[m3/min]</t>
  </si>
  <si>
    <t>slotVacTime
[ms]</t>
  </si>
  <si>
    <t>unitVacTime
[ms]</t>
  </si>
  <si>
    <t>partVacTime
[ms]</t>
  </si>
  <si>
    <t>fixMinFlow
[m3/min]</t>
  </si>
  <si>
    <t>fixMaxFlow
[m3/min]</t>
  </si>
  <si>
    <t>refMinVac
[SI]</t>
  </si>
  <si>
    <t>refMaxVac
[SI]</t>
  </si>
  <si>
    <t>minFactor
[SI]</t>
  </si>
  <si>
    <t>maxFactor
[SI]</t>
  </si>
  <si>
    <t>airMinFlow
[m3/min]</t>
  </si>
  <si>
    <t>airMaxFlow
[m3/min]</t>
  </si>
  <si>
    <t>slotVacTime
[ms]</t>
  </si>
  <si>
    <t>unitVacTime
[ms]</t>
  </si>
  <si>
    <t>partVacTime
[ms]</t>
  </si>
  <si>
    <t>fixMinFlow
[m3/min]</t>
  </si>
  <si>
    <t>fixMaxFlow
[m3/min]</t>
  </si>
  <si>
    <t>refMinVac
[SI]</t>
  </si>
  <si>
    <t>refMaxVac
[SI]</t>
  </si>
  <si>
    <t>minFactor
[SI]</t>
  </si>
  <si>
    <t>maxFactor
[SI]</t>
  </si>
  <si>
    <t>airMinFlow
[m3/min]</t>
  </si>
  <si>
    <t>airMaxFlow
[m3/min]</t>
  </si>
  <si>
    <t>slotVacTime
[ms]</t>
  </si>
  <si>
    <t>unitVacTime
[ms]</t>
  </si>
  <si>
    <t>partVacTime
[ms]</t>
  </si>
  <si>
    <t>fixMinFlow
[m3/min]</t>
  </si>
  <si>
    <t>fixMaxFlow
[m3/min]</t>
  </si>
  <si>
    <t>refMinVac
[SI]</t>
  </si>
  <si>
    <t>refMaxVac
[SI]</t>
  </si>
  <si>
    <t>minFactor
[SI]</t>
  </si>
  <si>
    <t>maxFactor
[SI]</t>
  </si>
  <si>
    <t>airMinFlow
[m3/min]</t>
  </si>
  <si>
    <t>airMaxFlow
[m3/min]</t>
  </si>
  <si>
    <t>slotVacTime
[ms]</t>
  </si>
  <si>
    <t>unitVacTime
[ms]</t>
  </si>
  <si>
    <t>partVacTime
[ms]</t>
  </si>
  <si>
    <t>fixMinFlow
[m3/min]</t>
  </si>
  <si>
    <t>fixMaxFlow
[m3/min]</t>
  </si>
  <si>
    <t>refMinVac
[SI]</t>
  </si>
  <si>
    <t>refMaxVac
[SI]</t>
  </si>
  <si>
    <t>minFactor
[SI]</t>
  </si>
  <si>
    <t>maxFactor
[SI]</t>
  </si>
  <si>
    <t>airMinFlow
[m3/min]</t>
  </si>
  <si>
    <t>airMaxFlow
[m3/min]</t>
  </si>
  <si>
    <t>slotVacTime
[ms]</t>
  </si>
  <si>
    <t>unitVacTime
[ms]</t>
  </si>
  <si>
    <t>partVacTime
[ms]</t>
  </si>
  <si>
    <t>fixMinFlow
[m3/min]</t>
  </si>
  <si>
    <t>fixMaxFlow
[m3/min]</t>
  </si>
  <si>
    <t>refMinVac
[SI]</t>
  </si>
  <si>
    <t>refMaxVac
[SI]</t>
  </si>
  <si>
    <t>minFactor
[SI]</t>
  </si>
  <si>
    <t>maxFactor
[SI]</t>
  </si>
  <si>
    <t>airMinFlow
[m3/min]</t>
  </si>
  <si>
    <t>airMaxFlow
[m3/min]</t>
  </si>
  <si>
    <t>slotVacTime
[ms]</t>
  </si>
  <si>
    <t>unitVacTime
[ms]</t>
  </si>
  <si>
    <t>partVacTime
[ms]</t>
  </si>
  <si>
    <t>fixMinFlow
[m3/min]</t>
  </si>
  <si>
    <t>fixMaxFlow
[m3/min]</t>
  </si>
  <si>
    <t>refMinVac
[SI]</t>
  </si>
  <si>
    <t>refMaxVac
[SI]</t>
  </si>
  <si>
    <t>minFactor
[SI]</t>
  </si>
  <si>
    <t>maxFactor
[SI]</t>
  </si>
  <si>
    <t>airMinFlow
[m3/min]</t>
  </si>
  <si>
    <t>airMaxFlow
[m3/min]</t>
  </si>
  <si>
    <t>slotVacTime
[ms]</t>
  </si>
  <si>
    <t>unitVacTime
[ms]</t>
  </si>
  <si>
    <t>partVacTime
[ms]</t>
  </si>
  <si>
    <t>fixMinFlow
[m3/min]</t>
  </si>
  <si>
    <t>fixMaxFlow
[m3/min]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</si>
</sst>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12"/>
      <name val="等线"/>
      <family val="3"/>
      <charset val="134"/>
    </font>
    <font>
      <sz val="12"/>
      <name val="等线"/>
      <family val="3"/>
      <charset val="134"/>
    </font>
    <font>
      <sz val="12"/>
      <name val="等线"/>
      <family val="3"/>
      <charset val="134"/>
    </font>
    <font>
      <sz val="12"/>
      <name val="等线"/>
      <family val="3"/>
      <charset val="134"/>
    </font>
    <font>
      <sz val="12"/>
      <name val="等线"/>
      <family val="3"/>
      <charset val="134"/>
    </font>
    <font>
      <sz val="12"/>
      <name val="等线"/>
      <family val="3"/>
      <charset val="134"/>
    </font>
    <font>
      <sz val="12"/>
      <name val="等线"/>
      <family val="3"/>
      <charset val="134"/>
    </font>
    <font>
      <sz val="12"/>
      <name val="等线"/>
      <family val="3"/>
      <charset val="134"/>
    </font>
    <font>
      <sz val="14"/>
      <name val="等线"/>
      <family val="3"/>
      <charset val="134"/>
    </font>
    <font>
      <sz val="12"/>
      <name val="等线"/>
      <family val="3"/>
      <charset val="134"/>
    </font>
    <font>
      <sz val="14"/>
      <name val="等线"/>
      <family val="3"/>
      <charset val="134"/>
    </font>
    <font>
      <sz val="12"/>
      <name val="等线"/>
      <family val="3"/>
      <charset val="134"/>
    </font>
    <font>
      <sz val="14"/>
      <name val="等线"/>
      <family val="3"/>
      <charset val="134"/>
    </font>
    <font>
      <sz val="12"/>
      <name val="等线"/>
      <family val="3"/>
      <charset val="134"/>
    </font>
    <font>
      <sz val="14"/>
      <name val="等线"/>
      <family val="3"/>
      <charset val="134"/>
    </font>
    <font>
      <sz val="12"/>
      <name val="等线"/>
      <family val="3"/>
      <charset val="134"/>
    </font>
    <font>
      <sz val="14"/>
      <name val="等线"/>
      <family val="3"/>
      <charset val="134"/>
    </font>
    <font>
      <sz val="12"/>
      <name val="等线"/>
      <family val="3"/>
      <charset val="134"/>
    </font>
    <font>
      <sz val="14"/>
      <name val="等线"/>
      <family val="3"/>
      <charset val="134"/>
    </font>
    <font>
      <sz val="12"/>
      <name val="等线"/>
      <family val="3"/>
      <charset val="134"/>
    </font>
    <font>
      <sz val="14"/>
      <name val="等线"/>
      <family val="3"/>
      <charset val="134"/>
    </font>
    <font>
      <sz val="12"/>
      <name val="等线"/>
      <family val="3"/>
      <charset val="134"/>
    </font>
    <font>
      <sz val="14"/>
      <name val="等线"/>
      <family val="3"/>
      <charset val="134"/>
    </font>
    <font>
      <sz val="12"/>
      <name val="等线"/>
      <family val="3"/>
      <charset val="134"/>
    </font>
    <font>
      <sz val="14"/>
      <name val="等线"/>
      <family val="3"/>
      <charset val="134"/>
    </font>
    <font>
      <sz val="12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gray0625">
        <fgColor indexed="35"/>
        <bgColor indexed="35"/>
      </patternFill>
    </fill>
    <fill>
      <patternFill patternType="gray0625">
        <fgColor indexed="35"/>
        <bgColor indexed="35"/>
      </patternFill>
    </fill>
    <fill>
      <patternFill patternType="gray0625">
        <fgColor indexed="35"/>
        <bgColor indexed="35"/>
      </patternFill>
    </fill>
    <fill>
      <patternFill patternType="gray0625">
        <fgColor indexed="35"/>
        <bgColor indexed="35"/>
      </patternFill>
    </fill>
    <fill>
      <patternFill patternType="gray0625">
        <fgColor indexed="35"/>
        <bgColor indexed="35"/>
      </patternFill>
    </fill>
    <fill>
      <patternFill patternType="gray0625">
        <fgColor indexed="35"/>
        <bgColor indexed="35"/>
      </patternFill>
    </fill>
    <fill>
      <patternFill patternType="gray0625">
        <fgColor indexed="35"/>
        <bgColor indexed="35"/>
      </patternFill>
    </fill>
    <fill>
      <patternFill patternType="gray0625">
        <fgColor indexed="35"/>
        <bgColor indexed="35"/>
      </patternFill>
    </fill>
    <fill>
      <patternFill patternType="gray0625">
        <fgColor indexed="35"/>
        <bgColor indexed="35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/>
    </xf>
    <xf numFmtId="0" fontId="3" fillId="0" borderId="3" xfId="0" applyFont="1" applyBorder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right" vertical="center"/>
    </xf>
    <xf numFmtId="0" fontId="3" fillId="0" borderId="0" xfId="0" applyFont="1" applyFill="1"/>
    <xf numFmtId="0" fontId="6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right" vertical="center"/>
    </xf>
    <xf numFmtId="0" fontId="3" fillId="0" borderId="5" xfId="0" applyFont="1" applyFill="1" applyBorder="1"/>
    <xf numFmtId="0" fontId="3" fillId="0" borderId="5" xfId="0" applyFont="1" applyFill="1" applyBorder="1" applyAlignment="1">
      <alignment horizontal="right" vertical="center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right" vertical="center"/>
    </xf>
    <xf numFmtId="0" fontId="6" fillId="0" borderId="5" xfId="0" applyFont="1" applyFill="1" applyBorder="1" applyAlignment="1">
      <alignment horizontal="right" vertical="center"/>
    </xf>
    <xf numFmtId="0" fontId="6" fillId="0" borderId="7" xfId="0" applyFont="1" applyBorder="1" applyAlignment="1">
      <alignment horizontal="left" vertical="center"/>
    </xf>
    <xf numFmtId="0" fontId="6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2" fontId="7" fillId="0" borderId="9" xfId="0" applyNumberFormat="1" applyFont="1" applyBorder="1" applyAlignment="1">
      <alignment horizontal="right" vertical="center"/>
    </xf>
    <xf numFmtId="2" fontId="8" fillId="0" borderId="10" xfId="0" applyNumberFormat="1" applyFont="1" applyBorder="1" applyAlignment="1">
      <alignment horizontal="right" vertical="center"/>
    </xf>
    <xf numFmtId="2" fontId="9" fillId="0" borderId="11" xfId="0" applyNumberFormat="1" applyFont="1" applyBorder="1" applyAlignment="1">
      <alignment horizontal="right" vertical="center"/>
    </xf>
    <xf numFmtId="2" fontId="10" fillId="0" borderId="12" xfId="0" applyNumberFormat="1" applyFont="1" applyBorder="1" applyAlignment="1">
      <alignment horizontal="right" vertical="center"/>
    </xf>
    <xf numFmtId="2" fontId="11" fillId="0" borderId="13" xfId="0" applyNumberFormat="1" applyFont="1" applyBorder="1" applyAlignment="1">
      <alignment horizontal="right" vertical="center"/>
    </xf>
    <xf numFmtId="2" fontId="12" fillId="0" borderId="14" xfId="0" applyNumberFormat="1" applyFont="1" applyBorder="1" applyAlignment="1">
      <alignment horizontal="right" vertical="center"/>
    </xf>
    <xf numFmtId="176" fontId="3" fillId="0" borderId="0" xfId="0" applyNumberFormat="1" applyFont="1"/>
    <xf numFmtId="176" fontId="13" fillId="0" borderId="15" xfId="0" applyNumberFormat="1" applyFont="1" applyBorder="1" applyAlignment="1">
      <alignment horizontal="right" vertical="center"/>
    </xf>
    <xf numFmtId="2" fontId="14" fillId="0" borderId="16" xfId="0" applyNumberFormat="1" applyFont="1" applyBorder="1" applyAlignment="1">
      <alignment horizontal="right" vertical="center"/>
    </xf>
    <xf numFmtId="0" fontId="3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horizontal="right" vertical="center"/>
    </xf>
    <xf numFmtId="0" fontId="6" fillId="0" borderId="17" xfId="0" applyFont="1" applyBorder="1" applyAlignment="1">
      <alignment horizontal="left" vertical="center"/>
    </xf>
    <xf numFmtId="0" fontId="6" fillId="0" borderId="17" xfId="0" applyFont="1" applyBorder="1" applyAlignment="1">
      <alignment horizontal="center" vertical="center"/>
    </xf>
    <xf numFmtId="0" fontId="15" fillId="2" borderId="18" xfId="0" applyFont="1" applyFill="1" applyBorder="1" applyAlignment="1">
      <alignment horizontal="center" vertical="center" wrapText="1" shrinkToFit="1"/>
    </xf>
    <xf numFmtId="2" fontId="16" fillId="0" borderId="19" xfId="0" applyNumberFormat="1" applyFont="1" applyBorder="1" applyAlignment="1">
      <alignment horizontal="right" vertical="center"/>
    </xf>
    <xf numFmtId="0" fontId="17" fillId="3" borderId="20" xfId="0" applyFont="1" applyFill="1" applyBorder="1" applyAlignment="1">
      <alignment horizontal="center" vertical="center" wrapText="1" shrinkToFit="1"/>
    </xf>
    <xf numFmtId="2" fontId="18" fillId="0" borderId="21" xfId="0" applyNumberFormat="1" applyFont="1" applyBorder="1" applyAlignment="1">
      <alignment horizontal="right" vertical="center"/>
    </xf>
    <xf numFmtId="0" fontId="19" fillId="4" borderId="22" xfId="0" applyFont="1" applyFill="1" applyBorder="1" applyAlignment="1">
      <alignment horizontal="center" vertical="center" wrapText="1" shrinkToFit="1"/>
    </xf>
    <xf numFmtId="2" fontId="20" fillId="0" borderId="23" xfId="0" applyNumberFormat="1" applyFont="1" applyBorder="1" applyAlignment="1">
      <alignment horizontal="right" vertical="center"/>
    </xf>
    <xf numFmtId="0" fontId="21" fillId="5" borderId="24" xfId="0" applyFont="1" applyFill="1" applyBorder="1" applyAlignment="1">
      <alignment horizontal="center" vertical="center" wrapText="1" shrinkToFit="1"/>
    </xf>
    <xf numFmtId="2" fontId="22" fillId="0" borderId="25" xfId="0" applyNumberFormat="1" applyFont="1" applyBorder="1" applyAlignment="1">
      <alignment horizontal="right" vertical="center"/>
    </xf>
    <xf numFmtId="0" fontId="23" fillId="6" borderId="26" xfId="0" applyFont="1" applyFill="1" applyBorder="1" applyAlignment="1">
      <alignment horizontal="center" vertical="center" wrapText="1" shrinkToFit="1"/>
    </xf>
    <xf numFmtId="2" fontId="24" fillId="0" borderId="27" xfId="0" applyNumberFormat="1" applyFont="1" applyBorder="1" applyAlignment="1">
      <alignment horizontal="right" vertical="center"/>
    </xf>
    <xf numFmtId="0" fontId="25" fillId="7" borderId="28" xfId="0" applyFont="1" applyFill="1" applyBorder="1" applyAlignment="1">
      <alignment horizontal="center" vertical="center" wrapText="1" shrinkToFit="1"/>
    </xf>
    <xf numFmtId="2" fontId="26" fillId="0" borderId="29" xfId="0" applyNumberFormat="1" applyFont="1" applyBorder="1" applyAlignment="1">
      <alignment horizontal="right" vertical="center"/>
    </xf>
    <xf numFmtId="0" fontId="27" fillId="8" borderId="30" xfId="0" applyFont="1" applyFill="1" applyBorder="1" applyAlignment="1">
      <alignment horizontal="center" vertical="center" wrapText="1" shrinkToFit="1"/>
    </xf>
    <xf numFmtId="2" fontId="28" fillId="0" borderId="31" xfId="0" applyNumberFormat="1" applyFont="1" applyBorder="1" applyAlignment="1">
      <alignment horizontal="right" vertical="center"/>
    </xf>
    <xf numFmtId="0" fontId="29" fillId="9" borderId="32" xfId="0" applyFont="1" applyFill="1" applyBorder="1" applyAlignment="1">
      <alignment horizontal="center" vertical="center" wrapText="1" shrinkToFit="1"/>
    </xf>
    <xf numFmtId="2" fontId="30" fillId="0" borderId="33" xfId="0" applyNumberFormat="1" applyFont="1" applyBorder="1" applyAlignment="1">
      <alignment horizontal="right" vertical="center"/>
    </xf>
    <xf numFmtId="0" fontId="31" fillId="10" borderId="34" xfId="0" applyFont="1" applyFill="1" applyBorder="1" applyAlignment="1">
      <alignment horizontal="center" vertical="center" wrapText="1" shrinkToFit="1"/>
    </xf>
    <xf numFmtId="2" fontId="32" fillId="0" borderId="35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opLeftCell="G1" workbookViewId="0">
      <selection activeCell="Q13" sqref="Q13"/>
    </sheetView>
  </sheetViews>
  <sheetFormatPr defaultRowHeight="13.9" x14ac:dyDescent="0.4"/>
  <cols>
    <col min="1" max="1" width="12.33203125" bestFit="1" customWidth="1"/>
    <col min="2" max="2" width="25.06640625" bestFit="1" customWidth="1"/>
    <col min="3" max="3" width="6.46484375" bestFit="1" customWidth="1"/>
    <col min="4" max="4" width="52.9296875" bestFit="1" customWidth="1"/>
    <col min="5" max="5" width="14.46484375" bestFit="1" customWidth="1"/>
    <col min="6" max="6" width="12.06640625" bestFit="1" customWidth="1"/>
    <col min="7" max="7" width="13.86328125" bestFit="1" customWidth="1"/>
    <col min="8" max="8" width="11.33203125" bestFit="1" customWidth="1"/>
    <col min="9" max="10" width="14.06640625" bestFit="1" customWidth="1"/>
    <col min="11" max="11" width="14.53125" bestFit="1" customWidth="1"/>
    <col min="12" max="12" width="16.53125" bestFit="1" customWidth="1"/>
  </cols>
  <sheetData>
    <row r="1" spans="1:23" s="2" customFormat="1" ht="70.5" x14ac:dyDescent="0.4">
      <c r="A1" s="4" t="s">
        <v>4</v>
      </c>
      <c r="B1" s="4" t="s">
        <v>17</v>
      </c>
      <c r="C1" s="4" t="s">
        <v>16</v>
      </c>
      <c r="D1" s="4" t="s">
        <v>2</v>
      </c>
      <c r="E1" s="4" t="s">
        <v>3</v>
      </c>
      <c r="F1" s="9" t="s">
        <v>12</v>
      </c>
      <c r="G1" s="4" t="s">
        <v>0</v>
      </c>
      <c r="H1" s="9" t="s">
        <v>13</v>
      </c>
      <c r="I1" s="4" t="s">
        <v>1</v>
      </c>
      <c r="J1" s="9" t="s">
        <v>14</v>
      </c>
      <c r="K1" s="9" t="s">
        <v>15</v>
      </c>
      <c r="L1" s="12" t="s">
        <v>23</v>
      </c>
      <c r="M1" s="51" t="s">
        <v>49</v>
      </c>
      <c r="N1" s="51" t="s">
        <v>50</v>
      </c>
      <c r="O1" s="51" t="s">
        <v>51</v>
      </c>
      <c r="P1" s="51" t="s">
        <v>52</v>
      </c>
      <c r="Q1" s="51" t="s">
        <v>53</v>
      </c>
      <c r="R1" s="51" t="s">
        <v>54</v>
      </c>
      <c r="S1" s="51" t="s">
        <v>55</v>
      </c>
      <c r="T1" s="51" t="s">
        <v>56</v>
      </c>
      <c r="U1" s="51" t="s">
        <v>57</v>
      </c>
      <c r="V1" s="51" t="s">
        <v>58</v>
      </c>
      <c r="W1" s="51" t="s">
        <v>59</v>
      </c>
    </row>
    <row r="2" spans="1:23" s="1" customFormat="1" ht="15" x14ac:dyDescent="0.4">
      <c r="A2" s="5" t="s">
        <v>5</v>
      </c>
      <c r="B2" s="5">
        <v>400</v>
      </c>
      <c r="C2" s="5" t="s">
        <v>6</v>
      </c>
      <c r="D2" s="6" t="s">
        <v>22</v>
      </c>
      <c r="E2" s="5">
        <v>1</v>
      </c>
      <c r="F2" s="10">
        <v>3450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5"/>
      <c r="M2" s="52">
        <v>6.4714729206963248</v>
      </c>
      <c r="N2" s="52">
        <v>6.4714729206963248</v>
      </c>
      <c r="O2" s="52">
        <v>1.6755487204724409</v>
      </c>
      <c r="P2" s="52">
        <v>1.6755487204724409</v>
      </c>
      <c r="Q2" s="52">
        <f>F2/1000*I2*O2</f>
        <v>0</v>
      </c>
      <c r="R2" s="52">
        <f>F2/1000*I2*P2</f>
        <v>0</v>
      </c>
      <c r="S2" s="52">
        <f t="shared" ref="S2:S12" si="0">H2/400*60</f>
        <v>0</v>
      </c>
      <c r="T2" s="52">
        <f t="shared" ref="T2:T12" si="1">H2/400*60*G2</f>
        <v>0</v>
      </c>
      <c r="U2" s="52">
        <f t="shared" ref="U2:U12" si="2">H2/400*60*G2*I2</f>
        <v>0</v>
      </c>
      <c r="V2" s="52">
        <f>0*0*Q2</f>
        <v>0</v>
      </c>
      <c r="W2" s="52">
        <f>0*0*R2</f>
        <v>0</v>
      </c>
    </row>
    <row r="3" spans="1:23" s="1" customFormat="1" ht="15" x14ac:dyDescent="0.4">
      <c r="A3" s="5" t="s">
        <v>7</v>
      </c>
      <c r="B3" s="5" t="s">
        <v>8</v>
      </c>
      <c r="C3" s="5" t="s">
        <v>9</v>
      </c>
      <c r="D3" s="6" t="s">
        <v>18</v>
      </c>
      <c r="E3" s="5">
        <v>2</v>
      </c>
      <c r="F3" s="10">
        <v>3450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5"/>
      <c r="M3" s="52">
        <v>9.4583065764023218</v>
      </c>
      <c r="N3" s="52">
        <v>9.4583065764023218</v>
      </c>
      <c r="O3" s="52">
        <v>1.6755487204724409</v>
      </c>
      <c r="P3" s="52">
        <v>1.6755487204724409</v>
      </c>
      <c r="Q3" s="52">
        <f>F3/1000*I3*O3</f>
        <v>0</v>
      </c>
      <c r="R3" s="52">
        <f>F3/1000*I3*P3</f>
        <v>0</v>
      </c>
      <c r="S3" s="52">
        <f t="shared" si="0"/>
        <v>0</v>
      </c>
      <c r="T3" s="52">
        <f t="shared" si="1"/>
        <v>0</v>
      </c>
      <c r="U3" s="52">
        <f t="shared" si="2"/>
        <v>0</v>
      </c>
      <c r="V3" s="52">
        <f>0*0*Q3</f>
        <v>0</v>
      </c>
      <c r="W3" s="52">
        <f>0*0*R3</f>
        <v>0</v>
      </c>
    </row>
    <row r="4" spans="1:23" s="3" customFormat="1" ht="15" x14ac:dyDescent="0.4">
      <c r="A4" s="15" t="s">
        <v>10</v>
      </c>
      <c r="B4" s="15" t="s">
        <v>11</v>
      </c>
      <c r="C4" s="7"/>
      <c r="D4" s="6" t="s">
        <v>19</v>
      </c>
      <c r="E4" s="5">
        <v>3</v>
      </c>
      <c r="F4" s="11">
        <v>3450</v>
      </c>
      <c r="G4" s="11">
        <v>5</v>
      </c>
      <c r="H4" s="11">
        <v>45</v>
      </c>
      <c r="I4" s="11">
        <v>3</v>
      </c>
      <c r="J4" s="11">
        <v>10</v>
      </c>
      <c r="K4" s="11">
        <v>15</v>
      </c>
      <c r="L4" s="7"/>
      <c r="M4" s="52">
        <v>13.440751450676981</v>
      </c>
      <c r="N4" s="52">
        <v>13.440751450676981</v>
      </c>
      <c r="O4" s="52">
        <v>3.9096136811023623</v>
      </c>
      <c r="P4" s="52">
        <v>3.9096136811023623</v>
      </c>
      <c r="Q4" s="52">
        <f>F4/1000*I4*O4</f>
        <v>40.464501599409452</v>
      </c>
      <c r="R4" s="52">
        <f>F4/1000*I4*P4</f>
        <v>40.464501599409452</v>
      </c>
      <c r="S4" s="52">
        <f t="shared" si="0"/>
        <v>6.75</v>
      </c>
      <c r="T4" s="52">
        <f t="shared" si="1"/>
        <v>33.75</v>
      </c>
      <c r="U4" s="52">
        <f t="shared" si="2"/>
        <v>101.25</v>
      </c>
      <c r="V4" s="52">
        <f>0.862558*0*Q4</f>
        <v>0</v>
      </c>
      <c r="W4" s="52">
        <f>1.056413*0*R4</f>
        <v>0</v>
      </c>
    </row>
    <row r="5" spans="1:23" s="3" customFormat="1" ht="15" x14ac:dyDescent="0.4">
      <c r="A5" s="15"/>
      <c r="B5" s="15"/>
      <c r="C5" s="15"/>
      <c r="D5" s="8" t="s">
        <v>27</v>
      </c>
      <c r="E5" s="5">
        <v>4</v>
      </c>
      <c r="F5" s="11">
        <v>3450</v>
      </c>
      <c r="G5" s="11">
        <v>5</v>
      </c>
      <c r="H5" s="11">
        <v>36</v>
      </c>
      <c r="I5" s="11">
        <v>3</v>
      </c>
      <c r="J5" s="11">
        <v>20</v>
      </c>
      <c r="K5" s="11">
        <v>25</v>
      </c>
      <c r="L5" s="7"/>
      <c r="M5" s="52">
        <v>33.863881578947371</v>
      </c>
      <c r="N5" s="52">
        <v>33.863881578947371</v>
      </c>
      <c r="O5" s="52">
        <v>35.18212536425073</v>
      </c>
      <c r="P5" s="52">
        <v>43.977656705313407</v>
      </c>
      <c r="Q5" s="52">
        <f>F5/1000*H5/1000*O5*I5*G5</f>
        <v>65.544299553599103</v>
      </c>
      <c r="R5" s="52">
        <f>F5/1000*H5/1000*P5*I5*G5</f>
        <v>81.930374441998879</v>
      </c>
      <c r="S5" s="52">
        <f t="shared" si="0"/>
        <v>5.3999999999999995</v>
      </c>
      <c r="T5" s="52">
        <f t="shared" si="1"/>
        <v>26.999999999999996</v>
      </c>
      <c r="U5" s="52">
        <f t="shared" si="2"/>
        <v>80.999999999999986</v>
      </c>
      <c r="V5" s="52">
        <f>0.768505*0*Q5</f>
        <v>0</v>
      </c>
      <c r="W5" s="52">
        <f>0.859215*0*R5</f>
        <v>0</v>
      </c>
    </row>
    <row r="6" spans="1:23" s="3" customFormat="1" ht="15" x14ac:dyDescent="0.4">
      <c r="A6" s="15"/>
      <c r="B6" s="15"/>
      <c r="C6" s="15"/>
      <c r="D6" s="6" t="s">
        <v>28</v>
      </c>
      <c r="E6" s="5">
        <v>5</v>
      </c>
      <c r="F6" s="11">
        <v>3450</v>
      </c>
      <c r="G6" s="11">
        <v>7</v>
      </c>
      <c r="H6" s="11">
        <v>19</v>
      </c>
      <c r="I6" s="11">
        <v>6</v>
      </c>
      <c r="J6" s="11">
        <v>25</v>
      </c>
      <c r="K6" s="11">
        <v>45</v>
      </c>
      <c r="L6" s="7"/>
      <c r="M6" s="52">
        <v>50.795822368421049</v>
      </c>
      <c r="N6" s="52">
        <v>50.795822368421049</v>
      </c>
      <c r="O6" s="52">
        <v>65.966485057970118</v>
      </c>
      <c r="P6" s="52">
        <v>87.955313410626815</v>
      </c>
      <c r="Q6" s="52">
        <f>F6/1000*G6*H6/1000*I6*O6</f>
        <v>181.61233001309756</v>
      </c>
      <c r="R6" s="52">
        <f>F6/1000*G6*H6/1000*I6*P6</f>
        <v>242.14977335079672</v>
      </c>
      <c r="S6" s="52">
        <f t="shared" si="0"/>
        <v>2.85</v>
      </c>
      <c r="T6" s="52">
        <f t="shared" si="1"/>
        <v>19.95</v>
      </c>
      <c r="U6" s="52">
        <f t="shared" si="2"/>
        <v>119.69999999999999</v>
      </c>
      <c r="V6" s="52">
        <f>0.701546*0*Q6</f>
        <v>0</v>
      </c>
      <c r="W6" s="52">
        <f>0.941222*0*R6</f>
        <v>0</v>
      </c>
    </row>
    <row r="7" spans="1:23" s="3" customFormat="1" ht="15" x14ac:dyDescent="0.4">
      <c r="A7" s="15"/>
      <c r="B7" s="15"/>
      <c r="C7" s="15"/>
      <c r="D7" s="6" t="s">
        <v>20</v>
      </c>
      <c r="E7" s="5">
        <v>6</v>
      </c>
      <c r="F7" s="11">
        <v>3450</v>
      </c>
      <c r="G7" s="11">
        <v>1</v>
      </c>
      <c r="H7" s="11">
        <v>145</v>
      </c>
      <c r="I7" s="11">
        <v>1</v>
      </c>
      <c r="J7" s="11">
        <v>15</v>
      </c>
      <c r="K7" s="11">
        <v>25</v>
      </c>
      <c r="L7" s="7">
        <v>850</v>
      </c>
      <c r="M7" s="52">
        <v>33.863881578947371</v>
      </c>
      <c r="N7" s="52">
        <v>33.863881578947371</v>
      </c>
      <c r="O7" s="52">
        <v>131.93297011594024</v>
      </c>
      <c r="P7" s="52">
        <v>131.93297011594024</v>
      </c>
      <c r="Q7" s="52">
        <f>F7/1000*H7/1000*O7*I7*G7</f>
        <v>65.999468300499103</v>
      </c>
      <c r="R7" s="52">
        <f>F7/1000*H7/1000*P7*I7*G7</f>
        <v>65.999468300499103</v>
      </c>
      <c r="S7" s="52">
        <f t="shared" si="0"/>
        <v>21.75</v>
      </c>
      <c r="T7" s="52">
        <f t="shared" si="1"/>
        <v>21.75</v>
      </c>
      <c r="U7" s="52">
        <f t="shared" si="2"/>
        <v>21.75</v>
      </c>
      <c r="V7" s="52">
        <f>0.665545*0*Q7</f>
        <v>0</v>
      </c>
      <c r="W7" s="52">
        <f>0.859215*0*R7</f>
        <v>0</v>
      </c>
    </row>
    <row r="8" spans="1:23" s="3" customFormat="1" ht="15" x14ac:dyDescent="0.4">
      <c r="A8" s="15"/>
      <c r="B8" s="15"/>
      <c r="C8" s="15"/>
      <c r="D8" s="6" t="s">
        <v>21</v>
      </c>
      <c r="E8" s="5">
        <v>7</v>
      </c>
      <c r="F8" s="11">
        <v>3450</v>
      </c>
      <c r="G8" s="11">
        <v>1</v>
      </c>
      <c r="H8" s="11">
        <v>70</v>
      </c>
      <c r="I8" s="11">
        <v>1</v>
      </c>
      <c r="J8" s="11">
        <v>45</v>
      </c>
      <c r="K8" s="11">
        <v>55</v>
      </c>
      <c r="L8" s="7">
        <v>850</v>
      </c>
      <c r="M8" s="52">
        <v>67.727763157894742</v>
      </c>
      <c r="N8" s="52">
        <v>67.727763157894742</v>
      </c>
      <c r="O8" s="52">
        <v>307.84359693719387</v>
      </c>
      <c r="P8" s="52">
        <v>307.84359693719387</v>
      </c>
      <c r="Q8" s="52">
        <f>F8/1000*H8/1000*O8*I8*G8</f>
        <v>74.34422866033232</v>
      </c>
      <c r="R8" s="52">
        <f>F8/1000*H8/1000*P8*I8*G8</f>
        <v>74.34422866033232</v>
      </c>
      <c r="S8" s="52">
        <f t="shared" si="0"/>
        <v>10.5</v>
      </c>
      <c r="T8" s="52">
        <f t="shared" si="1"/>
        <v>10.5</v>
      </c>
      <c r="U8" s="52">
        <f t="shared" si="2"/>
        <v>10.5</v>
      </c>
      <c r="V8" s="52">
        <f>0.815123*0*Q8</f>
        <v>0</v>
      </c>
      <c r="W8" s="52">
        <f>0.901152*0*R8</f>
        <v>0</v>
      </c>
    </row>
    <row r="9" spans="1:23" s="3" customFormat="1" ht="15" x14ac:dyDescent="0.4">
      <c r="A9" s="15"/>
      <c r="B9" s="15"/>
      <c r="C9" s="15"/>
      <c r="D9" s="6" t="s">
        <v>30</v>
      </c>
      <c r="E9" s="5">
        <v>9</v>
      </c>
      <c r="F9" s="11">
        <v>3450</v>
      </c>
      <c r="G9" s="11">
        <v>1</v>
      </c>
      <c r="H9" s="11">
        <v>60</v>
      </c>
      <c r="I9" s="11">
        <v>1</v>
      </c>
      <c r="J9" s="11">
        <v>35</v>
      </c>
      <c r="K9" s="11">
        <v>40</v>
      </c>
      <c r="L9" s="7">
        <v>600</v>
      </c>
      <c r="M9" s="52">
        <v>67.727763157894742</v>
      </c>
      <c r="N9" s="52">
        <v>67.727763157894742</v>
      </c>
      <c r="O9" s="52">
        <v>219.88828352656702</v>
      </c>
      <c r="P9" s="52">
        <v>219.88828352656702</v>
      </c>
      <c r="Q9" s="52">
        <f>F9/1000*H9/1000*O9*I9*G9</f>
        <v>45.516874689999369</v>
      </c>
      <c r="R9" s="52">
        <f>F9/1000*H9/1000*P9*I9*G9</f>
        <v>45.516874689999369</v>
      </c>
      <c r="S9" s="52">
        <f t="shared" si="0"/>
        <v>9</v>
      </c>
      <c r="T9" s="52">
        <f t="shared" si="1"/>
        <v>9</v>
      </c>
      <c r="U9" s="52">
        <f t="shared" si="2"/>
        <v>9</v>
      </c>
      <c r="V9" s="52">
        <f>0.71887*0*Q9</f>
        <v>0</v>
      </c>
      <c r="W9" s="52">
        <f>0.768505*0*R9</f>
        <v>0</v>
      </c>
    </row>
    <row r="10" spans="1:23" s="3" customFormat="1" ht="15" x14ac:dyDescent="0.4">
      <c r="A10" s="15"/>
      <c r="B10" s="15"/>
      <c r="C10" s="15"/>
      <c r="D10" s="6" t="s">
        <v>24</v>
      </c>
      <c r="E10" s="5">
        <v>18</v>
      </c>
      <c r="F10" s="11">
        <v>3450</v>
      </c>
      <c r="G10" s="11">
        <v>1</v>
      </c>
      <c r="H10" s="11">
        <v>0</v>
      </c>
      <c r="I10" s="11">
        <v>0</v>
      </c>
      <c r="J10" s="11">
        <v>0</v>
      </c>
      <c r="K10" s="11">
        <v>0</v>
      </c>
      <c r="L10" s="7"/>
      <c r="M10" s="52">
        <v>33.863881578947371</v>
      </c>
      <c r="N10" s="52">
        <v>33.863881578947371</v>
      </c>
      <c r="O10" s="52">
        <v>32.983242528985059</v>
      </c>
      <c r="P10" s="52">
        <v>43.977656705313407</v>
      </c>
      <c r="Q10" s="52">
        <f>F10/1000*H10/1000*O10*I10*G10</f>
        <v>0</v>
      </c>
      <c r="R10" s="52">
        <f>F10/1000*H10/1000*P10*I10*G10</f>
        <v>0</v>
      </c>
      <c r="S10" s="52">
        <f t="shared" si="0"/>
        <v>0</v>
      </c>
      <c r="T10" s="52">
        <f t="shared" si="1"/>
        <v>0</v>
      </c>
      <c r="U10" s="52">
        <f t="shared" si="2"/>
        <v>0</v>
      </c>
      <c r="V10" s="52">
        <f>0*0*Q10</f>
        <v>0</v>
      </c>
      <c r="W10" s="52">
        <f>0*0*R10</f>
        <v>0</v>
      </c>
    </row>
    <row r="11" spans="1:23" s="3" customFormat="1" ht="15" x14ac:dyDescent="0.4">
      <c r="A11" s="15"/>
      <c r="B11" s="15"/>
      <c r="C11" s="15"/>
      <c r="D11" s="6" t="s">
        <v>25</v>
      </c>
      <c r="E11" s="5">
        <v>19</v>
      </c>
      <c r="F11" s="11">
        <v>3450</v>
      </c>
      <c r="G11" s="11">
        <v>1</v>
      </c>
      <c r="H11" s="11">
        <v>0</v>
      </c>
      <c r="I11" s="11">
        <v>0</v>
      </c>
      <c r="J11" s="11">
        <v>0</v>
      </c>
      <c r="K11" s="11">
        <v>0</v>
      </c>
      <c r="L11" s="7"/>
      <c r="M11" s="52">
        <v>67.727763157894742</v>
      </c>
      <c r="N11" s="52">
        <v>67.727763157894742</v>
      </c>
      <c r="O11" s="52">
        <v>175.91062682125363</v>
      </c>
      <c r="P11" s="52">
        <v>219.88828352656702</v>
      </c>
      <c r="Q11" s="52">
        <f>F11/1000*H11/1000*O11*I11*G11</f>
        <v>0</v>
      </c>
      <c r="R11" s="52">
        <f>F11/1000*H11/1000*P11*I11*G11</f>
        <v>0</v>
      </c>
      <c r="S11" s="52">
        <f t="shared" si="0"/>
        <v>0</v>
      </c>
      <c r="T11" s="52">
        <f t="shared" si="1"/>
        <v>0</v>
      </c>
      <c r="U11" s="52">
        <f t="shared" si="2"/>
        <v>0</v>
      </c>
      <c r="V11" s="52">
        <f>0*0*Q11</f>
        <v>0</v>
      </c>
      <c r="W11" s="52">
        <f>0*0*R11</f>
        <v>0</v>
      </c>
    </row>
    <row r="12" spans="1:23" s="3" customFormat="1" ht="15" x14ac:dyDescent="0.4">
      <c r="A12" s="15"/>
      <c r="B12" s="15"/>
      <c r="C12" s="15"/>
      <c r="D12" s="24" t="s">
        <v>31</v>
      </c>
      <c r="E12" s="5">
        <v>22</v>
      </c>
      <c r="F12" s="11">
        <v>3450</v>
      </c>
      <c r="G12" s="11">
        <v>2</v>
      </c>
      <c r="H12" s="11">
        <v>19</v>
      </c>
      <c r="I12" s="11">
        <v>4</v>
      </c>
      <c r="J12" s="11">
        <v>45</v>
      </c>
      <c r="K12" s="11">
        <v>45</v>
      </c>
      <c r="L12" s="7"/>
      <c r="M12" s="52">
        <v>50.795822368421049</v>
      </c>
      <c r="N12" s="52">
        <v>50.795822368421049</v>
      </c>
      <c r="O12" s="52">
        <v>659.66485057970112</v>
      </c>
      <c r="P12" s="52">
        <v>659.66485057970112</v>
      </c>
      <c r="Q12" s="52">
        <f>F12/1000*G12*H12/1000*I12*O12</f>
        <v>345.92824764399523</v>
      </c>
      <c r="R12" s="52">
        <f>F12/1000*G12*H12/1000*I12*P12</f>
        <v>345.92824764399523</v>
      </c>
      <c r="S12" s="52">
        <f t="shared" si="0"/>
        <v>2.85</v>
      </c>
      <c r="T12" s="52">
        <f t="shared" si="1"/>
        <v>5.7</v>
      </c>
      <c r="U12" s="52">
        <f t="shared" si="2"/>
        <v>22.8</v>
      </c>
      <c r="V12" s="52">
        <f>0.941222*0*Q12</f>
        <v>0</v>
      </c>
      <c r="W12" s="52">
        <f>0.941222*0*R12</f>
        <v>0</v>
      </c>
    </row>
    <row r="13" spans="1:23" s="3" customFormat="1" ht="15" x14ac:dyDescent="0.4">
      <c r="P13" s="52" t="s">
        <v>60</v>
      </c>
      <c r="Q13" s="52">
        <f>SUM(Q2:Q12)</f>
        <v>819.40995046093212</v>
      </c>
      <c r="R13" s="52">
        <f>SUM(R2:R12)</f>
        <v>896.33346868703097</v>
      </c>
      <c r="V13" s="52">
        <f>SUM(V2:V12)</f>
        <v>0</v>
      </c>
      <c r="W13" s="52">
        <f>SUM(W2:W12)</f>
        <v>0</v>
      </c>
    </row>
    <row r="14" spans="1:23" s="3" customFormat="1" ht="15" x14ac:dyDescent="0.4"/>
    <row r="15" spans="1:23" s="3" customFormat="1" ht="15" x14ac:dyDescent="0.4"/>
    <row r="16" spans="1:23" s="3" customFormat="1" ht="15" x14ac:dyDescent="0.4"/>
    <row r="17" s="3" customFormat="1" ht="15" x14ac:dyDescent="0.4"/>
    <row r="18" s="3" customFormat="1" ht="15" x14ac:dyDescent="0.4"/>
    <row r="19" s="3" customFormat="1" ht="15" x14ac:dyDescent="0.4"/>
    <row r="20" s="3" customFormat="1" ht="15" x14ac:dyDescent="0.4"/>
    <row r="21" s="3" customFormat="1" ht="15" x14ac:dyDescent="0.4"/>
    <row r="22" s="3" customFormat="1" ht="15" x14ac:dyDescent="0.4"/>
    <row r="23" s="3" customFormat="1" ht="15" x14ac:dyDescent="0.4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E5529-2563-422A-9FD8-B7B8F09AFBD4}">
  <dimension ref="A1:W23"/>
  <sheetViews>
    <sheetView tabSelected="1" topLeftCell="E1" workbookViewId="0">
      <selection activeCell="L7" sqref="L7"/>
    </sheetView>
  </sheetViews>
  <sheetFormatPr defaultRowHeight="13.9" x14ac:dyDescent="0.4"/>
  <cols>
    <col min="1" max="1" width="12.33203125" bestFit="1" customWidth="1"/>
    <col min="2" max="2" width="25.06640625" bestFit="1" customWidth="1"/>
    <col min="3" max="3" width="6.46484375" bestFit="1" customWidth="1"/>
    <col min="4" max="4" width="52.9296875" bestFit="1" customWidth="1"/>
    <col min="5" max="5" width="14.46484375" bestFit="1" customWidth="1"/>
    <col min="6" max="6" width="12.06640625" bestFit="1" customWidth="1"/>
    <col min="7" max="7" width="13.86328125" bestFit="1" customWidth="1"/>
    <col min="8" max="8" width="11.33203125" bestFit="1" customWidth="1"/>
    <col min="9" max="10" width="14.06640625" bestFit="1" customWidth="1"/>
    <col min="11" max="11" width="14.53125" bestFit="1" customWidth="1"/>
    <col min="12" max="12" width="16.53125" bestFit="1" customWidth="1"/>
  </cols>
  <sheetData>
    <row r="1" spans="1:23" s="2" customFormat="1" ht="70.5" x14ac:dyDescent="0.4">
      <c r="A1" s="4" t="s">
        <v>4</v>
      </c>
      <c r="B1" s="4" t="s">
        <v>17</v>
      </c>
      <c r="C1" s="4" t="s">
        <v>16</v>
      </c>
      <c r="D1" s="4" t="s">
        <v>2</v>
      </c>
      <c r="E1" s="4" t="s">
        <v>3</v>
      </c>
      <c r="F1" s="9" t="s">
        <v>12</v>
      </c>
      <c r="G1" s="4" t="s">
        <v>0</v>
      </c>
      <c r="H1" s="9" t="s">
        <v>13</v>
      </c>
      <c r="I1" s="4" t="s">
        <v>1</v>
      </c>
      <c r="J1" s="9" t="s">
        <v>14</v>
      </c>
      <c r="K1" s="9" t="s">
        <v>15</v>
      </c>
      <c r="L1" s="12" t="s">
        <v>23</v>
      </c>
      <c r="M1" s="53" t="s">
        <v>61</v>
      </c>
      <c r="N1" s="53" t="s">
        <v>62</v>
      </c>
      <c r="O1" s="53" t="s">
        <v>63</v>
      </c>
      <c r="P1" s="53" t="s">
        <v>64</v>
      </c>
      <c r="Q1" s="53" t="s">
        <v>65</v>
      </c>
      <c r="R1" s="53" t="s">
        <v>66</v>
      </c>
      <c r="S1" s="53" t="s">
        <v>67</v>
      </c>
      <c r="T1" s="53" t="s">
        <v>68</v>
      </c>
      <c r="U1" s="53" t="s">
        <v>69</v>
      </c>
      <c r="V1" s="53" t="s">
        <v>70</v>
      </c>
      <c r="W1" s="53" t="s">
        <v>71</v>
      </c>
    </row>
    <row r="2" spans="1:23" s="1" customFormat="1" ht="15" x14ac:dyDescent="0.4">
      <c r="A2" s="5" t="s">
        <v>5</v>
      </c>
      <c r="B2" s="5">
        <v>500</v>
      </c>
      <c r="C2" s="5" t="s">
        <v>6</v>
      </c>
      <c r="D2" s="6" t="s">
        <v>22</v>
      </c>
      <c r="E2" s="5">
        <v>1</v>
      </c>
      <c r="F2" s="10">
        <v>4450</v>
      </c>
      <c r="G2" s="10">
        <v>10</v>
      </c>
      <c r="H2" s="10">
        <v>30</v>
      </c>
      <c r="I2" s="10">
        <v>2</v>
      </c>
      <c r="J2" s="10">
        <v>4</v>
      </c>
      <c r="K2" s="10">
        <v>4</v>
      </c>
      <c r="L2" s="5"/>
      <c r="M2" s="54">
        <v>6.4714729206963248</v>
      </c>
      <c r="N2" s="54">
        <v>6.4714729206963248</v>
      </c>
      <c r="O2" s="54">
        <v>1.6755487204724409</v>
      </c>
      <c r="P2" s="54">
        <v>1.6755487204724409</v>
      </c>
      <c r="Q2" s="54">
        <f>F2/1000*I2*O2</f>
        <v>14.912383612204724</v>
      </c>
      <c r="R2" s="54">
        <f>F2/1000*I2*P2</f>
        <v>14.912383612204724</v>
      </c>
      <c r="S2" s="54">
        <f t="shared" ref="S2:S15" si="0">H2/500*60</f>
        <v>3.5999999999999996</v>
      </c>
      <c r="T2" s="54">
        <f t="shared" ref="T2:T15" si="1">H2/500*60*G2</f>
        <v>36</v>
      </c>
      <c r="U2" s="54">
        <f t="shared" ref="U2:U15" si="2">H2/500*60*G2*I2</f>
        <v>72</v>
      </c>
      <c r="V2" s="54">
        <f>0.786192*0*Q2</f>
        <v>0</v>
      </c>
      <c r="W2" s="54">
        <f>0.786192*0*R2</f>
        <v>0</v>
      </c>
    </row>
    <row r="3" spans="1:23" s="1" customFormat="1" ht="15" x14ac:dyDescent="0.4">
      <c r="A3" s="5" t="s">
        <v>7</v>
      </c>
      <c r="B3" s="5" t="s">
        <v>48</v>
      </c>
      <c r="C3" s="5" t="s">
        <v>9</v>
      </c>
      <c r="D3" s="6" t="s">
        <v>18</v>
      </c>
      <c r="E3" s="5">
        <v>2</v>
      </c>
      <c r="F3" s="10">
        <v>4450</v>
      </c>
      <c r="G3" s="10">
        <v>6</v>
      </c>
      <c r="H3" s="10">
        <v>40</v>
      </c>
      <c r="I3" s="10">
        <v>5</v>
      </c>
      <c r="J3" s="10">
        <v>8</v>
      </c>
      <c r="K3" s="10">
        <v>8</v>
      </c>
      <c r="L3" s="5"/>
      <c r="M3" s="54">
        <v>9.4583065764023218</v>
      </c>
      <c r="N3" s="54">
        <v>9.4583065764023218</v>
      </c>
      <c r="O3" s="54">
        <v>1.6755487204724409</v>
      </c>
      <c r="P3" s="54">
        <v>1.6755487204724409</v>
      </c>
      <c r="Q3" s="54">
        <f>F3/1000*I3*O3</f>
        <v>37.280959030511809</v>
      </c>
      <c r="R3" s="54">
        <f>F3/1000*I3*P3</f>
        <v>37.280959030511809</v>
      </c>
      <c r="S3" s="54">
        <f t="shared" si="0"/>
        <v>4.8</v>
      </c>
      <c r="T3" s="54">
        <f t="shared" si="1"/>
        <v>28.799999999999997</v>
      </c>
      <c r="U3" s="54">
        <f t="shared" si="2"/>
        <v>144</v>
      </c>
      <c r="V3" s="54">
        <f>0.919683*0*Q3</f>
        <v>0</v>
      </c>
      <c r="W3" s="54">
        <f>0.919683*0*R3</f>
        <v>0</v>
      </c>
    </row>
    <row r="4" spans="1:23" s="3" customFormat="1" ht="15" x14ac:dyDescent="0.4">
      <c r="A4" s="15" t="s">
        <v>10</v>
      </c>
      <c r="B4" s="15" t="s">
        <v>11</v>
      </c>
      <c r="C4" s="7"/>
      <c r="D4" s="6" t="s">
        <v>19</v>
      </c>
      <c r="E4" s="5">
        <v>3</v>
      </c>
      <c r="F4" s="10">
        <v>4450</v>
      </c>
      <c r="G4" s="11">
        <v>10</v>
      </c>
      <c r="H4" s="11">
        <v>30</v>
      </c>
      <c r="I4" s="11">
        <v>3</v>
      </c>
      <c r="J4" s="11">
        <v>20</v>
      </c>
      <c r="K4" s="11">
        <v>20</v>
      </c>
      <c r="L4" s="7"/>
      <c r="M4" s="54">
        <v>13.440751450676981</v>
      </c>
      <c r="N4" s="54">
        <v>13.440751450676981</v>
      </c>
      <c r="O4" s="54">
        <v>3.9096136811023623</v>
      </c>
      <c r="P4" s="54">
        <v>3.9096136811023623</v>
      </c>
      <c r="Q4" s="54">
        <f>F4/1000*I4*O4</f>
        <v>52.193342642716544</v>
      </c>
      <c r="R4" s="54">
        <f>F4/1000*I4*P4</f>
        <v>52.193342642716544</v>
      </c>
      <c r="S4" s="54">
        <f t="shared" si="0"/>
        <v>3.5999999999999996</v>
      </c>
      <c r="T4" s="54">
        <f t="shared" si="1"/>
        <v>36</v>
      </c>
      <c r="U4" s="54">
        <f t="shared" si="2"/>
        <v>108</v>
      </c>
      <c r="V4" s="54">
        <f>1.219841*0*Q4</f>
        <v>0</v>
      </c>
      <c r="W4" s="54">
        <f>1.219841*0*R4</f>
        <v>0</v>
      </c>
    </row>
    <row r="5" spans="1:23" s="3" customFormat="1" ht="15" x14ac:dyDescent="0.4">
      <c r="A5" s="15"/>
      <c r="B5" s="15"/>
      <c r="C5" s="15"/>
      <c r="D5" s="8" t="s">
        <v>27</v>
      </c>
      <c r="E5" s="5">
        <v>4</v>
      </c>
      <c r="F5" s="10">
        <v>4450</v>
      </c>
      <c r="G5" s="11">
        <v>18</v>
      </c>
      <c r="H5" s="11">
        <v>16</v>
      </c>
      <c r="I5" s="11">
        <v>1</v>
      </c>
      <c r="J5" s="11">
        <v>30</v>
      </c>
      <c r="K5" s="11">
        <v>30</v>
      </c>
      <c r="L5" s="7"/>
      <c r="M5" s="54">
        <v>33.863881578947371</v>
      </c>
      <c r="N5" s="54">
        <v>33.863881578947371</v>
      </c>
      <c r="O5" s="54">
        <v>35.18212536425073</v>
      </c>
      <c r="P5" s="54">
        <v>43.977656705313407</v>
      </c>
      <c r="Q5" s="54">
        <f>F5/1000*H5/1000*O5*I5*G5</f>
        <v>45.089411866823731</v>
      </c>
      <c r="R5" s="54">
        <f>F5/1000*H5/1000*P5*I5*G5</f>
        <v>56.361764833529662</v>
      </c>
      <c r="S5" s="54">
        <f t="shared" si="0"/>
        <v>1.92</v>
      </c>
      <c r="T5" s="54">
        <f t="shared" si="1"/>
        <v>34.56</v>
      </c>
      <c r="U5" s="54">
        <f t="shared" si="2"/>
        <v>34.56</v>
      </c>
      <c r="V5" s="54">
        <f t="shared" ref="V5:W7" si="3">0.941222*0*Q5</f>
        <v>0</v>
      </c>
      <c r="W5" s="54">
        <f t="shared" si="3"/>
        <v>0</v>
      </c>
    </row>
    <row r="6" spans="1:23" s="3" customFormat="1" ht="15" x14ac:dyDescent="0.4">
      <c r="A6" s="15"/>
      <c r="B6" s="15"/>
      <c r="C6" s="15"/>
      <c r="D6" s="8" t="s">
        <v>27</v>
      </c>
      <c r="E6" s="5">
        <v>4</v>
      </c>
      <c r="F6" s="10">
        <v>4450</v>
      </c>
      <c r="G6" s="11">
        <v>15</v>
      </c>
      <c r="H6" s="11">
        <v>16</v>
      </c>
      <c r="I6" s="11">
        <v>2</v>
      </c>
      <c r="J6" s="11">
        <v>30</v>
      </c>
      <c r="K6" s="11">
        <v>30</v>
      </c>
      <c r="L6" s="7"/>
      <c r="M6" s="54">
        <v>33.863881578947371</v>
      </c>
      <c r="N6" s="54">
        <v>33.863881578947371</v>
      </c>
      <c r="O6" s="54">
        <v>35.18212536425073</v>
      </c>
      <c r="P6" s="54">
        <v>43.977656705313407</v>
      </c>
      <c r="Q6" s="54">
        <f>F6/1000*H6/1000*O6*I6*G6</f>
        <v>75.149019778039559</v>
      </c>
      <c r="R6" s="54">
        <f>F6/1000*H6/1000*P6*I6*G6</f>
        <v>93.936274722549442</v>
      </c>
      <c r="S6" s="54">
        <f t="shared" si="0"/>
        <v>1.92</v>
      </c>
      <c r="T6" s="54">
        <f t="shared" si="1"/>
        <v>28.799999999999997</v>
      </c>
      <c r="U6" s="54">
        <f t="shared" si="2"/>
        <v>57.599999999999994</v>
      </c>
      <c r="V6" s="54">
        <f t="shared" si="3"/>
        <v>0</v>
      </c>
      <c r="W6" s="54">
        <f t="shared" si="3"/>
        <v>0</v>
      </c>
    </row>
    <row r="7" spans="1:23" s="3" customFormat="1" ht="15" x14ac:dyDescent="0.4">
      <c r="A7" s="15"/>
      <c r="B7" s="15"/>
      <c r="C7" s="15"/>
      <c r="D7" s="6" t="s">
        <v>20</v>
      </c>
      <c r="E7" s="5">
        <v>6</v>
      </c>
      <c r="F7" s="10">
        <v>4450</v>
      </c>
      <c r="G7" s="11">
        <v>1</v>
      </c>
      <c r="H7" s="11">
        <v>120</v>
      </c>
      <c r="I7" s="11">
        <v>1</v>
      </c>
      <c r="J7" s="11">
        <v>30</v>
      </c>
      <c r="K7" s="11">
        <v>30</v>
      </c>
      <c r="L7" s="16">
        <v>850</v>
      </c>
      <c r="M7" s="54">
        <v>33.863881578947371</v>
      </c>
      <c r="N7" s="54">
        <v>33.863881578947371</v>
      </c>
      <c r="O7" s="54">
        <v>131.93297011594024</v>
      </c>
      <c r="P7" s="54">
        <v>131.93297011594024</v>
      </c>
      <c r="Q7" s="54">
        <f>F7/1000*H7/1000*O7*I7*G7</f>
        <v>70.452206041912092</v>
      </c>
      <c r="R7" s="54">
        <f>F7/1000*H7/1000*P7*I7*G7</f>
        <v>70.452206041912092</v>
      </c>
      <c r="S7" s="54">
        <f t="shared" si="0"/>
        <v>14.399999999999999</v>
      </c>
      <c r="T7" s="54">
        <f t="shared" si="1"/>
        <v>14.399999999999999</v>
      </c>
      <c r="U7" s="54">
        <f t="shared" si="2"/>
        <v>14.399999999999999</v>
      </c>
      <c r="V7" s="54">
        <f t="shared" si="3"/>
        <v>0</v>
      </c>
      <c r="W7" s="54">
        <f t="shared" si="3"/>
        <v>0</v>
      </c>
    </row>
    <row r="8" spans="1:23" s="3" customFormat="1" ht="15" x14ac:dyDescent="0.4">
      <c r="A8" s="15"/>
      <c r="B8" s="15"/>
      <c r="C8" s="15"/>
      <c r="D8" s="6" t="s">
        <v>21</v>
      </c>
      <c r="E8" s="5">
        <v>7</v>
      </c>
      <c r="F8" s="10">
        <v>4450</v>
      </c>
      <c r="G8" s="11">
        <v>1</v>
      </c>
      <c r="H8" s="11">
        <v>90</v>
      </c>
      <c r="I8" s="11">
        <v>1</v>
      </c>
      <c r="J8" s="11">
        <v>45</v>
      </c>
      <c r="K8" s="11">
        <v>55</v>
      </c>
      <c r="L8" s="16">
        <v>850</v>
      </c>
      <c r="M8" s="54">
        <v>67.727763157894742</v>
      </c>
      <c r="N8" s="54">
        <v>67.727763157894742</v>
      </c>
      <c r="O8" s="54">
        <v>307.84359693719387</v>
      </c>
      <c r="P8" s="54">
        <v>307.84359693719387</v>
      </c>
      <c r="Q8" s="54">
        <f>F8/1000*H8/1000*O8*I8*G8</f>
        <v>123.29136057334615</v>
      </c>
      <c r="R8" s="54">
        <f>F8/1000*H8/1000*P8*I8*G8</f>
        <v>123.29136057334615</v>
      </c>
      <c r="S8" s="54">
        <f t="shared" si="0"/>
        <v>10.799999999999999</v>
      </c>
      <c r="T8" s="54">
        <f t="shared" si="1"/>
        <v>10.799999999999999</v>
      </c>
      <c r="U8" s="54">
        <f t="shared" si="2"/>
        <v>10.799999999999999</v>
      </c>
      <c r="V8" s="54">
        <f>0.815123*0*Q8</f>
        <v>0</v>
      </c>
      <c r="W8" s="54">
        <f>0.901152*0*R8</f>
        <v>0</v>
      </c>
    </row>
    <row r="9" spans="1:23" s="3" customFormat="1" ht="15" x14ac:dyDescent="0.4">
      <c r="A9" s="47"/>
      <c r="B9" s="47"/>
      <c r="C9" s="47"/>
      <c r="D9" s="49" t="s">
        <v>29</v>
      </c>
      <c r="E9" s="50">
        <v>8</v>
      </c>
      <c r="F9" s="10">
        <v>4260</v>
      </c>
      <c r="G9" s="48">
        <v>1</v>
      </c>
      <c r="H9" s="48">
        <v>220</v>
      </c>
      <c r="I9" s="48">
        <v>1</v>
      </c>
      <c r="J9" s="48">
        <v>30</v>
      </c>
      <c r="K9" s="48">
        <v>30</v>
      </c>
      <c r="L9" s="16">
        <v>600</v>
      </c>
      <c r="M9" s="54">
        <v>33.863881578947371</v>
      </c>
      <c r="N9" s="54">
        <v>33.863881578947371</v>
      </c>
      <c r="O9" s="54">
        <v>30.784359693719388</v>
      </c>
      <c r="P9" s="54">
        <v>30.784359693719388</v>
      </c>
      <c r="Q9" s="54">
        <f>F9/1000*L9/2*ASIN(1-0.5*POWER(H9/L9*2,2))/1000*O9*I9*G9</f>
        <v>32.258775482064401</v>
      </c>
      <c r="R9" s="54">
        <f>F9/1000*L9/2*ASIN(1-0.5*POWER(H9/L9*2,2))/1000*P9*I9*G9</f>
        <v>32.258775482064401</v>
      </c>
      <c r="S9" s="54">
        <f t="shared" si="0"/>
        <v>26.4</v>
      </c>
      <c r="T9" s="54">
        <f t="shared" si="1"/>
        <v>26.4</v>
      </c>
      <c r="U9" s="54">
        <f t="shared" si="2"/>
        <v>26.4</v>
      </c>
      <c r="V9" s="54">
        <f>0.941222*0*Q9</f>
        <v>0</v>
      </c>
      <c r="W9" s="54">
        <f>0.941222*0*R9</f>
        <v>0</v>
      </c>
    </row>
    <row r="10" spans="1:23" s="3" customFormat="1" ht="15" x14ac:dyDescent="0.4">
      <c r="A10" s="15"/>
      <c r="B10" s="15"/>
      <c r="C10" s="15"/>
      <c r="D10" s="6" t="s">
        <v>30</v>
      </c>
      <c r="E10" s="5">
        <v>9</v>
      </c>
      <c r="F10" s="10">
        <v>4260</v>
      </c>
      <c r="G10" s="11">
        <v>1</v>
      </c>
      <c r="H10" s="11">
        <v>60</v>
      </c>
      <c r="I10" s="11">
        <v>1</v>
      </c>
      <c r="J10" s="11">
        <v>35</v>
      </c>
      <c r="K10" s="11">
        <v>40</v>
      </c>
      <c r="L10" s="16">
        <v>600</v>
      </c>
      <c r="M10" s="54">
        <v>67.727763157894742</v>
      </c>
      <c r="N10" s="54">
        <v>67.727763157894742</v>
      </c>
      <c r="O10" s="54">
        <v>219.88828352656702</v>
      </c>
      <c r="P10" s="54">
        <v>219.88828352656702</v>
      </c>
      <c r="Q10" s="54">
        <f>F10/1000*H10/1000*O10*I10*G10</f>
        <v>56.203445269390528</v>
      </c>
      <c r="R10" s="54">
        <f>F10/1000*H10/1000*P10*I10*G10</f>
        <v>56.203445269390528</v>
      </c>
      <c r="S10" s="54">
        <f t="shared" si="0"/>
        <v>7.1999999999999993</v>
      </c>
      <c r="T10" s="54">
        <f t="shared" si="1"/>
        <v>7.1999999999999993</v>
      </c>
      <c r="U10" s="54">
        <f t="shared" si="2"/>
        <v>7.1999999999999993</v>
      </c>
      <c r="V10" s="54">
        <f>0.71887*0*Q10</f>
        <v>0</v>
      </c>
      <c r="W10" s="54">
        <f>0.768505*0*R10</f>
        <v>0</v>
      </c>
    </row>
    <row r="11" spans="1:23" s="3" customFormat="1" ht="15" x14ac:dyDescent="0.4">
      <c r="A11" s="15"/>
      <c r="B11" s="15"/>
      <c r="C11" s="15"/>
      <c r="D11" s="49" t="s">
        <v>33</v>
      </c>
      <c r="E11" s="50">
        <v>17</v>
      </c>
      <c r="F11" s="10">
        <v>4260</v>
      </c>
      <c r="G11" s="11">
        <v>1</v>
      </c>
      <c r="H11" s="11">
        <v>90</v>
      </c>
      <c r="I11" s="11">
        <v>1</v>
      </c>
      <c r="J11" s="11">
        <v>50</v>
      </c>
      <c r="K11" s="11">
        <v>50</v>
      </c>
      <c r="L11" s="16">
        <v>1350</v>
      </c>
      <c r="M11" s="54">
        <v>67.727763157894742</v>
      </c>
      <c r="N11" s="54">
        <v>67.727763157894742</v>
      </c>
      <c r="O11" s="54">
        <v>175.91062682125363</v>
      </c>
      <c r="P11" s="54">
        <v>219.88828352656702</v>
      </c>
      <c r="Q11" s="54">
        <f>F11/1000*H11/1000*O11*I11*G11</f>
        <v>67.444134323268628</v>
      </c>
      <c r="R11" s="54">
        <f>F11/1000*H11/1000*P11*I11*G11</f>
        <v>84.305167904085792</v>
      </c>
      <c r="S11" s="54">
        <f t="shared" si="0"/>
        <v>10.799999999999999</v>
      </c>
      <c r="T11" s="54">
        <f t="shared" si="1"/>
        <v>10.799999999999999</v>
      </c>
      <c r="U11" s="54">
        <f t="shared" si="2"/>
        <v>10.799999999999999</v>
      </c>
      <c r="V11" s="54">
        <f>0.859215*0*Q11</f>
        <v>0</v>
      </c>
      <c r="W11" s="54">
        <f>0.859215*0*R11</f>
        <v>0</v>
      </c>
    </row>
    <row r="12" spans="1:23" s="3" customFormat="1" ht="15" x14ac:dyDescent="0.4">
      <c r="A12" s="15"/>
      <c r="B12" s="15"/>
      <c r="C12" s="15"/>
      <c r="D12" s="24" t="s">
        <v>31</v>
      </c>
      <c r="E12" s="5">
        <v>22</v>
      </c>
      <c r="F12" s="10">
        <v>4260</v>
      </c>
      <c r="G12" s="11">
        <v>2</v>
      </c>
      <c r="H12" s="11">
        <v>11</v>
      </c>
      <c r="I12" s="11">
        <v>3</v>
      </c>
      <c r="J12" s="11">
        <v>18</v>
      </c>
      <c r="K12" s="11">
        <v>18</v>
      </c>
      <c r="L12" s="7"/>
      <c r="M12" s="54">
        <v>50.795822368421049</v>
      </c>
      <c r="N12" s="54">
        <v>50.795822368421049</v>
      </c>
      <c r="O12" s="54">
        <v>659.66485057970112</v>
      </c>
      <c r="P12" s="54">
        <v>659.66485057970112</v>
      </c>
      <c r="Q12" s="54">
        <f>F12/1000*G12*H12/1000*I12*O12</f>
        <v>185.47136938898873</v>
      </c>
      <c r="R12" s="54">
        <f>F12/1000*G12*H12/1000*I12*P12</f>
        <v>185.47136938898873</v>
      </c>
      <c r="S12" s="54">
        <f t="shared" si="0"/>
        <v>1.3199999999999998</v>
      </c>
      <c r="T12" s="54">
        <f t="shared" si="1"/>
        <v>2.6399999999999997</v>
      </c>
      <c r="U12" s="54">
        <f t="shared" si="2"/>
        <v>7.919999999999999</v>
      </c>
      <c r="V12" s="54">
        <f>0.595281*0*Q12</f>
        <v>0</v>
      </c>
      <c r="W12" s="54">
        <f>0.595281*0*R12</f>
        <v>0</v>
      </c>
    </row>
    <row r="13" spans="1:23" s="3" customFormat="1" ht="15" x14ac:dyDescent="0.4">
      <c r="A13" s="15"/>
      <c r="B13" s="15"/>
      <c r="C13" s="15"/>
      <c r="D13" s="24" t="s">
        <v>31</v>
      </c>
      <c r="E13" s="5">
        <v>22</v>
      </c>
      <c r="F13" s="10">
        <v>4260</v>
      </c>
      <c r="G13" s="11">
        <v>1</v>
      </c>
      <c r="H13" s="11">
        <v>11</v>
      </c>
      <c r="I13" s="11">
        <v>3</v>
      </c>
      <c r="J13" s="11">
        <v>18</v>
      </c>
      <c r="K13" s="11">
        <v>18</v>
      </c>
      <c r="L13" s="7"/>
      <c r="M13" s="54">
        <v>50.795822368421049</v>
      </c>
      <c r="N13" s="54">
        <v>50.795822368421049</v>
      </c>
      <c r="O13" s="54">
        <v>659.66485057970112</v>
      </c>
      <c r="P13" s="54">
        <v>659.66485057970112</v>
      </c>
      <c r="Q13" s="54">
        <f>F13/1000*G13*H13/1000*I13*O13</f>
        <v>92.735684694494367</v>
      </c>
      <c r="R13" s="54">
        <f>F13/1000*G13*H13/1000*I13*P13</f>
        <v>92.735684694494367</v>
      </c>
      <c r="S13" s="54">
        <f t="shared" si="0"/>
        <v>1.3199999999999998</v>
      </c>
      <c r="T13" s="54">
        <f t="shared" si="1"/>
        <v>1.3199999999999998</v>
      </c>
      <c r="U13" s="54">
        <f t="shared" si="2"/>
        <v>3.9599999999999995</v>
      </c>
      <c r="V13" s="54">
        <f>0.595281*0*Q13</f>
        <v>0</v>
      </c>
      <c r="W13" s="54">
        <f>0.595281*0*R13</f>
        <v>0</v>
      </c>
    </row>
    <row r="14" spans="1:23" s="3" customFormat="1" ht="15" x14ac:dyDescent="0.4">
      <c r="A14" s="15"/>
      <c r="B14" s="15"/>
      <c r="C14" s="15"/>
      <c r="D14" s="24" t="s">
        <v>31</v>
      </c>
      <c r="E14" s="5">
        <v>22</v>
      </c>
      <c r="F14" s="10">
        <v>4260</v>
      </c>
      <c r="G14" s="11">
        <v>1</v>
      </c>
      <c r="H14" s="11">
        <v>20</v>
      </c>
      <c r="I14" s="11">
        <v>1</v>
      </c>
      <c r="J14" s="11">
        <v>45</v>
      </c>
      <c r="K14" s="11">
        <v>45</v>
      </c>
      <c r="L14" s="7"/>
      <c r="M14" s="54">
        <v>50.795822368421049</v>
      </c>
      <c r="N14" s="54">
        <v>50.795822368421049</v>
      </c>
      <c r="O14" s="54">
        <v>659.66485057970112</v>
      </c>
      <c r="P14" s="54">
        <v>659.66485057970112</v>
      </c>
      <c r="Q14" s="54">
        <f>F14/1000*G14*H14/1000*I14*O14</f>
        <v>56.203445269390528</v>
      </c>
      <c r="R14" s="54">
        <f>F14/1000*G14*H14/1000*I14*P14</f>
        <v>56.203445269390528</v>
      </c>
      <c r="S14" s="54">
        <f t="shared" si="0"/>
        <v>2.4</v>
      </c>
      <c r="T14" s="54">
        <f t="shared" si="1"/>
        <v>2.4</v>
      </c>
      <c r="U14" s="54">
        <f t="shared" si="2"/>
        <v>2.4</v>
      </c>
      <c r="V14" s="54">
        <f>0.941222*0*Q14</f>
        <v>0</v>
      </c>
      <c r="W14" s="54">
        <f>0.941222*0*R14</f>
        <v>0</v>
      </c>
    </row>
    <row r="15" spans="1:23" s="3" customFormat="1" ht="15" x14ac:dyDescent="0.4">
      <c r="A15" s="15"/>
      <c r="B15" s="15"/>
      <c r="C15" s="15"/>
      <c r="D15" s="24" t="s">
        <v>31</v>
      </c>
      <c r="E15" s="5">
        <v>22</v>
      </c>
      <c r="F15" s="10">
        <v>4260</v>
      </c>
      <c r="G15" s="11">
        <v>2</v>
      </c>
      <c r="H15" s="11">
        <v>20</v>
      </c>
      <c r="I15" s="11">
        <v>1</v>
      </c>
      <c r="J15" s="11">
        <v>18</v>
      </c>
      <c r="K15" s="11">
        <v>18</v>
      </c>
      <c r="L15" s="7"/>
      <c r="M15" s="54">
        <v>50.795822368421049</v>
      </c>
      <c r="N15" s="54">
        <v>50.795822368421049</v>
      </c>
      <c r="O15" s="54">
        <v>659.66485057970112</v>
      </c>
      <c r="P15" s="54">
        <v>659.66485057970112</v>
      </c>
      <c r="Q15" s="54">
        <f>F15/1000*G15*H15/1000*I15*O15</f>
        <v>112.40689053878106</v>
      </c>
      <c r="R15" s="54">
        <f>F15/1000*G15*H15/1000*I15*P15</f>
        <v>112.40689053878106</v>
      </c>
      <c r="S15" s="54">
        <f t="shared" si="0"/>
        <v>2.4</v>
      </c>
      <c r="T15" s="54">
        <f t="shared" si="1"/>
        <v>4.8</v>
      </c>
      <c r="U15" s="54">
        <f t="shared" si="2"/>
        <v>4.8</v>
      </c>
      <c r="V15" s="54">
        <f>0.595281*0*Q15</f>
        <v>0</v>
      </c>
      <c r="W15" s="54">
        <f>0.595281*0*R15</f>
        <v>0</v>
      </c>
    </row>
    <row r="16" spans="1:23" s="3" customFormat="1" ht="15" x14ac:dyDescent="0.4">
      <c r="P16" s="54" t="s">
        <v>72</v>
      </c>
      <c r="Q16" s="54">
        <f>SUM(Q2:Q15)</f>
        <v>1021.0924285119327</v>
      </c>
      <c r="R16" s="54">
        <f>SUM(R2:R15)</f>
        <v>1068.0130700039658</v>
      </c>
      <c r="V16" s="54">
        <f>SUM(V2:V15)</f>
        <v>0</v>
      </c>
      <c r="W16" s="54">
        <f>SUM(W2:W15)</f>
        <v>0</v>
      </c>
    </row>
    <row r="17" s="3" customFormat="1" ht="15" x14ac:dyDescent="0.4"/>
    <row r="18" s="3" customFormat="1" ht="15" x14ac:dyDescent="0.4"/>
    <row r="19" s="3" customFormat="1" ht="15" x14ac:dyDescent="0.4"/>
    <row r="20" s="3" customFormat="1" ht="15" x14ac:dyDescent="0.4"/>
    <row r="21" s="3" customFormat="1" ht="15" x14ac:dyDescent="0.4"/>
    <row r="22" s="3" customFormat="1" ht="15" x14ac:dyDescent="0.4"/>
    <row r="23" s="3" customFormat="1" ht="15" x14ac:dyDescent="0.4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ED97C-3AA7-45AA-B1A1-23667A0EBEFC}">
  <dimension ref="A1:W23"/>
  <sheetViews>
    <sheetView workbookViewId="0">
      <selection activeCell="B32" sqref="B32"/>
    </sheetView>
  </sheetViews>
  <sheetFormatPr defaultRowHeight="13.9" x14ac:dyDescent="0.4"/>
  <cols>
    <col min="1" max="1" width="12.33203125" bestFit="1" customWidth="1"/>
    <col min="2" max="2" width="25.06640625" bestFit="1" customWidth="1"/>
    <col min="3" max="3" width="6.46484375" bestFit="1" customWidth="1"/>
    <col min="4" max="4" width="64.265625" bestFit="1" customWidth="1"/>
    <col min="5" max="5" width="14.46484375" bestFit="1" customWidth="1"/>
    <col min="6" max="6" width="12.06640625" bestFit="1" customWidth="1"/>
    <col min="7" max="7" width="13.86328125" bestFit="1" customWidth="1"/>
    <col min="8" max="8" width="11.33203125" bestFit="1" customWidth="1"/>
    <col min="9" max="10" width="14.06640625" bestFit="1" customWidth="1"/>
    <col min="11" max="11" width="14.53125" bestFit="1" customWidth="1"/>
    <col min="12" max="12" width="16.53125" bestFit="1" customWidth="1"/>
  </cols>
  <sheetData>
    <row r="1" spans="1:23" s="2" customFormat="1" ht="70.5" x14ac:dyDescent="0.4">
      <c r="A1" s="4" t="s">
        <v>4</v>
      </c>
      <c r="B1" s="4" t="s">
        <v>17</v>
      </c>
      <c r="C1" s="4" t="s">
        <v>16</v>
      </c>
      <c r="D1" s="4" t="s">
        <v>2</v>
      </c>
      <c r="E1" s="4" t="s">
        <v>3</v>
      </c>
      <c r="F1" s="9" t="s">
        <v>12</v>
      </c>
      <c r="G1" s="4" t="s">
        <v>0</v>
      </c>
      <c r="H1" s="9" t="s">
        <v>13</v>
      </c>
      <c r="I1" s="4" t="s">
        <v>1</v>
      </c>
      <c r="J1" s="9" t="s">
        <v>14</v>
      </c>
      <c r="K1" s="9" t="s">
        <v>15</v>
      </c>
      <c r="L1" s="12" t="s">
        <v>23</v>
      </c>
      <c r="M1" s="55" t="s">
        <v>73</v>
      </c>
      <c r="N1" s="55" t="s">
        <v>74</v>
      </c>
      <c r="O1" s="55" t="s">
        <v>75</v>
      </c>
      <c r="P1" s="55" t="s">
        <v>76</v>
      </c>
      <c r="Q1" s="55" t="s">
        <v>77</v>
      </c>
      <c r="R1" s="55" t="s">
        <v>78</v>
      </c>
      <c r="S1" s="55" t="s">
        <v>79</v>
      </c>
      <c r="T1" s="55" t="s">
        <v>80</v>
      </c>
      <c r="U1" s="55" t="s">
        <v>81</v>
      </c>
      <c r="V1" s="55" t="s">
        <v>82</v>
      </c>
      <c r="W1" s="55" t="s">
        <v>83</v>
      </c>
    </row>
    <row r="2" spans="1:23" s="1" customFormat="1" ht="15" x14ac:dyDescent="0.4">
      <c r="A2" s="5" t="s">
        <v>5</v>
      </c>
      <c r="B2" s="5">
        <v>600</v>
      </c>
      <c r="C2" s="5" t="s">
        <v>6</v>
      </c>
      <c r="D2" s="6" t="s">
        <v>22</v>
      </c>
      <c r="E2" s="5">
        <v>1</v>
      </c>
      <c r="F2" s="11">
        <v>4300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5"/>
      <c r="M2" s="56">
        <v>6.4714729206963248</v>
      </c>
      <c r="N2" s="56">
        <v>6.4714729206963248</v>
      </c>
      <c r="O2" s="56">
        <v>1.6755487204724409</v>
      </c>
      <c r="P2" s="56">
        <v>1.6755487204724409</v>
      </c>
      <c r="Q2" s="56">
        <f>F2/1000*I2*O2</f>
        <v>0</v>
      </c>
      <c r="R2" s="56">
        <f>F2/1000*I2*P2</f>
        <v>0</v>
      </c>
      <c r="S2" s="56">
        <f t="shared" ref="S2:S12" si="0">H2/600*60</f>
        <v>0</v>
      </c>
      <c r="T2" s="56">
        <f t="shared" ref="T2:T12" si="1">H2/600*60*G2</f>
        <v>0</v>
      </c>
      <c r="U2" s="56">
        <f t="shared" ref="U2:U12" si="2">H2/600*60*G2*I2</f>
        <v>0</v>
      </c>
      <c r="V2" s="56">
        <f>0*0*Q2</f>
        <v>0</v>
      </c>
      <c r="W2" s="56">
        <f>0*0*R2</f>
        <v>0</v>
      </c>
    </row>
    <row r="3" spans="1:23" s="1" customFormat="1" ht="15" x14ac:dyDescent="0.4">
      <c r="A3" s="5" t="s">
        <v>7</v>
      </c>
      <c r="B3" s="5" t="s">
        <v>46</v>
      </c>
      <c r="C3" s="5" t="s">
        <v>9</v>
      </c>
      <c r="D3" s="6" t="s">
        <v>18</v>
      </c>
      <c r="E3" s="5">
        <v>2</v>
      </c>
      <c r="F3" s="11">
        <v>4300</v>
      </c>
      <c r="G3" s="10">
        <v>11</v>
      </c>
      <c r="H3" s="10">
        <v>45</v>
      </c>
      <c r="I3" s="10">
        <v>2</v>
      </c>
      <c r="J3" s="10">
        <v>5</v>
      </c>
      <c r="K3" s="10">
        <v>10</v>
      </c>
      <c r="L3" s="5"/>
      <c r="M3" s="56">
        <v>9.4583065764023218</v>
      </c>
      <c r="N3" s="56">
        <v>9.4583065764023218</v>
      </c>
      <c r="O3" s="56">
        <v>1.6755487204724409</v>
      </c>
      <c r="P3" s="56">
        <v>1.6755487204724409</v>
      </c>
      <c r="Q3" s="56">
        <f>F3/1000*I3*O3</f>
        <v>14.40971899606299</v>
      </c>
      <c r="R3" s="56">
        <f>F3/1000*I3*P3</f>
        <v>14.40971899606299</v>
      </c>
      <c r="S3" s="56">
        <f t="shared" si="0"/>
        <v>4.5</v>
      </c>
      <c r="T3" s="56">
        <f t="shared" si="1"/>
        <v>49.5</v>
      </c>
      <c r="U3" s="56">
        <f t="shared" si="2"/>
        <v>99</v>
      </c>
      <c r="V3" s="56">
        <f>0.727073*0*Q3</f>
        <v>0</v>
      </c>
      <c r="W3" s="56">
        <f>1.028237*0*R3</f>
        <v>0</v>
      </c>
    </row>
    <row r="4" spans="1:23" s="3" customFormat="1" ht="15" x14ac:dyDescent="0.4">
      <c r="A4" s="15" t="s">
        <v>10</v>
      </c>
      <c r="B4" s="15" t="s">
        <v>11</v>
      </c>
      <c r="C4" s="7"/>
      <c r="D4" s="6" t="s">
        <v>19</v>
      </c>
      <c r="E4" s="5">
        <v>3</v>
      </c>
      <c r="F4" s="11">
        <v>4300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7"/>
      <c r="M4" s="56">
        <v>13.440751450676981</v>
      </c>
      <c r="N4" s="56">
        <v>13.440751450676981</v>
      </c>
      <c r="O4" s="56">
        <v>3.9096136811023623</v>
      </c>
      <c r="P4" s="56">
        <v>3.9096136811023623</v>
      </c>
      <c r="Q4" s="56">
        <f>F4/1000*I4*O4</f>
        <v>0</v>
      </c>
      <c r="R4" s="56">
        <f>F4/1000*I4*P4</f>
        <v>0</v>
      </c>
      <c r="S4" s="56">
        <f t="shared" si="0"/>
        <v>0</v>
      </c>
      <c r="T4" s="56">
        <f t="shared" si="1"/>
        <v>0</v>
      </c>
      <c r="U4" s="56">
        <f t="shared" si="2"/>
        <v>0</v>
      </c>
      <c r="V4" s="56">
        <f>0*0*Q4</f>
        <v>0</v>
      </c>
      <c r="W4" s="56">
        <f>0*0*R4</f>
        <v>0</v>
      </c>
    </row>
    <row r="5" spans="1:23" s="3" customFormat="1" ht="15" x14ac:dyDescent="0.4">
      <c r="A5" s="15"/>
      <c r="B5" s="15"/>
      <c r="C5" s="15"/>
      <c r="D5" s="8" t="s">
        <v>27</v>
      </c>
      <c r="E5" s="5">
        <v>4</v>
      </c>
      <c r="F5" s="11">
        <v>4300</v>
      </c>
      <c r="G5" s="11">
        <v>15</v>
      </c>
      <c r="H5" s="11">
        <v>18</v>
      </c>
      <c r="I5" s="11">
        <v>2</v>
      </c>
      <c r="J5" s="11">
        <v>20</v>
      </c>
      <c r="K5" s="11">
        <v>25</v>
      </c>
      <c r="L5" s="7"/>
      <c r="M5" s="56">
        <v>33.863881578947371</v>
      </c>
      <c r="N5" s="56">
        <v>33.863881578947371</v>
      </c>
      <c r="O5" s="56">
        <v>35.18212536425073</v>
      </c>
      <c r="P5" s="56">
        <v>43.977656705313407</v>
      </c>
      <c r="Q5" s="56">
        <f>F5/1000*H5/1000*O5*I5*G5</f>
        <v>81.692895095790192</v>
      </c>
      <c r="R5" s="56">
        <f>F5/1000*H5/1000*P5*I5*G5</f>
        <v>102.11611886973773</v>
      </c>
      <c r="S5" s="56">
        <f t="shared" si="0"/>
        <v>1.7999999999999998</v>
      </c>
      <c r="T5" s="56">
        <f t="shared" si="1"/>
        <v>26.999999999999996</v>
      </c>
      <c r="U5" s="56">
        <f t="shared" si="2"/>
        <v>53.999999999999993</v>
      </c>
      <c r="V5" s="56">
        <f>0.768505*0*Q5</f>
        <v>0</v>
      </c>
      <c r="W5" s="56">
        <f>0.859215*0*R5</f>
        <v>0</v>
      </c>
    </row>
    <row r="6" spans="1:23" s="3" customFormat="1" ht="15" x14ac:dyDescent="0.4">
      <c r="A6" s="15"/>
      <c r="B6" s="15"/>
      <c r="C6" s="15"/>
      <c r="D6" s="6" t="s">
        <v>28</v>
      </c>
      <c r="E6" s="5">
        <v>5</v>
      </c>
      <c r="F6" s="11">
        <v>4300</v>
      </c>
      <c r="G6" s="11">
        <v>20</v>
      </c>
      <c r="H6" s="11">
        <v>16</v>
      </c>
      <c r="I6" s="11">
        <v>1</v>
      </c>
      <c r="J6" s="11">
        <v>25</v>
      </c>
      <c r="K6" s="11">
        <v>35</v>
      </c>
      <c r="L6" s="7"/>
      <c r="M6" s="56">
        <v>50.795822368421049</v>
      </c>
      <c r="N6" s="56">
        <v>50.795822368421049</v>
      </c>
      <c r="O6" s="56">
        <v>65.966485057970118</v>
      </c>
      <c r="P6" s="56">
        <v>87.955313410626815</v>
      </c>
      <c r="Q6" s="56">
        <f>F6/1000*G6*H6/1000*I6*O6</f>
        <v>90.769883439766872</v>
      </c>
      <c r="R6" s="56">
        <f>F6/1000*G6*H6/1000*I6*P6</f>
        <v>121.02651125302249</v>
      </c>
      <c r="S6" s="56">
        <f t="shared" si="0"/>
        <v>1.6</v>
      </c>
      <c r="T6" s="56">
        <f t="shared" si="1"/>
        <v>32</v>
      </c>
      <c r="U6" s="56">
        <f t="shared" si="2"/>
        <v>32</v>
      </c>
      <c r="V6" s="56">
        <f>0.701546*0*Q6</f>
        <v>0</v>
      </c>
      <c r="W6" s="56">
        <f>0.83008*0*R6</f>
        <v>0</v>
      </c>
    </row>
    <row r="7" spans="1:23" s="3" customFormat="1" ht="15" x14ac:dyDescent="0.4">
      <c r="A7" s="15"/>
      <c r="B7" s="15"/>
      <c r="C7" s="15"/>
      <c r="D7" s="6" t="s">
        <v>20</v>
      </c>
      <c r="E7" s="5">
        <v>6</v>
      </c>
      <c r="F7" s="11">
        <v>3960</v>
      </c>
      <c r="G7" s="11">
        <v>1</v>
      </c>
      <c r="H7" s="11">
        <v>145</v>
      </c>
      <c r="I7" s="11">
        <v>1</v>
      </c>
      <c r="J7" s="11">
        <v>15</v>
      </c>
      <c r="K7" s="11">
        <v>25</v>
      </c>
      <c r="L7" s="7">
        <v>850</v>
      </c>
      <c r="M7" s="56">
        <v>33.863881578947371</v>
      </c>
      <c r="N7" s="56">
        <v>33.863881578947371</v>
      </c>
      <c r="O7" s="56">
        <v>131.93297011594024</v>
      </c>
      <c r="P7" s="56">
        <v>131.93297011594024</v>
      </c>
      <c r="Q7" s="56">
        <f>F7/1000*H7/1000*O7*I7*G7</f>
        <v>75.755911440572888</v>
      </c>
      <c r="R7" s="56">
        <f>F7/1000*H7/1000*P7*I7*G7</f>
        <v>75.755911440572888</v>
      </c>
      <c r="S7" s="56">
        <f t="shared" si="0"/>
        <v>14.5</v>
      </c>
      <c r="T7" s="56">
        <f t="shared" si="1"/>
        <v>14.5</v>
      </c>
      <c r="U7" s="56">
        <f t="shared" si="2"/>
        <v>14.5</v>
      </c>
      <c r="V7" s="56">
        <f>0.665545*0*Q7</f>
        <v>0</v>
      </c>
      <c r="W7" s="56">
        <f>0.859215*0*R7</f>
        <v>0</v>
      </c>
    </row>
    <row r="8" spans="1:23" s="3" customFormat="1" ht="15" x14ac:dyDescent="0.4">
      <c r="A8" s="15"/>
      <c r="B8" s="15"/>
      <c r="C8" s="15"/>
      <c r="D8" s="6" t="s">
        <v>21</v>
      </c>
      <c r="E8" s="5">
        <v>7</v>
      </c>
      <c r="F8" s="11">
        <v>3960</v>
      </c>
      <c r="G8" s="11">
        <v>1</v>
      </c>
      <c r="H8" s="11">
        <v>70</v>
      </c>
      <c r="I8" s="11">
        <v>1</v>
      </c>
      <c r="J8" s="11">
        <v>65</v>
      </c>
      <c r="K8" s="11">
        <v>65</v>
      </c>
      <c r="L8" s="7">
        <v>850</v>
      </c>
      <c r="M8" s="56">
        <v>67.727763157894742</v>
      </c>
      <c r="N8" s="56">
        <v>67.727763157894742</v>
      </c>
      <c r="O8" s="56">
        <v>307.84359693719387</v>
      </c>
      <c r="P8" s="56">
        <v>307.84359693719387</v>
      </c>
      <c r="Q8" s="56">
        <f>F8/1000*H8/1000*O8*I8*G8</f>
        <v>85.334245070990136</v>
      </c>
      <c r="R8" s="56">
        <f>F8/1000*H8/1000*P8*I8*G8</f>
        <v>85.334245070990136</v>
      </c>
      <c r="S8" s="56">
        <f t="shared" si="0"/>
        <v>7</v>
      </c>
      <c r="T8" s="56">
        <f t="shared" si="1"/>
        <v>7</v>
      </c>
      <c r="U8" s="56">
        <f t="shared" si="2"/>
        <v>7</v>
      </c>
      <c r="V8" s="56">
        <f>0.979655*0*Q8</f>
        <v>0</v>
      </c>
      <c r="W8" s="56">
        <f>0.979655*0*R8</f>
        <v>0</v>
      </c>
    </row>
    <row r="9" spans="1:23" s="3" customFormat="1" ht="15" x14ac:dyDescent="0.4">
      <c r="A9" s="15"/>
      <c r="B9" s="15"/>
      <c r="C9" s="15"/>
      <c r="D9" s="6" t="s">
        <v>30</v>
      </c>
      <c r="E9" s="5">
        <v>9</v>
      </c>
      <c r="F9" s="11">
        <v>3960</v>
      </c>
      <c r="G9" s="11">
        <v>1</v>
      </c>
      <c r="H9" s="11">
        <v>80</v>
      </c>
      <c r="I9" s="11">
        <v>1</v>
      </c>
      <c r="J9" s="11">
        <v>55</v>
      </c>
      <c r="K9" s="11">
        <v>55</v>
      </c>
      <c r="L9" s="7">
        <v>700</v>
      </c>
      <c r="M9" s="56">
        <v>67.727763157894742</v>
      </c>
      <c r="N9" s="56">
        <v>67.727763157894742</v>
      </c>
      <c r="O9" s="56">
        <v>219.88828352656702</v>
      </c>
      <c r="P9" s="56">
        <v>219.88828352656702</v>
      </c>
      <c r="Q9" s="56">
        <f>F9/1000*H9/1000*O9*I9*G9</f>
        <v>69.660608221216435</v>
      </c>
      <c r="R9" s="56">
        <f>F9/1000*H9/1000*P9*I9*G9</f>
        <v>69.660608221216435</v>
      </c>
      <c r="S9" s="56">
        <f t="shared" si="0"/>
        <v>8</v>
      </c>
      <c r="T9" s="56">
        <f t="shared" si="1"/>
        <v>8</v>
      </c>
      <c r="U9" s="56">
        <f t="shared" si="2"/>
        <v>8</v>
      </c>
      <c r="V9" s="56">
        <f>0.901152*0*Q9</f>
        <v>0</v>
      </c>
      <c r="W9" s="56">
        <f>0.901152*0*R9</f>
        <v>0</v>
      </c>
    </row>
    <row r="10" spans="1:23" s="3" customFormat="1" ht="15" x14ac:dyDescent="0.4">
      <c r="A10" s="15"/>
      <c r="B10" s="15"/>
      <c r="C10" s="15"/>
      <c r="D10" s="28" t="s">
        <v>32</v>
      </c>
      <c r="E10" s="29">
        <v>16</v>
      </c>
      <c r="F10" s="11">
        <v>3850</v>
      </c>
      <c r="G10" s="11">
        <v>1</v>
      </c>
      <c r="H10" s="11">
        <v>150</v>
      </c>
      <c r="I10" s="11">
        <v>1</v>
      </c>
      <c r="J10" s="11">
        <v>30</v>
      </c>
      <c r="K10" s="11">
        <v>35</v>
      </c>
      <c r="L10" s="7">
        <v>1000</v>
      </c>
      <c r="M10" s="56">
        <v>33.863881578947371</v>
      </c>
      <c r="N10" s="56">
        <v>33.863881578947371</v>
      </c>
      <c r="O10" s="56">
        <v>13.193297011594023</v>
      </c>
      <c r="P10" s="56">
        <v>13.193297011594023</v>
      </c>
      <c r="Q10" s="56">
        <f>F10/1000*H10/1000*O10*I10*G10</f>
        <v>7.6191290241955487</v>
      </c>
      <c r="R10" s="56">
        <f>F10/1000*H10/1000*P10*I10*G10</f>
        <v>7.6191290241955487</v>
      </c>
      <c r="S10" s="56">
        <f t="shared" si="0"/>
        <v>15</v>
      </c>
      <c r="T10" s="56">
        <f t="shared" si="1"/>
        <v>15</v>
      </c>
      <c r="U10" s="56">
        <f t="shared" si="2"/>
        <v>15</v>
      </c>
      <c r="V10" s="56">
        <f>0.941222*0*Q10</f>
        <v>0</v>
      </c>
      <c r="W10" s="56">
        <f>1.016636*0*R10</f>
        <v>0</v>
      </c>
    </row>
    <row r="11" spans="1:23" s="3" customFormat="1" ht="15" x14ac:dyDescent="0.4">
      <c r="A11" s="15"/>
      <c r="B11" s="15"/>
      <c r="C11" s="15"/>
      <c r="D11" s="28" t="s">
        <v>33</v>
      </c>
      <c r="E11" s="29">
        <v>17</v>
      </c>
      <c r="F11" s="11">
        <v>3850</v>
      </c>
      <c r="G11" s="11">
        <v>1</v>
      </c>
      <c r="H11" s="11">
        <v>100</v>
      </c>
      <c r="I11" s="11">
        <v>2</v>
      </c>
      <c r="J11" s="11">
        <v>70</v>
      </c>
      <c r="K11" s="11">
        <v>70</v>
      </c>
      <c r="L11" s="7">
        <v>1000</v>
      </c>
      <c r="M11" s="56">
        <v>67.727763157894742</v>
      </c>
      <c r="N11" s="56">
        <v>67.727763157894742</v>
      </c>
      <c r="O11" s="56">
        <v>175.91062682125363</v>
      </c>
      <c r="P11" s="56">
        <v>219.88828352656702</v>
      </c>
      <c r="Q11" s="56">
        <f>F11/1000*H11/1000*O11*I11*G11</f>
        <v>135.4511826523653</v>
      </c>
      <c r="R11" s="56">
        <f>F11/1000*H11/1000*P11*I11*G11</f>
        <v>169.31397831545661</v>
      </c>
      <c r="S11" s="56">
        <f t="shared" si="0"/>
        <v>10</v>
      </c>
      <c r="T11" s="56">
        <f t="shared" si="1"/>
        <v>10</v>
      </c>
      <c r="U11" s="56">
        <f t="shared" si="2"/>
        <v>20</v>
      </c>
      <c r="V11" s="56">
        <f>1.016636*0*Q11</f>
        <v>0</v>
      </c>
      <c r="W11" s="56">
        <f>1.016636*0*R11</f>
        <v>0</v>
      </c>
    </row>
    <row r="12" spans="1:23" s="3" customFormat="1" ht="15" x14ac:dyDescent="0.4">
      <c r="A12" s="15"/>
      <c r="B12" s="15"/>
      <c r="C12" s="15"/>
      <c r="D12" s="24" t="s">
        <v>31</v>
      </c>
      <c r="E12" s="5">
        <v>22</v>
      </c>
      <c r="F12" s="11">
        <v>3850</v>
      </c>
      <c r="G12" s="11">
        <v>3</v>
      </c>
      <c r="H12" s="11">
        <v>12</v>
      </c>
      <c r="I12" s="11">
        <v>3</v>
      </c>
      <c r="J12" s="11">
        <v>50</v>
      </c>
      <c r="K12" s="11">
        <v>50</v>
      </c>
      <c r="L12" s="7"/>
      <c r="M12" s="56">
        <v>50.795822368421049</v>
      </c>
      <c r="N12" s="56">
        <v>50.795822368421049</v>
      </c>
      <c r="O12" s="56">
        <v>659.66485057970112</v>
      </c>
      <c r="P12" s="56">
        <v>659.66485057970112</v>
      </c>
      <c r="Q12" s="56">
        <f>F12/1000*G12*H12/1000*I12*O12</f>
        <v>274.28864487103976</v>
      </c>
      <c r="R12" s="56">
        <f>F12/1000*G12*H12/1000*I12*P12</f>
        <v>274.28864487103976</v>
      </c>
      <c r="S12" s="56">
        <f t="shared" si="0"/>
        <v>1.2</v>
      </c>
      <c r="T12" s="56">
        <f t="shared" si="1"/>
        <v>3.5999999999999996</v>
      </c>
      <c r="U12" s="56">
        <f t="shared" si="2"/>
        <v>10.799999999999999</v>
      </c>
      <c r="V12" s="56">
        <f>0.992136*0*Q12</f>
        <v>0</v>
      </c>
      <c r="W12" s="56">
        <f>0.992136*0*R12</f>
        <v>0</v>
      </c>
    </row>
    <row r="13" spans="1:23" s="3" customFormat="1" ht="15" x14ac:dyDescent="0.4">
      <c r="P13" s="46" t="s">
        <v>47</v>
      </c>
      <c r="Q13" s="56">
        <f>SUM(Q2:Q12)</f>
        <v>834.98221881200016</v>
      </c>
      <c r="R13" s="56">
        <f>SUM(R2:R12)</f>
        <v>919.52486606229456</v>
      </c>
      <c r="V13" s="56">
        <f>SUM(V2:V12)</f>
        <v>0</v>
      </c>
      <c r="W13" s="56">
        <f>SUM(W2:W12)</f>
        <v>0</v>
      </c>
    </row>
    <row r="14" spans="1:23" s="3" customFormat="1" ht="15" x14ac:dyDescent="0.4"/>
    <row r="15" spans="1:23" s="3" customFormat="1" ht="15" x14ac:dyDescent="0.4"/>
    <row r="16" spans="1:23" s="3" customFormat="1" ht="15" x14ac:dyDescent="0.4"/>
    <row r="17" s="3" customFormat="1" ht="15" x14ac:dyDescent="0.4"/>
    <row r="18" s="3" customFormat="1" ht="15" x14ac:dyDescent="0.4"/>
    <row r="19" s="3" customFormat="1" ht="15" x14ac:dyDescent="0.4"/>
    <row r="20" s="3" customFormat="1" ht="15" x14ac:dyDescent="0.4"/>
    <row r="21" s="3" customFormat="1" ht="15" x14ac:dyDescent="0.4"/>
    <row r="22" s="3" customFormat="1" ht="15" x14ac:dyDescent="0.4"/>
    <row r="23" s="3" customFormat="1" ht="15" x14ac:dyDescent="0.4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47258-58FA-40A3-BCDE-518A67C76F06}">
  <dimension ref="A1:X22"/>
  <sheetViews>
    <sheetView workbookViewId="0">
      <selection activeCell="D9" sqref="D9"/>
    </sheetView>
  </sheetViews>
  <sheetFormatPr defaultRowHeight="13.9" x14ac:dyDescent="0.4"/>
  <cols>
    <col min="1" max="1" width="12.33203125" bestFit="1" customWidth="1"/>
    <col min="2" max="2" width="25.06640625" bestFit="1" customWidth="1"/>
    <col min="3" max="3" width="6.46484375" bestFit="1" customWidth="1"/>
    <col min="4" max="4" width="64.265625" bestFit="1" customWidth="1"/>
    <col min="5" max="5" width="14.46484375" bestFit="1" customWidth="1"/>
    <col min="6" max="6" width="12.06640625" bestFit="1" customWidth="1"/>
    <col min="7" max="7" width="13.86328125" bestFit="1" customWidth="1"/>
    <col min="8" max="8" width="11.33203125" bestFit="1" customWidth="1"/>
    <col min="9" max="10" width="14.06640625" bestFit="1" customWidth="1"/>
    <col min="11" max="11" width="14.53125" bestFit="1" customWidth="1"/>
    <col min="12" max="12" width="16.53125" bestFit="1" customWidth="1"/>
  </cols>
  <sheetData>
    <row r="1" spans="1:24" s="2" customFormat="1" ht="70.5" x14ac:dyDescent="0.4">
      <c r="A1" s="4" t="s">
        <v>4</v>
      </c>
      <c r="B1" s="4" t="s">
        <v>17</v>
      </c>
      <c r="C1" s="4" t="s">
        <v>16</v>
      </c>
      <c r="D1" s="4" t="s">
        <v>2</v>
      </c>
      <c r="E1" s="4" t="s">
        <v>3</v>
      </c>
      <c r="F1" s="9" t="s">
        <v>12</v>
      </c>
      <c r="G1" s="4" t="s">
        <v>0</v>
      </c>
      <c r="H1" s="9" t="s">
        <v>13</v>
      </c>
      <c r="I1" s="4" t="s">
        <v>1</v>
      </c>
      <c r="J1" s="9" t="s">
        <v>14</v>
      </c>
      <c r="K1" s="9" t="s">
        <v>15</v>
      </c>
      <c r="L1" s="12" t="s">
        <v>23</v>
      </c>
      <c r="M1" s="57" t="s">
        <v>84</v>
      </c>
      <c r="N1" s="57" t="s">
        <v>85</v>
      </c>
      <c r="O1" s="57" t="s">
        <v>86</v>
      </c>
      <c r="P1" s="57" t="s">
        <v>87</v>
      </c>
      <c r="Q1" s="57" t="s">
        <v>88</v>
      </c>
      <c r="R1" s="57" t="s">
        <v>89</v>
      </c>
      <c r="S1" s="57" t="s">
        <v>90</v>
      </c>
      <c r="T1" s="57" t="s">
        <v>91</v>
      </c>
      <c r="U1" s="57" t="s">
        <v>92</v>
      </c>
      <c r="V1" s="57" t="s">
        <v>93</v>
      </c>
      <c r="W1" s="57" t="s">
        <v>94</v>
      </c>
    </row>
    <row r="2" spans="1:24" s="1" customFormat="1" ht="15" x14ac:dyDescent="0.4">
      <c r="A2" s="5" t="s">
        <v>5</v>
      </c>
      <c r="B2" s="5">
        <v>450</v>
      </c>
      <c r="C2" s="5" t="s">
        <v>6</v>
      </c>
      <c r="D2" s="6" t="s">
        <v>22</v>
      </c>
      <c r="E2" s="5">
        <v>1</v>
      </c>
      <c r="F2" s="10">
        <v>4350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5"/>
      <c r="M2" s="58">
        <v>6.4714729206963248</v>
      </c>
      <c r="N2" s="58">
        <v>6.4714729206963248</v>
      </c>
      <c r="O2" s="58">
        <v>1.6755487204724409</v>
      </c>
      <c r="P2" s="58">
        <v>1.6755487204724409</v>
      </c>
      <c r="Q2" s="58">
        <f>F2/1000*I2*O2</f>
        <v>0</v>
      </c>
      <c r="R2" s="58">
        <f>F2/1000*I2*P2</f>
        <v>0</v>
      </c>
      <c r="S2" s="58">
        <f t="shared" ref="S2:S11" si="0">H2/450*60</f>
        <v>0</v>
      </c>
      <c r="T2" s="58">
        <f t="shared" ref="T2:T11" si="1">H2/450*60*G2</f>
        <v>0</v>
      </c>
      <c r="U2" s="58">
        <f t="shared" ref="U2:U11" si="2">H2/450*60*G2*I2</f>
        <v>0</v>
      </c>
      <c r="V2" s="58">
        <f>0*0*Q2</f>
        <v>0</v>
      </c>
      <c r="W2" s="58">
        <f>0*0*R2</f>
        <v>0</v>
      </c>
    </row>
    <row r="3" spans="1:24" s="1" customFormat="1" ht="15" x14ac:dyDescent="0.4">
      <c r="A3" s="5" t="s">
        <v>7</v>
      </c>
      <c r="B3" s="5" t="s">
        <v>39</v>
      </c>
      <c r="C3" s="5" t="s">
        <v>9</v>
      </c>
      <c r="D3" s="6" t="s">
        <v>18</v>
      </c>
      <c r="E3" s="5">
        <v>2</v>
      </c>
      <c r="F3" s="10">
        <v>4350</v>
      </c>
      <c r="G3" s="10">
        <v>6</v>
      </c>
      <c r="H3" s="10">
        <v>38.200000000000003</v>
      </c>
      <c r="I3" s="10">
        <v>3</v>
      </c>
      <c r="J3" s="10">
        <v>10</v>
      </c>
      <c r="K3" s="10">
        <v>10</v>
      </c>
      <c r="L3" s="5"/>
      <c r="M3" s="58">
        <v>9.4583065764023218</v>
      </c>
      <c r="N3" s="58">
        <v>9.4583065764023218</v>
      </c>
      <c r="O3" s="58">
        <v>1.6755487204724409</v>
      </c>
      <c r="P3" s="58">
        <v>1.6755487204724409</v>
      </c>
      <c r="Q3" s="58">
        <f>F3/1000*I3*O3</f>
        <v>21.865910802165352</v>
      </c>
      <c r="R3" s="58">
        <f>F3/1000*I3*P3</f>
        <v>21.865910802165352</v>
      </c>
      <c r="S3" s="58">
        <f t="shared" si="0"/>
        <v>5.0933333333333337</v>
      </c>
      <c r="T3" s="58">
        <f t="shared" si="1"/>
        <v>30.560000000000002</v>
      </c>
      <c r="U3" s="58">
        <f t="shared" si="2"/>
        <v>91.68</v>
      </c>
      <c r="V3" s="58">
        <f>1.028237*0*Q3</f>
        <v>0</v>
      </c>
      <c r="W3" s="58">
        <f>1.028237*0*R3</f>
        <v>0</v>
      </c>
    </row>
    <row r="4" spans="1:24" s="3" customFormat="1" ht="15" x14ac:dyDescent="0.4">
      <c r="A4" s="15" t="s">
        <v>10</v>
      </c>
      <c r="B4" s="15" t="s">
        <v>11</v>
      </c>
      <c r="C4" s="7"/>
      <c r="D4" s="6" t="s">
        <v>19</v>
      </c>
      <c r="E4" s="5">
        <v>3</v>
      </c>
      <c r="F4" s="10">
        <v>4350</v>
      </c>
      <c r="G4" s="11">
        <v>6</v>
      </c>
      <c r="H4" s="11">
        <v>65</v>
      </c>
      <c r="I4" s="11">
        <v>3</v>
      </c>
      <c r="J4" s="11">
        <v>15</v>
      </c>
      <c r="K4" s="11">
        <v>15</v>
      </c>
      <c r="L4" s="7"/>
      <c r="M4" s="58">
        <v>13.440751450676981</v>
      </c>
      <c r="N4" s="58">
        <v>13.440751450676981</v>
      </c>
      <c r="O4" s="58">
        <v>3.9096136811023623</v>
      </c>
      <c r="P4" s="58">
        <v>3.9096136811023623</v>
      </c>
      <c r="Q4" s="58">
        <f>F4/1000*I4*O4</f>
        <v>51.020458538385824</v>
      </c>
      <c r="R4" s="58">
        <f>F4/1000*I4*P4</f>
        <v>51.020458538385824</v>
      </c>
      <c r="S4" s="58">
        <f t="shared" si="0"/>
        <v>8.6666666666666661</v>
      </c>
      <c r="T4" s="58">
        <f t="shared" si="1"/>
        <v>52</v>
      </c>
      <c r="U4" s="58">
        <f t="shared" si="2"/>
        <v>156</v>
      </c>
      <c r="V4" s="58">
        <f>1.056413*0*Q4</f>
        <v>0</v>
      </c>
      <c r="W4" s="58">
        <f>1.056413*0*R4</f>
        <v>0</v>
      </c>
      <c r="X4" s="44">
        <v>22.619907726377953</v>
      </c>
    </row>
    <row r="5" spans="1:24" s="3" customFormat="1" ht="15" x14ac:dyDescent="0.4">
      <c r="A5" s="15"/>
      <c r="B5" s="15"/>
      <c r="C5" s="15"/>
      <c r="D5" s="8" t="s">
        <v>27</v>
      </c>
      <c r="E5" s="5">
        <v>4</v>
      </c>
      <c r="F5" s="10">
        <v>4350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7"/>
      <c r="M5" s="58">
        <v>33.863881578947371</v>
      </c>
      <c r="N5" s="58">
        <v>33.863881578947371</v>
      </c>
      <c r="O5" s="58">
        <v>35.18212536425073</v>
      </c>
      <c r="P5" s="58">
        <v>43.977656705313407</v>
      </c>
      <c r="Q5" s="58">
        <f>F5/1000*H5/1000*O5*I5*G5</f>
        <v>0</v>
      </c>
      <c r="R5" s="58">
        <f>F5/1000*H5/1000*P5*I5*G5</f>
        <v>0</v>
      </c>
      <c r="S5" s="58">
        <f t="shared" si="0"/>
        <v>0</v>
      </c>
      <c r="T5" s="58">
        <f t="shared" si="1"/>
        <v>0</v>
      </c>
      <c r="U5" s="58">
        <f t="shared" si="2"/>
        <v>0</v>
      </c>
      <c r="V5" s="58">
        <f>0*0*Q5</f>
        <v>0</v>
      </c>
      <c r="W5" s="58">
        <f>0*0*R5</f>
        <v>0</v>
      </c>
      <c r="X5" s="44">
        <v>52.77978469488189</v>
      </c>
    </row>
    <row r="6" spans="1:24" s="3" customFormat="1" ht="15" x14ac:dyDescent="0.4">
      <c r="A6" s="15"/>
      <c r="B6" s="15"/>
      <c r="C6" s="15"/>
      <c r="D6" s="6" t="s">
        <v>28</v>
      </c>
      <c r="E6" s="5">
        <v>5</v>
      </c>
      <c r="F6" s="10">
        <v>4350</v>
      </c>
      <c r="G6" s="11">
        <v>6</v>
      </c>
      <c r="H6" s="11">
        <v>21.4</v>
      </c>
      <c r="I6" s="11">
        <v>6</v>
      </c>
      <c r="J6" s="11">
        <v>30</v>
      </c>
      <c r="K6" s="11">
        <v>30</v>
      </c>
      <c r="L6" s="7"/>
      <c r="M6" s="58">
        <v>50.795822368421049</v>
      </c>
      <c r="N6" s="58">
        <v>50.795822368421049</v>
      </c>
      <c r="O6" s="58">
        <v>65.966485057970118</v>
      </c>
      <c r="P6" s="58">
        <v>87.955313410626815</v>
      </c>
      <c r="Q6" s="58">
        <f>F6/1000*G6*H6/1000*I6*O6</f>
        <v>221.06952338567177</v>
      </c>
      <c r="R6" s="58">
        <f>F6/1000*G6*H6/1000*I6*P6</f>
        <v>294.75936451422899</v>
      </c>
      <c r="S6" s="58">
        <f t="shared" si="0"/>
        <v>2.8533333333333331</v>
      </c>
      <c r="T6" s="58">
        <f t="shared" si="1"/>
        <v>17.119999999999997</v>
      </c>
      <c r="U6" s="58">
        <f t="shared" si="2"/>
        <v>102.71999999999998</v>
      </c>
      <c r="V6" s="58">
        <f>0.768505*0*Q6</f>
        <v>0</v>
      </c>
      <c r="W6" s="58">
        <f>0.768505*0*R6</f>
        <v>0</v>
      </c>
      <c r="X6" s="44">
        <v>169.89303406950569</v>
      </c>
    </row>
    <row r="7" spans="1:24" s="3" customFormat="1" ht="15" x14ac:dyDescent="0.4">
      <c r="A7" s="15"/>
      <c r="B7" s="15"/>
      <c r="C7" s="15"/>
      <c r="D7" s="6" t="s">
        <v>20</v>
      </c>
      <c r="E7" s="5">
        <v>6</v>
      </c>
      <c r="F7" s="10">
        <v>4350</v>
      </c>
      <c r="G7" s="11">
        <v>1</v>
      </c>
      <c r="H7" s="11">
        <v>140</v>
      </c>
      <c r="I7" s="11">
        <v>1</v>
      </c>
      <c r="J7" s="11">
        <v>30</v>
      </c>
      <c r="K7" s="11">
        <v>30</v>
      </c>
      <c r="L7" s="7">
        <v>900</v>
      </c>
      <c r="M7" s="58">
        <v>33.863881578947371</v>
      </c>
      <c r="N7" s="58">
        <v>33.863881578947371</v>
      </c>
      <c r="O7" s="58">
        <v>131.93297011594024</v>
      </c>
      <c r="P7" s="58">
        <v>131.93297011594024</v>
      </c>
      <c r="Q7" s="58">
        <f>F7/1000*H7/1000*O7*I7*G7</f>
        <v>80.347178800607608</v>
      </c>
      <c r="R7" s="58">
        <f>F7/1000*H7/1000*P7*I7*G7</f>
        <v>80.347178800607608</v>
      </c>
      <c r="S7" s="58">
        <f t="shared" si="0"/>
        <v>18.666666666666668</v>
      </c>
      <c r="T7" s="58">
        <f t="shared" si="1"/>
        <v>18.666666666666668</v>
      </c>
      <c r="U7" s="58">
        <f t="shared" si="2"/>
        <v>18.666666666666668</v>
      </c>
      <c r="V7" s="58">
        <f>0.941222*0*Q7</f>
        <v>0</v>
      </c>
      <c r="W7" s="58">
        <f>0.941222*0*R7</f>
        <v>0</v>
      </c>
      <c r="X7" s="44">
        <v>75.624532325065488</v>
      </c>
    </row>
    <row r="8" spans="1:24" s="3" customFormat="1" ht="15" x14ac:dyDescent="0.4">
      <c r="A8" s="15"/>
      <c r="B8" s="15"/>
      <c r="C8" s="15"/>
      <c r="D8" s="6" t="s">
        <v>21</v>
      </c>
      <c r="E8" s="5">
        <v>7</v>
      </c>
      <c r="F8" s="10">
        <v>4350</v>
      </c>
      <c r="G8" s="11">
        <v>1</v>
      </c>
      <c r="H8" s="11">
        <v>100</v>
      </c>
      <c r="I8" s="11">
        <v>1</v>
      </c>
      <c r="J8" s="11">
        <v>55</v>
      </c>
      <c r="K8" s="11">
        <v>55</v>
      </c>
      <c r="L8" s="7">
        <v>900</v>
      </c>
      <c r="M8" s="58">
        <v>67.727763157894742</v>
      </c>
      <c r="N8" s="58">
        <v>67.727763157894742</v>
      </c>
      <c r="O8" s="58">
        <v>307.84359693719387</v>
      </c>
      <c r="P8" s="58">
        <v>307.84359693719387</v>
      </c>
      <c r="Q8" s="58">
        <f>F8/1000*H8/1000*O8*I8*G8</f>
        <v>133.91196466767931</v>
      </c>
      <c r="R8" s="58">
        <f>F8/1000*H8/1000*P8*I8*G8</f>
        <v>133.91196466767931</v>
      </c>
      <c r="S8" s="58">
        <f t="shared" si="0"/>
        <v>13.333333333333332</v>
      </c>
      <c r="T8" s="58">
        <f t="shared" si="1"/>
        <v>13.333333333333332</v>
      </c>
      <c r="U8" s="58">
        <f t="shared" si="2"/>
        <v>13.333333333333332</v>
      </c>
      <c r="V8" s="58">
        <f>0.901152*0*Q8</f>
        <v>0</v>
      </c>
      <c r="W8" s="58">
        <f>0.901152*0*R8</f>
        <v>0</v>
      </c>
      <c r="X8" s="44">
        <v>120.67503478420855</v>
      </c>
    </row>
    <row r="9" spans="1:24" s="3" customFormat="1" ht="15" x14ac:dyDescent="0.4">
      <c r="A9" s="15"/>
      <c r="B9" s="15"/>
      <c r="C9" s="15"/>
      <c r="D9" s="36" t="s">
        <v>37</v>
      </c>
      <c r="E9" s="37">
        <v>18</v>
      </c>
      <c r="F9" s="10">
        <v>4350</v>
      </c>
      <c r="G9" s="11">
        <v>1</v>
      </c>
      <c r="H9" s="13">
        <v>140</v>
      </c>
      <c r="I9" s="11">
        <v>1</v>
      </c>
      <c r="J9" s="11">
        <v>30</v>
      </c>
      <c r="K9" s="11">
        <v>30</v>
      </c>
      <c r="L9" s="7">
        <v>800</v>
      </c>
      <c r="M9" s="58">
        <v>33.863881578947371</v>
      </c>
      <c r="N9" s="58">
        <v>33.863881578947371</v>
      </c>
      <c r="O9" s="58">
        <v>32.983242528985059</v>
      </c>
      <c r="P9" s="58">
        <v>43.977656705313407</v>
      </c>
      <c r="Q9" s="58">
        <f>F9/1000*H9/1000*O9*I9*G9</f>
        <v>20.086794700151902</v>
      </c>
      <c r="R9" s="58">
        <f>F9/1000*H9/1000*P9*I9*G9</f>
        <v>26.782392933535863</v>
      </c>
      <c r="S9" s="58">
        <f t="shared" si="0"/>
        <v>18.666666666666668</v>
      </c>
      <c r="T9" s="58">
        <f t="shared" si="1"/>
        <v>18.666666666666668</v>
      </c>
      <c r="U9" s="58">
        <f t="shared" si="2"/>
        <v>18.666666666666668</v>
      </c>
      <c r="V9" s="58">
        <f>0.941222*0*Q9</f>
        <v>0</v>
      </c>
      <c r="W9" s="58">
        <f>0.941222*0*R9</f>
        <v>0</v>
      </c>
      <c r="X9" s="44">
        <v>18.906133081266372</v>
      </c>
    </row>
    <row r="10" spans="1:24" s="3" customFormat="1" ht="15" x14ac:dyDescent="0.4">
      <c r="A10" s="15"/>
      <c r="B10" s="15"/>
      <c r="C10" s="15"/>
      <c r="D10" s="36" t="s">
        <v>38</v>
      </c>
      <c r="E10" s="37">
        <v>19</v>
      </c>
      <c r="F10" s="10">
        <v>4350</v>
      </c>
      <c r="G10" s="11">
        <v>1</v>
      </c>
      <c r="H10" s="13">
        <v>100</v>
      </c>
      <c r="I10" s="11">
        <v>1</v>
      </c>
      <c r="J10" s="11">
        <v>40</v>
      </c>
      <c r="K10" s="11">
        <v>40</v>
      </c>
      <c r="L10" s="7">
        <v>800</v>
      </c>
      <c r="M10" s="58">
        <v>67.727763157894742</v>
      </c>
      <c r="N10" s="58">
        <v>67.727763157894742</v>
      </c>
      <c r="O10" s="58">
        <v>175.91062682125363</v>
      </c>
      <c r="P10" s="58">
        <v>219.88828352656702</v>
      </c>
      <c r="Q10" s="58">
        <f>F10/1000*H10/1000*O10*I10*G10</f>
        <v>76.521122667245322</v>
      </c>
      <c r="R10" s="58">
        <f>F10/1000*H10/1000*P10*I10*G10</f>
        <v>95.651403334056639</v>
      </c>
      <c r="S10" s="58">
        <f t="shared" si="0"/>
        <v>13.333333333333332</v>
      </c>
      <c r="T10" s="58">
        <f t="shared" si="1"/>
        <v>13.333333333333332</v>
      </c>
      <c r="U10" s="58">
        <f t="shared" si="2"/>
        <v>13.333333333333332</v>
      </c>
      <c r="V10" s="58">
        <f>0.768505*0*Q10</f>
        <v>0</v>
      </c>
      <c r="W10" s="58">
        <f>0.768505*0*R10</f>
        <v>0</v>
      </c>
      <c r="X10" s="44">
        <v>58.806865375391368</v>
      </c>
    </row>
    <row r="11" spans="1:24" s="3" customFormat="1" ht="15" x14ac:dyDescent="0.4">
      <c r="A11" s="15"/>
      <c r="B11" s="15"/>
      <c r="C11" s="15"/>
      <c r="D11" s="36" t="s">
        <v>31</v>
      </c>
      <c r="E11" s="37">
        <v>22</v>
      </c>
      <c r="F11" s="10">
        <v>4350</v>
      </c>
      <c r="G11" s="11">
        <v>3</v>
      </c>
      <c r="H11" s="25">
        <v>12</v>
      </c>
      <c r="I11" s="11">
        <v>6</v>
      </c>
      <c r="J11" s="11">
        <v>40</v>
      </c>
      <c r="K11" s="11">
        <v>40</v>
      </c>
      <c r="L11" s="7"/>
      <c r="M11" s="58">
        <v>50.795822368421049</v>
      </c>
      <c r="N11" s="58">
        <v>50.795822368421049</v>
      </c>
      <c r="O11" s="58">
        <v>659.66485057970112</v>
      </c>
      <c r="P11" s="58">
        <v>659.66485057970112</v>
      </c>
      <c r="Q11" s="58">
        <f>F11/1000*G11*H11/1000*I11*O11</f>
        <v>619.82109360468712</v>
      </c>
      <c r="R11" s="58">
        <f>F11/1000*G11*H11/1000*I11*P11</f>
        <v>619.82109360468712</v>
      </c>
      <c r="S11" s="58">
        <f t="shared" si="0"/>
        <v>1.6</v>
      </c>
      <c r="T11" s="58">
        <f t="shared" si="1"/>
        <v>4.8000000000000007</v>
      </c>
      <c r="U11" s="58">
        <f t="shared" si="2"/>
        <v>28.800000000000004</v>
      </c>
      <c r="V11" s="58">
        <f>0.887393*0*Q11</f>
        <v>0</v>
      </c>
      <c r="W11" s="58">
        <f>0.887393*0*R11</f>
        <v>0</v>
      </c>
      <c r="X11" s="44">
        <v>440.01991977371534</v>
      </c>
    </row>
    <row r="12" spans="1:24" s="3" customFormat="1" ht="15" x14ac:dyDescent="0.4">
      <c r="P12" s="38" t="s">
        <v>40</v>
      </c>
      <c r="Q12" s="58">
        <f>SUM(Q2:Q11)</f>
        <v>1224.6440471665942</v>
      </c>
      <c r="R12" s="58">
        <f>SUM(R2:R11)</f>
        <v>1324.1597671953468</v>
      </c>
      <c r="V12" s="58">
        <f>SUM(V2:V11)</f>
        <v>0</v>
      </c>
      <c r="W12" s="58">
        <f>SUM(W2:W11)</f>
        <v>0</v>
      </c>
      <c r="X12" s="45">
        <f>SUM(X2:X11)</f>
        <v>959.32521183041263</v>
      </c>
    </row>
    <row r="13" spans="1:24" s="3" customFormat="1" ht="15" x14ac:dyDescent="0.4"/>
    <row r="14" spans="1:24" s="3" customFormat="1" ht="15" x14ac:dyDescent="0.4"/>
    <row r="15" spans="1:24" s="3" customFormat="1" ht="15" x14ac:dyDescent="0.4"/>
    <row r="16" spans="1:24" s="3" customFormat="1" ht="15" x14ac:dyDescent="0.4"/>
    <row r="17" s="3" customFormat="1" ht="15" x14ac:dyDescent="0.4"/>
    <row r="18" s="3" customFormat="1" ht="15" x14ac:dyDescent="0.4"/>
    <row r="19" s="3" customFormat="1" ht="15" x14ac:dyDescent="0.4"/>
    <row r="20" s="3" customFormat="1" ht="15" x14ac:dyDescent="0.4"/>
    <row r="21" s="3" customFormat="1" ht="15" x14ac:dyDescent="0.4"/>
    <row r="22" s="3" customFormat="1" ht="15" x14ac:dyDescent="0.4"/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72F1A-BD24-4E1A-B918-3A3B0AB806A2}">
  <dimension ref="A1:W23"/>
  <sheetViews>
    <sheetView workbookViewId="0">
      <selection activeCell="J32" sqref="J32"/>
    </sheetView>
  </sheetViews>
  <sheetFormatPr defaultRowHeight="13.9" x14ac:dyDescent="0.4"/>
  <cols>
    <col min="1" max="1" width="12.33203125" bestFit="1" customWidth="1"/>
    <col min="2" max="2" width="25.06640625" bestFit="1" customWidth="1"/>
    <col min="3" max="3" width="6.46484375" bestFit="1" customWidth="1"/>
    <col min="4" max="4" width="52.9296875" bestFit="1" customWidth="1"/>
    <col min="5" max="5" width="14.46484375" bestFit="1" customWidth="1"/>
    <col min="6" max="6" width="12.06640625" bestFit="1" customWidth="1"/>
    <col min="7" max="7" width="13.86328125" bestFit="1" customWidth="1"/>
    <col min="8" max="8" width="11.33203125" bestFit="1" customWidth="1"/>
    <col min="9" max="10" width="14.06640625" bestFit="1" customWidth="1"/>
    <col min="11" max="11" width="14.53125" bestFit="1" customWidth="1"/>
    <col min="12" max="12" width="16.53125" bestFit="1" customWidth="1"/>
  </cols>
  <sheetData>
    <row r="1" spans="1:23" s="2" customFormat="1" ht="70.5" x14ac:dyDescent="0.4">
      <c r="A1" s="4" t="s">
        <v>4</v>
      </c>
      <c r="B1" s="4" t="s">
        <v>17</v>
      </c>
      <c r="C1" s="4" t="s">
        <v>16</v>
      </c>
      <c r="D1" s="4" t="s">
        <v>2</v>
      </c>
      <c r="E1" s="4" t="s">
        <v>3</v>
      </c>
      <c r="F1" s="9" t="s">
        <v>12</v>
      </c>
      <c r="G1" s="4" t="s">
        <v>0</v>
      </c>
      <c r="H1" s="9" t="s">
        <v>13</v>
      </c>
      <c r="I1" s="4" t="s">
        <v>1</v>
      </c>
      <c r="J1" s="9" t="s">
        <v>14</v>
      </c>
      <c r="K1" s="9" t="s">
        <v>15</v>
      </c>
      <c r="L1" s="12" t="s">
        <v>23</v>
      </c>
      <c r="M1" s="59" t="s">
        <v>95</v>
      </c>
      <c r="N1" s="59" t="s">
        <v>96</v>
      </c>
      <c r="O1" s="59" t="s">
        <v>97</v>
      </c>
      <c r="P1" s="59" t="s">
        <v>98</v>
      </c>
      <c r="Q1" s="59" t="s">
        <v>99</v>
      </c>
      <c r="R1" s="59" t="s">
        <v>100</v>
      </c>
      <c r="S1" s="59" t="s">
        <v>101</v>
      </c>
      <c r="T1" s="59" t="s">
        <v>102</v>
      </c>
      <c r="U1" s="59" t="s">
        <v>103</v>
      </c>
      <c r="V1" s="59" t="s">
        <v>104</v>
      </c>
      <c r="W1" s="59" t="s">
        <v>105</v>
      </c>
    </row>
    <row r="2" spans="1:23" s="1" customFormat="1" ht="15" x14ac:dyDescent="0.4">
      <c r="A2" s="5" t="s">
        <v>5</v>
      </c>
      <c r="B2" s="5">
        <v>700</v>
      </c>
      <c r="C2" s="5" t="s">
        <v>6</v>
      </c>
      <c r="D2" s="6" t="s">
        <v>22</v>
      </c>
      <c r="E2" s="5">
        <v>1</v>
      </c>
      <c r="F2" s="10">
        <v>6120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5"/>
      <c r="M2" s="60">
        <v>6.4714729206963248</v>
      </c>
      <c r="N2" s="60">
        <v>6.4714729206963248</v>
      </c>
      <c r="O2" s="60">
        <v>1.6755487204724409</v>
      </c>
      <c r="P2" s="60">
        <v>1.6755487204724409</v>
      </c>
      <c r="Q2" s="60">
        <f>F2/1000*I2*O2</f>
        <v>0</v>
      </c>
      <c r="R2" s="60">
        <f>F2/1000*I2*P2</f>
        <v>0</v>
      </c>
      <c r="S2" s="60">
        <f t="shared" ref="S2:S11" si="0">H2/700*60</f>
        <v>0</v>
      </c>
      <c r="T2" s="60">
        <f t="shared" ref="T2:T11" si="1">H2/700*60*G2</f>
        <v>0</v>
      </c>
      <c r="U2" s="60">
        <f t="shared" ref="U2:U11" si="2">H2/700*60*G2*I2</f>
        <v>0</v>
      </c>
      <c r="V2" s="60">
        <f>0*0*Q2</f>
        <v>0</v>
      </c>
      <c r="W2" s="60">
        <f>0*0*R2</f>
        <v>0</v>
      </c>
    </row>
    <row r="3" spans="1:23" s="1" customFormat="1" ht="15" x14ac:dyDescent="0.4">
      <c r="A3" s="5" t="s">
        <v>7</v>
      </c>
      <c r="B3" s="5" t="s">
        <v>26</v>
      </c>
      <c r="C3" s="5" t="s">
        <v>9</v>
      </c>
      <c r="D3" s="6" t="s">
        <v>18</v>
      </c>
      <c r="E3" s="5">
        <v>2</v>
      </c>
      <c r="F3" s="10">
        <v>6120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5"/>
      <c r="M3" s="60">
        <v>9.4583065764023218</v>
      </c>
      <c r="N3" s="60">
        <v>9.4583065764023218</v>
      </c>
      <c r="O3" s="60">
        <v>1.6755487204724409</v>
      </c>
      <c r="P3" s="60">
        <v>1.6755487204724409</v>
      </c>
      <c r="Q3" s="60">
        <f>F3/1000*I3*O3</f>
        <v>0</v>
      </c>
      <c r="R3" s="60">
        <f>F3/1000*I3*P3</f>
        <v>0</v>
      </c>
      <c r="S3" s="60">
        <f t="shared" si="0"/>
        <v>0</v>
      </c>
      <c r="T3" s="60">
        <f t="shared" si="1"/>
        <v>0</v>
      </c>
      <c r="U3" s="60">
        <f t="shared" si="2"/>
        <v>0</v>
      </c>
      <c r="V3" s="60">
        <f>0*0*Q3</f>
        <v>0</v>
      </c>
      <c r="W3" s="60">
        <f>0*0*R3</f>
        <v>0</v>
      </c>
    </row>
    <row r="4" spans="1:23" s="3" customFormat="1" ht="15" x14ac:dyDescent="0.4">
      <c r="A4" s="7" t="s">
        <v>10</v>
      </c>
      <c r="B4" s="7" t="s">
        <v>11</v>
      </c>
      <c r="C4" s="7"/>
      <c r="D4" s="6" t="s">
        <v>19</v>
      </c>
      <c r="E4" s="5">
        <v>4</v>
      </c>
      <c r="F4" s="10">
        <v>6120</v>
      </c>
      <c r="G4" s="11">
        <v>8</v>
      </c>
      <c r="H4" s="11">
        <v>30</v>
      </c>
      <c r="I4" s="11">
        <v>6</v>
      </c>
      <c r="J4" s="11">
        <v>10</v>
      </c>
      <c r="K4" s="11">
        <v>15</v>
      </c>
      <c r="L4" s="7"/>
      <c r="M4" s="60">
        <v>33.863881578947371</v>
      </c>
      <c r="N4" s="60">
        <v>33.863881578947371</v>
      </c>
      <c r="O4" s="60">
        <v>35.18212536425073</v>
      </c>
      <c r="P4" s="60">
        <v>43.977656705313407</v>
      </c>
      <c r="Q4" s="60">
        <f>F4/1000*H4/1000*O4*I4*G4</f>
        <v>310.05303441006879</v>
      </c>
      <c r="R4" s="60">
        <f>F4/1000*H4/1000*P4*I4*G4</f>
        <v>387.56629301258596</v>
      </c>
      <c r="S4" s="60">
        <f t="shared" si="0"/>
        <v>2.5714285714285716</v>
      </c>
      <c r="T4" s="60">
        <f t="shared" si="1"/>
        <v>20.571428571428573</v>
      </c>
      <c r="U4" s="60">
        <f t="shared" si="2"/>
        <v>123.42857142857144</v>
      </c>
      <c r="V4" s="60">
        <f>0.543415*0*Q4</f>
        <v>0</v>
      </c>
      <c r="W4" s="60">
        <f>0.665545*0*R4</f>
        <v>0</v>
      </c>
    </row>
    <row r="5" spans="1:23" s="3" customFormat="1" ht="15" x14ac:dyDescent="0.4">
      <c r="A5" s="7"/>
      <c r="B5" s="7"/>
      <c r="C5" s="7"/>
      <c r="D5" s="8" t="s">
        <v>27</v>
      </c>
      <c r="E5" s="5">
        <v>4</v>
      </c>
      <c r="F5" s="10">
        <v>6120</v>
      </c>
      <c r="G5" s="11">
        <v>6</v>
      </c>
      <c r="H5" s="11">
        <v>20</v>
      </c>
      <c r="I5" s="11">
        <v>4</v>
      </c>
      <c r="J5" s="11">
        <v>25</v>
      </c>
      <c r="K5" s="11">
        <v>35</v>
      </c>
      <c r="L5" s="7"/>
      <c r="M5" s="60">
        <v>33.863881578947371</v>
      </c>
      <c r="N5" s="60">
        <v>33.863881578947371</v>
      </c>
      <c r="O5" s="60">
        <v>35.18212536425073</v>
      </c>
      <c r="P5" s="60">
        <v>43.977656705313407</v>
      </c>
      <c r="Q5" s="60">
        <f>F5/1000*H5/1000*O5*I5*G5</f>
        <v>103.35101147002294</v>
      </c>
      <c r="R5" s="60">
        <f>F5/1000*H5/1000*P5*I5*G5</f>
        <v>129.18876433752865</v>
      </c>
      <c r="S5" s="60">
        <f t="shared" si="0"/>
        <v>1.7142857142857142</v>
      </c>
      <c r="T5" s="60">
        <f t="shared" si="1"/>
        <v>10.285714285714285</v>
      </c>
      <c r="U5" s="60">
        <f t="shared" si="2"/>
        <v>41.142857142857139</v>
      </c>
      <c r="V5" s="60">
        <f>0.859215*0*Q5</f>
        <v>0</v>
      </c>
      <c r="W5" s="60">
        <f>1.016636*0*R5</f>
        <v>0</v>
      </c>
    </row>
    <row r="6" spans="1:23" s="3" customFormat="1" ht="15" x14ac:dyDescent="0.4">
      <c r="A6" s="7"/>
      <c r="B6" s="7"/>
      <c r="C6" s="7"/>
      <c r="D6" s="6" t="s">
        <v>28</v>
      </c>
      <c r="E6" s="5">
        <v>5</v>
      </c>
      <c r="F6" s="10">
        <v>6120</v>
      </c>
      <c r="G6" s="11">
        <v>10</v>
      </c>
      <c r="H6" s="11">
        <v>15</v>
      </c>
      <c r="I6" s="11">
        <v>10</v>
      </c>
      <c r="J6" s="11">
        <v>35</v>
      </c>
      <c r="K6" s="11">
        <v>45</v>
      </c>
      <c r="L6" s="7"/>
      <c r="M6" s="60">
        <v>50.795822368421049</v>
      </c>
      <c r="N6" s="60">
        <v>50.795822368421049</v>
      </c>
      <c r="O6" s="60">
        <v>65.966485057970118</v>
      </c>
      <c r="P6" s="60">
        <v>87.955313410626815</v>
      </c>
      <c r="Q6" s="60">
        <f>F6/1000*G6*H6/1000*I6*O6</f>
        <v>605.57233283216567</v>
      </c>
      <c r="R6" s="60">
        <f>F6/1000*G6*H6/1000*I6*P6</f>
        <v>807.42977710955415</v>
      </c>
      <c r="S6" s="60">
        <f t="shared" si="0"/>
        <v>1.2857142857142858</v>
      </c>
      <c r="T6" s="60">
        <f t="shared" si="1"/>
        <v>12.857142857142858</v>
      </c>
      <c r="U6" s="60">
        <f t="shared" si="2"/>
        <v>128.57142857142858</v>
      </c>
      <c r="V6" s="60">
        <f>0.83008*0*Q6</f>
        <v>0</v>
      </c>
      <c r="W6" s="60">
        <f>0.941222*0*R6</f>
        <v>0</v>
      </c>
    </row>
    <row r="7" spans="1:23" s="3" customFormat="1" ht="15" x14ac:dyDescent="0.4">
      <c r="A7" s="7"/>
      <c r="B7" s="7"/>
      <c r="C7" s="7"/>
      <c r="D7" s="6" t="s">
        <v>20</v>
      </c>
      <c r="E7" s="5">
        <v>6</v>
      </c>
      <c r="F7" s="10">
        <v>6120</v>
      </c>
      <c r="G7" s="11">
        <v>1</v>
      </c>
      <c r="H7" s="13">
        <v>145</v>
      </c>
      <c r="I7" s="11">
        <v>1</v>
      </c>
      <c r="J7" s="11">
        <v>45</v>
      </c>
      <c r="K7" s="11">
        <v>45</v>
      </c>
      <c r="L7" s="7">
        <v>750</v>
      </c>
      <c r="M7" s="60">
        <v>33.863881578947371</v>
      </c>
      <c r="N7" s="60">
        <v>33.863881578947371</v>
      </c>
      <c r="O7" s="60">
        <v>131.93297011594024</v>
      </c>
      <c r="P7" s="60">
        <v>131.93297011594024</v>
      </c>
      <c r="Q7" s="60">
        <f>F7/1000*H7/1000*O7*I7*G7</f>
        <v>117.07731768088536</v>
      </c>
      <c r="R7" s="60">
        <f>F7/1000*H7/1000*P7*I7*G7</f>
        <v>117.07731768088536</v>
      </c>
      <c r="S7" s="60">
        <f t="shared" si="0"/>
        <v>12.428571428571429</v>
      </c>
      <c r="T7" s="60">
        <f t="shared" si="1"/>
        <v>12.428571428571429</v>
      </c>
      <c r="U7" s="60">
        <f t="shared" si="2"/>
        <v>12.428571428571429</v>
      </c>
      <c r="V7" s="60">
        <f>1.152757*0*Q7</f>
        <v>0</v>
      </c>
      <c r="W7" s="60">
        <f>1.152757*0*R7</f>
        <v>0</v>
      </c>
    </row>
    <row r="8" spans="1:23" s="3" customFormat="1" ht="15" x14ac:dyDescent="0.4">
      <c r="A8" s="7"/>
      <c r="B8" s="7"/>
      <c r="C8" s="7"/>
      <c r="D8" s="6" t="s">
        <v>21</v>
      </c>
      <c r="E8" s="5">
        <v>7</v>
      </c>
      <c r="F8" s="10">
        <v>6120</v>
      </c>
      <c r="G8" s="11">
        <v>1</v>
      </c>
      <c r="H8" s="13">
        <v>70</v>
      </c>
      <c r="I8" s="11">
        <v>1</v>
      </c>
      <c r="J8" s="11">
        <v>65</v>
      </c>
      <c r="K8" s="11">
        <v>70</v>
      </c>
      <c r="L8" s="7">
        <v>750</v>
      </c>
      <c r="M8" s="60">
        <v>67.727763157894742</v>
      </c>
      <c r="N8" s="60">
        <v>67.727763157894742</v>
      </c>
      <c r="O8" s="60">
        <v>307.84359693719387</v>
      </c>
      <c r="P8" s="60">
        <v>307.84359693719387</v>
      </c>
      <c r="Q8" s="60">
        <f>F8/1000*H8/1000*O8*I8*G8</f>
        <v>131.88019692789388</v>
      </c>
      <c r="R8" s="60">
        <f>F8/1000*H8/1000*P8*I8*G8</f>
        <v>131.88019692789388</v>
      </c>
      <c r="S8" s="60">
        <f t="shared" si="0"/>
        <v>6</v>
      </c>
      <c r="T8" s="60">
        <f t="shared" si="1"/>
        <v>6</v>
      </c>
      <c r="U8" s="60">
        <f t="shared" si="2"/>
        <v>6</v>
      </c>
      <c r="V8" s="60">
        <f>0.979655*0*Q8</f>
        <v>0</v>
      </c>
      <c r="W8" s="60">
        <f>1.016636*0*R8</f>
        <v>0</v>
      </c>
    </row>
    <row r="9" spans="1:23" s="23" customFormat="1" ht="15" x14ac:dyDescent="0.4">
      <c r="A9" s="17"/>
      <c r="B9" s="17"/>
      <c r="C9" s="17"/>
      <c r="D9" s="18" t="s">
        <v>29</v>
      </c>
      <c r="E9" s="19">
        <v>8</v>
      </c>
      <c r="F9" s="20">
        <v>6120</v>
      </c>
      <c r="G9" s="21">
        <v>1</v>
      </c>
      <c r="H9" s="22">
        <v>150</v>
      </c>
      <c r="I9" s="21">
        <v>1</v>
      </c>
      <c r="J9" s="21">
        <v>35</v>
      </c>
      <c r="K9" s="21">
        <v>35</v>
      </c>
      <c r="L9" s="17"/>
      <c r="M9" s="60">
        <v>33.863881578947371</v>
      </c>
      <c r="N9" s="60">
        <v>33.863881578947371</v>
      </c>
      <c r="O9" s="60">
        <v>30.784359693719388</v>
      </c>
      <c r="P9" s="60">
        <v>30.784359693719388</v>
      </c>
      <c r="Q9" s="60">
        <f>F9/1000*H9/1000*O9*I9*G9</f>
        <v>28.260042198834398</v>
      </c>
      <c r="R9" s="60">
        <f>F9/1000*H9/1000*P9*I9*G9</f>
        <v>28.260042198834398</v>
      </c>
      <c r="S9" s="60">
        <f t="shared" si="0"/>
        <v>12.857142857142856</v>
      </c>
      <c r="T9" s="60">
        <f t="shared" si="1"/>
        <v>12.857142857142856</v>
      </c>
      <c r="U9" s="60">
        <f t="shared" si="2"/>
        <v>12.857142857142856</v>
      </c>
      <c r="V9" s="60">
        <f>1.016636*0*Q9</f>
        <v>0</v>
      </c>
      <c r="W9" s="60">
        <f>1.016636*0*R9</f>
        <v>0</v>
      </c>
    </row>
    <row r="10" spans="1:23" s="3" customFormat="1" ht="15" x14ac:dyDescent="0.4">
      <c r="A10" s="14"/>
      <c r="B10" s="14"/>
      <c r="C10" s="14"/>
      <c r="D10" s="6" t="s">
        <v>30</v>
      </c>
      <c r="E10" s="5">
        <v>9</v>
      </c>
      <c r="F10" s="10">
        <v>6120</v>
      </c>
      <c r="G10" s="11">
        <v>1</v>
      </c>
      <c r="H10" s="13">
        <v>60</v>
      </c>
      <c r="I10" s="11">
        <v>2</v>
      </c>
      <c r="J10" s="11">
        <v>65</v>
      </c>
      <c r="K10" s="11">
        <v>70</v>
      </c>
      <c r="L10" s="16">
        <v>600</v>
      </c>
      <c r="M10" s="60">
        <v>67.727763157894742</v>
      </c>
      <c r="N10" s="60">
        <v>67.727763157894742</v>
      </c>
      <c r="O10" s="60">
        <v>219.88828352656702</v>
      </c>
      <c r="P10" s="60">
        <v>219.88828352656702</v>
      </c>
      <c r="Q10" s="60">
        <f>F10/1000*H10/1000*O10*I10*G10</f>
        <v>161.4859554219108</v>
      </c>
      <c r="R10" s="60">
        <f>F10/1000*H10/1000*P10*I10*G10</f>
        <v>161.4859554219108</v>
      </c>
      <c r="S10" s="60">
        <f t="shared" si="0"/>
        <v>5.1428571428571432</v>
      </c>
      <c r="T10" s="60">
        <f t="shared" si="1"/>
        <v>5.1428571428571432</v>
      </c>
      <c r="U10" s="60">
        <f t="shared" si="2"/>
        <v>10.285714285714286</v>
      </c>
      <c r="V10" s="60">
        <f>0.979655*0*Q10</f>
        <v>0</v>
      </c>
      <c r="W10" s="60">
        <f>1.016636*0*R10</f>
        <v>0</v>
      </c>
    </row>
    <row r="11" spans="1:23" s="3" customFormat="1" ht="15" x14ac:dyDescent="0.4">
      <c r="A11" s="7"/>
      <c r="B11" s="7"/>
      <c r="C11" s="7"/>
      <c r="D11" s="24" t="s">
        <v>31</v>
      </c>
      <c r="E11" s="5">
        <v>22</v>
      </c>
      <c r="F11" s="10">
        <v>6120</v>
      </c>
      <c r="G11" s="11">
        <v>2</v>
      </c>
      <c r="H11" s="11">
        <v>12</v>
      </c>
      <c r="I11" s="11">
        <v>4</v>
      </c>
      <c r="J11" s="11">
        <v>45</v>
      </c>
      <c r="K11" s="11">
        <v>55</v>
      </c>
      <c r="L11" s="7"/>
      <c r="M11" s="60">
        <v>50.795822368421049</v>
      </c>
      <c r="N11" s="60">
        <v>50.795822368421049</v>
      </c>
      <c r="O11" s="60">
        <v>659.66485057970112</v>
      </c>
      <c r="P11" s="60">
        <v>659.66485057970112</v>
      </c>
      <c r="Q11" s="60">
        <f>F11/1000*G11*H11/1000*I11*O11</f>
        <v>387.56629301258596</v>
      </c>
      <c r="R11" s="60">
        <f>F11/1000*G11*H11/1000*I11*P11</f>
        <v>387.56629301258596</v>
      </c>
      <c r="S11" s="60">
        <f t="shared" si="0"/>
        <v>1.0285714285714287</v>
      </c>
      <c r="T11" s="60">
        <f t="shared" si="1"/>
        <v>2.0571428571428574</v>
      </c>
      <c r="U11" s="60">
        <f t="shared" si="2"/>
        <v>8.2285714285714295</v>
      </c>
      <c r="V11" s="60">
        <f>0.941222*0*Q11</f>
        <v>0</v>
      </c>
      <c r="W11" s="60">
        <f>1.040561*0*R11</f>
        <v>0</v>
      </c>
    </row>
    <row r="12" spans="1:23" s="3" customFormat="1" ht="15" x14ac:dyDescent="0.4">
      <c r="P12" s="39" t="s">
        <v>41</v>
      </c>
      <c r="Q12" s="60">
        <f>SUM(Q2:Q11)</f>
        <v>1845.2461839543676</v>
      </c>
      <c r="R12" s="60">
        <f>SUM(R2:R11)</f>
        <v>2150.4546397017789</v>
      </c>
      <c r="V12" s="60">
        <f>SUM(V2:V11)</f>
        <v>0</v>
      </c>
      <c r="W12" s="60">
        <f>SUM(W2:W11)</f>
        <v>0</v>
      </c>
    </row>
    <row r="13" spans="1:23" s="3" customFormat="1" ht="15" x14ac:dyDescent="0.4"/>
    <row r="14" spans="1:23" s="3" customFormat="1" ht="15" x14ac:dyDescent="0.4"/>
    <row r="15" spans="1:23" s="3" customFormat="1" ht="15" x14ac:dyDescent="0.4"/>
    <row r="16" spans="1:23" s="3" customFormat="1" ht="15" x14ac:dyDescent="0.4"/>
    <row r="17" s="3" customFormat="1" ht="15" x14ac:dyDescent="0.4"/>
    <row r="18" s="3" customFormat="1" ht="15" x14ac:dyDescent="0.4"/>
    <row r="19" s="3" customFormat="1" ht="15" x14ac:dyDescent="0.4"/>
    <row r="20" s="3" customFormat="1" ht="15" x14ac:dyDescent="0.4"/>
    <row r="21" s="3" customFormat="1" ht="15" x14ac:dyDescent="0.4"/>
    <row r="22" s="3" customFormat="1" ht="15" x14ac:dyDescent="0.4"/>
    <row r="23" s="3" customFormat="1" ht="15" x14ac:dyDescent="0.4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9A31C-A177-42BE-BB1B-FCA5C4F789A9}">
  <dimension ref="A1:W23"/>
  <sheetViews>
    <sheetView workbookViewId="0">
      <selection activeCell="D10" sqref="D10:E11"/>
    </sheetView>
  </sheetViews>
  <sheetFormatPr defaultRowHeight="13.9" x14ac:dyDescent="0.4"/>
  <cols>
    <col min="1" max="1" width="12.33203125" bestFit="1" customWidth="1"/>
    <col min="2" max="2" width="25.06640625" bestFit="1" customWidth="1"/>
    <col min="3" max="3" width="7.265625" bestFit="1" customWidth="1"/>
    <col min="4" max="4" width="64.265625" bestFit="1" customWidth="1"/>
    <col min="5" max="5" width="14.46484375" bestFit="1" customWidth="1"/>
    <col min="6" max="6" width="12.06640625" bestFit="1" customWidth="1"/>
    <col min="7" max="7" width="13.86328125" bestFit="1" customWidth="1"/>
    <col min="8" max="8" width="11.33203125" bestFit="1" customWidth="1"/>
    <col min="9" max="10" width="14.06640625" bestFit="1" customWidth="1"/>
    <col min="11" max="12" width="14.53125" bestFit="1" customWidth="1"/>
  </cols>
  <sheetData>
    <row r="1" spans="1:23" s="2" customFormat="1" ht="70.5" x14ac:dyDescent="0.4">
      <c r="A1" s="4" t="s">
        <v>4</v>
      </c>
      <c r="B1" s="4" t="s">
        <v>17</v>
      </c>
      <c r="C1" s="4" t="s">
        <v>16</v>
      </c>
      <c r="D1" s="4" t="s">
        <v>2</v>
      </c>
      <c r="E1" s="4" t="s">
        <v>3</v>
      </c>
      <c r="F1" s="9" t="s">
        <v>12</v>
      </c>
      <c r="G1" s="4" t="s">
        <v>0</v>
      </c>
      <c r="H1" s="9" t="s">
        <v>13</v>
      </c>
      <c r="I1" s="4" t="s">
        <v>1</v>
      </c>
      <c r="J1" s="9" t="s">
        <v>14</v>
      </c>
      <c r="K1" s="9" t="s">
        <v>15</v>
      </c>
      <c r="L1" s="12" t="s">
        <v>23</v>
      </c>
      <c r="M1" s="61" t="s">
        <v>106</v>
      </c>
      <c r="N1" s="61" t="s">
        <v>107</v>
      </c>
      <c r="O1" s="61" t="s">
        <v>108</v>
      </c>
      <c r="P1" s="61" t="s">
        <v>109</v>
      </c>
      <c r="Q1" s="61" t="s">
        <v>110</v>
      </c>
      <c r="R1" s="61" t="s">
        <v>111</v>
      </c>
      <c r="S1" s="61" t="s">
        <v>112</v>
      </c>
      <c r="T1" s="61" t="s">
        <v>113</v>
      </c>
      <c r="U1" s="61" t="s">
        <v>114</v>
      </c>
      <c r="V1" s="61" t="s">
        <v>115</v>
      </c>
      <c r="W1" s="61" t="s">
        <v>116</v>
      </c>
    </row>
    <row r="2" spans="1:23" s="1" customFormat="1" ht="15" x14ac:dyDescent="0.4">
      <c r="A2" s="5" t="s">
        <v>5</v>
      </c>
      <c r="B2" s="5">
        <v>700</v>
      </c>
      <c r="C2" s="5" t="s">
        <v>6</v>
      </c>
      <c r="D2" s="6" t="s">
        <v>22</v>
      </c>
      <c r="E2" s="5">
        <v>1</v>
      </c>
      <c r="F2" s="10">
        <v>4500</v>
      </c>
      <c r="G2" s="10"/>
      <c r="H2" s="10"/>
      <c r="I2" s="10"/>
      <c r="J2" s="10"/>
      <c r="K2" s="10"/>
      <c r="L2" s="5"/>
      <c r="M2" s="62">
        <v>6.4714729206963248</v>
      </c>
      <c r="N2" s="62">
        <v>6.4714729206963248</v>
      </c>
      <c r="O2" s="62">
        <v>1.6755487204724409</v>
      </c>
      <c r="P2" s="62">
        <v>1.6755487204724409</v>
      </c>
      <c r="Q2" s="62">
        <f>F2/1000*I2*O2</f>
        <v>0</v>
      </c>
      <c r="R2" s="62">
        <f>F2/1000*I2*P2</f>
        <v>0</v>
      </c>
      <c r="S2" s="62">
        <f t="shared" ref="S2:S12" si="0">H2/700*60</f>
        <v>0</v>
      </c>
      <c r="T2" s="62">
        <f t="shared" ref="T2:T12" si="1">H2/700*60*G2</f>
        <v>0</v>
      </c>
      <c r="U2" s="62">
        <f t="shared" ref="U2:U12" si="2">H2/700*60*G2*I2</f>
        <v>0</v>
      </c>
      <c r="V2" s="62">
        <f>0*0*Q2</f>
        <v>0</v>
      </c>
      <c r="W2" s="62">
        <f>0*0*R2</f>
        <v>0</v>
      </c>
    </row>
    <row r="3" spans="1:23" s="1" customFormat="1" ht="15" x14ac:dyDescent="0.4">
      <c r="A3" s="5" t="s">
        <v>7</v>
      </c>
      <c r="B3" s="5" t="s">
        <v>26</v>
      </c>
      <c r="C3" s="5" t="s">
        <v>9</v>
      </c>
      <c r="D3" s="6" t="s">
        <v>18</v>
      </c>
      <c r="E3" s="5">
        <v>2</v>
      </c>
      <c r="F3" s="10">
        <v>4500</v>
      </c>
      <c r="G3" s="10">
        <v>6</v>
      </c>
      <c r="H3" s="11">
        <v>41</v>
      </c>
      <c r="I3" s="11">
        <v>2</v>
      </c>
      <c r="J3" s="10">
        <v>5</v>
      </c>
      <c r="K3" s="10">
        <v>10</v>
      </c>
      <c r="L3" s="5"/>
      <c r="M3" s="62">
        <v>9.4583065764023218</v>
      </c>
      <c r="N3" s="62">
        <v>9.4583065764023218</v>
      </c>
      <c r="O3" s="62">
        <v>1.6755487204724409</v>
      </c>
      <c r="P3" s="62">
        <v>1.6755487204724409</v>
      </c>
      <c r="Q3" s="62">
        <f>F3/1000*I3*O3</f>
        <v>15.079938484251969</v>
      </c>
      <c r="R3" s="62">
        <f>F3/1000*I3*P3</f>
        <v>15.079938484251969</v>
      </c>
      <c r="S3" s="62">
        <f t="shared" si="0"/>
        <v>3.5142857142857142</v>
      </c>
      <c r="T3" s="62">
        <f t="shared" si="1"/>
        <v>21.085714285714285</v>
      </c>
      <c r="U3" s="62">
        <f t="shared" si="2"/>
        <v>42.171428571428571</v>
      </c>
      <c r="V3" s="62">
        <f>0.727073*0*Q3</f>
        <v>0</v>
      </c>
      <c r="W3" s="62">
        <f>1.028237*0*R3</f>
        <v>0</v>
      </c>
    </row>
    <row r="4" spans="1:23" s="3" customFormat="1" ht="15" x14ac:dyDescent="0.4">
      <c r="A4" s="7" t="s">
        <v>10</v>
      </c>
      <c r="B4" s="7" t="s">
        <v>11</v>
      </c>
      <c r="C4" s="7"/>
      <c r="D4" s="6" t="s">
        <v>19</v>
      </c>
      <c r="E4" s="5">
        <v>4</v>
      </c>
      <c r="F4" s="10">
        <v>4500</v>
      </c>
      <c r="G4" s="10"/>
      <c r="H4" s="11"/>
      <c r="I4" s="11"/>
      <c r="J4" s="11"/>
      <c r="K4" s="11"/>
      <c r="L4" s="7"/>
      <c r="M4" s="62">
        <v>33.863881578947371</v>
      </c>
      <c r="N4" s="62">
        <v>33.863881578947371</v>
      </c>
      <c r="O4" s="62">
        <v>35.18212536425073</v>
      </c>
      <c r="P4" s="62">
        <v>43.977656705313407</v>
      </c>
      <c r="Q4" s="62">
        <f>F4/1000*H4/1000*O4*I4*G4</f>
        <v>0</v>
      </c>
      <c r="R4" s="62">
        <f>F4/1000*H4/1000*P4*I4*G4</f>
        <v>0</v>
      </c>
      <c r="S4" s="62">
        <f t="shared" si="0"/>
        <v>0</v>
      </c>
      <c r="T4" s="62">
        <f t="shared" si="1"/>
        <v>0</v>
      </c>
      <c r="U4" s="62">
        <f t="shared" si="2"/>
        <v>0</v>
      </c>
      <c r="V4" s="62">
        <f>0*0*Q4</f>
        <v>0</v>
      </c>
      <c r="W4" s="62">
        <f>0*0*R4</f>
        <v>0</v>
      </c>
    </row>
    <row r="5" spans="1:23" s="3" customFormat="1" ht="15" x14ac:dyDescent="0.4">
      <c r="A5" s="7"/>
      <c r="B5" s="7"/>
      <c r="C5" s="7"/>
      <c r="D5" s="8" t="s">
        <v>27</v>
      </c>
      <c r="E5" s="5">
        <v>4</v>
      </c>
      <c r="F5" s="10">
        <v>4500</v>
      </c>
      <c r="G5" s="11">
        <v>7</v>
      </c>
      <c r="H5" s="11">
        <v>31</v>
      </c>
      <c r="I5" s="11">
        <v>2</v>
      </c>
      <c r="J5" s="11">
        <v>10</v>
      </c>
      <c r="K5" s="11">
        <v>15</v>
      </c>
      <c r="L5" s="7"/>
      <c r="M5" s="62">
        <v>33.863881578947371</v>
      </c>
      <c r="N5" s="62">
        <v>33.863881578947371</v>
      </c>
      <c r="O5" s="62">
        <v>35.18212536425073</v>
      </c>
      <c r="P5" s="62">
        <v>43.977656705313407</v>
      </c>
      <c r="Q5" s="62">
        <f>F5/1000*H5/1000*O5*I5*G5</f>
        <v>68.710690836381687</v>
      </c>
      <c r="R5" s="62">
        <f>F5/1000*H5/1000*P5*I5*G5</f>
        <v>85.888363545477091</v>
      </c>
      <c r="S5" s="62">
        <f t="shared" si="0"/>
        <v>2.657142857142857</v>
      </c>
      <c r="T5" s="62">
        <f t="shared" si="1"/>
        <v>18.599999999999998</v>
      </c>
      <c r="U5" s="62">
        <f t="shared" si="2"/>
        <v>37.199999999999996</v>
      </c>
      <c r="V5" s="62">
        <f>0.543415*0*Q5</f>
        <v>0</v>
      </c>
      <c r="W5" s="62">
        <f>0.665545*0*R5</f>
        <v>0</v>
      </c>
    </row>
    <row r="6" spans="1:23" s="3" customFormat="1" ht="15" x14ac:dyDescent="0.4">
      <c r="A6" s="7"/>
      <c r="B6" s="7"/>
      <c r="C6" s="7"/>
      <c r="D6" s="6" t="s">
        <v>28</v>
      </c>
      <c r="E6" s="5">
        <v>5</v>
      </c>
      <c r="F6" s="10">
        <v>4500</v>
      </c>
      <c r="G6" s="10">
        <v>7</v>
      </c>
      <c r="H6" s="10">
        <v>19</v>
      </c>
      <c r="I6" s="10">
        <v>4</v>
      </c>
      <c r="J6" s="10">
        <v>15</v>
      </c>
      <c r="K6" s="10">
        <v>25</v>
      </c>
      <c r="L6" s="7"/>
      <c r="M6" s="62">
        <v>50.795822368421049</v>
      </c>
      <c r="N6" s="62">
        <v>50.795822368421049</v>
      </c>
      <c r="O6" s="62">
        <v>65.966485057970118</v>
      </c>
      <c r="P6" s="62">
        <v>87.955313410626815</v>
      </c>
      <c r="Q6" s="62">
        <f>F6/1000*G6*H6/1000*I6*O6</f>
        <v>157.92376522878047</v>
      </c>
      <c r="R6" s="62">
        <f>F6/1000*G6*H6/1000*I6*P6</f>
        <v>210.5650203050406</v>
      </c>
      <c r="S6" s="62">
        <f t="shared" si="0"/>
        <v>1.6285714285714286</v>
      </c>
      <c r="T6" s="62">
        <f t="shared" si="1"/>
        <v>11.4</v>
      </c>
      <c r="U6" s="62">
        <f t="shared" si="2"/>
        <v>45.6</v>
      </c>
      <c r="V6" s="62">
        <f>0.543415*0*Q6</f>
        <v>0</v>
      </c>
      <c r="W6" s="62">
        <f>0.701546*0*R6</f>
        <v>0</v>
      </c>
    </row>
    <row r="7" spans="1:23" s="3" customFormat="1" ht="15" x14ac:dyDescent="0.4">
      <c r="A7" s="7"/>
      <c r="B7" s="7"/>
      <c r="C7" s="7"/>
      <c r="D7" s="6" t="s">
        <v>20</v>
      </c>
      <c r="E7" s="5">
        <v>6</v>
      </c>
      <c r="F7" s="10">
        <v>4500</v>
      </c>
      <c r="G7" s="11">
        <v>1</v>
      </c>
      <c r="H7" s="25">
        <v>135</v>
      </c>
      <c r="I7" s="11">
        <v>1</v>
      </c>
      <c r="J7" s="11">
        <v>25</v>
      </c>
      <c r="K7" s="11">
        <v>35</v>
      </c>
      <c r="L7" s="7">
        <v>850</v>
      </c>
      <c r="M7" s="62">
        <v>33.863881578947371</v>
      </c>
      <c r="N7" s="62">
        <v>33.863881578947371</v>
      </c>
      <c r="O7" s="62">
        <v>131.93297011594024</v>
      </c>
      <c r="P7" s="62">
        <v>131.93297011594024</v>
      </c>
      <c r="Q7" s="62">
        <f>F7/1000*H7/1000*O7*I7*G7</f>
        <v>80.149279345433698</v>
      </c>
      <c r="R7" s="62">
        <f>F7/1000*H7/1000*P7*I7*G7</f>
        <v>80.149279345433698</v>
      </c>
      <c r="S7" s="62">
        <f t="shared" si="0"/>
        <v>11.571428571428571</v>
      </c>
      <c r="T7" s="62">
        <f t="shared" si="1"/>
        <v>11.571428571428571</v>
      </c>
      <c r="U7" s="62">
        <f t="shared" si="2"/>
        <v>11.571428571428571</v>
      </c>
      <c r="V7" s="62">
        <f>0.859215*0*Q7</f>
        <v>0</v>
      </c>
      <c r="W7" s="62">
        <f>1.016636*0*R7</f>
        <v>0</v>
      </c>
    </row>
    <row r="8" spans="1:23" s="3" customFormat="1" ht="15" x14ac:dyDescent="0.4">
      <c r="A8" s="7"/>
      <c r="B8" s="7"/>
      <c r="C8" s="7"/>
      <c r="D8" s="6" t="s">
        <v>21</v>
      </c>
      <c r="E8" s="5">
        <v>7</v>
      </c>
      <c r="F8" s="10">
        <v>4500</v>
      </c>
      <c r="G8" s="11">
        <v>1</v>
      </c>
      <c r="H8" s="25">
        <v>95</v>
      </c>
      <c r="I8" s="11">
        <v>1</v>
      </c>
      <c r="J8" s="11">
        <v>45</v>
      </c>
      <c r="K8" s="11">
        <v>55</v>
      </c>
      <c r="L8" s="7">
        <v>850</v>
      </c>
      <c r="M8" s="62">
        <v>67.727763157894742</v>
      </c>
      <c r="N8" s="62">
        <v>67.727763157894742</v>
      </c>
      <c r="O8" s="62">
        <v>307.84359693719387</v>
      </c>
      <c r="P8" s="62">
        <v>307.84359693719387</v>
      </c>
      <c r="Q8" s="62">
        <f>F8/1000*H8/1000*O8*I8*G8</f>
        <v>131.60313769065039</v>
      </c>
      <c r="R8" s="62">
        <f>F8/1000*H8/1000*P8*I8*G8</f>
        <v>131.60313769065039</v>
      </c>
      <c r="S8" s="62">
        <f t="shared" si="0"/>
        <v>8.1428571428571423</v>
      </c>
      <c r="T8" s="62">
        <f t="shared" si="1"/>
        <v>8.1428571428571423</v>
      </c>
      <c r="U8" s="62">
        <f t="shared" si="2"/>
        <v>8.1428571428571423</v>
      </c>
      <c r="V8" s="62">
        <f>0.815123*0*Q8</f>
        <v>0</v>
      </c>
      <c r="W8" s="62">
        <f>0.901152*0*R8</f>
        <v>0</v>
      </c>
    </row>
    <row r="9" spans="1:23" s="23" customFormat="1" ht="15" x14ac:dyDescent="0.4">
      <c r="A9" s="17"/>
      <c r="B9" s="17"/>
      <c r="C9" s="17"/>
      <c r="D9" s="18" t="s">
        <v>29</v>
      </c>
      <c r="E9" s="19">
        <v>8</v>
      </c>
      <c r="F9" s="10">
        <v>4500</v>
      </c>
      <c r="G9" s="21">
        <v>1</v>
      </c>
      <c r="H9" s="32">
        <v>150</v>
      </c>
      <c r="I9" s="21">
        <v>1</v>
      </c>
      <c r="J9" s="21">
        <v>30</v>
      </c>
      <c r="K9" s="21">
        <v>40</v>
      </c>
      <c r="L9" s="17">
        <v>650</v>
      </c>
      <c r="M9" s="62">
        <v>33.863881578947371</v>
      </c>
      <c r="N9" s="62">
        <v>33.863881578947371</v>
      </c>
      <c r="O9" s="62">
        <v>30.784359693719388</v>
      </c>
      <c r="P9" s="62">
        <v>30.784359693719388</v>
      </c>
      <c r="Q9" s="62">
        <f>F9/1000*H9/1000*O9*I9*G9</f>
        <v>20.779442793260589</v>
      </c>
      <c r="R9" s="62">
        <f>F9/1000*H9/1000*P9*I9*G9</f>
        <v>20.779442793260589</v>
      </c>
      <c r="S9" s="62">
        <f t="shared" si="0"/>
        <v>12.857142857142856</v>
      </c>
      <c r="T9" s="62">
        <f t="shared" si="1"/>
        <v>12.857142857142856</v>
      </c>
      <c r="U9" s="62">
        <f t="shared" si="2"/>
        <v>12.857142857142856</v>
      </c>
      <c r="V9" s="62">
        <f>0.941222*0*Q9</f>
        <v>0</v>
      </c>
      <c r="W9" s="62">
        <f>1.08683*0*R9</f>
        <v>0</v>
      </c>
    </row>
    <row r="10" spans="1:23" s="23" customFormat="1" ht="15" x14ac:dyDescent="0.4">
      <c r="A10" s="26"/>
      <c r="B10" s="26"/>
      <c r="C10" s="26"/>
      <c r="D10" s="28" t="s">
        <v>32</v>
      </c>
      <c r="E10" s="29">
        <v>16</v>
      </c>
      <c r="F10" s="10">
        <v>4500</v>
      </c>
      <c r="G10" s="27">
        <v>1</v>
      </c>
      <c r="H10" s="33">
        <v>499.61700000000002</v>
      </c>
      <c r="I10" s="27">
        <v>1</v>
      </c>
      <c r="J10" s="27">
        <v>10</v>
      </c>
      <c r="K10" s="27">
        <v>20</v>
      </c>
      <c r="L10" s="26">
        <v>850</v>
      </c>
      <c r="M10" s="62">
        <v>33.863881578947371</v>
      </c>
      <c r="N10" s="62">
        <v>33.863881578947371</v>
      </c>
      <c r="O10" s="62">
        <v>13.193297011594023</v>
      </c>
      <c r="P10" s="62">
        <v>13.193297011594023</v>
      </c>
      <c r="Q10" s="62">
        <f>F10/1000*L10/2*ASIN(1-0.5*POWER(H10/L10*2,2))/1000*O10*I10*G10</f>
        <v>7.9269573838019189</v>
      </c>
      <c r="R10" s="62">
        <f>F10/1000*L10/2*ASIN(1-0.5*POWER(H10/L10*2,2))/1000*P10*I10*G10</f>
        <v>7.9269573838019189</v>
      </c>
      <c r="S10" s="62">
        <f t="shared" si="0"/>
        <v>42.824314285714287</v>
      </c>
      <c r="T10" s="62">
        <f t="shared" si="1"/>
        <v>42.824314285714287</v>
      </c>
      <c r="U10" s="62">
        <f t="shared" si="2"/>
        <v>42.824314285714287</v>
      </c>
      <c r="V10" s="62">
        <f>0.543415*0*Q10</f>
        <v>0</v>
      </c>
      <c r="W10" s="62">
        <f>0.768505*0*R10</f>
        <v>0</v>
      </c>
    </row>
    <row r="11" spans="1:23" s="23" customFormat="1" ht="15" x14ac:dyDescent="0.4">
      <c r="A11" s="26"/>
      <c r="B11" s="26"/>
      <c r="C11" s="26"/>
      <c r="D11" s="28" t="s">
        <v>33</v>
      </c>
      <c r="E11" s="29">
        <v>17</v>
      </c>
      <c r="F11" s="10">
        <v>4500</v>
      </c>
      <c r="G11" s="27">
        <v>2</v>
      </c>
      <c r="H11" s="33">
        <v>176.72499999999999</v>
      </c>
      <c r="I11" s="27">
        <v>1</v>
      </c>
      <c r="J11" s="27">
        <v>45</v>
      </c>
      <c r="K11" s="27">
        <v>55</v>
      </c>
      <c r="L11" s="26">
        <v>850</v>
      </c>
      <c r="M11" s="62">
        <v>67.727763157894742</v>
      </c>
      <c r="N11" s="62">
        <v>67.727763157894742</v>
      </c>
      <c r="O11" s="62">
        <v>175.91062682125363</v>
      </c>
      <c r="P11" s="62">
        <v>219.88828352656702</v>
      </c>
      <c r="Q11" s="62">
        <f>F11/1000*L11/2*ASIN(1-0.5*POWER(H11/L11*2,2))/1000*O11*I11*G11</f>
        <v>775.07684325247931</v>
      </c>
      <c r="R11" s="62">
        <f>F11/1000*L11/2*ASIN(1-0.5*POWER(H11/L11*2,2))/1000*P11*I11*G11</f>
        <v>968.84605406559899</v>
      </c>
      <c r="S11" s="62">
        <f t="shared" si="0"/>
        <v>15.147857142857141</v>
      </c>
      <c r="T11" s="62">
        <f t="shared" si="1"/>
        <v>30.295714285714283</v>
      </c>
      <c r="U11" s="62">
        <f t="shared" si="2"/>
        <v>30.295714285714283</v>
      </c>
      <c r="V11" s="62">
        <f>0.815123*0*Q11</f>
        <v>0</v>
      </c>
      <c r="W11" s="62">
        <f>0.901152*0*R11</f>
        <v>0</v>
      </c>
    </row>
    <row r="12" spans="1:23" s="3" customFormat="1" ht="15" x14ac:dyDescent="0.4">
      <c r="A12" s="14"/>
      <c r="B12" s="14"/>
      <c r="C12" s="14"/>
      <c r="D12" s="24" t="s">
        <v>31</v>
      </c>
      <c r="E12" s="5">
        <v>22</v>
      </c>
      <c r="F12" s="10">
        <v>4500</v>
      </c>
      <c r="G12" s="11">
        <v>3</v>
      </c>
      <c r="H12" s="25">
        <v>12</v>
      </c>
      <c r="I12" s="11">
        <v>3</v>
      </c>
      <c r="J12" s="11">
        <v>30</v>
      </c>
      <c r="K12" s="11">
        <v>40</v>
      </c>
      <c r="L12" s="16"/>
      <c r="M12" s="62">
        <v>50.795822368421049</v>
      </c>
      <c r="N12" s="62">
        <v>50.795822368421049</v>
      </c>
      <c r="O12" s="62">
        <v>659.66485057970112</v>
      </c>
      <c r="P12" s="62">
        <v>659.66485057970112</v>
      </c>
      <c r="Q12" s="62">
        <f>F12/1000*G12*H12/1000*I12*O12</f>
        <v>320.59711738173473</v>
      </c>
      <c r="R12" s="62">
        <f>F12/1000*G12*H12/1000*I12*P12</f>
        <v>320.59711738173473</v>
      </c>
      <c r="S12" s="62">
        <f t="shared" si="0"/>
        <v>1.0285714285714287</v>
      </c>
      <c r="T12" s="62">
        <f t="shared" si="1"/>
        <v>3.0857142857142863</v>
      </c>
      <c r="U12" s="62">
        <f t="shared" si="2"/>
        <v>9.2571428571428598</v>
      </c>
      <c r="V12" s="62">
        <f>0.768505*0*Q12</f>
        <v>0</v>
      </c>
      <c r="W12" s="62">
        <f>0.887393*0*R12</f>
        <v>0</v>
      </c>
    </row>
    <row r="13" spans="1:23" s="3" customFormat="1" ht="15" x14ac:dyDescent="0.4">
      <c r="P13" s="40" t="s">
        <v>42</v>
      </c>
      <c r="Q13" s="62">
        <f>SUM(Q2:Q12)</f>
        <v>1577.8471723967748</v>
      </c>
      <c r="R13" s="62">
        <f>SUM(R2:R12)</f>
        <v>1841.4353109952499</v>
      </c>
      <c r="V13" s="62">
        <f>SUM(V2:V12)</f>
        <v>0</v>
      </c>
      <c r="W13" s="62">
        <f>SUM(W2:W12)</f>
        <v>0</v>
      </c>
    </row>
    <row r="14" spans="1:23" s="3" customFormat="1" ht="15" x14ac:dyDescent="0.4"/>
    <row r="15" spans="1:23" s="3" customFormat="1" ht="15" x14ac:dyDescent="0.4"/>
    <row r="16" spans="1:23" s="3" customFormat="1" ht="15" x14ac:dyDescent="0.4"/>
    <row r="17" s="3" customFormat="1" ht="15" x14ac:dyDescent="0.4"/>
    <row r="18" s="3" customFormat="1" ht="15" x14ac:dyDescent="0.4"/>
    <row r="19" s="3" customFormat="1" ht="15" x14ac:dyDescent="0.4"/>
    <row r="20" s="3" customFormat="1" ht="15" x14ac:dyDescent="0.4"/>
    <row r="21" s="3" customFormat="1" ht="15" x14ac:dyDescent="0.4"/>
    <row r="22" s="3" customFormat="1" ht="15" x14ac:dyDescent="0.4"/>
    <row r="23" s="3" customFormat="1" ht="15" x14ac:dyDescent="0.4"/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0B1E-1E03-4F12-AB15-8043AC871964}">
  <dimension ref="A1:W22"/>
  <sheetViews>
    <sheetView topLeftCell="G1" workbookViewId="0">
      <selection activeCell="M1" sqref="M1:W1048576"/>
    </sheetView>
  </sheetViews>
  <sheetFormatPr defaultRowHeight="13.9" x14ac:dyDescent="0.4"/>
  <cols>
    <col min="1" max="1" width="12.33203125" bestFit="1" customWidth="1"/>
    <col min="2" max="2" width="25.06640625" bestFit="1" customWidth="1"/>
    <col min="3" max="3" width="6.46484375" bestFit="1" customWidth="1"/>
    <col min="4" max="4" width="52.9296875" bestFit="1" customWidth="1"/>
    <col min="5" max="5" width="14.46484375" bestFit="1" customWidth="1"/>
    <col min="6" max="6" width="12.06640625" bestFit="1" customWidth="1"/>
    <col min="7" max="7" width="13.86328125" bestFit="1" customWidth="1"/>
    <col min="8" max="8" width="11.33203125" bestFit="1" customWidth="1"/>
    <col min="9" max="10" width="14.06640625" bestFit="1" customWidth="1"/>
    <col min="11" max="11" width="14.53125" bestFit="1" customWidth="1"/>
    <col min="12" max="12" width="16.53125" bestFit="1" customWidth="1"/>
  </cols>
  <sheetData>
    <row r="1" spans="1:23" s="2" customFormat="1" ht="70.5" x14ac:dyDescent="0.4">
      <c r="A1" s="4" t="s">
        <v>4</v>
      </c>
      <c r="B1" s="4" t="s">
        <v>17</v>
      </c>
      <c r="C1" s="4" t="s">
        <v>16</v>
      </c>
      <c r="D1" s="4" t="s">
        <v>2</v>
      </c>
      <c r="E1" s="4" t="s">
        <v>3</v>
      </c>
      <c r="F1" s="9" t="s">
        <v>12</v>
      </c>
      <c r="G1" s="4" t="s">
        <v>0</v>
      </c>
      <c r="H1" s="9" t="s">
        <v>13</v>
      </c>
      <c r="I1" s="4" t="s">
        <v>1</v>
      </c>
      <c r="J1" s="9" t="s">
        <v>14</v>
      </c>
      <c r="K1" s="9" t="s">
        <v>15</v>
      </c>
      <c r="L1" s="12" t="s">
        <v>23</v>
      </c>
      <c r="M1" s="63" t="s">
        <v>117</v>
      </c>
      <c r="N1" s="63" t="s">
        <v>118</v>
      </c>
      <c r="O1" s="63" t="s">
        <v>119</v>
      </c>
      <c r="P1" s="63" t="s">
        <v>120</v>
      </c>
      <c r="Q1" s="63" t="s">
        <v>121</v>
      </c>
      <c r="R1" s="63" t="s">
        <v>122</v>
      </c>
      <c r="S1" s="63" t="s">
        <v>123</v>
      </c>
      <c r="T1" s="63" t="s">
        <v>124</v>
      </c>
      <c r="U1" s="63" t="s">
        <v>125</v>
      </c>
      <c r="V1" s="63" t="s">
        <v>126</v>
      </c>
      <c r="W1" s="63" t="s">
        <v>127</v>
      </c>
    </row>
    <row r="2" spans="1:23" s="1" customFormat="1" ht="15" x14ac:dyDescent="0.4">
      <c r="A2" s="5" t="s">
        <v>5</v>
      </c>
      <c r="B2" s="5">
        <v>400</v>
      </c>
      <c r="C2" s="5" t="s">
        <v>6</v>
      </c>
      <c r="D2" s="6" t="s">
        <v>22</v>
      </c>
      <c r="E2" s="5">
        <v>1</v>
      </c>
      <c r="F2" s="10">
        <v>4200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5"/>
      <c r="M2" s="64">
        <v>6.4714729206963248</v>
      </c>
      <c r="N2" s="64">
        <v>6.4714729206963248</v>
      </c>
      <c r="O2" s="64">
        <v>1.6755487204724409</v>
      </c>
      <c r="P2" s="64">
        <v>1.6755487204724409</v>
      </c>
      <c r="Q2" s="64">
        <f>F2/1000*I2*O2</f>
        <v>0</v>
      </c>
      <c r="R2" s="64">
        <f>F2/1000*I2*P2</f>
        <v>0</v>
      </c>
      <c r="S2" s="64">
        <f t="shared" ref="S2:S11" si="0">H2/400*60</f>
        <v>0</v>
      </c>
      <c r="T2" s="64">
        <f t="shared" ref="T2:T11" si="1">H2/400*60*G2</f>
        <v>0</v>
      </c>
      <c r="U2" s="64">
        <f t="shared" ref="U2:U11" si="2">H2/400*60*G2*I2</f>
        <v>0</v>
      </c>
      <c r="V2" s="64">
        <f>0*0*Q2</f>
        <v>0</v>
      </c>
      <c r="W2" s="64">
        <f>0*0*R2</f>
        <v>0</v>
      </c>
    </row>
    <row r="3" spans="1:23" s="1" customFormat="1" ht="15" x14ac:dyDescent="0.4">
      <c r="A3" s="5" t="s">
        <v>7</v>
      </c>
      <c r="B3" s="5" t="s">
        <v>34</v>
      </c>
      <c r="C3" s="5" t="s">
        <v>9</v>
      </c>
      <c r="D3" s="6" t="s">
        <v>18</v>
      </c>
      <c r="E3" s="5">
        <v>2</v>
      </c>
      <c r="F3" s="10">
        <v>4200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5"/>
      <c r="M3" s="64">
        <v>9.4583065764023218</v>
      </c>
      <c r="N3" s="64">
        <v>9.4583065764023218</v>
      </c>
      <c r="O3" s="64">
        <v>1.6755487204724409</v>
      </c>
      <c r="P3" s="64">
        <v>1.6755487204724409</v>
      </c>
      <c r="Q3" s="64">
        <f>F3/1000*I3*O3</f>
        <v>0</v>
      </c>
      <c r="R3" s="64">
        <f>F3/1000*I3*P3</f>
        <v>0</v>
      </c>
      <c r="S3" s="64">
        <f t="shared" si="0"/>
        <v>0</v>
      </c>
      <c r="T3" s="64">
        <f t="shared" si="1"/>
        <v>0</v>
      </c>
      <c r="U3" s="64">
        <f t="shared" si="2"/>
        <v>0</v>
      </c>
      <c r="V3" s="64">
        <f>0*0*Q3</f>
        <v>0</v>
      </c>
      <c r="W3" s="64">
        <f>0*0*R3</f>
        <v>0</v>
      </c>
    </row>
    <row r="4" spans="1:23" s="3" customFormat="1" ht="15" x14ac:dyDescent="0.4">
      <c r="A4" s="15" t="s">
        <v>10</v>
      </c>
      <c r="B4" s="15" t="s">
        <v>11</v>
      </c>
      <c r="C4" s="7"/>
      <c r="D4" s="6" t="s">
        <v>19</v>
      </c>
      <c r="E4" s="5">
        <v>3</v>
      </c>
      <c r="F4" s="10">
        <v>4200</v>
      </c>
      <c r="G4" s="11">
        <v>6</v>
      </c>
      <c r="H4" s="11">
        <v>0</v>
      </c>
      <c r="I4" s="11">
        <v>6</v>
      </c>
      <c r="J4" s="11">
        <v>10</v>
      </c>
      <c r="K4" s="11">
        <v>15</v>
      </c>
      <c r="L4" s="7"/>
      <c r="M4" s="64">
        <v>13.440751450676981</v>
      </c>
      <c r="N4" s="64">
        <v>13.440751450676981</v>
      </c>
      <c r="O4" s="64">
        <v>3.9096136811023623</v>
      </c>
      <c r="P4" s="64">
        <v>3.9096136811023623</v>
      </c>
      <c r="Q4" s="64">
        <f>F4/1000*I4*O4</f>
        <v>98.522264763779546</v>
      </c>
      <c r="R4" s="64">
        <f>F4/1000*I4*P4</f>
        <v>98.522264763779546</v>
      </c>
      <c r="S4" s="64">
        <f t="shared" si="0"/>
        <v>0</v>
      </c>
      <c r="T4" s="64">
        <f t="shared" si="1"/>
        <v>0</v>
      </c>
      <c r="U4" s="64">
        <f t="shared" si="2"/>
        <v>0</v>
      </c>
      <c r="V4" s="64">
        <f>0.862558*0*Q4</f>
        <v>0</v>
      </c>
      <c r="W4" s="64">
        <f>1.056413*0*R4</f>
        <v>0</v>
      </c>
    </row>
    <row r="5" spans="1:23" s="3" customFormat="1" ht="15" x14ac:dyDescent="0.4">
      <c r="A5" s="15"/>
      <c r="B5" s="15"/>
      <c r="C5" s="15"/>
      <c r="D5" s="8" t="s">
        <v>27</v>
      </c>
      <c r="E5" s="5">
        <v>4</v>
      </c>
      <c r="F5" s="10">
        <v>4200</v>
      </c>
      <c r="G5" s="11">
        <v>6</v>
      </c>
      <c r="H5" s="11">
        <v>20</v>
      </c>
      <c r="I5" s="11">
        <v>12</v>
      </c>
      <c r="J5" s="11">
        <v>30</v>
      </c>
      <c r="K5" s="11">
        <v>35</v>
      </c>
      <c r="L5" s="7"/>
      <c r="M5" s="64">
        <v>33.863881578947371</v>
      </c>
      <c r="N5" s="64">
        <v>33.863881578947371</v>
      </c>
      <c r="O5" s="64">
        <v>35.18212536425073</v>
      </c>
      <c r="P5" s="64">
        <v>43.977656705313407</v>
      </c>
      <c r="Q5" s="64">
        <f>F5/1000*H5/1000*O5*I5*G5</f>
        <v>212.7814942029884</v>
      </c>
      <c r="R5" s="64">
        <f>F5/1000*H5/1000*P5*I5*G5</f>
        <v>265.97686775373552</v>
      </c>
      <c r="S5" s="64">
        <f t="shared" si="0"/>
        <v>3</v>
      </c>
      <c r="T5" s="64">
        <f t="shared" si="1"/>
        <v>18</v>
      </c>
      <c r="U5" s="64">
        <f t="shared" si="2"/>
        <v>216</v>
      </c>
      <c r="V5" s="64">
        <f>0.941222*0*Q5</f>
        <v>0</v>
      </c>
      <c r="W5" s="64">
        <f>1.016636*0*R5</f>
        <v>0</v>
      </c>
    </row>
    <row r="6" spans="1:23" s="3" customFormat="1" ht="15" x14ac:dyDescent="0.4">
      <c r="A6" s="15"/>
      <c r="B6" s="15"/>
      <c r="C6" s="15"/>
      <c r="D6" s="6" t="s">
        <v>28</v>
      </c>
      <c r="E6" s="5">
        <v>5</v>
      </c>
      <c r="F6" s="10">
        <v>4200</v>
      </c>
      <c r="G6" s="11">
        <v>11</v>
      </c>
      <c r="H6" s="11">
        <v>18</v>
      </c>
      <c r="I6" s="11">
        <v>4</v>
      </c>
      <c r="J6" s="11">
        <v>25</v>
      </c>
      <c r="K6" s="11">
        <v>45</v>
      </c>
      <c r="L6" s="7"/>
      <c r="M6" s="64">
        <v>50.795822368421049</v>
      </c>
      <c r="N6" s="64">
        <v>50.795822368421049</v>
      </c>
      <c r="O6" s="64">
        <v>65.966485057970118</v>
      </c>
      <c r="P6" s="64">
        <v>87.955313410626815</v>
      </c>
      <c r="Q6" s="64">
        <f>F6/1000*G6*H6/1000*I6*O6</f>
        <v>219.43091589683181</v>
      </c>
      <c r="R6" s="64">
        <f>F6/1000*G6*H6/1000*I6*P6</f>
        <v>292.57455452910904</v>
      </c>
      <c r="S6" s="64">
        <f t="shared" si="0"/>
        <v>2.6999999999999997</v>
      </c>
      <c r="T6" s="64">
        <f t="shared" si="1"/>
        <v>29.699999999999996</v>
      </c>
      <c r="U6" s="64">
        <f t="shared" si="2"/>
        <v>118.79999999999998</v>
      </c>
      <c r="V6" s="64">
        <f>0.701546*0*Q6</f>
        <v>0</v>
      </c>
      <c r="W6" s="64">
        <f>0.941222*0*R6</f>
        <v>0</v>
      </c>
    </row>
    <row r="7" spans="1:23" s="3" customFormat="1" ht="15" x14ac:dyDescent="0.4">
      <c r="A7" s="15"/>
      <c r="B7" s="15"/>
      <c r="C7" s="15"/>
      <c r="D7" s="6" t="s">
        <v>20</v>
      </c>
      <c r="E7" s="5">
        <v>6</v>
      </c>
      <c r="F7" s="10">
        <v>4200</v>
      </c>
      <c r="G7" s="11">
        <v>1</v>
      </c>
      <c r="H7" s="11">
        <v>150</v>
      </c>
      <c r="I7" s="11">
        <v>1</v>
      </c>
      <c r="J7" s="11">
        <v>45</v>
      </c>
      <c r="K7" s="11">
        <v>45</v>
      </c>
      <c r="L7" s="7">
        <v>1000</v>
      </c>
      <c r="M7" s="64">
        <v>33.863881578947371</v>
      </c>
      <c r="N7" s="64">
        <v>33.863881578947371</v>
      </c>
      <c r="O7" s="64">
        <v>131.93297011594024</v>
      </c>
      <c r="P7" s="64">
        <v>131.93297011594024</v>
      </c>
      <c r="Q7" s="64">
        <f>F7/1000*H7/1000*O7*I7*G7</f>
        <v>83.117771173042343</v>
      </c>
      <c r="R7" s="64">
        <f>F7/1000*H7/1000*P7*I7*G7</f>
        <v>83.117771173042343</v>
      </c>
      <c r="S7" s="64">
        <f t="shared" si="0"/>
        <v>22.5</v>
      </c>
      <c r="T7" s="64">
        <f t="shared" si="1"/>
        <v>22.5</v>
      </c>
      <c r="U7" s="64">
        <f t="shared" si="2"/>
        <v>22.5</v>
      </c>
      <c r="V7" s="64">
        <f>1.152757*0*Q7</f>
        <v>0</v>
      </c>
      <c r="W7" s="64">
        <f>1.152757*0*R7</f>
        <v>0</v>
      </c>
    </row>
    <row r="8" spans="1:23" s="3" customFormat="1" ht="15" x14ac:dyDescent="0.4">
      <c r="A8" s="15"/>
      <c r="B8" s="15"/>
      <c r="C8" s="15"/>
      <c r="D8" s="6" t="s">
        <v>21</v>
      </c>
      <c r="E8" s="5">
        <v>7</v>
      </c>
      <c r="F8" s="10">
        <v>4200</v>
      </c>
      <c r="G8" s="11">
        <v>1</v>
      </c>
      <c r="H8" s="11">
        <v>100</v>
      </c>
      <c r="I8" s="11">
        <v>1</v>
      </c>
      <c r="J8" s="11">
        <v>55</v>
      </c>
      <c r="K8" s="11">
        <v>65</v>
      </c>
      <c r="L8" s="7">
        <v>1000</v>
      </c>
      <c r="M8" s="64">
        <v>67.727763157894742</v>
      </c>
      <c r="N8" s="64">
        <v>67.727763157894742</v>
      </c>
      <c r="O8" s="64">
        <v>307.84359693719387</v>
      </c>
      <c r="P8" s="64">
        <v>307.84359693719387</v>
      </c>
      <c r="Q8" s="64">
        <f>F8/1000*H8/1000*O8*I8*G8</f>
        <v>129.29431071362143</v>
      </c>
      <c r="R8" s="64">
        <f>F8/1000*H8/1000*P8*I8*G8</f>
        <v>129.29431071362143</v>
      </c>
      <c r="S8" s="64">
        <f t="shared" si="0"/>
        <v>15</v>
      </c>
      <c r="T8" s="64">
        <f t="shared" si="1"/>
        <v>15</v>
      </c>
      <c r="U8" s="64">
        <f t="shared" si="2"/>
        <v>15</v>
      </c>
      <c r="V8" s="64">
        <f>0.901152*0*Q8</f>
        <v>0</v>
      </c>
      <c r="W8" s="64">
        <f>0.979655*0*R8</f>
        <v>0</v>
      </c>
    </row>
    <row r="9" spans="1:23" s="3" customFormat="1" ht="15" x14ac:dyDescent="0.4">
      <c r="A9" s="15"/>
      <c r="B9" s="15"/>
      <c r="C9" s="15"/>
      <c r="D9" s="6" t="s">
        <v>30</v>
      </c>
      <c r="E9" s="5">
        <v>9</v>
      </c>
      <c r="F9" s="10">
        <v>4200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7">
        <v>0</v>
      </c>
      <c r="M9" s="64">
        <v>67.727763157894742</v>
      </c>
      <c r="N9" s="64">
        <v>67.727763157894742</v>
      </c>
      <c r="O9" s="64">
        <v>219.88828352656702</v>
      </c>
      <c r="P9" s="64">
        <v>219.88828352656702</v>
      </c>
      <c r="Q9" s="64">
        <f>F9/1000*H9/1000*O9*I9*G9</f>
        <v>0</v>
      </c>
      <c r="R9" s="64">
        <f>F9/1000*H9/1000*P9*I9*G9</f>
        <v>0</v>
      </c>
      <c r="S9" s="64">
        <f t="shared" si="0"/>
        <v>0</v>
      </c>
      <c r="T9" s="64">
        <f t="shared" si="1"/>
        <v>0</v>
      </c>
      <c r="U9" s="64">
        <f t="shared" si="2"/>
        <v>0</v>
      </c>
      <c r="V9" s="64">
        <f>0*0*Q9</f>
        <v>0</v>
      </c>
      <c r="W9" s="64">
        <f>0*0*R9</f>
        <v>0</v>
      </c>
    </row>
    <row r="10" spans="1:23" s="3" customFormat="1" ht="15" x14ac:dyDescent="0.4">
      <c r="A10" s="15"/>
      <c r="B10" s="15"/>
      <c r="C10" s="15"/>
      <c r="D10" s="30" t="s">
        <v>35</v>
      </c>
      <c r="E10" s="31">
        <v>11</v>
      </c>
      <c r="F10" s="10">
        <v>4200</v>
      </c>
      <c r="G10" s="11">
        <v>1</v>
      </c>
      <c r="H10" s="11">
        <v>120</v>
      </c>
      <c r="I10" s="11">
        <v>1</v>
      </c>
      <c r="J10" s="11">
        <v>40</v>
      </c>
      <c r="K10" s="11">
        <v>45</v>
      </c>
      <c r="L10" s="7">
        <v>1000</v>
      </c>
      <c r="M10" s="64">
        <v>67.727763157894742</v>
      </c>
      <c r="N10" s="64">
        <v>67.727763157894742</v>
      </c>
      <c r="O10" s="64">
        <v>175.91062682125363</v>
      </c>
      <c r="P10" s="64">
        <v>219.88828352656702</v>
      </c>
      <c r="Q10" s="64">
        <f>F10/1000*H10/1000*O10*I10*G10</f>
        <v>88.658955917911825</v>
      </c>
      <c r="R10" s="64">
        <f>F10/1000*H10/1000*P10*I10*G10</f>
        <v>110.82369489738979</v>
      </c>
      <c r="S10" s="64">
        <f t="shared" si="0"/>
        <v>18</v>
      </c>
      <c r="T10" s="64">
        <f t="shared" si="1"/>
        <v>18</v>
      </c>
      <c r="U10" s="64">
        <f t="shared" si="2"/>
        <v>18</v>
      </c>
      <c r="V10" s="64">
        <f>0.768505*0*Q10</f>
        <v>0</v>
      </c>
      <c r="W10" s="64">
        <f>0.815123*0*R10</f>
        <v>0</v>
      </c>
    </row>
    <row r="11" spans="1:23" s="3" customFormat="1" ht="15" x14ac:dyDescent="0.4">
      <c r="A11" s="15"/>
      <c r="B11" s="15"/>
      <c r="C11" s="15"/>
      <c r="D11" s="24" t="s">
        <v>31</v>
      </c>
      <c r="E11" s="5">
        <v>22</v>
      </c>
      <c r="F11" s="10">
        <v>4200</v>
      </c>
      <c r="G11" s="11">
        <v>3</v>
      </c>
      <c r="H11" s="11">
        <v>12</v>
      </c>
      <c r="I11" s="11">
        <v>6</v>
      </c>
      <c r="J11" s="11">
        <v>40</v>
      </c>
      <c r="K11" s="11">
        <v>45</v>
      </c>
      <c r="L11" s="7"/>
      <c r="M11" s="64">
        <v>50.795822368421049</v>
      </c>
      <c r="N11" s="64">
        <v>50.795822368421049</v>
      </c>
      <c r="O11" s="64">
        <v>659.66485057970112</v>
      </c>
      <c r="P11" s="64">
        <v>659.66485057970112</v>
      </c>
      <c r="Q11" s="64">
        <f>F11/1000*G11*H11/1000*I11*O11</f>
        <v>598.447952445905</v>
      </c>
      <c r="R11" s="64">
        <f>F11/1000*G11*H11/1000*I11*P11</f>
        <v>598.447952445905</v>
      </c>
      <c r="S11" s="64">
        <f t="shared" si="0"/>
        <v>1.7999999999999998</v>
      </c>
      <c r="T11" s="64">
        <f t="shared" si="1"/>
        <v>5.3999999999999995</v>
      </c>
      <c r="U11" s="64">
        <f t="shared" si="2"/>
        <v>32.4</v>
      </c>
      <c r="V11" s="64">
        <f>0.887393*0*Q11</f>
        <v>0</v>
      </c>
      <c r="W11" s="64">
        <f>0.941222*0*R11</f>
        <v>0</v>
      </c>
    </row>
    <row r="12" spans="1:23" s="3" customFormat="1" ht="15" x14ac:dyDescent="0.4">
      <c r="P12" s="41" t="s">
        <v>43</v>
      </c>
      <c r="Q12" s="64">
        <f>SUM(Q2:Q11)</f>
        <v>1430.2536651140804</v>
      </c>
      <c r="R12" s="64">
        <f>SUM(R2:R11)</f>
        <v>1578.7574162765827</v>
      </c>
      <c r="V12" s="64">
        <f>SUM(V2:V11)</f>
        <v>0</v>
      </c>
      <c r="W12" s="64">
        <f>SUM(W2:W11)</f>
        <v>0</v>
      </c>
    </row>
    <row r="13" spans="1:23" s="3" customFormat="1" ht="15" x14ac:dyDescent="0.4"/>
    <row r="14" spans="1:23" s="3" customFormat="1" ht="15" x14ac:dyDescent="0.4"/>
    <row r="15" spans="1:23" s="3" customFormat="1" ht="15" x14ac:dyDescent="0.4"/>
    <row r="16" spans="1:23" s="3" customFormat="1" ht="15" x14ac:dyDescent="0.4"/>
    <row r="17" s="3" customFormat="1" ht="15" x14ac:dyDescent="0.4"/>
    <row r="18" s="3" customFormat="1" ht="15" x14ac:dyDescent="0.4"/>
    <row r="19" s="3" customFormat="1" ht="15" x14ac:dyDescent="0.4"/>
    <row r="20" s="3" customFormat="1" ht="15" x14ac:dyDescent="0.4"/>
    <row r="21" s="3" customFormat="1" ht="15" x14ac:dyDescent="0.4"/>
    <row r="22" s="3" customFormat="1" ht="15" x14ac:dyDescent="0.4"/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829F-DCA4-4B72-85E0-B93126317D69}">
  <dimension ref="A1:W22"/>
  <sheetViews>
    <sheetView topLeftCell="G1" workbookViewId="0">
      <selection activeCell="M1" sqref="M1:W1048576"/>
    </sheetView>
  </sheetViews>
  <sheetFormatPr defaultRowHeight="13.9" x14ac:dyDescent="0.4"/>
  <cols>
    <col min="1" max="1" width="12.33203125" bestFit="1" customWidth="1"/>
    <col min="2" max="2" width="25.06640625" bestFit="1" customWidth="1"/>
    <col min="3" max="3" width="6.46484375" bestFit="1" customWidth="1"/>
    <col min="4" max="4" width="52.9296875" bestFit="1" customWidth="1"/>
    <col min="5" max="5" width="14.46484375" bestFit="1" customWidth="1"/>
    <col min="6" max="6" width="12.06640625" bestFit="1" customWidth="1"/>
    <col min="7" max="7" width="13.86328125" bestFit="1" customWidth="1"/>
    <col min="8" max="8" width="11.33203125" bestFit="1" customWidth="1"/>
    <col min="9" max="10" width="14.06640625" bestFit="1" customWidth="1"/>
    <col min="11" max="11" width="14.53125" bestFit="1" customWidth="1"/>
    <col min="12" max="12" width="16.53125" bestFit="1" customWidth="1"/>
  </cols>
  <sheetData>
    <row r="1" spans="1:23" s="2" customFormat="1" ht="70.5" x14ac:dyDescent="0.4">
      <c r="A1" s="4" t="s">
        <v>4</v>
      </c>
      <c r="B1" s="4" t="s">
        <v>17</v>
      </c>
      <c r="C1" s="4" t="s">
        <v>16</v>
      </c>
      <c r="D1" s="4" t="s">
        <v>2</v>
      </c>
      <c r="E1" s="4" t="s">
        <v>3</v>
      </c>
      <c r="F1" s="9" t="s">
        <v>12</v>
      </c>
      <c r="G1" s="4" t="s">
        <v>0</v>
      </c>
      <c r="H1" s="9" t="s">
        <v>13</v>
      </c>
      <c r="I1" s="4" t="s">
        <v>1</v>
      </c>
      <c r="J1" s="9" t="s">
        <v>14</v>
      </c>
      <c r="K1" s="9" t="s">
        <v>15</v>
      </c>
      <c r="L1" s="12" t="s">
        <v>23</v>
      </c>
      <c r="M1" s="65" t="s">
        <v>128</v>
      </c>
      <c r="N1" s="65" t="s">
        <v>129</v>
      </c>
      <c r="O1" s="65" t="s">
        <v>130</v>
      </c>
      <c r="P1" s="65" t="s">
        <v>131</v>
      </c>
      <c r="Q1" s="65" t="s">
        <v>132</v>
      </c>
      <c r="R1" s="65" t="s">
        <v>133</v>
      </c>
      <c r="S1" s="65" t="s">
        <v>134</v>
      </c>
      <c r="T1" s="65" t="s">
        <v>135</v>
      </c>
      <c r="U1" s="65" t="s">
        <v>136</v>
      </c>
      <c r="V1" s="65" t="s">
        <v>137</v>
      </c>
      <c r="W1" s="65" t="s">
        <v>138</v>
      </c>
    </row>
    <row r="2" spans="1:23" s="1" customFormat="1" ht="15" x14ac:dyDescent="0.4">
      <c r="A2" s="5" t="s">
        <v>5</v>
      </c>
      <c r="B2" s="5">
        <v>400</v>
      </c>
      <c r="C2" s="5" t="s">
        <v>6</v>
      </c>
      <c r="D2" s="6" t="s">
        <v>22</v>
      </c>
      <c r="E2" s="5">
        <v>1</v>
      </c>
      <c r="F2" s="10">
        <v>4200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5"/>
      <c r="M2" s="66">
        <v>6.4714729206963248</v>
      </c>
      <c r="N2" s="66">
        <v>6.4714729206963248</v>
      </c>
      <c r="O2" s="66">
        <v>1.6755487204724409</v>
      </c>
      <c r="P2" s="66">
        <v>1.6755487204724409</v>
      </c>
      <c r="Q2" s="66">
        <f>F2/1000*I2*O2</f>
        <v>0</v>
      </c>
      <c r="R2" s="66">
        <f>F2/1000*I2*P2</f>
        <v>0</v>
      </c>
      <c r="S2" s="66">
        <f t="shared" ref="S2:S11" si="0">H2/400*60</f>
        <v>0</v>
      </c>
      <c r="T2" s="66">
        <f t="shared" ref="T2:T11" si="1">H2/400*60*G2</f>
        <v>0</v>
      </c>
      <c r="U2" s="66">
        <f t="shared" ref="U2:U11" si="2">H2/400*60*G2*I2</f>
        <v>0</v>
      </c>
      <c r="V2" s="66">
        <f>0*0*Q2</f>
        <v>0</v>
      </c>
      <c r="W2" s="66">
        <f>0*0*R2</f>
        <v>0</v>
      </c>
    </row>
    <row r="3" spans="1:23" s="1" customFormat="1" ht="15" x14ac:dyDescent="0.4">
      <c r="A3" s="5" t="s">
        <v>7</v>
      </c>
      <c r="B3" s="5" t="s">
        <v>34</v>
      </c>
      <c r="C3" s="5" t="s">
        <v>9</v>
      </c>
      <c r="D3" s="6" t="s">
        <v>18</v>
      </c>
      <c r="E3" s="5">
        <v>2</v>
      </c>
      <c r="F3" s="10">
        <v>4200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5"/>
      <c r="M3" s="66">
        <v>9.4583065764023218</v>
      </c>
      <c r="N3" s="66">
        <v>9.4583065764023218</v>
      </c>
      <c r="O3" s="66">
        <v>1.6755487204724409</v>
      </c>
      <c r="P3" s="66">
        <v>1.6755487204724409</v>
      </c>
      <c r="Q3" s="66">
        <f>F3/1000*I3*O3</f>
        <v>0</v>
      </c>
      <c r="R3" s="66">
        <f>F3/1000*I3*P3</f>
        <v>0</v>
      </c>
      <c r="S3" s="66">
        <f t="shared" si="0"/>
        <v>0</v>
      </c>
      <c r="T3" s="66">
        <f t="shared" si="1"/>
        <v>0</v>
      </c>
      <c r="U3" s="66">
        <f t="shared" si="2"/>
        <v>0</v>
      </c>
      <c r="V3" s="66">
        <f>0*0*Q3</f>
        <v>0</v>
      </c>
      <c r="W3" s="66">
        <f>0*0*R3</f>
        <v>0</v>
      </c>
    </row>
    <row r="4" spans="1:23" s="3" customFormat="1" ht="15" x14ac:dyDescent="0.4">
      <c r="A4" s="15" t="s">
        <v>10</v>
      </c>
      <c r="B4" s="15" t="s">
        <v>11</v>
      </c>
      <c r="C4" s="7"/>
      <c r="D4" s="6" t="s">
        <v>19</v>
      </c>
      <c r="E4" s="5">
        <v>3</v>
      </c>
      <c r="F4" s="10">
        <v>4200</v>
      </c>
      <c r="G4" s="11">
        <v>6</v>
      </c>
      <c r="H4" s="11">
        <v>0</v>
      </c>
      <c r="I4" s="11">
        <v>12</v>
      </c>
      <c r="J4" s="11">
        <v>10</v>
      </c>
      <c r="K4" s="11">
        <v>15</v>
      </c>
      <c r="L4" s="7"/>
      <c r="M4" s="66">
        <v>13.440751450676981</v>
      </c>
      <c r="N4" s="66">
        <v>13.440751450676981</v>
      </c>
      <c r="O4" s="66">
        <v>3.9096136811023623</v>
      </c>
      <c r="P4" s="66">
        <v>3.9096136811023623</v>
      </c>
      <c r="Q4" s="66">
        <f>F4/1000*I4*O4</f>
        <v>197.04452952755909</v>
      </c>
      <c r="R4" s="66">
        <f>F4/1000*I4*P4</f>
        <v>197.04452952755909</v>
      </c>
      <c r="S4" s="66">
        <f t="shared" si="0"/>
        <v>0</v>
      </c>
      <c r="T4" s="66">
        <f t="shared" si="1"/>
        <v>0</v>
      </c>
      <c r="U4" s="66">
        <f t="shared" si="2"/>
        <v>0</v>
      </c>
      <c r="V4" s="66">
        <f>0.862558*0*Q4</f>
        <v>0</v>
      </c>
      <c r="W4" s="66">
        <f>1.056413*0*R4</f>
        <v>0</v>
      </c>
    </row>
    <row r="5" spans="1:23" s="3" customFormat="1" ht="15" x14ac:dyDescent="0.4">
      <c r="A5" s="15"/>
      <c r="B5" s="15"/>
      <c r="C5" s="15"/>
      <c r="D5" s="8" t="s">
        <v>27</v>
      </c>
      <c r="E5" s="5">
        <v>4</v>
      </c>
      <c r="F5" s="10">
        <v>4200</v>
      </c>
      <c r="G5" s="11">
        <v>6</v>
      </c>
      <c r="H5" s="11">
        <v>20</v>
      </c>
      <c r="I5" s="11">
        <v>17</v>
      </c>
      <c r="J5" s="11">
        <v>30</v>
      </c>
      <c r="K5" s="11">
        <v>35</v>
      </c>
      <c r="L5" s="7"/>
      <c r="M5" s="66">
        <v>33.863881578947371</v>
      </c>
      <c r="N5" s="66">
        <v>33.863881578947371</v>
      </c>
      <c r="O5" s="66">
        <v>35.18212536425073</v>
      </c>
      <c r="P5" s="66">
        <v>43.977656705313407</v>
      </c>
      <c r="Q5" s="66">
        <f>F5/1000*H5/1000*O5*I5*G5</f>
        <v>301.44045012090027</v>
      </c>
      <c r="R5" s="66">
        <f>F5/1000*H5/1000*P5*I5*G5</f>
        <v>376.80056265112529</v>
      </c>
      <c r="S5" s="66">
        <f t="shared" si="0"/>
        <v>3</v>
      </c>
      <c r="T5" s="66">
        <f t="shared" si="1"/>
        <v>18</v>
      </c>
      <c r="U5" s="66">
        <f t="shared" si="2"/>
        <v>306</v>
      </c>
      <c r="V5" s="66">
        <f>0.941222*0*Q5</f>
        <v>0</v>
      </c>
      <c r="W5" s="66">
        <f>1.016636*0*R5</f>
        <v>0</v>
      </c>
    </row>
    <row r="6" spans="1:23" s="3" customFormat="1" ht="15" x14ac:dyDescent="0.4">
      <c r="A6" s="15"/>
      <c r="B6" s="15"/>
      <c r="C6" s="15"/>
      <c r="D6" s="6" t="s">
        <v>28</v>
      </c>
      <c r="E6" s="5">
        <v>5</v>
      </c>
      <c r="F6" s="10">
        <v>4200</v>
      </c>
      <c r="G6" s="11">
        <v>11</v>
      </c>
      <c r="H6" s="11">
        <v>18</v>
      </c>
      <c r="I6" s="11">
        <v>4</v>
      </c>
      <c r="J6" s="11">
        <v>25</v>
      </c>
      <c r="K6" s="11">
        <v>45</v>
      </c>
      <c r="L6" s="7"/>
      <c r="M6" s="66">
        <v>50.795822368421049</v>
      </c>
      <c r="N6" s="66">
        <v>50.795822368421049</v>
      </c>
      <c r="O6" s="66">
        <v>65.966485057970118</v>
      </c>
      <c r="P6" s="66">
        <v>87.955313410626815</v>
      </c>
      <c r="Q6" s="66">
        <f>F6/1000*G6*H6/1000*I6*O6</f>
        <v>219.43091589683181</v>
      </c>
      <c r="R6" s="66">
        <f>F6/1000*G6*H6/1000*I6*P6</f>
        <v>292.57455452910904</v>
      </c>
      <c r="S6" s="66">
        <f t="shared" si="0"/>
        <v>2.6999999999999997</v>
      </c>
      <c r="T6" s="66">
        <f t="shared" si="1"/>
        <v>29.699999999999996</v>
      </c>
      <c r="U6" s="66">
        <f t="shared" si="2"/>
        <v>118.79999999999998</v>
      </c>
      <c r="V6" s="66">
        <f>0.701546*0*Q6</f>
        <v>0</v>
      </c>
      <c r="W6" s="66">
        <f>0.941222*0*R6</f>
        <v>0</v>
      </c>
    </row>
    <row r="7" spans="1:23" s="3" customFormat="1" ht="15" x14ac:dyDescent="0.4">
      <c r="A7" s="15"/>
      <c r="B7" s="15"/>
      <c r="C7" s="15"/>
      <c r="D7" s="6" t="s">
        <v>20</v>
      </c>
      <c r="E7" s="5">
        <v>6</v>
      </c>
      <c r="F7" s="10">
        <v>4200</v>
      </c>
      <c r="G7" s="11">
        <v>1</v>
      </c>
      <c r="H7" s="11">
        <v>150</v>
      </c>
      <c r="I7" s="11">
        <v>1</v>
      </c>
      <c r="J7" s="11">
        <v>45</v>
      </c>
      <c r="K7" s="11">
        <v>45</v>
      </c>
      <c r="L7" s="7">
        <v>1000</v>
      </c>
      <c r="M7" s="66">
        <v>33.863881578947371</v>
      </c>
      <c r="N7" s="66">
        <v>33.863881578947371</v>
      </c>
      <c r="O7" s="66">
        <v>131.93297011594024</v>
      </c>
      <c r="P7" s="66">
        <v>131.93297011594024</v>
      </c>
      <c r="Q7" s="66">
        <f>F7/1000*H7/1000*O7*I7*G7</f>
        <v>83.117771173042343</v>
      </c>
      <c r="R7" s="66">
        <f>F7/1000*H7/1000*P7*I7*G7</f>
        <v>83.117771173042343</v>
      </c>
      <c r="S7" s="66">
        <f t="shared" si="0"/>
        <v>22.5</v>
      </c>
      <c r="T7" s="66">
        <f t="shared" si="1"/>
        <v>22.5</v>
      </c>
      <c r="U7" s="66">
        <f t="shared" si="2"/>
        <v>22.5</v>
      </c>
      <c r="V7" s="66">
        <f>1.152757*0*Q7</f>
        <v>0</v>
      </c>
      <c r="W7" s="66">
        <f>1.152757*0*R7</f>
        <v>0</v>
      </c>
    </row>
    <row r="8" spans="1:23" s="3" customFormat="1" ht="15" x14ac:dyDescent="0.4">
      <c r="A8" s="15"/>
      <c r="B8" s="15"/>
      <c r="C8" s="15"/>
      <c r="D8" s="6" t="s">
        <v>21</v>
      </c>
      <c r="E8" s="5">
        <v>7</v>
      </c>
      <c r="F8" s="10">
        <v>4200</v>
      </c>
      <c r="G8" s="11">
        <v>1</v>
      </c>
      <c r="H8" s="11">
        <v>100</v>
      </c>
      <c r="I8" s="11">
        <v>1</v>
      </c>
      <c r="J8" s="11">
        <v>55</v>
      </c>
      <c r="K8" s="11">
        <v>65</v>
      </c>
      <c r="L8" s="7">
        <v>1000</v>
      </c>
      <c r="M8" s="66">
        <v>67.727763157894742</v>
      </c>
      <c r="N8" s="66">
        <v>67.727763157894742</v>
      </c>
      <c r="O8" s="66">
        <v>307.84359693719387</v>
      </c>
      <c r="P8" s="66">
        <v>307.84359693719387</v>
      </c>
      <c r="Q8" s="66">
        <f>F8/1000*H8/1000*O8*I8*G8</f>
        <v>129.29431071362143</v>
      </c>
      <c r="R8" s="66">
        <f>F8/1000*H8/1000*P8*I8*G8</f>
        <v>129.29431071362143</v>
      </c>
      <c r="S8" s="66">
        <f t="shared" si="0"/>
        <v>15</v>
      </c>
      <c r="T8" s="66">
        <f t="shared" si="1"/>
        <v>15</v>
      </c>
      <c r="U8" s="66">
        <f t="shared" si="2"/>
        <v>15</v>
      </c>
      <c r="V8" s="66">
        <f>0.901152*0*Q8</f>
        <v>0</v>
      </c>
      <c r="W8" s="66">
        <f>0.979655*0*R8</f>
        <v>0</v>
      </c>
    </row>
    <row r="9" spans="1:23" s="3" customFormat="1" ht="15" x14ac:dyDescent="0.4">
      <c r="A9" s="15"/>
      <c r="B9" s="15"/>
      <c r="C9" s="15"/>
      <c r="D9" s="6" t="s">
        <v>30</v>
      </c>
      <c r="E9" s="5">
        <v>9</v>
      </c>
      <c r="F9" s="10">
        <v>4200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7">
        <v>0</v>
      </c>
      <c r="M9" s="66">
        <v>67.727763157894742</v>
      </c>
      <c r="N9" s="66">
        <v>67.727763157894742</v>
      </c>
      <c r="O9" s="66">
        <v>219.88828352656702</v>
      </c>
      <c r="P9" s="66">
        <v>219.88828352656702</v>
      </c>
      <c r="Q9" s="66">
        <f>F9/1000*H9/1000*O9*I9*G9</f>
        <v>0</v>
      </c>
      <c r="R9" s="66">
        <f>F9/1000*H9/1000*P9*I9*G9</f>
        <v>0</v>
      </c>
      <c r="S9" s="66">
        <f t="shared" si="0"/>
        <v>0</v>
      </c>
      <c r="T9" s="66">
        <f t="shared" si="1"/>
        <v>0</v>
      </c>
      <c r="U9" s="66">
        <f t="shared" si="2"/>
        <v>0</v>
      </c>
      <c r="V9" s="66">
        <f>0*0*Q9</f>
        <v>0</v>
      </c>
      <c r="W9" s="66">
        <f>0*0*R9</f>
        <v>0</v>
      </c>
    </row>
    <row r="10" spans="1:23" s="3" customFormat="1" ht="15" x14ac:dyDescent="0.4">
      <c r="A10" s="15"/>
      <c r="B10" s="15"/>
      <c r="C10" s="15"/>
      <c r="D10" s="30" t="s">
        <v>35</v>
      </c>
      <c r="E10" s="31">
        <v>11</v>
      </c>
      <c r="F10" s="10">
        <v>4200</v>
      </c>
      <c r="G10" s="11">
        <v>1</v>
      </c>
      <c r="H10" s="11">
        <v>120</v>
      </c>
      <c r="I10" s="11">
        <v>1</v>
      </c>
      <c r="J10" s="11">
        <v>40</v>
      </c>
      <c r="K10" s="11">
        <v>45</v>
      </c>
      <c r="L10" s="7">
        <v>1000</v>
      </c>
      <c r="M10" s="66">
        <v>67.727763157894742</v>
      </c>
      <c r="N10" s="66">
        <v>67.727763157894742</v>
      </c>
      <c r="O10" s="66">
        <v>175.91062682125363</v>
      </c>
      <c r="P10" s="66">
        <v>219.88828352656702</v>
      </c>
      <c r="Q10" s="66">
        <f>F10/1000*H10/1000*O10*I10*G10</f>
        <v>88.658955917911825</v>
      </c>
      <c r="R10" s="66">
        <f>F10/1000*H10/1000*P10*I10*G10</f>
        <v>110.82369489738979</v>
      </c>
      <c r="S10" s="66">
        <f t="shared" si="0"/>
        <v>18</v>
      </c>
      <c r="T10" s="66">
        <f t="shared" si="1"/>
        <v>18</v>
      </c>
      <c r="U10" s="66">
        <f t="shared" si="2"/>
        <v>18</v>
      </c>
      <c r="V10" s="66">
        <f>0.768505*0*Q10</f>
        <v>0</v>
      </c>
      <c r="W10" s="66">
        <f>0.815123*0*R10</f>
        <v>0</v>
      </c>
    </row>
    <row r="11" spans="1:23" s="3" customFormat="1" ht="15" x14ac:dyDescent="0.4">
      <c r="A11" s="15"/>
      <c r="B11" s="15"/>
      <c r="C11" s="15"/>
      <c r="D11" s="24" t="s">
        <v>31</v>
      </c>
      <c r="E11" s="5">
        <v>22</v>
      </c>
      <c r="F11" s="10">
        <v>4200</v>
      </c>
      <c r="G11" s="11">
        <v>3</v>
      </c>
      <c r="H11" s="11">
        <v>12</v>
      </c>
      <c r="I11" s="11">
        <v>5</v>
      </c>
      <c r="J11" s="11">
        <v>40</v>
      </c>
      <c r="K11" s="11">
        <v>45</v>
      </c>
      <c r="L11" s="7"/>
      <c r="M11" s="66">
        <v>50.795822368421049</v>
      </c>
      <c r="N11" s="66">
        <v>50.795822368421049</v>
      </c>
      <c r="O11" s="66">
        <v>659.66485057970112</v>
      </c>
      <c r="P11" s="66">
        <v>659.66485057970112</v>
      </c>
      <c r="Q11" s="66">
        <f>F11/1000*G11*H11/1000*I11*O11</f>
        <v>498.70662703825411</v>
      </c>
      <c r="R11" s="66">
        <f>F11/1000*G11*H11/1000*I11*P11</f>
        <v>498.70662703825411</v>
      </c>
      <c r="S11" s="66">
        <f t="shared" si="0"/>
        <v>1.7999999999999998</v>
      </c>
      <c r="T11" s="66">
        <f t="shared" si="1"/>
        <v>5.3999999999999995</v>
      </c>
      <c r="U11" s="66">
        <f t="shared" si="2"/>
        <v>26.999999999999996</v>
      </c>
      <c r="V11" s="66">
        <f>0.887393*0*Q11</f>
        <v>0</v>
      </c>
      <c r="W11" s="66">
        <f>0.941222*0*R11</f>
        <v>0</v>
      </c>
    </row>
    <row r="12" spans="1:23" s="3" customFormat="1" ht="15" x14ac:dyDescent="0.4">
      <c r="P12" s="42" t="s">
        <v>44</v>
      </c>
      <c r="Q12" s="66">
        <f>SUM(Q2:Q11)</f>
        <v>1517.6935603881209</v>
      </c>
      <c r="R12" s="66">
        <f>SUM(R2:R11)</f>
        <v>1688.362050530101</v>
      </c>
      <c r="V12" s="66">
        <f>SUM(V2:V11)</f>
        <v>0</v>
      </c>
      <c r="W12" s="66">
        <f>SUM(W2:W11)</f>
        <v>0</v>
      </c>
    </row>
    <row r="13" spans="1:23" s="3" customFormat="1" ht="15" x14ac:dyDescent="0.4"/>
    <row r="14" spans="1:23" s="3" customFormat="1" ht="15" x14ac:dyDescent="0.4"/>
    <row r="15" spans="1:23" s="3" customFormat="1" ht="15" x14ac:dyDescent="0.4"/>
    <row r="16" spans="1:23" s="3" customFormat="1" ht="15" x14ac:dyDescent="0.4"/>
    <row r="17" s="3" customFormat="1" ht="15" x14ac:dyDescent="0.4"/>
    <row r="18" s="3" customFormat="1" ht="15" x14ac:dyDescent="0.4"/>
    <row r="19" s="3" customFormat="1" ht="15" x14ac:dyDescent="0.4"/>
    <row r="20" s="3" customFormat="1" ht="15" x14ac:dyDescent="0.4"/>
    <row r="21" s="3" customFormat="1" ht="15" x14ac:dyDescent="0.4"/>
    <row r="22" s="3" customFormat="1" ht="15" x14ac:dyDescent="0.4"/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1BBCE-3CEB-4937-950D-E2F4EBD9D896}">
  <dimension ref="A1:W23"/>
  <sheetViews>
    <sheetView topLeftCell="E1" zoomScale="99" workbookViewId="0">
      <selection activeCell="G13" sqref="G13"/>
    </sheetView>
  </sheetViews>
  <sheetFormatPr defaultRowHeight="13.9" x14ac:dyDescent="0.4"/>
  <cols>
    <col min="1" max="1" width="12.33203125" bestFit="1" customWidth="1"/>
    <col min="2" max="2" width="25.06640625" bestFit="1" customWidth="1"/>
    <col min="3" max="3" width="7.265625" bestFit="1" customWidth="1"/>
    <col min="4" max="4" width="64.265625" bestFit="1" customWidth="1"/>
    <col min="5" max="5" width="14.46484375" bestFit="1" customWidth="1"/>
    <col min="6" max="6" width="12.06640625" bestFit="1" customWidth="1"/>
    <col min="7" max="7" width="13.86328125" bestFit="1" customWidth="1"/>
    <col min="8" max="8" width="11.33203125" bestFit="1" customWidth="1"/>
    <col min="9" max="10" width="14.06640625" bestFit="1" customWidth="1"/>
    <col min="11" max="12" width="14.53125" bestFit="1" customWidth="1"/>
  </cols>
  <sheetData>
    <row r="1" spans="1:23" s="2" customFormat="1" ht="70.5" x14ac:dyDescent="0.4">
      <c r="A1" s="4" t="s">
        <v>4</v>
      </c>
      <c r="B1" s="4" t="s">
        <v>17</v>
      </c>
      <c r="C1" s="4" t="s">
        <v>16</v>
      </c>
      <c r="D1" s="4" t="s">
        <v>2</v>
      </c>
      <c r="E1" s="4" t="s">
        <v>3</v>
      </c>
      <c r="F1" s="9" t="s">
        <v>12</v>
      </c>
      <c r="G1" s="4" t="s">
        <v>0</v>
      </c>
      <c r="H1" s="9" t="s">
        <v>13</v>
      </c>
      <c r="I1" s="4" t="s">
        <v>1</v>
      </c>
      <c r="J1" s="9" t="s">
        <v>14</v>
      </c>
      <c r="K1" s="9" t="s">
        <v>15</v>
      </c>
      <c r="L1" s="12" t="s">
        <v>23</v>
      </c>
      <c r="M1" s="67" t="s">
        <v>139</v>
      </c>
      <c r="N1" s="67" t="s">
        <v>140</v>
      </c>
      <c r="O1" s="67" t="s">
        <v>141</v>
      </c>
      <c r="P1" s="67" t="s">
        <v>142</v>
      </c>
      <c r="Q1" s="67" t="s">
        <v>143</v>
      </c>
      <c r="R1" s="67" t="s">
        <v>144</v>
      </c>
      <c r="S1" s="67" t="s">
        <v>145</v>
      </c>
      <c r="T1" s="67" t="s">
        <v>146</v>
      </c>
      <c r="U1" s="67" t="s">
        <v>147</v>
      </c>
      <c r="V1" s="67" t="s">
        <v>148</v>
      </c>
      <c r="W1" s="67" t="s">
        <v>149</v>
      </c>
    </row>
    <row r="2" spans="1:23" s="1" customFormat="1" ht="15" x14ac:dyDescent="0.4">
      <c r="A2" s="5" t="s">
        <v>5</v>
      </c>
      <c r="B2" s="5">
        <v>450</v>
      </c>
      <c r="C2" s="5" t="s">
        <v>6</v>
      </c>
      <c r="D2" s="6" t="s">
        <v>22</v>
      </c>
      <c r="E2" s="5">
        <v>1</v>
      </c>
      <c r="F2" s="10">
        <v>4200</v>
      </c>
      <c r="G2" s="10">
        <v>4</v>
      </c>
      <c r="H2" s="10">
        <v>55</v>
      </c>
      <c r="I2" s="10">
        <v>4</v>
      </c>
      <c r="J2" s="10">
        <v>5</v>
      </c>
      <c r="K2" s="10">
        <v>5</v>
      </c>
      <c r="L2" s="5"/>
      <c r="M2" s="68">
        <v>6.4714729206963248</v>
      </c>
      <c r="N2" s="68">
        <v>6.4714729206963248</v>
      </c>
      <c r="O2" s="68">
        <v>1.6755487204724409</v>
      </c>
      <c r="P2" s="68">
        <v>1.6755487204724409</v>
      </c>
      <c r="Q2" s="68">
        <f>F2/1000*I2*O2</f>
        <v>28.149218503937007</v>
      </c>
      <c r="R2" s="68">
        <f>F2/1000*I2*P2</f>
        <v>28.149218503937007</v>
      </c>
      <c r="S2" s="68">
        <f t="shared" ref="S2:S13" si="0">H2/450*60</f>
        <v>7.333333333333333</v>
      </c>
      <c r="T2" s="68">
        <f t="shared" ref="T2:T13" si="1">H2/450*60*G2</f>
        <v>29.333333333333332</v>
      </c>
      <c r="U2" s="68">
        <f t="shared" ref="U2:U13" si="2">H2/450*60*G2*I2</f>
        <v>117.33333333333333</v>
      </c>
      <c r="V2" s="68">
        <f>0.878989*0*Q2</f>
        <v>0</v>
      </c>
      <c r="W2" s="68">
        <f>0.878989*0*R2</f>
        <v>0</v>
      </c>
    </row>
    <row r="3" spans="1:23" s="1" customFormat="1" ht="15" x14ac:dyDescent="0.4">
      <c r="A3" s="5" t="s">
        <v>7</v>
      </c>
      <c r="B3" s="5" t="s">
        <v>36</v>
      </c>
      <c r="C3" s="5" t="s">
        <v>9</v>
      </c>
      <c r="D3" s="6" t="s">
        <v>18</v>
      </c>
      <c r="E3" s="5">
        <v>2</v>
      </c>
      <c r="F3" s="10">
        <v>4200</v>
      </c>
      <c r="G3" s="10">
        <v>4</v>
      </c>
      <c r="H3" s="11">
        <v>70</v>
      </c>
      <c r="I3" s="11">
        <v>2</v>
      </c>
      <c r="J3" s="10">
        <v>5</v>
      </c>
      <c r="K3" s="10">
        <v>5</v>
      </c>
      <c r="L3" s="5"/>
      <c r="M3" s="68">
        <v>9.4583065764023218</v>
      </c>
      <c r="N3" s="68">
        <v>9.4583065764023218</v>
      </c>
      <c r="O3" s="68">
        <v>1.6755487204724409</v>
      </c>
      <c r="P3" s="68">
        <v>1.6755487204724409</v>
      </c>
      <c r="Q3" s="68">
        <f>F3/1000*I3*O3</f>
        <v>14.074609251968504</v>
      </c>
      <c r="R3" s="68">
        <f>F3/1000*I3*P3</f>
        <v>14.074609251968504</v>
      </c>
      <c r="S3" s="68">
        <f t="shared" si="0"/>
        <v>9.3333333333333339</v>
      </c>
      <c r="T3" s="68">
        <f t="shared" si="1"/>
        <v>37.333333333333336</v>
      </c>
      <c r="U3" s="68">
        <f t="shared" si="2"/>
        <v>74.666666666666671</v>
      </c>
      <c r="V3" s="68">
        <f t="shared" ref="V3:W5" si="3">0.727073*0*Q3</f>
        <v>0</v>
      </c>
      <c r="W3" s="68">
        <f t="shared" si="3"/>
        <v>0</v>
      </c>
    </row>
    <row r="4" spans="1:23" s="3" customFormat="1" ht="15" x14ac:dyDescent="0.4">
      <c r="A4" s="7" t="s">
        <v>10</v>
      </c>
      <c r="B4" s="7" t="s">
        <v>11</v>
      </c>
      <c r="C4" s="7"/>
      <c r="D4" s="6" t="s">
        <v>18</v>
      </c>
      <c r="E4" s="5">
        <v>2</v>
      </c>
      <c r="F4" s="10">
        <v>4200</v>
      </c>
      <c r="G4" s="10">
        <v>4</v>
      </c>
      <c r="H4" s="11">
        <v>75</v>
      </c>
      <c r="I4" s="11">
        <v>1</v>
      </c>
      <c r="J4" s="11">
        <v>5</v>
      </c>
      <c r="K4" s="11">
        <v>5</v>
      </c>
      <c r="L4" s="7"/>
      <c r="M4" s="68">
        <v>9.4583065764023218</v>
      </c>
      <c r="N4" s="68">
        <v>9.4583065764023218</v>
      </c>
      <c r="O4" s="68">
        <v>1.6755487204724409</v>
      </c>
      <c r="P4" s="68">
        <v>1.6755487204724409</v>
      </c>
      <c r="Q4" s="68">
        <f>F4/1000*I4*O4</f>
        <v>7.0373046259842518</v>
      </c>
      <c r="R4" s="68">
        <f>F4/1000*I4*P4</f>
        <v>7.0373046259842518</v>
      </c>
      <c r="S4" s="68">
        <f t="shared" si="0"/>
        <v>10</v>
      </c>
      <c r="T4" s="68">
        <f t="shared" si="1"/>
        <v>40</v>
      </c>
      <c r="U4" s="68">
        <f t="shared" si="2"/>
        <v>40</v>
      </c>
      <c r="V4" s="68">
        <f t="shared" si="3"/>
        <v>0</v>
      </c>
      <c r="W4" s="68">
        <f t="shared" si="3"/>
        <v>0</v>
      </c>
    </row>
    <row r="5" spans="1:23" s="3" customFormat="1" ht="15" x14ac:dyDescent="0.4">
      <c r="A5" s="7"/>
      <c r="B5" s="7"/>
      <c r="C5" s="7"/>
      <c r="D5" s="6" t="s">
        <v>18</v>
      </c>
      <c r="E5" s="5">
        <v>2</v>
      </c>
      <c r="F5" s="10">
        <v>4200</v>
      </c>
      <c r="G5" s="10">
        <v>7</v>
      </c>
      <c r="H5" s="11">
        <v>20</v>
      </c>
      <c r="I5" s="11">
        <v>1</v>
      </c>
      <c r="J5" s="11">
        <v>5</v>
      </c>
      <c r="K5" s="11">
        <v>5</v>
      </c>
      <c r="L5" s="7"/>
      <c r="M5" s="68">
        <v>9.4583065764023218</v>
      </c>
      <c r="N5" s="68">
        <v>9.4583065764023218</v>
      </c>
      <c r="O5" s="68">
        <v>1.6755487204724409</v>
      </c>
      <c r="P5" s="68">
        <v>1.6755487204724409</v>
      </c>
      <c r="Q5" s="68">
        <f>F5/1000*I5*O5</f>
        <v>7.0373046259842518</v>
      </c>
      <c r="R5" s="68">
        <f>F5/1000*I5*P5</f>
        <v>7.0373046259842518</v>
      </c>
      <c r="S5" s="68">
        <f t="shared" si="0"/>
        <v>2.666666666666667</v>
      </c>
      <c r="T5" s="68">
        <f t="shared" si="1"/>
        <v>18.666666666666668</v>
      </c>
      <c r="U5" s="68">
        <f t="shared" si="2"/>
        <v>18.666666666666668</v>
      </c>
      <c r="V5" s="68">
        <f t="shared" si="3"/>
        <v>0</v>
      </c>
      <c r="W5" s="68">
        <f t="shared" si="3"/>
        <v>0</v>
      </c>
    </row>
    <row r="6" spans="1:23" s="3" customFormat="1" ht="15" x14ac:dyDescent="0.4">
      <c r="A6" s="7"/>
      <c r="B6" s="7"/>
      <c r="C6" s="7"/>
      <c r="D6" s="8" t="s">
        <v>27</v>
      </c>
      <c r="E6" s="5">
        <v>4</v>
      </c>
      <c r="F6" s="10">
        <v>4200</v>
      </c>
      <c r="G6" s="11">
        <v>7</v>
      </c>
      <c r="H6" s="11">
        <v>18</v>
      </c>
      <c r="I6" s="11">
        <v>3</v>
      </c>
      <c r="J6" s="11">
        <v>10</v>
      </c>
      <c r="K6" s="11">
        <v>15</v>
      </c>
      <c r="L6" s="7"/>
      <c r="M6" s="68">
        <v>33.863881578947371</v>
      </c>
      <c r="N6" s="68">
        <v>33.863881578947371</v>
      </c>
      <c r="O6" s="68">
        <v>35.18212536425073</v>
      </c>
      <c r="P6" s="68">
        <v>43.977656705313407</v>
      </c>
      <c r="Q6" s="68">
        <f>F6/1000*H6/1000*O6*I6*G6</f>
        <v>55.855142228284471</v>
      </c>
      <c r="R6" s="68">
        <f>F6/1000*H6/1000*P6*I6*G6</f>
        <v>69.818927785355584</v>
      </c>
      <c r="S6" s="68">
        <f t="shared" si="0"/>
        <v>2.4</v>
      </c>
      <c r="T6" s="68">
        <f t="shared" si="1"/>
        <v>16.8</v>
      </c>
      <c r="U6" s="68">
        <f t="shared" si="2"/>
        <v>50.400000000000006</v>
      </c>
      <c r="V6" s="68">
        <f>0.543415*0*Q6</f>
        <v>0</v>
      </c>
      <c r="W6" s="68">
        <f>0.665545*0*R6</f>
        <v>0</v>
      </c>
    </row>
    <row r="7" spans="1:23" s="3" customFormat="1" ht="15" x14ac:dyDescent="0.4">
      <c r="A7" s="7"/>
      <c r="B7" s="7"/>
      <c r="C7" s="7"/>
      <c r="D7" s="6" t="s">
        <v>28</v>
      </c>
      <c r="E7" s="5">
        <v>5</v>
      </c>
      <c r="F7" s="10">
        <v>4200</v>
      </c>
      <c r="G7" s="10">
        <v>8</v>
      </c>
      <c r="H7" s="10">
        <v>18</v>
      </c>
      <c r="I7" s="10">
        <v>2</v>
      </c>
      <c r="J7" s="10">
        <v>15</v>
      </c>
      <c r="K7" s="10">
        <v>25</v>
      </c>
      <c r="L7" s="7"/>
      <c r="M7" s="68">
        <v>50.795822368421049</v>
      </c>
      <c r="N7" s="68">
        <v>50.795822368421049</v>
      </c>
      <c r="O7" s="68">
        <v>65.966485057970118</v>
      </c>
      <c r="P7" s="68">
        <v>87.955313410626815</v>
      </c>
      <c r="Q7" s="68">
        <f>F7/1000*G7*H7/1000*I7*O7</f>
        <v>79.793060326120667</v>
      </c>
      <c r="R7" s="68">
        <f>F7/1000*G7*H7/1000*I7*P7</f>
        <v>106.39074710149421</v>
      </c>
      <c r="S7" s="68">
        <f t="shared" si="0"/>
        <v>2.4</v>
      </c>
      <c r="T7" s="68">
        <f t="shared" si="1"/>
        <v>19.2</v>
      </c>
      <c r="U7" s="68">
        <f t="shared" si="2"/>
        <v>38.4</v>
      </c>
      <c r="V7" s="68">
        <f>0.543415*0*Q7</f>
        <v>0</v>
      </c>
      <c r="W7" s="68">
        <f>0.701546*0*R7</f>
        <v>0</v>
      </c>
    </row>
    <row r="8" spans="1:23" s="3" customFormat="1" ht="15" x14ac:dyDescent="0.4">
      <c r="A8" s="7"/>
      <c r="B8" s="7"/>
      <c r="C8" s="7"/>
      <c r="D8" s="6" t="s">
        <v>20</v>
      </c>
      <c r="E8" s="5">
        <v>6</v>
      </c>
      <c r="F8" s="10">
        <v>4200</v>
      </c>
      <c r="G8" s="11">
        <v>1</v>
      </c>
      <c r="H8" s="25">
        <v>150</v>
      </c>
      <c r="I8" s="11">
        <v>1</v>
      </c>
      <c r="J8" s="11">
        <v>25</v>
      </c>
      <c r="K8" s="11">
        <v>35</v>
      </c>
      <c r="L8" s="7">
        <v>1100</v>
      </c>
      <c r="M8" s="68">
        <v>33.863881578947371</v>
      </c>
      <c r="N8" s="68">
        <v>33.863881578947371</v>
      </c>
      <c r="O8" s="68">
        <v>131.93297011594024</v>
      </c>
      <c r="P8" s="68">
        <v>131.93297011594024</v>
      </c>
      <c r="Q8" s="68">
        <f>F8/1000*H8/1000*O8*I8*G8</f>
        <v>83.117771173042343</v>
      </c>
      <c r="R8" s="68">
        <f>F8/1000*H8/1000*P8*I8*G8</f>
        <v>83.117771173042343</v>
      </c>
      <c r="S8" s="68">
        <f t="shared" si="0"/>
        <v>20</v>
      </c>
      <c r="T8" s="68">
        <f t="shared" si="1"/>
        <v>20</v>
      </c>
      <c r="U8" s="68">
        <f t="shared" si="2"/>
        <v>20</v>
      </c>
      <c r="V8" s="68">
        <f>0.859215*0*Q8</f>
        <v>0</v>
      </c>
      <c r="W8" s="68">
        <f>1.016636*0*R8</f>
        <v>0</v>
      </c>
    </row>
    <row r="9" spans="1:23" s="23" customFormat="1" ht="15" x14ac:dyDescent="0.4">
      <c r="A9" s="17"/>
      <c r="B9" s="17"/>
      <c r="C9" s="17"/>
      <c r="D9" s="6" t="s">
        <v>21</v>
      </c>
      <c r="E9" s="5">
        <v>7</v>
      </c>
      <c r="F9" s="10">
        <v>4200</v>
      </c>
      <c r="G9" s="11">
        <v>1</v>
      </c>
      <c r="H9" s="25">
        <v>100</v>
      </c>
      <c r="I9" s="11">
        <v>1</v>
      </c>
      <c r="J9" s="11">
        <v>45</v>
      </c>
      <c r="K9" s="11">
        <v>55</v>
      </c>
      <c r="L9" s="7">
        <v>1100</v>
      </c>
      <c r="M9" s="68">
        <v>67.727763157894742</v>
      </c>
      <c r="N9" s="68">
        <v>67.727763157894742</v>
      </c>
      <c r="O9" s="68">
        <v>307.84359693719387</v>
      </c>
      <c r="P9" s="68">
        <v>307.84359693719387</v>
      </c>
      <c r="Q9" s="68">
        <f>F9/1000*H9/1000*O9*I9*G9</f>
        <v>129.29431071362143</v>
      </c>
      <c r="R9" s="68">
        <f>F9/1000*H9/1000*P9*I9*G9</f>
        <v>129.29431071362143</v>
      </c>
      <c r="S9" s="68">
        <f t="shared" si="0"/>
        <v>13.333333333333332</v>
      </c>
      <c r="T9" s="68">
        <f t="shared" si="1"/>
        <v>13.333333333333332</v>
      </c>
      <c r="U9" s="68">
        <f t="shared" si="2"/>
        <v>13.333333333333332</v>
      </c>
      <c r="V9" s="68">
        <f>0.815123*0*Q9</f>
        <v>0</v>
      </c>
      <c r="W9" s="68">
        <f>0.901152*0*R9</f>
        <v>0</v>
      </c>
    </row>
    <row r="10" spans="1:23" s="23" customFormat="1" ht="15" x14ac:dyDescent="0.4">
      <c r="A10" s="26"/>
      <c r="B10" s="26"/>
      <c r="C10" s="26"/>
      <c r="D10" s="18" t="s">
        <v>29</v>
      </c>
      <c r="E10" s="19">
        <v>8</v>
      </c>
      <c r="F10" s="10">
        <v>4200</v>
      </c>
      <c r="G10" s="21">
        <v>1</v>
      </c>
      <c r="H10" s="32">
        <v>100</v>
      </c>
      <c r="I10" s="21">
        <v>1</v>
      </c>
      <c r="J10" s="21">
        <v>30</v>
      </c>
      <c r="K10" s="21">
        <v>40</v>
      </c>
      <c r="L10" s="17">
        <v>550</v>
      </c>
      <c r="M10" s="68">
        <v>33.863881578947371</v>
      </c>
      <c r="N10" s="68">
        <v>33.863881578947371</v>
      </c>
      <c r="O10" s="68">
        <v>30.784359693719388</v>
      </c>
      <c r="P10" s="68">
        <v>30.784359693719388</v>
      </c>
      <c r="Q10" s="68">
        <f>F10/1000*H10/1000*O10*I10*G10</f>
        <v>12.929431071362142</v>
      </c>
      <c r="R10" s="68">
        <f>F10/1000*H10/1000*P10*I10*G10</f>
        <v>12.929431071362142</v>
      </c>
      <c r="S10" s="68">
        <f t="shared" si="0"/>
        <v>13.333333333333332</v>
      </c>
      <c r="T10" s="68">
        <f t="shared" si="1"/>
        <v>13.333333333333332</v>
      </c>
      <c r="U10" s="68">
        <f t="shared" si="2"/>
        <v>13.333333333333332</v>
      </c>
      <c r="V10" s="68">
        <f>0.941222*0*Q10</f>
        <v>0</v>
      </c>
      <c r="W10" s="68">
        <f>1.08683*0*R10</f>
        <v>0</v>
      </c>
    </row>
    <row r="11" spans="1:23" s="23" customFormat="1" ht="15" x14ac:dyDescent="0.4">
      <c r="A11" s="26"/>
      <c r="B11" s="26"/>
      <c r="C11" s="26"/>
      <c r="D11" s="34" t="s">
        <v>37</v>
      </c>
      <c r="E11" s="35">
        <v>18</v>
      </c>
      <c r="F11" s="10">
        <v>4200</v>
      </c>
      <c r="G11" s="27">
        <v>1</v>
      </c>
      <c r="H11" s="33">
        <v>140</v>
      </c>
      <c r="I11" s="27">
        <v>1</v>
      </c>
      <c r="J11" s="27">
        <v>10</v>
      </c>
      <c r="K11" s="27">
        <v>20</v>
      </c>
      <c r="L11" s="26">
        <v>1000</v>
      </c>
      <c r="M11" s="68">
        <v>33.863881578947371</v>
      </c>
      <c r="N11" s="68">
        <v>33.863881578947371</v>
      </c>
      <c r="O11" s="68">
        <v>32.983242528985059</v>
      </c>
      <c r="P11" s="68">
        <v>43.977656705313407</v>
      </c>
      <c r="Q11" s="68">
        <f>F11/1000*H11/1000*O11*I11*G11</f>
        <v>19.394146607043215</v>
      </c>
      <c r="R11" s="68">
        <f>F11/1000*H11/1000*P11*I11*G11</f>
        <v>25.858862142724281</v>
      </c>
      <c r="S11" s="68">
        <f t="shared" si="0"/>
        <v>18.666666666666668</v>
      </c>
      <c r="T11" s="68">
        <f t="shared" si="1"/>
        <v>18.666666666666668</v>
      </c>
      <c r="U11" s="68">
        <f t="shared" si="2"/>
        <v>18.666666666666668</v>
      </c>
      <c r="V11" s="68">
        <f>0.543415*0*Q11</f>
        <v>0</v>
      </c>
      <c r="W11" s="68">
        <f>0.768505*0*R11</f>
        <v>0</v>
      </c>
    </row>
    <row r="12" spans="1:23" s="3" customFormat="1" ht="15" x14ac:dyDescent="0.4">
      <c r="A12" s="14"/>
      <c r="B12" s="14"/>
      <c r="C12" s="14"/>
      <c r="D12" s="34" t="s">
        <v>38</v>
      </c>
      <c r="E12" s="35">
        <v>19</v>
      </c>
      <c r="F12" s="10">
        <v>4200</v>
      </c>
      <c r="G12" s="27">
        <v>1</v>
      </c>
      <c r="H12" s="33">
        <v>100</v>
      </c>
      <c r="I12" s="27">
        <v>1</v>
      </c>
      <c r="J12" s="27">
        <v>35</v>
      </c>
      <c r="K12" s="27">
        <v>45</v>
      </c>
      <c r="L12" s="26">
        <v>1000</v>
      </c>
      <c r="M12" s="68">
        <v>67.727763157894742</v>
      </c>
      <c r="N12" s="68">
        <v>67.727763157894742</v>
      </c>
      <c r="O12" s="68">
        <v>175.91062682125363</v>
      </c>
      <c r="P12" s="68">
        <v>219.88828352656702</v>
      </c>
      <c r="Q12" s="68">
        <f>F12/1000*H12/1000*O12*I12*G12</f>
        <v>73.882463264926528</v>
      </c>
      <c r="R12" s="68">
        <f>F12/1000*H12/1000*P12*I12*G12</f>
        <v>92.353079081158143</v>
      </c>
      <c r="S12" s="68">
        <f t="shared" si="0"/>
        <v>13.333333333333332</v>
      </c>
      <c r="T12" s="68">
        <f t="shared" si="1"/>
        <v>13.333333333333332</v>
      </c>
      <c r="U12" s="68">
        <f t="shared" si="2"/>
        <v>13.333333333333332</v>
      </c>
      <c r="V12" s="68">
        <f>0.71887*0*Q12</f>
        <v>0</v>
      </c>
      <c r="W12" s="68">
        <f>0.815123*0*R12</f>
        <v>0</v>
      </c>
    </row>
    <row r="13" spans="1:23" s="3" customFormat="1" ht="15" x14ac:dyDescent="0.4">
      <c r="A13" s="14"/>
      <c r="B13" s="14"/>
      <c r="C13" s="14"/>
      <c r="D13" s="24" t="s">
        <v>31</v>
      </c>
      <c r="E13" s="5">
        <v>22</v>
      </c>
      <c r="F13" s="10">
        <v>4200</v>
      </c>
      <c r="G13" s="11">
        <v>1</v>
      </c>
      <c r="H13" s="25">
        <v>12</v>
      </c>
      <c r="I13" s="11">
        <v>3</v>
      </c>
      <c r="J13" s="11">
        <v>30</v>
      </c>
      <c r="K13" s="11">
        <v>40</v>
      </c>
      <c r="L13" s="16"/>
      <c r="M13" s="68">
        <v>50.795822368421049</v>
      </c>
      <c r="N13" s="68">
        <v>50.795822368421049</v>
      </c>
      <c r="O13" s="68">
        <v>659.66485057970112</v>
      </c>
      <c r="P13" s="68">
        <v>659.66485057970112</v>
      </c>
      <c r="Q13" s="68">
        <f>F13/1000*G13*H13/1000*I13*O13</f>
        <v>99.741325407650834</v>
      </c>
      <c r="R13" s="68">
        <f>F13/1000*G13*H13/1000*I13*P13</f>
        <v>99.741325407650834</v>
      </c>
      <c r="S13" s="68">
        <f t="shared" si="0"/>
        <v>1.6</v>
      </c>
      <c r="T13" s="68">
        <f t="shared" si="1"/>
        <v>1.6</v>
      </c>
      <c r="U13" s="68">
        <f t="shared" si="2"/>
        <v>4.8000000000000007</v>
      </c>
      <c r="V13" s="68">
        <f>0.768505*0*Q13</f>
        <v>0</v>
      </c>
      <c r="W13" s="68">
        <f>0.887393*0*R13</f>
        <v>0</v>
      </c>
    </row>
    <row r="14" spans="1:23" s="3" customFormat="1" ht="15" x14ac:dyDescent="0.4">
      <c r="P14" s="43" t="s">
        <v>45</v>
      </c>
      <c r="Q14" s="68">
        <f>SUM(Q2:Q13)</f>
        <v>610.30608779992576</v>
      </c>
      <c r="R14" s="68">
        <f>SUM(R2:R13)</f>
        <v>675.80289148428301</v>
      </c>
      <c r="V14" s="68">
        <f>SUM(V2:V13)</f>
        <v>0</v>
      </c>
      <c r="W14" s="68">
        <f>SUM(W2:W13)</f>
        <v>0</v>
      </c>
    </row>
    <row r="15" spans="1:23" s="3" customFormat="1" ht="15" x14ac:dyDescent="0.4"/>
    <row r="16" spans="1:23" s="3" customFormat="1" ht="15" x14ac:dyDescent="0.4"/>
    <row r="17" s="3" customFormat="1" ht="15" x14ac:dyDescent="0.4"/>
    <row r="18" s="3" customFormat="1" ht="15" x14ac:dyDescent="0.4"/>
    <row r="19" s="3" customFormat="1" ht="15" x14ac:dyDescent="0.4"/>
    <row r="20" s="3" customFormat="1" ht="15" x14ac:dyDescent="0.4"/>
    <row r="21" s="3" customFormat="1" ht="15" x14ac:dyDescent="0.4"/>
    <row r="22" s="3" customFormat="1" ht="15" x14ac:dyDescent="0.4"/>
    <row r="23" s="3" customFormat="1" ht="15" x14ac:dyDescent="0.4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Example</vt:lpstr>
      <vt:lpstr>保定大发纸业</vt:lpstr>
      <vt:lpstr>优兰发</vt:lpstr>
      <vt:lpstr>鑫瑞纸业新线</vt:lpstr>
      <vt:lpstr>美洁纸业</vt:lpstr>
      <vt:lpstr>金南4200新线</vt:lpstr>
      <vt:lpstr>许昌宏伟纸业PM2</vt:lpstr>
      <vt:lpstr>许昌宏伟纸业PM1</vt:lpstr>
      <vt:lpstr>鸿达PM3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任鹏</dc:creator>
  <cp:lastModifiedBy>RP</cp:lastModifiedBy>
  <dcterms:created xsi:type="dcterms:W3CDTF">2015-06-05T18:19:34Z</dcterms:created>
  <dcterms:modified xsi:type="dcterms:W3CDTF">2020-05-30T14:24:05Z</dcterms:modified>
</cp:coreProperties>
</file>