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5.xml" ContentType="application/vnd.openxmlformats-officedocument.drawingml.chartshapes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trlProps/ctrlProp1.xml" ContentType="application/vnd.ms-excel.controlproperties+xml"/>
  <Override PartName="/xl/charts/chart1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CONCREVIT\Laboratorio - RJ\projeto\PROJETO AULA\Recurso para Dosagem\"/>
    </mc:Choice>
  </mc:AlternateContent>
  <xr:revisionPtr revIDLastSave="0" documentId="13_ncr:1_{21C75E92-E9CC-483A-9441-9EBB485804D3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Em andamento" sheetId="3" state="hidden" r:id="rId1"/>
    <sheet name="Dosagem  0" sheetId="10" r:id="rId2"/>
    <sheet name="Dosagem " sheetId="2" r:id="rId3"/>
    <sheet name="Curva de abrams" sheetId="9" state="hidden" r:id="rId4"/>
    <sheet name="Analise Granul.. - Ag Miúdo" sheetId="4" state="hidden" r:id="rId5"/>
    <sheet name="Pedra 0+1" sheetId="1" state="hidden" r:id="rId6"/>
    <sheet name="Analise Combinação de materiais" sheetId="5" state="hidden" r:id="rId7"/>
    <sheet name="Dosagem - calculo" sheetId="6" r:id="rId8"/>
  </sheets>
  <externalReferences>
    <externalReference r:id="rId9"/>
    <externalReference r:id="rId10"/>
    <externalReference r:id="rId11"/>
  </externalReferences>
  <definedNames>
    <definedName name="_xlnm.Print_Area" localSheetId="4">'Analise Granul.. - Ag Miúdo'!$A$2:$P$72</definedName>
    <definedName name="_xlnm.Print_Area" localSheetId="3">'Curva de abrams'!$A$1:$S$34</definedName>
    <definedName name="_xlnm.Print_Area" localSheetId="2">'Dosagem '!$E$2:$P$57</definedName>
    <definedName name="_xlnm.Print_Area" localSheetId="1">'Dosagem  0'!$E$2:$P$57</definedName>
    <definedName name="_xlnm.Print_Area" localSheetId="7">'Dosagem - calculo'!$S$1:$AL$42</definedName>
    <definedName name="_xlnm.Print_Area" localSheetId="0">'Em andamento'!$D$2:$O$66</definedName>
    <definedName name="cvv">'[1]comparativo varejo'!$A$2</definedName>
    <definedName name="frv">'[1]comparativo varejo'!$C$2</definedName>
    <definedName name="sdv">'[1]comparativo varejo'!$B$2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" i="10" l="1"/>
  <c r="F56" i="10"/>
  <c r="I55" i="10"/>
  <c r="F55" i="10"/>
  <c r="I54" i="10"/>
  <c r="F54" i="10"/>
  <c r="I53" i="10"/>
  <c r="F53" i="10"/>
  <c r="BA44" i="10"/>
  <c r="E44" i="10"/>
  <c r="BA43" i="10"/>
  <c r="E43" i="10"/>
  <c r="BA42" i="10"/>
  <c r="E42" i="10"/>
  <c r="BA41" i="10"/>
  <c r="E41" i="10"/>
  <c r="BA40" i="10"/>
  <c r="E40" i="10"/>
  <c r="S39" i="10"/>
  <c r="I39" i="10"/>
  <c r="G39" i="10"/>
  <c r="BA38" i="10"/>
  <c r="E38" i="10"/>
  <c r="C38" i="10"/>
  <c r="BA37" i="10"/>
  <c r="E37" i="10"/>
  <c r="C37" i="10"/>
  <c r="BA36" i="10"/>
  <c r="E36" i="10"/>
  <c r="C36" i="10"/>
  <c r="C39" i="10" s="1"/>
  <c r="E35" i="10"/>
  <c r="B35" i="10"/>
  <c r="BA34" i="10"/>
  <c r="E34" i="10"/>
  <c r="B34" i="10"/>
  <c r="BA33" i="10"/>
  <c r="E33" i="10"/>
  <c r="B33" i="10"/>
  <c r="B36" i="10" s="1"/>
  <c r="BA32" i="10"/>
  <c r="E32" i="10"/>
  <c r="BA31" i="10"/>
  <c r="E31" i="10"/>
  <c r="B31" i="10"/>
  <c r="B30" i="10"/>
  <c r="B32" i="10" s="1"/>
  <c r="M26" i="10"/>
  <c r="P12" i="10"/>
  <c r="O12" i="10"/>
  <c r="N12" i="10"/>
  <c r="M12" i="10"/>
  <c r="L12" i="10"/>
  <c r="K12" i="10"/>
  <c r="K9" i="10"/>
  <c r="C31" i="10" s="1"/>
  <c r="G9" i="10"/>
  <c r="BA52" i="10" s="1"/>
  <c r="G32" i="10" l="1"/>
  <c r="S32" i="10" s="1"/>
  <c r="G36" i="10"/>
  <c r="G38" i="10"/>
  <c r="G37" i="10"/>
  <c r="AV50" i="10"/>
  <c r="BA50" i="10"/>
  <c r="BA53" i="10"/>
  <c r="AV53" i="10"/>
  <c r="I32" i="10"/>
  <c r="AV51" i="10"/>
  <c r="BA51" i="10"/>
  <c r="AV52" i="10"/>
  <c r="G31" i="10" l="1"/>
  <c r="AW37" i="10"/>
  <c r="S37" i="10"/>
  <c r="I37" i="10"/>
  <c r="S38" i="10"/>
  <c r="I38" i="10"/>
  <c r="AW38" i="10"/>
  <c r="AW36" i="10"/>
  <c r="S36" i="10"/>
  <c r="I36" i="10"/>
  <c r="G40" i="10" l="1"/>
  <c r="G42" i="10"/>
  <c r="G33" i="10"/>
  <c r="R30" i="10" s="1"/>
  <c r="G41" i="10"/>
  <c r="G43" i="10"/>
  <c r="R43" i="10" s="1"/>
  <c r="I31" i="10"/>
  <c r="AX36" i="10" s="1"/>
  <c r="AW39" i="10"/>
  <c r="S31" i="10"/>
  <c r="G34" i="10"/>
  <c r="G44" i="10"/>
  <c r="S44" i="10" s="1"/>
  <c r="G35" i="10"/>
  <c r="R31" i="10" l="1"/>
  <c r="R37" i="10"/>
  <c r="R36" i="10"/>
  <c r="R38" i="10"/>
  <c r="AW33" i="10"/>
  <c r="S33" i="10"/>
  <c r="I33" i="10"/>
  <c r="S46" i="10"/>
  <c r="I34" i="10"/>
  <c r="AW34" i="10"/>
  <c r="S34" i="10"/>
  <c r="R40" i="10"/>
  <c r="I40" i="10"/>
  <c r="S40" i="10"/>
  <c r="I35" i="10"/>
  <c r="AX35" i="10" s="1"/>
  <c r="AW35" i="10"/>
  <c r="S35" i="10"/>
  <c r="S42" i="10"/>
  <c r="I42" i="10"/>
  <c r="R34" i="10"/>
  <c r="AX31" i="10"/>
  <c r="AX39" i="10"/>
  <c r="AX37" i="10"/>
  <c r="I41" i="10"/>
  <c r="S41" i="10"/>
  <c r="R41" i="10"/>
  <c r="R33" i="10"/>
  <c r="R44" i="10"/>
  <c r="R35" i="10"/>
  <c r="R42" i="10"/>
  <c r="I43" i="10"/>
  <c r="S43" i="10"/>
  <c r="AX38" i="10"/>
  <c r="R47" i="10" l="1"/>
  <c r="K34" i="10"/>
  <c r="AX34" i="10"/>
  <c r="K33" i="10"/>
  <c r="AX33" i="10"/>
  <c r="C28" i="10" s="1"/>
  <c r="H34" i="10" s="1"/>
  <c r="H37" i="10" l="1"/>
  <c r="H32" i="10"/>
  <c r="H31" i="10" s="1"/>
  <c r="H40" i="10" s="1"/>
  <c r="H33" i="10"/>
  <c r="H35" i="10"/>
  <c r="H38" i="10"/>
  <c r="H39" i="10"/>
  <c r="H36" i="10"/>
  <c r="K39" i="10"/>
  <c r="H41" i="10"/>
  <c r="H43" i="10"/>
  <c r="H44" i="10"/>
  <c r="I44" i="10" s="1"/>
  <c r="H42" i="10" l="1"/>
  <c r="D10" i="4" l="1"/>
  <c r="D9" i="4"/>
  <c r="G17" i="4"/>
  <c r="G9" i="2" l="1"/>
  <c r="D29" i="9"/>
  <c r="D28" i="9"/>
  <c r="F29" i="9"/>
  <c r="F28" i="9"/>
  <c r="F27" i="9"/>
  <c r="F26" i="9"/>
  <c r="F25" i="9"/>
  <c r="F24" i="9"/>
  <c r="E28" i="9"/>
  <c r="AL19" i="6"/>
  <c r="E27" i="9"/>
  <c r="D27" i="9"/>
  <c r="D26" i="9"/>
  <c r="D25" i="9"/>
  <c r="D24" i="9"/>
  <c r="F54" i="2"/>
  <c r="F55" i="2"/>
  <c r="F56" i="2"/>
  <c r="F53" i="2"/>
  <c r="G27" i="9" l="1"/>
  <c r="G28" i="9"/>
  <c r="BA31" i="2"/>
  <c r="I56" i="2"/>
  <c r="I54" i="2"/>
  <c r="I55" i="2"/>
  <c r="I53" i="2"/>
  <c r="E44" i="2"/>
  <c r="E43" i="2"/>
  <c r="E42" i="2"/>
  <c r="E41" i="2"/>
  <c r="E40" i="2"/>
  <c r="E38" i="2"/>
  <c r="E37" i="2"/>
  <c r="E36" i="2"/>
  <c r="E35" i="2"/>
  <c r="E34" i="2"/>
  <c r="E33" i="2"/>
  <c r="E32" i="2"/>
  <c r="E31" i="2"/>
  <c r="M9" i="1"/>
  <c r="L9" i="1"/>
  <c r="K9" i="1"/>
  <c r="J9" i="1"/>
  <c r="I9" i="1"/>
  <c r="H9" i="1"/>
  <c r="G9" i="1"/>
  <c r="F9" i="1"/>
  <c r="M8" i="1"/>
  <c r="L8" i="1"/>
  <c r="K8" i="1"/>
  <c r="J8" i="1"/>
  <c r="I8" i="1"/>
  <c r="H8" i="1"/>
  <c r="G8" i="1"/>
  <c r="P12" i="2"/>
  <c r="O12" i="2"/>
  <c r="N12" i="2"/>
  <c r="M12" i="2"/>
  <c r="L12" i="2"/>
  <c r="K12" i="2"/>
  <c r="F10" i="4" l="1"/>
  <c r="F11" i="4"/>
  <c r="F12" i="4"/>
  <c r="F13" i="4"/>
  <c r="F14" i="4"/>
  <c r="F15" i="4"/>
  <c r="F9" i="4"/>
  <c r="F8" i="4"/>
  <c r="E15" i="4"/>
  <c r="K17" i="4"/>
  <c r="L17" i="4"/>
  <c r="E10" i="4"/>
  <c r="E11" i="4"/>
  <c r="E12" i="4"/>
  <c r="E13" i="4"/>
  <c r="E14" i="4"/>
  <c r="E9" i="4"/>
  <c r="E8" i="4"/>
  <c r="H8" i="4" s="1"/>
  <c r="D11" i="4"/>
  <c r="D12" i="4"/>
  <c r="D13" i="4"/>
  <c r="D14" i="4"/>
  <c r="D15" i="4"/>
  <c r="D8" i="4"/>
  <c r="G8" i="4" s="1"/>
  <c r="G9" i="4" s="1"/>
  <c r="B15" i="4"/>
  <c r="B9" i="4"/>
  <c r="B10" i="4"/>
  <c r="B11" i="4"/>
  <c r="B12" i="4"/>
  <c r="B13" i="4"/>
  <c r="B14" i="4"/>
  <c r="B8" i="4"/>
  <c r="H9" i="4" l="1"/>
  <c r="H10" i="4" s="1"/>
  <c r="H11" i="4" s="1"/>
  <c r="H12" i="4" s="1"/>
  <c r="H13" i="4" s="1"/>
  <c r="H14" i="4" s="1"/>
  <c r="H15" i="4" s="1"/>
  <c r="E16" i="4" l="1"/>
  <c r="M26" i="2"/>
  <c r="F16" i="4" s="1"/>
  <c r="O16" i="4" l="1"/>
  <c r="K9" i="2"/>
  <c r="BA51" i="2" l="1"/>
  <c r="BA53" i="2"/>
  <c r="BA52" i="2"/>
  <c r="BA50" i="2"/>
  <c r="AV52" i="2"/>
  <c r="AV53" i="2"/>
  <c r="AV51" i="2"/>
  <c r="AV50" i="2"/>
  <c r="E24" i="9"/>
  <c r="G24" i="9" s="1"/>
  <c r="J39" i="1"/>
  <c r="I8" i="4"/>
  <c r="I9" i="4" s="1"/>
  <c r="I10" i="4" s="1"/>
  <c r="L30" i="9"/>
  <c r="E29" i="9"/>
  <c r="G29" i="9" s="1"/>
  <c r="E26" i="9"/>
  <c r="G26" i="9" s="1"/>
  <c r="E25" i="9"/>
  <c r="G25" i="9" s="1"/>
  <c r="I7" i="9"/>
  <c r="E3" i="9"/>
  <c r="D16" i="4" l="1"/>
  <c r="G10" i="4"/>
  <c r="G11" i="4" s="1"/>
  <c r="G12" i="4" s="1"/>
  <c r="I11" i="4"/>
  <c r="I12" i="4" s="1"/>
  <c r="I13" i="4" s="1"/>
  <c r="I14" i="4" s="1"/>
  <c r="I15" i="4" s="1"/>
  <c r="G13" i="4" l="1"/>
  <c r="G14" i="4" s="1"/>
  <c r="G15" i="4" s="1"/>
  <c r="W41" i="6" l="1"/>
  <c r="Z24" i="6"/>
  <c r="AL28" i="6"/>
  <c r="AA31" i="6" s="1"/>
  <c r="Z20" i="6"/>
  <c r="AA35" i="6" l="1"/>
  <c r="Z9" i="6"/>
  <c r="V14" i="6" s="1"/>
  <c r="F55" i="6"/>
  <c r="F54" i="6"/>
  <c r="F53" i="6"/>
  <c r="F52" i="6"/>
  <c r="F51" i="6"/>
  <c r="L41" i="6"/>
  <c r="L40" i="6"/>
  <c r="L39" i="6"/>
  <c r="L38" i="6"/>
  <c r="L37" i="6"/>
  <c r="G36" i="6"/>
  <c r="L35" i="6"/>
  <c r="C35" i="6"/>
  <c r="L34" i="6"/>
  <c r="C34" i="6"/>
  <c r="L33" i="6"/>
  <c r="C33" i="6"/>
  <c r="B32" i="6"/>
  <c r="L31" i="6"/>
  <c r="B31" i="6"/>
  <c r="L30" i="6"/>
  <c r="B30" i="6"/>
  <c r="L29" i="6"/>
  <c r="L28" i="6"/>
  <c r="C28" i="6"/>
  <c r="G29" i="6" s="1"/>
  <c r="B28" i="6"/>
  <c r="B27" i="6"/>
  <c r="K9" i="6"/>
  <c r="B29" i="6" l="1"/>
  <c r="C36" i="6"/>
  <c r="G33" i="6" s="1"/>
  <c r="B33" i="6"/>
  <c r="G28" i="6"/>
  <c r="M29" i="6"/>
  <c r="G35" i="6"/>
  <c r="G34" i="6"/>
  <c r="M36" i="6"/>
  <c r="C10" i="1"/>
  <c r="C9" i="1"/>
  <c r="C8" i="1"/>
  <c r="F7" i="4"/>
  <c r="E7" i="4"/>
  <c r="D7" i="4"/>
  <c r="E23" i="5"/>
  <c r="Q7" i="5"/>
  <c r="S7" i="5" s="1"/>
  <c r="S6" i="5"/>
  <c r="D5" i="5"/>
  <c r="E4" i="5"/>
  <c r="O3" i="5"/>
  <c r="N3" i="5"/>
  <c r="M3" i="5"/>
  <c r="I3" i="5"/>
  <c r="E3" i="5"/>
  <c r="D3" i="5"/>
  <c r="G30" i="6" l="1"/>
  <c r="J11" i="4"/>
  <c r="J10" i="4"/>
  <c r="J9" i="4"/>
  <c r="J8" i="4"/>
  <c r="J15" i="4"/>
  <c r="J14" i="4"/>
  <c r="J13" i="4"/>
  <c r="J12" i="4"/>
  <c r="M33" i="6"/>
  <c r="H33" i="6"/>
  <c r="G37" i="6"/>
  <c r="M28" i="6"/>
  <c r="I28" i="6" s="1"/>
  <c r="G31" i="6"/>
  <c r="G40" i="6"/>
  <c r="G38" i="6"/>
  <c r="G39" i="6"/>
  <c r="G32" i="6"/>
  <c r="M35" i="6"/>
  <c r="H35" i="6"/>
  <c r="I36" i="6"/>
  <c r="M34" i="6"/>
  <c r="H34" i="6"/>
  <c r="H36" i="6"/>
  <c r="F6" i="4"/>
  <c r="E6" i="4"/>
  <c r="D6" i="4"/>
  <c r="K8" i="4" l="1"/>
  <c r="K9" i="4" s="1"/>
  <c r="K10" i="4" s="1"/>
  <c r="K11" i="4" s="1"/>
  <c r="K12" i="4" s="1"/>
  <c r="J16" i="4"/>
  <c r="I34" i="6"/>
  <c r="M40" i="6"/>
  <c r="M31" i="6"/>
  <c r="H31" i="6"/>
  <c r="H40" i="6"/>
  <c r="H32" i="6"/>
  <c r="M32" i="6"/>
  <c r="I32" i="6" s="1"/>
  <c r="M30" i="6"/>
  <c r="H30" i="6"/>
  <c r="I33" i="6"/>
  <c r="G63" i="6"/>
  <c r="M39" i="6"/>
  <c r="I35" i="6"/>
  <c r="M38" i="6"/>
  <c r="M37" i="6"/>
  <c r="K3" i="5"/>
  <c r="J3" i="5"/>
  <c r="L3" i="5"/>
  <c r="M17" i="4"/>
  <c r="E55" i="3"/>
  <c r="E54" i="3"/>
  <c r="E53" i="3"/>
  <c r="E52" i="3"/>
  <c r="E51" i="3"/>
  <c r="K41" i="3"/>
  <c r="L40" i="3"/>
  <c r="K40" i="3"/>
  <c r="L39" i="3"/>
  <c r="K39" i="3"/>
  <c r="L38" i="3"/>
  <c r="K38" i="3"/>
  <c r="L37" i="3"/>
  <c r="K37" i="3"/>
  <c r="F36" i="3"/>
  <c r="L36" i="3" s="1"/>
  <c r="L35" i="3"/>
  <c r="K35" i="3"/>
  <c r="L34" i="3"/>
  <c r="K34" i="3"/>
  <c r="L33" i="3"/>
  <c r="K33" i="3"/>
  <c r="L32" i="3"/>
  <c r="E32" i="3"/>
  <c r="L31" i="3"/>
  <c r="N31" i="3" s="1"/>
  <c r="K31" i="3"/>
  <c r="E31" i="3"/>
  <c r="L30" i="3"/>
  <c r="N30" i="3" s="1"/>
  <c r="K30" i="3"/>
  <c r="E30" i="3"/>
  <c r="L29" i="3"/>
  <c r="K29" i="3"/>
  <c r="K28" i="3"/>
  <c r="F28" i="3"/>
  <c r="J9" i="3"/>
  <c r="BA44" i="2"/>
  <c r="BA43" i="2"/>
  <c r="BA42" i="2"/>
  <c r="BA41" i="2"/>
  <c r="BA40" i="2"/>
  <c r="G39" i="2"/>
  <c r="S39" i="2" s="1"/>
  <c r="BA38" i="2"/>
  <c r="C38" i="2"/>
  <c r="BA37" i="2"/>
  <c r="BA36" i="2"/>
  <c r="C36" i="2"/>
  <c r="B35" i="2"/>
  <c r="BA34" i="2"/>
  <c r="B34" i="2"/>
  <c r="BA33" i="2"/>
  <c r="BA32" i="2"/>
  <c r="C31" i="2"/>
  <c r="G32" i="2" s="1"/>
  <c r="S32" i="2" s="1"/>
  <c r="B31" i="2"/>
  <c r="B30" i="2"/>
  <c r="B68" i="1"/>
  <c r="J52" i="1"/>
  <c r="H52" i="1"/>
  <c r="E52" i="1"/>
  <c r="J51" i="1"/>
  <c r="H51" i="1"/>
  <c r="E51" i="1"/>
  <c r="J50" i="1"/>
  <c r="H50" i="1"/>
  <c r="F50" i="1"/>
  <c r="E50" i="1"/>
  <c r="J49" i="1"/>
  <c r="H49" i="1"/>
  <c r="F49" i="1"/>
  <c r="E49" i="1"/>
  <c r="J48" i="1"/>
  <c r="H48" i="1"/>
  <c r="F48" i="1"/>
  <c r="J47" i="1"/>
  <c r="H47" i="1"/>
  <c r="F47" i="1"/>
  <c r="J46" i="1"/>
  <c r="J45" i="1"/>
  <c r="J44" i="1"/>
  <c r="J43" i="1"/>
  <c r="J42" i="1"/>
  <c r="J41" i="1"/>
  <c r="J40" i="1"/>
  <c r="I11" i="1"/>
  <c r="E14" i="5" s="1"/>
  <c r="F63" i="3" l="1"/>
  <c r="D16" i="5"/>
  <c r="G31" i="2"/>
  <c r="M68" i="1"/>
  <c r="K68" i="1"/>
  <c r="B32" i="2"/>
  <c r="O30" i="6"/>
  <c r="I30" i="6"/>
  <c r="O31" i="6"/>
  <c r="I31" i="6"/>
  <c r="E11" i="1"/>
  <c r="E10" i="5" s="1"/>
  <c r="H11" i="1"/>
  <c r="E13" i="5" s="1"/>
  <c r="K11" i="1"/>
  <c r="E16" i="5" s="1"/>
  <c r="C37" i="2"/>
  <c r="C39" i="2" s="1"/>
  <c r="G36" i="2" s="1"/>
  <c r="S36" i="2" s="1"/>
  <c r="D11" i="1"/>
  <c r="E9" i="5" s="1"/>
  <c r="I39" i="2"/>
  <c r="H36" i="3"/>
  <c r="I36" i="3" s="1"/>
  <c r="H63" i="3" s="1"/>
  <c r="N36" i="3"/>
  <c r="H34" i="3"/>
  <c r="I34" i="3" s="1"/>
  <c r="H33" i="3"/>
  <c r="I33" i="3" s="1"/>
  <c r="L28" i="3"/>
  <c r="H32" i="3" s="1"/>
  <c r="I32" i="3" s="1"/>
  <c r="G32" i="3"/>
  <c r="E29" i="3"/>
  <c r="I29" i="3" s="1"/>
  <c r="I28" i="3" s="1"/>
  <c r="G31" i="3"/>
  <c r="G34" i="3"/>
  <c r="G28" i="3"/>
  <c r="G33" i="3"/>
  <c r="G36" i="3"/>
  <c r="G30" i="3"/>
  <c r="H31" i="3"/>
  <c r="I31" i="3" s="1"/>
  <c r="G35" i="3"/>
  <c r="G40" i="3"/>
  <c r="L11" i="1"/>
  <c r="E17" i="5" s="1"/>
  <c r="F68" i="1"/>
  <c r="J68" i="1"/>
  <c r="B69" i="1"/>
  <c r="K69" i="1" s="1"/>
  <c r="G68" i="1"/>
  <c r="F11" i="1"/>
  <c r="E11" i="5" s="1"/>
  <c r="J11" i="1"/>
  <c r="E15" i="5" s="1"/>
  <c r="D68" i="1"/>
  <c r="H68" i="1"/>
  <c r="L68" i="1"/>
  <c r="G11" i="1"/>
  <c r="E12" i="5" s="1"/>
  <c r="E68" i="1"/>
  <c r="I68" i="1"/>
  <c r="J12" i="1"/>
  <c r="H12" i="1"/>
  <c r="F12" i="1"/>
  <c r="I12" i="1"/>
  <c r="L12" i="1"/>
  <c r="G12" i="1"/>
  <c r="D12" i="1"/>
  <c r="E12" i="1"/>
  <c r="M12" i="1"/>
  <c r="K12" i="1"/>
  <c r="S31" i="2" l="1"/>
  <c r="G44" i="2"/>
  <c r="S44" i="2" s="1"/>
  <c r="G43" i="2"/>
  <c r="S43" i="2" s="1"/>
  <c r="I31" i="2"/>
  <c r="G42" i="2"/>
  <c r="S42" i="2" s="1"/>
  <c r="I32" i="2"/>
  <c r="C25" i="6"/>
  <c r="O36" i="6"/>
  <c r="G37" i="2"/>
  <c r="S37" i="2" s="1"/>
  <c r="G38" i="2"/>
  <c r="AW39" i="2"/>
  <c r="I40" i="3"/>
  <c r="I39" i="3"/>
  <c r="I41" i="3"/>
  <c r="L41" i="3" s="1"/>
  <c r="I37" i="3"/>
  <c r="I38" i="3"/>
  <c r="H35" i="3"/>
  <c r="I35" i="3" s="1"/>
  <c r="H30" i="3"/>
  <c r="I30" i="3" s="1"/>
  <c r="H28" i="3"/>
  <c r="I36" i="2"/>
  <c r="AW36" i="2"/>
  <c r="G41" i="2"/>
  <c r="S41" i="2" s="1"/>
  <c r="G40" i="2"/>
  <c r="S40" i="2" s="1"/>
  <c r="M69" i="1"/>
  <c r="I69" i="1"/>
  <c r="E69" i="1"/>
  <c r="L69" i="1"/>
  <c r="H69" i="1"/>
  <c r="D69" i="1"/>
  <c r="G69" i="1"/>
  <c r="C69" i="1"/>
  <c r="J69" i="1"/>
  <c r="F69" i="1"/>
  <c r="J13" i="1"/>
  <c r="H13" i="1"/>
  <c r="D13" i="1"/>
  <c r="M13" i="1"/>
  <c r="G13" i="1"/>
  <c r="I13" i="1"/>
  <c r="E13" i="1"/>
  <c r="K13" i="1"/>
  <c r="L13" i="1"/>
  <c r="H3" i="1"/>
  <c r="F13" i="1"/>
  <c r="I42" i="2" l="1"/>
  <c r="I38" i="2"/>
  <c r="S38" i="2"/>
  <c r="I40" i="2"/>
  <c r="I43" i="2"/>
  <c r="I41" i="2"/>
  <c r="I37" i="2"/>
  <c r="AX37" i="2" s="1"/>
  <c r="AX39" i="2"/>
  <c r="AW37" i="2"/>
  <c r="J29" i="6"/>
  <c r="J28" i="6" s="1"/>
  <c r="J34" i="6"/>
  <c r="J36" i="6"/>
  <c r="I63" i="6" s="1"/>
  <c r="J33" i="6"/>
  <c r="J35" i="6"/>
  <c r="J32" i="6"/>
  <c r="J30" i="6"/>
  <c r="J31" i="6"/>
  <c r="AW38" i="2"/>
  <c r="AX36" i="2"/>
  <c r="AX31" i="2"/>
  <c r="AX38" i="2"/>
  <c r="B33" i="2"/>
  <c r="B36" i="2" s="1"/>
  <c r="J41" i="6" l="1"/>
  <c r="M41" i="6" s="1"/>
  <c r="J37" i="6"/>
  <c r="J39" i="6"/>
  <c r="J40" i="6"/>
  <c r="J38" i="6"/>
  <c r="G33" i="2"/>
  <c r="G34" i="2"/>
  <c r="S34" i="2" s="1"/>
  <c r="G35" i="2"/>
  <c r="S35" i="2" s="1"/>
  <c r="S33" i="2" l="1"/>
  <c r="S46" i="2"/>
  <c r="I34" i="2"/>
  <c r="R30" i="2"/>
  <c r="R34" i="2" s="1"/>
  <c r="I33" i="2"/>
  <c r="AX33" i="2" s="1"/>
  <c r="D17" i="5"/>
  <c r="AW35" i="2"/>
  <c r="I35" i="2"/>
  <c r="AX35" i="2" s="1"/>
  <c r="AW33" i="2"/>
  <c r="AW34" i="2"/>
  <c r="R31" i="2" l="1"/>
  <c r="I4" i="5" s="1"/>
  <c r="I22" i="5" s="1"/>
  <c r="R36" i="2"/>
  <c r="R37" i="2"/>
  <c r="N4" i="5" s="1"/>
  <c r="N22" i="5" s="1"/>
  <c r="R33" i="2"/>
  <c r="J4" i="5" s="1"/>
  <c r="J22" i="5" s="1"/>
  <c r="R35" i="2"/>
  <c r="L4" i="5" s="1"/>
  <c r="K4" i="5"/>
  <c r="K22" i="5" s="1"/>
  <c r="K34" i="2"/>
  <c r="AX34" i="2"/>
  <c r="C28" i="2" s="1"/>
  <c r="H32" i="2" s="1"/>
  <c r="H31" i="2" s="1"/>
  <c r="K33" i="2"/>
  <c r="R44" i="2"/>
  <c r="R43" i="2"/>
  <c r="R41" i="2"/>
  <c r="R42" i="2"/>
  <c r="M4" i="5"/>
  <c r="M22" i="5" s="1"/>
  <c r="R40" i="2"/>
  <c r="R38" i="2"/>
  <c r="O4" i="5" s="1"/>
  <c r="O22" i="5" s="1"/>
  <c r="J17" i="5" l="1"/>
  <c r="K39" i="2"/>
  <c r="H33" i="2"/>
  <c r="R47" i="2"/>
  <c r="L17" i="5"/>
  <c r="L22" i="5"/>
  <c r="Q22" i="5" s="1"/>
  <c r="L16" i="5"/>
  <c r="Q2" i="5"/>
  <c r="D19" i="5"/>
  <c r="L19" i="5" s="1"/>
  <c r="D18" i="5"/>
  <c r="L18" i="5" s="1"/>
  <c r="K17" i="5"/>
  <c r="K16" i="5"/>
  <c r="J16" i="5"/>
  <c r="M19" i="5"/>
  <c r="M21" i="5"/>
  <c r="M10" i="5"/>
  <c r="M17" i="5"/>
  <c r="M18" i="5"/>
  <c r="M8" i="5"/>
  <c r="M12" i="5"/>
  <c r="M16" i="5"/>
  <c r="M15" i="5"/>
  <c r="M11" i="5"/>
  <c r="M14" i="5"/>
  <c r="M23" i="5"/>
  <c r="M20" i="5"/>
  <c r="M9" i="5"/>
  <c r="M13" i="5"/>
  <c r="O23" i="5"/>
  <c r="O21" i="5"/>
  <c r="O12" i="5"/>
  <c r="O9" i="5"/>
  <c r="O16" i="5"/>
  <c r="O20" i="5"/>
  <c r="O11" i="5"/>
  <c r="O10" i="5"/>
  <c r="O14" i="5"/>
  <c r="O15" i="5"/>
  <c r="O17" i="5"/>
  <c r="O18" i="5"/>
  <c r="O8" i="5"/>
  <c r="O19" i="5"/>
  <c r="O13" i="5"/>
  <c r="N11" i="5"/>
  <c r="N15" i="5"/>
  <c r="N23" i="5"/>
  <c r="N19" i="5"/>
  <c r="N20" i="5"/>
  <c r="N10" i="5"/>
  <c r="N12" i="5"/>
  <c r="N8" i="5"/>
  <c r="N13" i="5"/>
  <c r="N9" i="5"/>
  <c r="N21" i="5"/>
  <c r="N17" i="5"/>
  <c r="N14" i="5"/>
  <c r="N18" i="5"/>
  <c r="N16" i="5"/>
  <c r="S22" i="5" l="1"/>
  <c r="J19" i="5"/>
  <c r="K13" i="4"/>
  <c r="K14" i="4" s="1"/>
  <c r="K15" i="4" s="1"/>
  <c r="H39" i="2"/>
  <c r="H34" i="2"/>
  <c r="K19" i="5"/>
  <c r="J18" i="5"/>
  <c r="K18" i="5"/>
  <c r="Q16" i="5"/>
  <c r="S16" i="5" s="1"/>
  <c r="Q17" i="5"/>
  <c r="S17" i="5" s="1"/>
  <c r="Q13" i="5"/>
  <c r="S13" i="5" s="1"/>
  <c r="Q14" i="5"/>
  <c r="S14" i="5" s="1"/>
  <c r="Q9" i="5"/>
  <c r="S9" i="5" s="1"/>
  <c r="Q11" i="5"/>
  <c r="S11" i="5" s="1"/>
  <c r="Q12" i="5"/>
  <c r="S12" i="5" s="1"/>
  <c r="Q10" i="5"/>
  <c r="S10" i="5" s="1"/>
  <c r="Q15" i="5"/>
  <c r="S15" i="5" s="1"/>
  <c r="Q8" i="5"/>
  <c r="S8" i="5" s="1"/>
  <c r="H37" i="2"/>
  <c r="H36" i="2"/>
  <c r="H38" i="2"/>
  <c r="H35" i="2"/>
  <c r="D21" i="5" l="1"/>
  <c r="J21" i="5" s="1"/>
  <c r="D23" i="5"/>
  <c r="K23" i="5" s="1"/>
  <c r="D20" i="5"/>
  <c r="J20" i="5" s="1"/>
  <c r="Q19" i="5"/>
  <c r="S19" i="5" s="1"/>
  <c r="Q18" i="5"/>
  <c r="S18" i="5" s="1"/>
  <c r="H42" i="2"/>
  <c r="H41" i="2"/>
  <c r="H43" i="2"/>
  <c r="H44" i="2"/>
  <c r="I44" i="2" s="1"/>
  <c r="H40" i="2"/>
  <c r="L20" i="5" l="1"/>
  <c r="K20" i="5"/>
  <c r="L21" i="5"/>
  <c r="L23" i="5"/>
  <c r="K21" i="5"/>
  <c r="J23" i="5"/>
  <c r="Q20" i="5" l="1"/>
  <c r="S20" i="5" s="1"/>
  <c r="Q21" i="5"/>
  <c r="S21" i="5" s="1"/>
  <c r="Q23" i="5"/>
</calcChain>
</file>

<file path=xl/sharedStrings.xml><?xml version="1.0" encoding="utf-8"?>
<sst xmlns="http://schemas.openxmlformats.org/spreadsheetml/2006/main" count="730" uniqueCount="314">
  <si>
    <t>GRANULOMETRIA COMBINADA B0 IBRATA + B1 IBRATA</t>
  </si>
  <si>
    <t>Faixa :</t>
  </si>
  <si>
    <t>Tamanho de</t>
  </si>
  <si>
    <t>Aberturas das peneiras</t>
  </si>
  <si>
    <t>de</t>
  </si>
  <si>
    <t>1 1/2"</t>
  </si>
  <si>
    <t>1 1/8"</t>
  </si>
  <si>
    <t>1"</t>
  </si>
  <si>
    <t>3/4"</t>
  </si>
  <si>
    <t>1/2"</t>
  </si>
  <si>
    <t>"3/8</t>
  </si>
  <si>
    <t>1/4"</t>
  </si>
  <si>
    <t>Fundo</t>
  </si>
  <si>
    <t>agregado</t>
  </si>
  <si>
    <t>38 mm</t>
  </si>
  <si>
    <t>32 mm</t>
  </si>
  <si>
    <t>25 mm</t>
  </si>
  <si>
    <t>19 mm</t>
  </si>
  <si>
    <t>12,7 mm</t>
  </si>
  <si>
    <t>9,5 mm</t>
  </si>
  <si>
    <t>6,3 mm</t>
  </si>
  <si>
    <t>4,8 mm</t>
  </si>
  <si>
    <t>2,4 mm</t>
  </si>
  <si>
    <t>0,0 mm</t>
  </si>
  <si>
    <t>Pedra 0</t>
  </si>
  <si>
    <t>Pedra 1</t>
  </si>
  <si>
    <t>Pedra 2</t>
  </si>
  <si>
    <t>Mista</t>
  </si>
  <si>
    <t>Faixa  superior</t>
  </si>
  <si>
    <t>Faixa  inferior</t>
  </si>
  <si>
    <t>TABELA  2  -  Limites de granulometricos de agregados graudos</t>
  </si>
  <si>
    <t>Graduação</t>
  </si>
  <si>
    <t>11/8"</t>
  </si>
  <si>
    <t>[ JIS ]</t>
  </si>
  <si>
    <t>( 9,5  a  4,8 )</t>
  </si>
  <si>
    <t>( 13  a  4,8 )</t>
  </si>
  <si>
    <t>( 19  a  4,8 )</t>
  </si>
  <si>
    <t>( 25  a  4,8 )</t>
  </si>
  <si>
    <t>( 32  a  4,8 )</t>
  </si>
  <si>
    <t>( 38  a  4,8 )</t>
  </si>
  <si>
    <t>( 38  a  19 )</t>
  </si>
  <si>
    <t>Obs. :</t>
  </si>
  <si>
    <t>17,4  39,9  -----  90,8</t>
  </si>
  <si>
    <t>são interporados</t>
  </si>
  <si>
    <t>Atenção   !! Não mexxer quadro abaixo !!</t>
  </si>
  <si>
    <t>TRAÇO EXPERIMENTAL DE LABORATÓRIO</t>
  </si>
  <si>
    <t>1. Identificação</t>
  </si>
  <si>
    <t>ESTUDO/CLIENTE:</t>
  </si>
  <si>
    <t>DATA:</t>
  </si>
  <si>
    <t>DOSAGEM Nº:</t>
  </si>
  <si>
    <t xml:space="preserve">TRAÇO: </t>
  </si>
  <si>
    <t>APLICAÇÃO:</t>
  </si>
  <si>
    <t>CENTRAL:</t>
  </si>
  <si>
    <t>2. Características do concreto / parâmetros de dosagem</t>
  </si>
  <si>
    <t>fck</t>
  </si>
  <si>
    <t>Sd</t>
  </si>
  <si>
    <t>Fc28d (Mpa)</t>
  </si>
  <si>
    <t>abatimento (mm)</t>
  </si>
  <si>
    <r>
      <t>água (l/m</t>
    </r>
    <r>
      <rPr>
        <vertAlign val="superscript"/>
        <sz val="10"/>
        <rFont val="Times New Roman"/>
        <family val="1"/>
      </rPr>
      <t>3</t>
    </r>
    <r>
      <rPr>
        <sz val="10"/>
        <color indexed="8"/>
        <rFont val="Times New Roman"/>
        <family val="1"/>
      </rPr>
      <t>)</t>
    </r>
  </si>
  <si>
    <r>
      <t>consumo (kg/m</t>
    </r>
    <r>
      <rPr>
        <vertAlign val="superscript"/>
        <sz val="10"/>
        <rFont val="Times New Roman"/>
        <family val="1"/>
      </rPr>
      <t>3</t>
    </r>
    <r>
      <rPr>
        <sz val="10"/>
        <color indexed="8"/>
        <rFont val="Times New Roman"/>
        <family val="1"/>
      </rPr>
      <t>)</t>
    </r>
  </si>
  <si>
    <t>a/c</t>
  </si>
  <si>
    <t>Targ.vol.  (%)</t>
  </si>
  <si>
    <t>Tar (%)</t>
  </si>
  <si>
    <t xml:space="preserve">D Max </t>
  </si>
  <si>
    <t>Eci       (Gpa</t>
  </si>
  <si>
    <t>Tipo de Lançamento</t>
  </si>
  <si>
    <t>Bombéavel</t>
  </si>
  <si>
    <t>3. Materiais utilizados</t>
  </si>
  <si>
    <t>material</t>
  </si>
  <si>
    <t>descrição</t>
  </si>
  <si>
    <t>Fornecedor</t>
  </si>
  <si>
    <t>tipo/classe</t>
  </si>
  <si>
    <t>M.        Finura</t>
  </si>
  <si>
    <t>M. Especidica</t>
  </si>
  <si>
    <t xml:space="preserve"> cimento</t>
  </si>
  <si>
    <t>CIMENTO</t>
  </si>
  <si>
    <t>CAUÊ</t>
  </si>
  <si>
    <t>CPII E 40</t>
  </si>
  <si>
    <t xml:space="preserve"> aglom.2</t>
  </si>
  <si>
    <t xml:space="preserve"> </t>
  </si>
  <si>
    <t>3.3 ag.miúdo 1</t>
  </si>
  <si>
    <t>AREIA DE QUARTZO</t>
  </si>
  <si>
    <t>C131 BARÃO</t>
  </si>
  <si>
    <t>AQFINA</t>
  </si>
  <si>
    <t>ag.miúdo 2</t>
  </si>
  <si>
    <t>ITAPORANGA</t>
  </si>
  <si>
    <t>AQGROSSA</t>
  </si>
  <si>
    <t>ag.miúdo 3</t>
  </si>
  <si>
    <t>ag.graúdo 1</t>
  </si>
  <si>
    <t>Pedrisco</t>
  </si>
  <si>
    <t>GALVANI</t>
  </si>
  <si>
    <t>Brita 0</t>
  </si>
  <si>
    <t xml:space="preserve">  </t>
  </si>
  <si>
    <t>ag.graúdo 2</t>
  </si>
  <si>
    <t>Brita 1</t>
  </si>
  <si>
    <t>ag.graúdo 3</t>
  </si>
  <si>
    <t>aditivo 1</t>
  </si>
  <si>
    <t>Tec Mult 828LF</t>
  </si>
  <si>
    <t>Rheoset</t>
  </si>
  <si>
    <t>TM828LF</t>
  </si>
  <si>
    <t>aditivo 2</t>
  </si>
  <si>
    <t>Tec Flow 41N</t>
  </si>
  <si>
    <t>TF41N</t>
  </si>
  <si>
    <t>aditivo 3</t>
  </si>
  <si>
    <t>adição 1</t>
  </si>
  <si>
    <t>adição 2</t>
  </si>
  <si>
    <t>4. Traços</t>
  </si>
  <si>
    <r>
      <t>DOSAGEM PARA 1 m</t>
    </r>
    <r>
      <rPr>
        <b/>
        <vertAlign val="superscript"/>
        <sz val="10"/>
        <rFont val="Times New Roman"/>
        <family val="1"/>
      </rPr>
      <t xml:space="preserve">3 </t>
    </r>
    <r>
      <rPr>
        <b/>
        <sz val="10"/>
        <rFont val="Times New Roman"/>
        <family val="1"/>
      </rPr>
      <t>-      1000        litros</t>
    </r>
  </si>
  <si>
    <t>DOSAGEM PARA 1 BETONADA DE</t>
  </si>
  <si>
    <t>litros</t>
  </si>
  <si>
    <t>traço inicial</t>
  </si>
  <si>
    <t>t.unitário</t>
  </si>
  <si>
    <t>t.unit.cor.</t>
  </si>
  <si>
    <t>traço        corr.</t>
  </si>
  <si>
    <t xml:space="preserve">material </t>
  </si>
  <si>
    <t>massa      seca (kg)</t>
  </si>
  <si>
    <t>h(%)</t>
  </si>
  <si>
    <t>mat. corrig</t>
  </si>
  <si>
    <t>correção</t>
  </si>
  <si>
    <t>cimento</t>
  </si>
  <si>
    <t>aglom.2</t>
  </si>
  <si>
    <t>ag.miúdo 1</t>
  </si>
  <si>
    <t>comentários sobre o aspecto</t>
  </si>
  <si>
    <t>DET. MASSA ESP. NO ESTADO FRESCO.</t>
  </si>
  <si>
    <t>A) Volume do recipíente = 1,57 litros</t>
  </si>
  <si>
    <t>água</t>
  </si>
  <si>
    <t>B) Peso do recipíente =</t>
  </si>
  <si>
    <t>aditivo 1(%)</t>
  </si>
  <si>
    <t>aditivo 1 (litro)</t>
  </si>
  <si>
    <t>C) Peso do conjunto (conc + recip) =</t>
  </si>
  <si>
    <t>aditivo 2(%)</t>
  </si>
  <si>
    <t>aditivo 2 (litro)</t>
  </si>
  <si>
    <t xml:space="preserve">D) Peso do concreto = (C - B) = </t>
  </si>
  <si>
    <t>aditivo 3(%)</t>
  </si>
  <si>
    <t>aditivo 3 (litro)</t>
  </si>
  <si>
    <t>E) M. E.do conc. no estado fresco = (D / A) =</t>
  </si>
  <si>
    <t>adição 1(%)</t>
  </si>
  <si>
    <t>S.T. INICIAL = 40mm</t>
  </si>
  <si>
    <t>5. Resultados obtidos do concreto fresco</t>
  </si>
  <si>
    <t>condições de ensaio</t>
  </si>
  <si>
    <t>Hora de Mistura</t>
  </si>
  <si>
    <t>T (min)</t>
  </si>
  <si>
    <t>SLUMP  (mm)</t>
  </si>
  <si>
    <t>AR</t>
  </si>
  <si>
    <t>Dens.</t>
  </si>
  <si>
    <t>Exsudação</t>
  </si>
  <si>
    <t>Tempo de Pega</t>
  </si>
  <si>
    <t>Aspecto/Outros</t>
  </si>
  <si>
    <t>SLUMP</t>
  </si>
  <si>
    <t>FLOW</t>
  </si>
  <si>
    <t>(%)</t>
  </si>
  <si>
    <t>(kg/m3)</t>
  </si>
  <si>
    <t>(Min.)</t>
  </si>
  <si>
    <t>temp. ambiente(ºc)</t>
  </si>
  <si>
    <t>temp. concreto(ºc)</t>
  </si>
  <si>
    <t>temp.(ºc)</t>
  </si>
  <si>
    <t>Umid. Relat. do ar (%)</t>
  </si>
  <si>
    <t>5. Resultados obtidos do concreto endurecido</t>
  </si>
  <si>
    <t>IDADE                         (D)</t>
  </si>
  <si>
    <t>Data</t>
  </si>
  <si>
    <t>RESISTÊNCIA A COMP. AXIAL O (MPa)</t>
  </si>
  <si>
    <t>MODULO (GPa)</t>
  </si>
  <si>
    <t>RESISTÊNCIA TRÇÃO NA COMPRESSÃO (MPa)</t>
  </si>
  <si>
    <t>cp1</t>
  </si>
  <si>
    <t>Cp2</t>
  </si>
  <si>
    <t>Maior</t>
  </si>
  <si>
    <t>cp3</t>
  </si>
  <si>
    <t>Média</t>
  </si>
  <si>
    <t>Responsável técnico</t>
  </si>
  <si>
    <t>EDUARDO/SANDERSON</t>
  </si>
  <si>
    <t>data</t>
  </si>
  <si>
    <t>100+-20</t>
  </si>
  <si>
    <t>GRANULOMETRIA  DA  AREIA</t>
  </si>
  <si>
    <t>Abertura</t>
  </si>
  <si>
    <t>%   retida</t>
  </si>
  <si>
    <t>%  acumulada</t>
  </si>
  <si>
    <t>Areia mista</t>
  </si>
  <si>
    <t>Faixa ASTM</t>
  </si>
  <si>
    <t>Faixa  Recomendada</t>
  </si>
  <si>
    <t>da peneira</t>
  </si>
  <si>
    <t>Fina</t>
  </si>
  <si>
    <t>Grossa</t>
  </si>
  <si>
    <t>Retida</t>
  </si>
  <si>
    <t>Acumul</t>
  </si>
  <si>
    <t>%           retida</t>
  </si>
  <si>
    <t>No.</t>
  </si>
  <si>
    <t>( mm )</t>
  </si>
  <si>
    <t>( % )</t>
  </si>
  <si>
    <t>Super.</t>
  </si>
  <si>
    <t>Infer.</t>
  </si>
  <si>
    <t>Ideal</t>
  </si>
  <si>
    <t>3/8"</t>
  </si>
  <si>
    <t>Total</t>
  </si>
  <si>
    <t>M. finura</t>
  </si>
  <si>
    <t xml:space="preserve"> % de mistuta graúdo</t>
  </si>
  <si>
    <t>Acumulado</t>
  </si>
  <si>
    <t>(%) correspondente</t>
  </si>
  <si>
    <t>Peneiras</t>
  </si>
  <si>
    <t>Curva  retida acumulada - Concreto</t>
  </si>
  <si>
    <t>mm</t>
  </si>
  <si>
    <t>%</t>
  </si>
  <si>
    <t>FUNDO</t>
  </si>
  <si>
    <t>TOTAL</t>
  </si>
  <si>
    <r>
      <t>água (l/m</t>
    </r>
    <r>
      <rPr>
        <vertAlign val="superscript"/>
        <sz val="10"/>
        <color theme="1" tint="0.249977111117893"/>
        <rFont val="Times New Roman"/>
        <family val="1"/>
      </rPr>
      <t>3</t>
    </r>
    <r>
      <rPr>
        <sz val="10"/>
        <color theme="1" tint="0.249977111117893"/>
        <rFont val="Times New Roman"/>
        <family val="1"/>
      </rPr>
      <t>)</t>
    </r>
  </si>
  <si>
    <r>
      <t>consumo (kg/m</t>
    </r>
    <r>
      <rPr>
        <vertAlign val="superscript"/>
        <sz val="10"/>
        <color theme="1" tint="0.249977111117893"/>
        <rFont val="Times New Roman"/>
        <family val="1"/>
      </rPr>
      <t>3</t>
    </r>
    <r>
      <rPr>
        <sz val="10"/>
        <color theme="1" tint="0.249977111117893"/>
        <rFont val="Times New Roman"/>
        <family val="1"/>
      </rPr>
      <t>)</t>
    </r>
  </si>
  <si>
    <r>
      <t>DOSAGEM PARA 1 m</t>
    </r>
    <r>
      <rPr>
        <b/>
        <vertAlign val="superscript"/>
        <sz val="10"/>
        <color theme="1" tint="0.249977111117893"/>
        <rFont val="Times New Roman"/>
        <family val="1"/>
      </rPr>
      <t xml:space="preserve">3 </t>
    </r>
    <r>
      <rPr>
        <b/>
        <sz val="10"/>
        <color theme="1" tint="0.249977111117893"/>
        <rFont val="Times New Roman"/>
        <family val="1"/>
      </rPr>
      <t>-      1000        litros</t>
    </r>
  </si>
  <si>
    <t>água (l/m3)</t>
  </si>
  <si>
    <t>consumo (kg/m3)</t>
  </si>
  <si>
    <t>Areia Nat</t>
  </si>
  <si>
    <t xml:space="preserve">Areia art </t>
  </si>
  <si>
    <t>MATERIAL</t>
  </si>
  <si>
    <t>proporção areia nat e art: 40/60 =  (40%*2,63 + 60%2,69) =</t>
  </si>
  <si>
    <t>My agregados miúdos proporcional</t>
  </si>
  <si>
    <t>ex.</t>
  </si>
  <si>
    <t>((1000-25-200)*49%))-(400/3,08)*2,67*40%)) =</t>
  </si>
  <si>
    <t>kg/m3</t>
  </si>
  <si>
    <t>((1000-25-200)*49%))-(400/3,08)*2,67*60%)) =</t>
  </si>
  <si>
    <t>c) Quantidade de areia:</t>
  </si>
  <si>
    <t xml:space="preserve">b) Qtidade de cimento = água / a/c    </t>
  </si>
  <si>
    <t>Ex. 200/0,5 =</t>
  </si>
  <si>
    <t xml:space="preserve"> Qtde de areia nat  = ((v°- %ar-água)*%arg)-(qtde cimento/myc)*My agregados miúdos proporcional * %areia nat</t>
  </si>
  <si>
    <t xml:space="preserve"> Qtde de areia art  = ((v°- %ar-água)*%arg)-(qtde cimento/myc)*My agregados miúdos proporcional * %areia art</t>
  </si>
  <si>
    <t>My agregados GRAUDOS proporcional</t>
  </si>
  <si>
    <t>proporção areia nat e art: 30/70 =  (30%*2,70 + 70%2,70) =</t>
  </si>
  <si>
    <t xml:space="preserve"> Qtde de B 0 = ((v°- %ar-água)-(v°- %ar-água)*%arg)*My agregado Graudo proporcional*% Brita 0</t>
  </si>
  <si>
    <t xml:space="preserve"> Qtde de B 1 = ((v°- %ar-água)-(v°- %ar-água)*%arg)*My agregado Graudo proporcional*% Brita 1</t>
  </si>
  <si>
    <t>((1000-25-200)-((1000-25-200)*49%))*2,70*70%</t>
  </si>
  <si>
    <t>a) Dados de entrada</t>
  </si>
  <si>
    <t>Brita 0/1</t>
  </si>
  <si>
    <t>30/70%</t>
  </si>
  <si>
    <t>areia nat/art</t>
  </si>
  <si>
    <t>40/60%</t>
  </si>
  <si>
    <t>d) Quantidade de BRITA:</t>
  </si>
  <si>
    <t>e) Quantidade de aditivo:</t>
  </si>
  <si>
    <t xml:space="preserve">Adito 1 =  Qtde de cimento * % de aditvo </t>
  </si>
  <si>
    <t>Ex.: 380*0,75% =</t>
  </si>
  <si>
    <t>:((1000-25-200)-((1000-25-200)*49%))*2,70*30%:</t>
  </si>
  <si>
    <t>A/C</t>
  </si>
  <si>
    <t>ÁGUA</t>
  </si>
  <si>
    <t>R 28</t>
  </si>
  <si>
    <r>
      <t>Coeficientes:   y = A . x</t>
    </r>
    <r>
      <rPr>
        <vertAlign val="superscript"/>
        <sz val="8"/>
        <rFont val="Arial"/>
        <family val="2"/>
      </rPr>
      <t xml:space="preserve"> B</t>
    </r>
  </si>
  <si>
    <t>A=</t>
  </si>
  <si>
    <t>B=</t>
  </si>
  <si>
    <t>FATOR A/C</t>
  </si>
  <si>
    <t>FCK</t>
  </si>
  <si>
    <t>FC28</t>
  </si>
  <si>
    <t xml:space="preserve">      %  acumulada</t>
  </si>
  <si>
    <t>Material/ Fornecedor/Tipo/Classe</t>
  </si>
  <si>
    <t>BRITA 0 POLIMIX</t>
  </si>
  <si>
    <t>BRITA 1 POLIMIX</t>
  </si>
  <si>
    <t>-</t>
  </si>
  <si>
    <t xml:space="preserve">                                -</t>
  </si>
  <si>
    <t>M. Finura</t>
  </si>
  <si>
    <t>1" 1/8</t>
  </si>
  <si>
    <t>Ar incorp.</t>
  </si>
  <si>
    <t>inicial</t>
  </si>
  <si>
    <t>Final</t>
  </si>
  <si>
    <t>Temp. Ambiente</t>
  </si>
  <si>
    <t>ºC</t>
  </si>
  <si>
    <t>Temp. Concreto</t>
  </si>
  <si>
    <t>obs.:</t>
  </si>
  <si>
    <t>RESISTÊNCIA A COMP. AXIAL
 (MPa)</t>
  </si>
  <si>
    <t>T arg.vol.  (%)</t>
  </si>
  <si>
    <r>
      <t>água (l/m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)</t>
    </r>
  </si>
  <si>
    <r>
      <t>consumo (kg/m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)</t>
    </r>
  </si>
  <si>
    <t>1. Características do concreto / parâmetros de dosagem</t>
  </si>
  <si>
    <t>2. Materiais utilizados</t>
  </si>
  <si>
    <t>3. Analise grnulometrica 
% Retida</t>
  </si>
  <si>
    <t>4. Analise grnulometrica  
% Retida acumulado</t>
  </si>
  <si>
    <t>6. Resultados obtidos do concreto fresco</t>
  </si>
  <si>
    <t>7. Resultados obtidos do concreto endurecido</t>
  </si>
  <si>
    <t>Eci     
  (Gpa</t>
  </si>
  <si>
    <t>Cimento:</t>
  </si>
  <si>
    <t>Aglom.2:</t>
  </si>
  <si>
    <t>Ag.miúdo 1:</t>
  </si>
  <si>
    <t>Ag.miúdo 2:</t>
  </si>
  <si>
    <t>Ag.miúdo 3:</t>
  </si>
  <si>
    <t>Ag.graúdo 1:</t>
  </si>
  <si>
    <t>Ag.graúdo 2:</t>
  </si>
  <si>
    <t>Ag.graúdo 3:</t>
  </si>
  <si>
    <t>Aditivo 1:</t>
  </si>
  <si>
    <t>Aditivo 2:</t>
  </si>
  <si>
    <t>Aditivo 3:</t>
  </si>
  <si>
    <t>Adição 1:</t>
  </si>
  <si>
    <t>Adição 2:</t>
  </si>
  <si>
    <t>Traço        corr.</t>
  </si>
  <si>
    <t>Massa      seca (kg)</t>
  </si>
  <si>
    <t>Hora de Mistura (h:min)</t>
  </si>
  <si>
    <r>
      <t>DOSAGEM PARA 1 m</t>
    </r>
    <r>
      <rPr>
        <b/>
        <vertAlign val="superscript"/>
        <sz val="11"/>
        <rFont val="Arial"/>
        <family val="2"/>
      </rPr>
      <t xml:space="preserve">3 </t>
    </r>
    <r>
      <rPr>
        <b/>
        <sz val="11"/>
        <rFont val="Arial"/>
        <family val="2"/>
      </rPr>
      <t>-  1000  litros</t>
    </r>
  </si>
  <si>
    <t xml:space="preserve">DOSAGEM PARA 1 BETONADA </t>
  </si>
  <si>
    <t>INIBIDOR DE HIDRATAÇÃO</t>
  </si>
  <si>
    <t>CRISTALIZANTE</t>
  </si>
  <si>
    <t>MICROFIBRA</t>
  </si>
  <si>
    <t>Resistência obtida MPa</t>
  </si>
  <si>
    <t xml:space="preserve">Previsto Cimento CP III </t>
  </si>
  <si>
    <t>Previsto Cimento CPV</t>
  </si>
  <si>
    <t>Peneira 
Nª</t>
  </si>
  <si>
    <t>Traço inicial</t>
  </si>
  <si>
    <t>5. Composição do traço</t>
  </si>
  <si>
    <t>M. 
Especifica</t>
  </si>
  <si>
    <t>ESTUDO DE DOSAGEM DE CONCRETO</t>
  </si>
  <si>
    <t>MASSA ESPECIFICA (g/cm³)</t>
  </si>
  <si>
    <t>S160</t>
  </si>
  <si>
    <t xml:space="preserve">AREIA NATURAL </t>
  </si>
  <si>
    <t>AREIA ARTIFICIAL</t>
  </si>
  <si>
    <t xml:space="preserve">CIMENTO CPII E 40 </t>
  </si>
  <si>
    <t xml:space="preserve">SILCIA ATIVA  </t>
  </si>
  <si>
    <t>POLIFUNCIONAL</t>
  </si>
  <si>
    <t xml:space="preserve">SUPERPLASTIFICANTE </t>
  </si>
  <si>
    <t>3. Analise granulometrica 
% Retida</t>
  </si>
  <si>
    <t>4. Analise granulometrica  
% Retida acumulado</t>
  </si>
  <si>
    <t xml:space="preserve">BRITA 0 </t>
  </si>
  <si>
    <t>BRITA 1</t>
  </si>
  <si>
    <t>Massa
Especifica (g/cm³)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</si>
</sst>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"/>
    <numFmt numFmtId="165" formatCode="0.0%"/>
    <numFmt numFmtId="166" formatCode="0.000"/>
    <numFmt numFmtId="167" formatCode="h:mm;@"/>
    <numFmt numFmtId="168" formatCode="dd/mm/yy"/>
    <numFmt numFmtId="169" formatCode="&quot;Cr$&quot;\ #,##0.00_);[Red]\(&quot;Cr$&quot;\ #,##0.00\)"/>
    <numFmt numFmtId="170" formatCode="&quot;R$ &quot;0.00"/>
    <numFmt numFmtId="171" formatCode="&quot;R$&quot;\ #,##0.000\ &quot;/ kg&quot;"/>
    <numFmt numFmtId="172" formatCode="&quot;R$&quot;\ #,##0.00"/>
    <numFmt numFmtId="173" formatCode="&quot;R$&quot;\ #,##0"/>
    <numFmt numFmtId="174" formatCode="&quot;R$&quot;\ #,##0.0"/>
    <numFmt numFmtId="175" formatCode="0.000%"/>
    <numFmt numFmtId="176" formatCode="dd/mm/yy;@"/>
  </numFmts>
  <fonts count="8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4"/>
      <color indexed="10"/>
      <name val="Arial"/>
      <family val="2"/>
    </font>
    <font>
      <sz val="10"/>
      <color indexed="8"/>
      <name val="Arial"/>
      <family val="2"/>
    </font>
    <font>
      <sz val="10"/>
      <color theme="1"/>
      <name val="Times New Roman"/>
      <family val="1"/>
    </font>
    <font>
      <b/>
      <sz val="14"/>
      <name val="Times New Roman"/>
      <family val="1"/>
    </font>
    <font>
      <sz val="10"/>
      <color theme="1" tint="0.499984740745262"/>
      <name val="Times New Roman"/>
      <family val="1"/>
    </font>
    <font>
      <b/>
      <sz val="10"/>
      <color theme="1" tint="0.499984740745262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10"/>
      <color indexed="8"/>
      <name val="Times New Roman"/>
      <family val="1"/>
    </font>
    <font>
      <sz val="10"/>
      <color theme="1" tint="0.34998626667073579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vertAlign val="superscript"/>
      <sz val="10"/>
      <name val="Times New Roman"/>
      <family val="1"/>
    </font>
    <font>
      <sz val="8"/>
      <name val="Times New Roman"/>
      <family val="1"/>
    </font>
    <font>
      <b/>
      <sz val="10"/>
      <color indexed="10"/>
      <name val="Times New Roman"/>
      <family val="1"/>
    </font>
    <font>
      <b/>
      <sz val="10"/>
      <color theme="1" tint="0.34998626667073579"/>
      <name val="Times New Roman"/>
      <family val="1"/>
    </font>
    <font>
      <sz val="10"/>
      <name val="MS Sans Serif"/>
    </font>
    <font>
      <sz val="10"/>
      <name val="MS Sans Serif"/>
      <family val="2"/>
    </font>
    <font>
      <b/>
      <sz val="10"/>
      <name val="MS Sans Serif"/>
      <family val="2"/>
    </font>
    <font>
      <b/>
      <sz val="10"/>
      <name val="MS Sans Serif"/>
    </font>
    <font>
      <b/>
      <i/>
      <sz val="10"/>
      <name val="MS Sans Serif"/>
      <family val="2"/>
    </font>
    <font>
      <b/>
      <sz val="12"/>
      <name val="MS Sans Serif"/>
    </font>
    <font>
      <i/>
      <sz val="10"/>
      <name val="MS Sans Serif"/>
      <family val="2"/>
    </font>
    <font>
      <b/>
      <sz val="10"/>
      <color rgb="FFFF0000"/>
      <name val="MS Sans Serif"/>
      <family val="2"/>
    </font>
    <font>
      <sz val="10"/>
      <name val="MS Serif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color theme="1" tint="0.34998626667073579"/>
      <name val="Arial"/>
      <family val="2"/>
    </font>
    <font>
      <sz val="8"/>
      <color theme="1" tint="0.34998626667073579"/>
      <name val="Arial"/>
      <family val="2"/>
    </font>
    <font>
      <sz val="9"/>
      <color theme="0" tint="-0.249977111117893"/>
      <name val="Calibri"/>
      <family val="2"/>
      <scheme val="minor"/>
    </font>
    <font>
      <sz val="8"/>
      <color theme="1" tint="0.34998626667073579"/>
      <name val="Calibri"/>
      <family val="2"/>
      <scheme val="minor"/>
    </font>
    <font>
      <sz val="5"/>
      <color theme="0" tint="-0.249977111117893"/>
      <name val="Arial"/>
      <family val="2"/>
    </font>
    <font>
      <sz val="5"/>
      <color theme="0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 tint="0.249977111117893"/>
      <name val="Times New Roman"/>
      <family val="1"/>
    </font>
    <font>
      <sz val="10"/>
      <color theme="1" tint="0.249977111117893"/>
      <name val="Times New Roman"/>
      <family val="1"/>
    </font>
    <font>
      <b/>
      <sz val="10"/>
      <color theme="1" tint="0.249977111117893"/>
      <name val="Times New Roman"/>
      <family val="1"/>
    </font>
    <font>
      <vertAlign val="superscript"/>
      <sz val="10"/>
      <color theme="1" tint="0.249977111117893"/>
      <name val="Times New Roman"/>
      <family val="1"/>
    </font>
    <font>
      <b/>
      <vertAlign val="superscript"/>
      <sz val="10"/>
      <color theme="1" tint="0.249977111117893"/>
      <name val="Times New Roman"/>
      <family val="1"/>
    </font>
    <font>
      <sz val="8"/>
      <color theme="1" tint="0.249977111117893"/>
      <name val="Times New Roman"/>
      <family val="1"/>
    </font>
    <font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sz val="8"/>
      <name val="Arial"/>
      <family val="2"/>
    </font>
    <font>
      <vertAlign val="superscript"/>
      <sz val="8"/>
      <name val="Arial"/>
      <family val="2"/>
    </font>
    <font>
      <sz val="9"/>
      <color theme="1"/>
      <name val="Arial"/>
      <family val="2"/>
    </font>
    <font>
      <b/>
      <sz val="10"/>
      <color theme="0" tint="-0.499984740745262"/>
      <name val="Arial"/>
      <family val="2"/>
    </font>
    <font>
      <b/>
      <sz val="10"/>
      <color theme="3"/>
      <name val="Arial"/>
      <family val="2"/>
    </font>
    <font>
      <b/>
      <sz val="10"/>
      <color theme="1"/>
      <name val="Arial"/>
      <family val="2"/>
    </font>
    <font>
      <b/>
      <sz val="10"/>
      <color rgb="FF00B050"/>
      <name val="Arial"/>
      <family val="2"/>
    </font>
    <font>
      <sz val="10"/>
      <color theme="0" tint="-0.499984740745262"/>
      <name val="Arial"/>
      <family val="2"/>
    </font>
    <font>
      <sz val="10"/>
      <color theme="3"/>
      <name val="Arial"/>
      <family val="2"/>
    </font>
    <font>
      <i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color rgb="FFC00000"/>
      <name val="Arial"/>
      <family val="2"/>
    </font>
    <font>
      <sz val="10"/>
      <color theme="3" tint="0.39997558519241921"/>
      <name val="Arial"/>
      <family val="2"/>
    </font>
    <font>
      <b/>
      <sz val="14"/>
      <color theme="1"/>
      <name val="Arial"/>
      <family val="2"/>
    </font>
    <font>
      <sz val="10"/>
      <color rgb="FF00B050"/>
      <name val="Arial"/>
      <family val="2"/>
    </font>
    <font>
      <sz val="10"/>
      <color rgb="FFC0000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b/>
      <vertAlign val="superscript"/>
      <sz val="11"/>
      <name val="Arial"/>
      <family val="2"/>
    </font>
    <font>
      <b/>
      <sz val="12"/>
      <color theme="1"/>
      <name val="Arial"/>
      <family val="2"/>
    </font>
    <font>
      <sz val="11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lightUp">
        <fgColor indexed="9"/>
      </patternFill>
    </fill>
    <fill>
      <patternFill patternType="solid">
        <fgColor indexed="65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65"/>
        <bgColor indexed="64"/>
      </patternFill>
    </fill>
    <fill>
      <patternFill patternType="mediumGray">
        <fgColor indexed="9"/>
        <bgColor theme="0" tint="-4.9989318521683403E-2"/>
      </patternFill>
    </fill>
    <fill>
      <patternFill patternType="lightUp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8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indexed="64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indexed="64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indexed="64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indexed="64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indexed="64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hair">
        <color indexed="64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/>
      <top style="thin">
        <color theme="0" tint="-0.499984740745262"/>
      </top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hair">
        <color theme="0" tint="-0.49998474074526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indexed="64"/>
      </left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indexed="64"/>
      </right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theme="0" tint="-0.499984740745262"/>
      </right>
      <top style="hair">
        <color theme="0" tint="-0.499984740745262"/>
      </top>
      <bottom/>
      <diagonal/>
    </border>
    <border>
      <left/>
      <right style="thin">
        <color indexed="64"/>
      </right>
      <top style="hair">
        <color theme="0" tint="-0.499984740745262"/>
      </top>
      <bottom/>
      <diagonal/>
    </border>
    <border>
      <left style="thin">
        <color indexed="64"/>
      </left>
      <right style="hair">
        <color theme="0" tint="-0.499984740745262"/>
      </right>
      <top/>
      <bottom style="hair">
        <color theme="0" tint="-0.499984740745262"/>
      </bottom>
      <diagonal/>
    </border>
    <border>
      <left/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6" fillId="0" borderId="0"/>
    <xf numFmtId="169" fontId="26" fillId="0" borderId="0" applyFont="0" applyFill="0" applyBorder="0" applyAlignment="0" applyProtection="0"/>
    <xf numFmtId="9" fontId="26" fillId="0" borderId="0" applyFont="0" applyFill="0" applyBorder="0" applyAlignment="0" applyProtection="0"/>
  </cellStyleXfs>
  <cellXfs count="10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Continuous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Continuous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Continuous"/>
    </xf>
    <xf numFmtId="0" fontId="0" fillId="4" borderId="0" xfId="0" applyFill="1" applyAlignment="1">
      <alignment horizontal="center"/>
    </xf>
    <xf numFmtId="0" fontId="0" fillId="4" borderId="0" xfId="0" applyFill="1"/>
    <xf numFmtId="0" fontId="9" fillId="0" borderId="0" xfId="0" applyFont="1" applyAlignment="1">
      <alignment horizontal="centerContinuous"/>
    </xf>
    <xf numFmtId="0" fontId="4" fillId="0" borderId="0" xfId="0" applyFont="1"/>
    <xf numFmtId="0" fontId="11" fillId="5" borderId="0" xfId="0" applyFont="1" applyFill="1" applyAlignment="1">
      <alignment horizontal="center"/>
    </xf>
    <xf numFmtId="0" fontId="11" fillId="5" borderId="0" xfId="0" applyFont="1" applyFill="1"/>
    <xf numFmtId="0" fontId="12" fillId="0" borderId="0" xfId="0" applyFont="1"/>
    <xf numFmtId="0" fontId="14" fillId="6" borderId="52" xfId="0" applyFont="1" applyFill="1" applyBorder="1"/>
    <xf numFmtId="0" fontId="14" fillId="6" borderId="53" xfId="0" applyFont="1" applyFill="1" applyBorder="1"/>
    <xf numFmtId="0" fontId="15" fillId="6" borderId="53" xfId="0" applyFont="1" applyFill="1" applyBorder="1" applyAlignment="1" applyProtection="1">
      <alignment horizontal="center"/>
      <protection locked="0"/>
    </xf>
    <xf numFmtId="0" fontId="14" fillId="6" borderId="54" xfId="0" applyFont="1" applyFill="1" applyBorder="1"/>
    <xf numFmtId="14" fontId="15" fillId="6" borderId="53" xfId="0" applyNumberFormat="1" applyFont="1" applyFill="1" applyBorder="1" applyProtection="1">
      <protection locked="0"/>
    </xf>
    <xf numFmtId="0" fontId="15" fillId="6" borderId="53" xfId="0" applyFont="1" applyFill="1" applyBorder="1" applyProtection="1">
      <protection locked="0"/>
    </xf>
    <xf numFmtId="0" fontId="15" fillId="6" borderId="54" xfId="0" applyFont="1" applyFill="1" applyBorder="1" applyProtection="1">
      <protection locked="0"/>
    </xf>
    <xf numFmtId="0" fontId="14" fillId="6" borderId="55" xfId="0" applyFont="1" applyFill="1" applyBorder="1" applyAlignment="1">
      <alignment vertical="center"/>
    </xf>
    <xf numFmtId="0" fontId="15" fillId="6" borderId="56" xfId="0" applyFont="1" applyFill="1" applyBorder="1" applyAlignment="1" applyProtection="1">
      <alignment horizontal="center" vertical="center"/>
      <protection locked="0"/>
    </xf>
    <xf numFmtId="0" fontId="14" fillId="6" borderId="57" xfId="0" applyFont="1" applyFill="1" applyBorder="1"/>
    <xf numFmtId="0" fontId="14" fillId="6" borderId="58" xfId="0" applyFont="1" applyFill="1" applyBorder="1"/>
    <xf numFmtId="0" fontId="15" fillId="6" borderId="58" xfId="0" applyFont="1" applyFill="1" applyBorder="1" applyAlignment="1" applyProtection="1">
      <alignment horizontal="center"/>
      <protection locked="0"/>
    </xf>
    <xf numFmtId="0" fontId="14" fillId="6" borderId="59" xfId="0" applyFont="1" applyFill="1" applyBorder="1"/>
    <xf numFmtId="0" fontId="12" fillId="0" borderId="58" xfId="0" applyFont="1" applyBorder="1"/>
    <xf numFmtId="0" fontId="15" fillId="6" borderId="58" xfId="0" applyFont="1" applyFill="1" applyBorder="1" applyProtection="1">
      <protection locked="0"/>
    </xf>
    <xf numFmtId="0" fontId="14" fillId="6" borderId="59" xfId="0" applyFont="1" applyFill="1" applyBorder="1" applyAlignment="1">
      <alignment vertical="center"/>
    </xf>
    <xf numFmtId="0" fontId="15" fillId="6" borderId="60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 wrapText="1"/>
    </xf>
    <xf numFmtId="0" fontId="12" fillId="6" borderId="49" xfId="0" applyFont="1" applyFill="1" applyBorder="1" applyAlignment="1" applyProtection="1">
      <alignment horizontal="center" vertical="center" wrapText="1"/>
      <protection locked="0"/>
    </xf>
    <xf numFmtId="0" fontId="16" fillId="6" borderId="61" xfId="0" applyFont="1" applyFill="1" applyBorder="1" applyAlignment="1">
      <alignment horizontal="center" vertical="center" wrapText="1"/>
    </xf>
    <xf numFmtId="0" fontId="16" fillId="6" borderId="62" xfId="0" applyFont="1" applyFill="1" applyBorder="1" applyAlignment="1">
      <alignment horizontal="center" vertical="center" wrapText="1"/>
    </xf>
    <xf numFmtId="0" fontId="16" fillId="6" borderId="63" xfId="0" applyFont="1" applyFill="1" applyBorder="1" applyAlignment="1">
      <alignment horizontal="center" vertical="center" wrapText="1"/>
    </xf>
    <xf numFmtId="0" fontId="12" fillId="6" borderId="63" xfId="0" applyFont="1" applyFill="1" applyBorder="1" applyAlignment="1">
      <alignment horizontal="center" vertical="center" wrapText="1"/>
    </xf>
    <xf numFmtId="0" fontId="12" fillId="6" borderId="50" xfId="0" applyFont="1" applyFill="1" applyBorder="1" applyAlignment="1">
      <alignment horizontal="center" vertical="center" wrapText="1"/>
    </xf>
    <xf numFmtId="0" fontId="12" fillId="6" borderId="64" xfId="0" applyFont="1" applyFill="1" applyBorder="1" applyAlignment="1">
      <alignment horizontal="center" vertical="center" wrapText="1"/>
    </xf>
    <xf numFmtId="0" fontId="12" fillId="6" borderId="65" xfId="0" applyFont="1" applyFill="1" applyBorder="1" applyAlignment="1">
      <alignment horizontal="center" vertical="center" wrapText="1"/>
    </xf>
    <xf numFmtId="0" fontId="12" fillId="6" borderId="51" xfId="0" applyFont="1" applyFill="1" applyBorder="1" applyAlignment="1" applyProtection="1">
      <alignment horizontal="center" vertical="center" wrapText="1"/>
      <protection locked="0"/>
    </xf>
    <xf numFmtId="0" fontId="19" fillId="7" borderId="66" xfId="0" applyFont="1" applyFill="1" applyBorder="1" applyAlignment="1" applyProtection="1">
      <alignment horizontal="center" vertical="center"/>
      <protection locked="0"/>
    </xf>
    <xf numFmtId="164" fontId="19" fillId="7" borderId="13" xfId="0" applyNumberFormat="1" applyFont="1" applyFill="1" applyBorder="1" applyAlignment="1" applyProtection="1">
      <alignment horizontal="center" vertical="center"/>
      <protection locked="0"/>
    </xf>
    <xf numFmtId="0" fontId="20" fillId="8" borderId="67" xfId="0" applyFont="1" applyFill="1" applyBorder="1" applyAlignment="1" applyProtection="1">
      <alignment horizontal="center" vertical="center"/>
      <protection locked="0"/>
    </xf>
    <xf numFmtId="0" fontId="19" fillId="7" borderId="68" xfId="0" applyFont="1" applyFill="1" applyBorder="1" applyAlignment="1" applyProtection="1">
      <alignment horizontal="center" vertical="center"/>
      <protection locked="0"/>
    </xf>
    <xf numFmtId="0" fontId="19" fillId="7" borderId="69" xfId="0" applyFont="1" applyFill="1" applyBorder="1" applyAlignment="1" applyProtection="1">
      <alignment horizontal="center" vertical="center"/>
      <protection locked="0"/>
    </xf>
    <xf numFmtId="2" fontId="20" fillId="8" borderId="68" xfId="0" applyNumberFormat="1" applyFont="1" applyFill="1" applyBorder="1" applyAlignment="1" applyProtection="1">
      <alignment horizontal="center" vertical="center"/>
      <protection locked="0"/>
    </xf>
    <xf numFmtId="165" fontId="19" fillId="7" borderId="68" xfId="0" applyNumberFormat="1" applyFont="1" applyFill="1" applyBorder="1" applyAlignment="1" applyProtection="1">
      <alignment horizontal="center" vertical="center"/>
      <protection locked="0"/>
    </xf>
    <xf numFmtId="10" fontId="19" fillId="7" borderId="70" xfId="0" applyNumberFormat="1" applyFont="1" applyFill="1" applyBorder="1" applyAlignment="1" applyProtection="1">
      <alignment horizontal="center" vertical="center"/>
      <protection locked="0"/>
    </xf>
    <xf numFmtId="2" fontId="19" fillId="7" borderId="70" xfId="0" applyNumberFormat="1" applyFont="1" applyFill="1" applyBorder="1" applyAlignment="1" applyProtection="1">
      <alignment horizontal="center" vertical="center"/>
      <protection locked="0"/>
    </xf>
    <xf numFmtId="0" fontId="19" fillId="7" borderId="68" xfId="0" applyFont="1" applyFill="1" applyBorder="1" applyAlignment="1">
      <alignment horizontal="center" vertical="center"/>
    </xf>
    <xf numFmtId="0" fontId="19" fillId="7" borderId="48" xfId="0" applyFont="1" applyFill="1" applyBorder="1" applyAlignment="1" applyProtection="1">
      <alignment horizontal="center" vertical="center"/>
      <protection locked="0"/>
    </xf>
    <xf numFmtId="0" fontId="12" fillId="0" borderId="63" xfId="0" applyFont="1" applyBorder="1" applyAlignment="1">
      <alignment horizontal="center" vertical="center" wrapText="1"/>
    </xf>
    <xf numFmtId="0" fontId="16" fillId="0" borderId="65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63" xfId="0" applyFont="1" applyBorder="1" applyAlignment="1">
      <alignment horizontal="center" vertical="center" wrapText="1"/>
    </xf>
    <xf numFmtId="0" fontId="16" fillId="0" borderId="73" xfId="0" applyFont="1" applyBorder="1" applyAlignment="1">
      <alignment horizontal="center" vertical="center" wrapText="1"/>
    </xf>
    <xf numFmtId="0" fontId="19" fillId="7" borderId="76" xfId="0" applyFont="1" applyFill="1" applyBorder="1" applyAlignment="1" applyProtection="1">
      <alignment horizontal="center"/>
      <protection locked="0"/>
    </xf>
    <xf numFmtId="0" fontId="19" fillId="7" borderId="77" xfId="0" applyFont="1" applyFill="1" applyBorder="1" applyAlignment="1" applyProtection="1">
      <alignment horizontal="center"/>
      <protection locked="0"/>
    </xf>
    <xf numFmtId="0" fontId="19" fillId="7" borderId="53" xfId="0" applyFont="1" applyFill="1" applyBorder="1" applyAlignment="1" applyProtection="1">
      <alignment horizontal="center"/>
      <protection locked="0"/>
    </xf>
    <xf numFmtId="0" fontId="19" fillId="7" borderId="78" xfId="0" applyFont="1" applyFill="1" applyBorder="1" applyAlignment="1" applyProtection="1">
      <alignment horizontal="center"/>
      <protection locked="0"/>
    </xf>
    <xf numFmtId="0" fontId="19" fillId="7" borderId="54" xfId="0" applyFont="1" applyFill="1" applyBorder="1" applyAlignment="1" applyProtection="1">
      <alignment horizontal="center"/>
      <protection locked="0"/>
    </xf>
    <xf numFmtId="0" fontId="19" fillId="7" borderId="79" xfId="0" applyFont="1" applyFill="1" applyBorder="1" applyAlignment="1" applyProtection="1">
      <alignment horizontal="center"/>
      <protection locked="0"/>
    </xf>
    <xf numFmtId="0" fontId="19" fillId="7" borderId="84" xfId="0" applyFont="1" applyFill="1" applyBorder="1" applyAlignment="1" applyProtection="1">
      <alignment horizontal="center"/>
      <protection locked="0"/>
    </xf>
    <xf numFmtId="0" fontId="19" fillId="7" borderId="83" xfId="0" applyFont="1" applyFill="1" applyBorder="1" applyAlignment="1" applyProtection="1">
      <alignment horizontal="center"/>
      <protection locked="0"/>
    </xf>
    <xf numFmtId="0" fontId="19" fillId="7" borderId="85" xfId="0" applyFont="1" applyFill="1" applyBorder="1" applyAlignment="1" applyProtection="1">
      <alignment horizontal="center"/>
      <protection locked="0"/>
    </xf>
    <xf numFmtId="0" fontId="19" fillId="7" borderId="86" xfId="0" applyFont="1" applyFill="1" applyBorder="1" applyAlignment="1" applyProtection="1">
      <alignment horizontal="center"/>
      <protection locked="0"/>
    </xf>
    <xf numFmtId="0" fontId="19" fillId="7" borderId="87" xfId="0" applyFont="1" applyFill="1" applyBorder="1" applyAlignment="1" applyProtection="1">
      <alignment horizontal="center"/>
      <protection locked="0"/>
    </xf>
    <xf numFmtId="0" fontId="19" fillId="7" borderId="82" xfId="0" applyFont="1" applyFill="1" applyBorder="1" applyAlignment="1" applyProtection="1">
      <alignment horizontal="center"/>
      <protection locked="0"/>
    </xf>
    <xf numFmtId="0" fontId="19" fillId="7" borderId="89" xfId="0" applyFont="1" applyFill="1" applyBorder="1" applyAlignment="1" applyProtection="1">
      <alignment horizontal="center"/>
      <protection locked="0"/>
    </xf>
    <xf numFmtId="0" fontId="19" fillId="7" borderId="95" xfId="0" applyFont="1" applyFill="1" applyBorder="1" applyAlignment="1" applyProtection="1">
      <alignment horizontal="center"/>
      <protection locked="0"/>
    </xf>
    <xf numFmtId="0" fontId="19" fillId="7" borderId="94" xfId="0" applyFont="1" applyFill="1" applyBorder="1" applyAlignment="1" applyProtection="1">
      <alignment horizontal="center"/>
      <protection locked="0"/>
    </xf>
    <xf numFmtId="0" fontId="19" fillId="7" borderId="58" xfId="0" applyFont="1" applyFill="1" applyBorder="1" applyAlignment="1" applyProtection="1">
      <alignment horizontal="center"/>
      <protection locked="0"/>
    </xf>
    <xf numFmtId="0" fontId="19" fillId="7" borderId="96" xfId="0" applyFont="1" applyFill="1" applyBorder="1" applyAlignment="1" applyProtection="1">
      <alignment horizontal="center"/>
      <protection locked="0"/>
    </xf>
    <xf numFmtId="0" fontId="19" fillId="7" borderId="97" xfId="0" applyFont="1" applyFill="1" applyBorder="1" applyAlignment="1" applyProtection="1">
      <alignment horizontal="center"/>
      <protection locked="0"/>
    </xf>
    <xf numFmtId="1" fontId="0" fillId="0" borderId="98" xfId="0" applyNumberFormat="1" applyBorder="1"/>
    <xf numFmtId="1" fontId="0" fillId="0" borderId="0" xfId="0" applyNumberFormat="1"/>
    <xf numFmtId="164" fontId="15" fillId="7" borderId="0" xfId="0" applyNumberFormat="1" applyFont="1" applyFill="1" applyAlignment="1">
      <alignment horizontal="center"/>
    </xf>
    <xf numFmtId="0" fontId="21" fillId="0" borderId="99" xfId="0" applyFont="1" applyBorder="1" applyAlignment="1">
      <alignment horizontal="center"/>
    </xf>
    <xf numFmtId="0" fontId="21" fillId="6" borderId="63" xfId="0" applyFont="1" applyFill="1" applyBorder="1" applyAlignment="1">
      <alignment horizontal="center" vertical="center" wrapText="1"/>
    </xf>
    <xf numFmtId="0" fontId="21" fillId="6" borderId="65" xfId="0" applyFont="1" applyFill="1" applyBorder="1" applyAlignment="1">
      <alignment horizontal="center" vertical="center" wrapText="1"/>
    </xf>
    <xf numFmtId="0" fontId="21" fillId="6" borderId="50" xfId="0" applyFont="1" applyFill="1" applyBorder="1" applyAlignment="1">
      <alignment horizontal="center" vertical="center" wrapText="1"/>
    </xf>
    <xf numFmtId="0" fontId="21" fillId="6" borderId="73" xfId="0" applyFont="1" applyFill="1" applyBorder="1" applyAlignment="1">
      <alignment horizontal="center" vertical="center" wrapText="1"/>
    </xf>
    <xf numFmtId="0" fontId="16" fillId="6" borderId="100" xfId="0" applyFont="1" applyFill="1" applyBorder="1"/>
    <xf numFmtId="0" fontId="19" fillId="7" borderId="54" xfId="0" applyFont="1" applyFill="1" applyBorder="1" applyAlignment="1">
      <alignment horizontal="center"/>
    </xf>
    <xf numFmtId="1" fontId="12" fillId="6" borderId="78" xfId="0" applyNumberFormat="1" applyFont="1" applyFill="1" applyBorder="1" applyAlignment="1">
      <alignment horizontal="center"/>
    </xf>
    <xf numFmtId="1" fontId="12" fillId="6" borderId="54" xfId="0" applyNumberFormat="1" applyFont="1" applyFill="1" applyBorder="1" applyAlignment="1">
      <alignment horizontal="center"/>
    </xf>
    <xf numFmtId="0" fontId="16" fillId="6" borderId="78" xfId="0" applyFont="1" applyFill="1" applyBorder="1"/>
    <xf numFmtId="0" fontId="23" fillId="6" borderId="54" xfId="0" applyFont="1" applyFill="1" applyBorder="1"/>
    <xf numFmtId="166" fontId="20" fillId="6" borderId="78" xfId="0" applyNumberFormat="1" applyFont="1" applyFill="1" applyBorder="1" applyAlignment="1">
      <alignment horizontal="center"/>
    </xf>
    <xf numFmtId="0" fontId="21" fillId="8" borderId="78" xfId="0" applyFont="1" applyFill="1" applyBorder="1"/>
    <xf numFmtId="0" fontId="21" fillId="8" borderId="54" xfId="0" applyFont="1" applyFill="1" applyBorder="1" applyAlignment="1">
      <alignment horizontal="center"/>
    </xf>
    <xf numFmtId="0" fontId="21" fillId="6" borderId="79" xfId="0" applyFont="1" applyFill="1" applyBorder="1" applyProtection="1">
      <protection locked="0"/>
    </xf>
    <xf numFmtId="0" fontId="16" fillId="6" borderId="101" xfId="0" applyFont="1" applyFill="1" applyBorder="1"/>
    <xf numFmtId="10" fontId="19" fillId="7" borderId="89" xfId="0" applyNumberFormat="1" applyFont="1" applyFill="1" applyBorder="1" applyAlignment="1" applyProtection="1">
      <alignment horizontal="center"/>
      <protection locked="0"/>
    </xf>
    <xf numFmtId="1" fontId="12" fillId="6" borderId="86" xfId="0" applyNumberFormat="1" applyFont="1" applyFill="1" applyBorder="1" applyAlignment="1">
      <alignment horizontal="center"/>
    </xf>
    <xf numFmtId="1" fontId="12" fillId="6" borderId="89" xfId="0" applyNumberFormat="1" applyFont="1" applyFill="1" applyBorder="1" applyAlignment="1">
      <alignment horizontal="center"/>
    </xf>
    <xf numFmtId="0" fontId="16" fillId="6" borderId="86" xfId="0" applyFont="1" applyFill="1" applyBorder="1"/>
    <xf numFmtId="0" fontId="23" fillId="6" borderId="89" xfId="0" applyFont="1" applyFill="1" applyBorder="1"/>
    <xf numFmtId="166" fontId="20" fillId="6" borderId="86" xfId="0" applyNumberFormat="1" applyFont="1" applyFill="1" applyBorder="1" applyAlignment="1">
      <alignment horizontal="center"/>
    </xf>
    <xf numFmtId="165" fontId="21" fillId="8" borderId="86" xfId="0" applyNumberFormat="1" applyFont="1" applyFill="1" applyBorder="1" applyAlignment="1" applyProtection="1">
      <alignment horizontal="center"/>
      <protection locked="0"/>
    </xf>
    <xf numFmtId="166" fontId="24" fillId="8" borderId="89" xfId="0" applyNumberFormat="1" applyFont="1" applyFill="1" applyBorder="1" applyAlignment="1">
      <alignment horizontal="center"/>
    </xf>
    <xf numFmtId="0" fontId="21" fillId="6" borderId="87" xfId="0" applyFont="1" applyFill="1" applyBorder="1" applyAlignment="1" applyProtection="1">
      <alignment horizontal="center"/>
      <protection locked="0"/>
    </xf>
    <xf numFmtId="0" fontId="16" fillId="6" borderId="101" xfId="0" applyFont="1" applyFill="1" applyBorder="1" applyAlignment="1">
      <alignment horizontal="left"/>
    </xf>
    <xf numFmtId="166" fontId="12" fillId="6" borderId="86" xfId="0" applyNumberFormat="1" applyFont="1" applyFill="1" applyBorder="1" applyAlignment="1">
      <alignment horizontal="center"/>
    </xf>
    <xf numFmtId="0" fontId="16" fillId="6" borderId="86" xfId="0" applyFont="1" applyFill="1" applyBorder="1" applyAlignment="1">
      <alignment horizontal="left"/>
    </xf>
    <xf numFmtId="165" fontId="15" fillId="7" borderId="86" xfId="0" applyNumberFormat="1" applyFont="1" applyFill="1" applyBorder="1" applyAlignment="1" applyProtection="1">
      <alignment horizontal="center"/>
      <protection locked="0"/>
    </xf>
    <xf numFmtId="166" fontId="21" fillId="6" borderId="87" xfId="0" applyNumberFormat="1" applyFont="1" applyFill="1" applyBorder="1" applyAlignment="1" applyProtection="1">
      <alignment horizontal="center"/>
      <protection locked="0"/>
    </xf>
    <xf numFmtId="10" fontId="19" fillId="7" borderId="86" xfId="0" applyNumberFormat="1" applyFont="1" applyFill="1" applyBorder="1" applyAlignment="1" applyProtection="1">
      <alignment horizontal="center"/>
      <protection locked="0"/>
    </xf>
    <xf numFmtId="0" fontId="19" fillId="7" borderId="89" xfId="0" applyFont="1" applyFill="1" applyBorder="1" applyAlignment="1">
      <alignment horizontal="center"/>
    </xf>
    <xf numFmtId="0" fontId="12" fillId="6" borderId="86" xfId="0" applyFont="1" applyFill="1" applyBorder="1" applyAlignment="1">
      <alignment horizontal="center"/>
    </xf>
    <xf numFmtId="0" fontId="21" fillId="8" borderId="86" xfId="0" applyFont="1" applyFill="1" applyBorder="1" applyAlignment="1">
      <alignment horizontal="center"/>
    </xf>
    <xf numFmtId="166" fontId="15" fillId="7" borderId="87" xfId="0" applyNumberFormat="1" applyFont="1" applyFill="1" applyBorder="1" applyAlignment="1" applyProtection="1">
      <alignment horizontal="center"/>
      <protection locked="0"/>
    </xf>
    <xf numFmtId="166" fontId="12" fillId="6" borderId="89" xfId="0" applyNumberFormat="1" applyFont="1" applyFill="1" applyBorder="1" applyAlignment="1">
      <alignment horizontal="center"/>
    </xf>
    <xf numFmtId="164" fontId="20" fillId="6" borderId="86" xfId="0" applyNumberFormat="1" applyFont="1" applyFill="1" applyBorder="1" applyAlignment="1">
      <alignment horizontal="center"/>
    </xf>
    <xf numFmtId="0" fontId="21" fillId="6" borderId="86" xfId="0" applyFont="1" applyFill="1" applyBorder="1" applyAlignment="1">
      <alignment horizontal="center"/>
    </xf>
    <xf numFmtId="0" fontId="21" fillId="6" borderId="89" xfId="0" applyFont="1" applyFill="1" applyBorder="1" applyAlignment="1">
      <alignment horizontal="center"/>
    </xf>
    <xf numFmtId="0" fontId="0" fillId="8" borderId="4" xfId="0" applyFill="1" applyBorder="1" applyAlignment="1" applyProtection="1">
      <alignment horizontal="left"/>
      <protection locked="0"/>
    </xf>
    <xf numFmtId="0" fontId="0" fillId="8" borderId="0" xfId="0" applyFill="1" applyAlignment="1" applyProtection="1">
      <alignment horizontal="left"/>
      <protection locked="0"/>
    </xf>
    <xf numFmtId="0" fontId="0" fillId="8" borderId="5" xfId="0" applyFill="1" applyBorder="1" applyAlignment="1" applyProtection="1">
      <alignment horizontal="left"/>
      <protection locked="0"/>
    </xf>
    <xf numFmtId="0" fontId="6" fillId="8" borderId="5" xfId="0" applyFont="1" applyFill="1" applyBorder="1" applyAlignment="1" applyProtection="1">
      <alignment horizontal="left"/>
      <protection locked="0"/>
    </xf>
    <xf numFmtId="0" fontId="16" fillId="6" borderId="106" xfId="0" applyFont="1" applyFill="1" applyBorder="1"/>
    <xf numFmtId="0" fontId="19" fillId="7" borderId="107" xfId="0" applyFont="1" applyFill="1" applyBorder="1" applyAlignment="1">
      <alignment horizontal="center"/>
    </xf>
    <xf numFmtId="0" fontId="12" fillId="6" borderId="96" xfId="0" applyFont="1" applyFill="1" applyBorder="1" applyAlignment="1" applyProtection="1">
      <alignment horizontal="center"/>
      <protection locked="0"/>
    </xf>
    <xf numFmtId="0" fontId="12" fillId="6" borderId="96" xfId="0" applyFont="1" applyFill="1" applyBorder="1" applyAlignment="1">
      <alignment horizontal="center"/>
    </xf>
    <xf numFmtId="0" fontId="12" fillId="6" borderId="95" xfId="0" applyFont="1" applyFill="1" applyBorder="1" applyAlignment="1">
      <alignment horizontal="center"/>
    </xf>
    <xf numFmtId="166" fontId="12" fillId="6" borderId="94" xfId="0" applyNumberFormat="1" applyFont="1" applyFill="1" applyBorder="1" applyAlignment="1">
      <alignment horizontal="center"/>
    </xf>
    <xf numFmtId="0" fontId="16" fillId="6" borderId="96" xfId="0" applyFont="1" applyFill="1" applyBorder="1"/>
    <xf numFmtId="0" fontId="23" fillId="6" borderId="107" xfId="0" applyFont="1" applyFill="1" applyBorder="1"/>
    <xf numFmtId="166" fontId="20" fillId="6" borderId="96" xfId="0" applyNumberFormat="1" applyFont="1" applyFill="1" applyBorder="1" applyAlignment="1">
      <alignment horizontal="center"/>
    </xf>
    <xf numFmtId="0" fontId="21" fillId="6" borderId="96" xfId="0" applyFont="1" applyFill="1" applyBorder="1" applyAlignment="1">
      <alignment horizontal="center"/>
    </xf>
    <xf numFmtId="0" fontId="21" fillId="6" borderId="97" xfId="0" applyFont="1" applyFill="1" applyBorder="1" applyAlignment="1" applyProtection="1">
      <alignment horizontal="center"/>
      <protection locked="0"/>
    </xf>
    <xf numFmtId="0" fontId="0" fillId="0" borderId="0" xfId="0" applyAlignment="1">
      <alignment wrapText="1"/>
    </xf>
    <xf numFmtId="0" fontId="16" fillId="6" borderId="110" xfId="0" applyFont="1" applyFill="1" applyBorder="1" applyAlignment="1">
      <alignment horizontal="center" vertical="center" wrapText="1"/>
    </xf>
    <xf numFmtId="0" fontId="16" fillId="6" borderId="111" xfId="0" applyFont="1" applyFill="1" applyBorder="1" applyAlignment="1">
      <alignment horizontal="center" vertical="center" wrapText="1"/>
    </xf>
    <xf numFmtId="0" fontId="16" fillId="6" borderId="61" xfId="0" applyFont="1" applyFill="1" applyBorder="1" applyAlignment="1">
      <alignment horizontal="centerContinuous" vertical="center" wrapText="1"/>
    </xf>
    <xf numFmtId="0" fontId="16" fillId="6" borderId="72" xfId="0" applyFont="1" applyFill="1" applyBorder="1" applyAlignment="1">
      <alignment horizontal="centerContinuous" vertical="center" wrapText="1"/>
    </xf>
    <xf numFmtId="0" fontId="16" fillId="6" borderId="112" xfId="0" applyFont="1" applyFill="1" applyBorder="1" applyAlignment="1">
      <alignment horizontal="center" vertical="center" wrapText="1"/>
    </xf>
    <xf numFmtId="0" fontId="16" fillId="6" borderId="47" xfId="0" applyFont="1" applyFill="1" applyBorder="1" applyAlignment="1">
      <alignment vertical="center" wrapText="1"/>
    </xf>
    <xf numFmtId="0" fontId="16" fillId="6" borderId="68" xfId="0" applyFont="1" applyFill="1" applyBorder="1" applyAlignment="1">
      <alignment vertical="center" wrapText="1"/>
    </xf>
    <xf numFmtId="0" fontId="16" fillId="6" borderId="47" xfId="0" applyFont="1" applyFill="1" applyBorder="1" applyAlignment="1">
      <alignment horizontal="center" vertical="center" wrapText="1"/>
    </xf>
    <xf numFmtId="0" fontId="16" fillId="6" borderId="68" xfId="0" applyFont="1" applyFill="1" applyBorder="1" applyAlignment="1">
      <alignment horizontal="center" vertical="center" wrapText="1"/>
    </xf>
    <xf numFmtId="0" fontId="12" fillId="6" borderId="52" xfId="0" applyFont="1" applyFill="1" applyBorder="1" applyAlignment="1">
      <alignment horizontal="left" vertical="center" wrapText="1"/>
    </xf>
    <xf numFmtId="0" fontId="19" fillId="7" borderId="78" xfId="0" applyFont="1" applyFill="1" applyBorder="1"/>
    <xf numFmtId="167" fontId="19" fillId="9" borderId="78" xfId="0" applyNumberFormat="1" applyFont="1" applyFill="1" applyBorder="1" applyAlignment="1">
      <alignment horizontal="center" vertical="center"/>
    </xf>
    <xf numFmtId="1" fontId="25" fillId="9" borderId="78" xfId="0" applyNumberFormat="1" applyFont="1" applyFill="1" applyBorder="1" applyAlignment="1">
      <alignment horizontal="center" vertical="center"/>
    </xf>
    <xf numFmtId="165" fontId="25" fillId="9" borderId="53" xfId="1" applyNumberFormat="1" applyFont="1" applyFill="1" applyBorder="1" applyAlignment="1">
      <alignment horizontal="center" vertical="center"/>
    </xf>
    <xf numFmtId="1" fontId="19" fillId="9" borderId="78" xfId="0" applyNumberFormat="1" applyFont="1" applyFill="1" applyBorder="1" applyAlignment="1">
      <alignment horizontal="center" vertical="center"/>
    </xf>
    <xf numFmtId="0" fontId="12" fillId="6" borderId="101" xfId="0" applyFont="1" applyFill="1" applyBorder="1" applyAlignment="1">
      <alignment horizontal="left" vertical="center" wrapText="1"/>
    </xf>
    <xf numFmtId="0" fontId="19" fillId="7" borderId="86" xfId="0" applyFont="1" applyFill="1" applyBorder="1"/>
    <xf numFmtId="167" fontId="19" fillId="9" borderId="86" xfId="0" applyNumberFormat="1" applyFont="1" applyFill="1" applyBorder="1" applyAlignment="1">
      <alignment horizontal="center" vertical="center"/>
    </xf>
    <xf numFmtId="1" fontId="25" fillId="9" borderId="85" xfId="0" applyNumberFormat="1" applyFont="1" applyFill="1" applyBorder="1" applyAlignment="1">
      <alignment horizontal="center" vertical="center"/>
    </xf>
    <xf numFmtId="1" fontId="25" fillId="9" borderId="86" xfId="0" applyNumberFormat="1" applyFont="1" applyFill="1" applyBorder="1" applyAlignment="1">
      <alignment horizontal="center" vertical="center"/>
    </xf>
    <xf numFmtId="165" fontId="25" fillId="9" borderId="85" xfId="1" applyNumberFormat="1" applyFont="1" applyFill="1" applyBorder="1" applyAlignment="1">
      <alignment horizontal="center" vertical="center" wrapText="1"/>
    </xf>
    <xf numFmtId="1" fontId="19" fillId="9" borderId="86" xfId="0" applyNumberFormat="1" applyFont="1" applyFill="1" applyBorder="1" applyAlignment="1">
      <alignment horizontal="center" vertical="center"/>
    </xf>
    <xf numFmtId="165" fontId="25" fillId="9" borderId="86" xfId="1" applyNumberFormat="1" applyFont="1" applyFill="1" applyBorder="1" applyAlignment="1">
      <alignment horizontal="center" vertical="center"/>
    </xf>
    <xf numFmtId="0" fontId="12" fillId="6" borderId="57" xfId="0" applyFont="1" applyFill="1" applyBorder="1" applyAlignment="1">
      <alignment horizontal="left" vertical="center" wrapText="1"/>
    </xf>
    <xf numFmtId="0" fontId="19" fillId="7" borderId="96" xfId="0" applyFont="1" applyFill="1" applyBorder="1"/>
    <xf numFmtId="167" fontId="19" fillId="9" borderId="96" xfId="0" applyNumberFormat="1" applyFont="1" applyFill="1" applyBorder="1" applyAlignment="1">
      <alignment horizontal="center" vertical="center"/>
    </xf>
    <xf numFmtId="1" fontId="25" fillId="9" borderId="59" xfId="0" applyNumberFormat="1" applyFont="1" applyFill="1" applyBorder="1" applyAlignment="1">
      <alignment horizontal="center" vertical="center"/>
    </xf>
    <xf numFmtId="1" fontId="25" fillId="9" borderId="96" xfId="0" applyNumberFormat="1" applyFont="1" applyFill="1" applyBorder="1" applyAlignment="1">
      <alignment horizontal="center" vertical="center"/>
    </xf>
    <xf numFmtId="165" fontId="25" fillId="9" borderId="59" xfId="1" applyNumberFormat="1" applyFont="1" applyFill="1" applyBorder="1" applyAlignment="1">
      <alignment horizontal="center" vertical="center"/>
    </xf>
    <xf numFmtId="1" fontId="19" fillId="9" borderId="96" xfId="0" applyNumberFormat="1" applyFont="1" applyFill="1" applyBorder="1" applyAlignment="1">
      <alignment horizontal="center" vertical="center"/>
    </xf>
    <xf numFmtId="0" fontId="16" fillId="6" borderId="119" xfId="0" applyFont="1" applyFill="1" applyBorder="1" applyAlignment="1">
      <alignment horizontal="center" vertical="center" wrapText="1"/>
    </xf>
    <xf numFmtId="1" fontId="16" fillId="6" borderId="63" xfId="0" applyNumberFormat="1" applyFont="1" applyFill="1" applyBorder="1" applyAlignment="1">
      <alignment horizontal="center" vertical="center"/>
    </xf>
    <xf numFmtId="0" fontId="19" fillId="6" borderId="100" xfId="0" applyFont="1" applyFill="1" applyBorder="1" applyAlignment="1">
      <alignment horizontal="center"/>
    </xf>
    <xf numFmtId="14" fontId="12" fillId="6" borderId="78" xfId="0" applyNumberFormat="1" applyFont="1" applyFill="1" applyBorder="1" applyAlignment="1">
      <alignment horizontal="center"/>
    </xf>
    <xf numFmtId="0" fontId="12" fillId="6" borderId="78" xfId="0" applyFont="1" applyFill="1" applyBorder="1" applyAlignment="1">
      <alignment horizontal="center"/>
    </xf>
    <xf numFmtId="0" fontId="12" fillId="6" borderId="54" xfId="0" applyFont="1" applyFill="1" applyBorder="1" applyAlignment="1">
      <alignment horizontal="center"/>
    </xf>
    <xf numFmtId="0" fontId="12" fillId="6" borderId="56" xfId="0" applyFont="1" applyFill="1" applyBorder="1" applyAlignment="1">
      <alignment horizontal="center"/>
    </xf>
    <xf numFmtId="0" fontId="19" fillId="6" borderId="101" xfId="0" applyFont="1" applyFill="1" applyBorder="1" applyAlignment="1">
      <alignment horizontal="center"/>
    </xf>
    <xf numFmtId="14" fontId="12" fillId="6" borderId="86" xfId="0" applyNumberFormat="1" applyFont="1" applyFill="1" applyBorder="1" applyAlignment="1">
      <alignment horizontal="center"/>
    </xf>
    <xf numFmtId="0" fontId="12" fillId="6" borderId="89" xfId="0" applyFont="1" applyFill="1" applyBorder="1" applyAlignment="1">
      <alignment horizontal="center"/>
    </xf>
    <xf numFmtId="0" fontId="12" fillId="6" borderId="123" xfId="0" applyFont="1" applyFill="1" applyBorder="1" applyAlignment="1">
      <alignment horizontal="center"/>
    </xf>
    <xf numFmtId="0" fontId="19" fillId="6" borderId="106" xfId="0" applyFont="1" applyFill="1" applyBorder="1" applyAlignment="1">
      <alignment horizontal="center"/>
    </xf>
    <xf numFmtId="14" fontId="12" fillId="6" borderId="107" xfId="0" applyNumberFormat="1" applyFont="1" applyFill="1" applyBorder="1" applyAlignment="1">
      <alignment horizontal="center"/>
    </xf>
    <xf numFmtId="0" fontId="12" fillId="6" borderId="107" xfId="0" applyFont="1" applyFill="1" applyBorder="1" applyAlignment="1">
      <alignment horizontal="center"/>
    </xf>
    <xf numFmtId="0" fontId="12" fillId="6" borderId="60" xfId="0" applyFont="1" applyFill="1" applyBorder="1" applyAlignment="1">
      <alignment horizontal="center"/>
    </xf>
    <xf numFmtId="0" fontId="12" fillId="6" borderId="124" xfId="0" applyFont="1" applyFill="1" applyBorder="1"/>
    <xf numFmtId="0" fontId="12" fillId="6" borderId="0" xfId="0" applyFont="1" applyFill="1"/>
    <xf numFmtId="0" fontId="12" fillId="6" borderId="99" xfId="0" applyFont="1" applyFill="1" applyBorder="1"/>
    <xf numFmtId="0" fontId="12" fillId="6" borderId="125" xfId="0" applyFont="1" applyFill="1" applyBorder="1"/>
    <xf numFmtId="0" fontId="12" fillId="6" borderId="112" xfId="0" applyFont="1" applyFill="1" applyBorder="1"/>
    <xf numFmtId="0" fontId="12" fillId="6" borderId="113" xfId="0" applyFont="1" applyFill="1" applyBorder="1"/>
    <xf numFmtId="0" fontId="12" fillId="6" borderId="126" xfId="0" applyFont="1" applyFill="1" applyBorder="1"/>
    <xf numFmtId="0" fontId="12" fillId="6" borderId="127" xfId="0" applyFont="1" applyFill="1" applyBorder="1"/>
    <xf numFmtId="0" fontId="12" fillId="6" borderId="128" xfId="0" applyFont="1" applyFill="1" applyBorder="1"/>
    <xf numFmtId="1" fontId="12" fillId="0" borderId="0" xfId="0" applyNumberFormat="1" applyFont="1"/>
    <xf numFmtId="1" fontId="21" fillId="0" borderId="129" xfId="0" applyNumberFormat="1" applyFont="1" applyBorder="1" applyAlignment="1">
      <alignment horizontal="center"/>
    </xf>
    <xf numFmtId="9" fontId="19" fillId="7" borderId="89" xfId="1" applyFont="1" applyFill="1" applyBorder="1" applyAlignment="1" applyProtection="1">
      <alignment horizontal="center"/>
      <protection locked="0"/>
    </xf>
    <xf numFmtId="9" fontId="1" fillId="0" borderId="0" xfId="1" applyFont="1"/>
    <xf numFmtId="0" fontId="26" fillId="0" borderId="0" xfId="2"/>
    <xf numFmtId="0" fontId="27" fillId="0" borderId="1" xfId="2" applyFont="1" applyBorder="1"/>
    <xf numFmtId="0" fontId="26" fillId="0" borderId="2" xfId="2" applyBorder="1"/>
    <xf numFmtId="0" fontId="26" fillId="0" borderId="3" xfId="2" applyBorder="1"/>
    <xf numFmtId="0" fontId="29" fillId="0" borderId="1" xfId="2" applyFont="1" applyBorder="1"/>
    <xf numFmtId="169" fontId="30" fillId="0" borderId="2" xfId="3" applyFont="1" applyBorder="1"/>
    <xf numFmtId="169" fontId="30" fillId="0" borderId="3" xfId="3" applyFont="1" applyBorder="1"/>
    <xf numFmtId="0" fontId="27" fillId="0" borderId="4" xfId="2" applyFont="1" applyBorder="1"/>
    <xf numFmtId="0" fontId="31" fillId="0" borderId="0" xfId="2" applyFont="1"/>
    <xf numFmtId="0" fontId="26" fillId="0" borderId="5" xfId="2" applyBorder="1"/>
    <xf numFmtId="0" fontId="29" fillId="0" borderId="4" xfId="2" applyFont="1" applyBorder="1" applyAlignment="1">
      <alignment horizontal="left"/>
    </xf>
    <xf numFmtId="0" fontId="30" fillId="0" borderId="0" xfId="2" applyFont="1" applyAlignment="1">
      <alignment horizontal="left"/>
    </xf>
    <xf numFmtId="0" fontId="30" fillId="0" borderId="5" xfId="2" applyFont="1" applyBorder="1" applyAlignment="1">
      <alignment horizontal="left"/>
    </xf>
    <xf numFmtId="0" fontId="26" fillId="0" borderId="6" xfId="2" applyBorder="1"/>
    <xf numFmtId="0" fontId="26" fillId="0" borderId="7" xfId="2" applyBorder="1"/>
    <xf numFmtId="0" fontId="26" fillId="0" borderId="8" xfId="2" applyBorder="1"/>
    <xf numFmtId="0" fontId="30" fillId="0" borderId="6" xfId="2" applyFont="1" applyBorder="1"/>
    <xf numFmtId="0" fontId="32" fillId="0" borderId="7" xfId="2" applyFont="1" applyBorder="1"/>
    <xf numFmtId="0" fontId="26" fillId="0" borderId="130" xfId="2" applyBorder="1" applyAlignment="1">
      <alignment horizontal="center"/>
    </xf>
    <xf numFmtId="0" fontId="26" fillId="0" borderId="0" xfId="2" applyAlignment="1">
      <alignment horizontal="center"/>
    </xf>
    <xf numFmtId="0" fontId="26" fillId="0" borderId="24" xfId="2" applyBorder="1" applyAlignment="1">
      <alignment horizontal="center"/>
    </xf>
    <xf numFmtId="0" fontId="26" fillId="0" borderId="98" xfId="2" applyBorder="1" applyAlignment="1">
      <alignment horizontal="center"/>
    </xf>
    <xf numFmtId="0" fontId="26" fillId="0" borderId="131" xfId="2" applyBorder="1" applyAlignment="1">
      <alignment horizontal="center"/>
    </xf>
    <xf numFmtId="0" fontId="26" fillId="0" borderId="132" xfId="2" applyBorder="1" applyAlignment="1">
      <alignment horizontal="center"/>
    </xf>
    <xf numFmtId="0" fontId="26" fillId="0" borderId="4" xfId="2" applyBorder="1"/>
    <xf numFmtId="0" fontId="26" fillId="0" borderId="26" xfId="2" applyBorder="1" applyAlignment="1">
      <alignment horizontal="center"/>
    </xf>
    <xf numFmtId="0" fontId="26" fillId="0" borderId="133" xfId="2" applyBorder="1" applyAlignment="1">
      <alignment horizontal="center"/>
    </xf>
    <xf numFmtId="0" fontId="26" fillId="0" borderId="134" xfId="2" applyBorder="1" applyAlignment="1">
      <alignment horizontal="center"/>
    </xf>
    <xf numFmtId="0" fontId="26" fillId="0" borderId="103" xfId="2" applyBorder="1" applyAlignment="1">
      <alignment horizontal="center"/>
    </xf>
    <xf numFmtId="0" fontId="26" fillId="0" borderId="136" xfId="2" applyBorder="1" applyAlignment="1">
      <alignment horizontal="center"/>
    </xf>
    <xf numFmtId="9" fontId="26" fillId="0" borderId="136" xfId="4" applyBorder="1" applyAlignment="1">
      <alignment horizontal="center"/>
    </xf>
    <xf numFmtId="9" fontId="26" fillId="0" borderId="137" xfId="4" applyBorder="1" applyAlignment="1">
      <alignment horizontal="center"/>
    </xf>
    <xf numFmtId="0" fontId="26" fillId="0" borderId="137" xfId="2" applyBorder="1" applyAlignment="1">
      <alignment horizontal="center"/>
    </xf>
    <xf numFmtId="0" fontId="26" fillId="0" borderId="42" xfId="2" applyBorder="1" applyAlignment="1">
      <alignment horizontal="center"/>
    </xf>
    <xf numFmtId="0" fontId="26" fillId="0" borderId="138" xfId="2" applyBorder="1" applyAlignment="1">
      <alignment horizontal="center"/>
    </xf>
    <xf numFmtId="0" fontId="26" fillId="0" borderId="19" xfId="2" applyBorder="1" applyAlignment="1">
      <alignment horizontal="center"/>
    </xf>
    <xf numFmtId="0" fontId="26" fillId="0" borderId="30" xfId="2" applyBorder="1" applyAlignment="1">
      <alignment horizontal="center"/>
    </xf>
    <xf numFmtId="164" fontId="26" fillId="0" borderId="4" xfId="2" applyNumberFormat="1" applyBorder="1" applyAlignment="1">
      <alignment horizontal="center"/>
    </xf>
    <xf numFmtId="0" fontId="33" fillId="0" borderId="9" xfId="2" applyFont="1" applyBorder="1" applyAlignment="1">
      <alignment horizontal="center"/>
    </xf>
    <xf numFmtId="164" fontId="26" fillId="0" borderId="22" xfId="2" applyNumberFormat="1" applyBorder="1" applyAlignment="1">
      <alignment horizontal="center"/>
    </xf>
    <xf numFmtId="164" fontId="26" fillId="0" borderId="23" xfId="2" applyNumberFormat="1" applyBorder="1" applyAlignment="1">
      <alignment horizontal="center"/>
    </xf>
    <xf numFmtId="164" fontId="26" fillId="6" borderId="15" xfId="2" applyNumberFormat="1" applyFill="1" applyBorder="1" applyAlignment="1">
      <alignment horizontal="center"/>
    </xf>
    <xf numFmtId="164" fontId="26" fillId="0" borderId="15" xfId="2" applyNumberFormat="1" applyBorder="1" applyAlignment="1">
      <alignment horizontal="center"/>
    </xf>
    <xf numFmtId="164" fontId="26" fillId="0" borderId="26" xfId="2" applyNumberFormat="1" applyBorder="1" applyAlignment="1">
      <alignment horizontal="center"/>
    </xf>
    <xf numFmtId="1" fontId="26" fillId="0" borderId="26" xfId="2" applyNumberFormat="1" applyBorder="1" applyAlignment="1">
      <alignment horizontal="center"/>
    </xf>
    <xf numFmtId="1" fontId="26" fillId="0" borderId="15" xfId="2" applyNumberFormat="1" applyBorder="1" applyAlignment="1">
      <alignment horizontal="center"/>
    </xf>
    <xf numFmtId="1" fontId="26" fillId="0" borderId="16" xfId="2" applyNumberFormat="1" applyBorder="1" applyAlignment="1">
      <alignment horizontal="center"/>
    </xf>
    <xf numFmtId="0" fontId="33" fillId="0" borderId="25" xfId="2" applyFont="1" applyBorder="1" applyAlignment="1">
      <alignment horizontal="center"/>
    </xf>
    <xf numFmtId="164" fontId="26" fillId="0" borderId="14" xfId="2" applyNumberFormat="1" applyBorder="1" applyAlignment="1">
      <alignment horizontal="center"/>
    </xf>
    <xf numFmtId="164" fontId="26" fillId="0" borderId="40" xfId="2" applyNumberFormat="1" applyBorder="1" applyAlignment="1">
      <alignment horizontal="center"/>
    </xf>
    <xf numFmtId="164" fontId="26" fillId="0" borderId="21" xfId="2" applyNumberFormat="1" applyBorder="1" applyAlignment="1">
      <alignment horizontal="center"/>
    </xf>
    <xf numFmtId="164" fontId="26" fillId="6" borderId="26" xfId="2" applyNumberFormat="1" applyFill="1" applyBorder="1" applyAlignment="1">
      <alignment horizontal="center"/>
    </xf>
    <xf numFmtId="0" fontId="26" fillId="2" borderId="19" xfId="2" applyFill="1" applyBorder="1" applyAlignment="1">
      <alignment horizontal="center"/>
    </xf>
    <xf numFmtId="0" fontId="26" fillId="0" borderId="1" xfId="2" applyBorder="1"/>
    <xf numFmtId="1" fontId="26" fillId="0" borderId="0" xfId="2" applyNumberFormat="1" applyAlignment="1">
      <alignment horizontal="center"/>
    </xf>
    <xf numFmtId="0" fontId="26" fillId="0" borderId="0" xfId="2" applyAlignment="1">
      <alignment horizontal="right"/>
    </xf>
    <xf numFmtId="0" fontId="0" fillId="6" borderId="4" xfId="0" applyFill="1" applyBorder="1" applyAlignment="1">
      <alignment horizontal="centerContinuous"/>
    </xf>
    <xf numFmtId="0" fontId="0" fillId="6" borderId="0" xfId="0" applyFill="1" applyAlignment="1">
      <alignment horizontal="centerContinuous"/>
    </xf>
    <xf numFmtId="0" fontId="0" fillId="6" borderId="0" xfId="0" applyFill="1"/>
    <xf numFmtId="0" fontId="0" fillId="6" borderId="5" xfId="0" applyFill="1" applyBorder="1" applyAlignment="1">
      <alignment horizontal="centerContinuous"/>
    </xf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1" xfId="0" applyFill="1" applyBorder="1" applyAlignment="1">
      <alignment horizontal="center"/>
    </xf>
    <xf numFmtId="0" fontId="0" fillId="6" borderId="9" xfId="0" applyFill="1" applyBorder="1" applyAlignment="1">
      <alignment horizontal="centerContinuous"/>
    </xf>
    <xf numFmtId="0" fontId="6" fillId="6" borderId="10" xfId="0" applyFont="1" applyFill="1" applyBorder="1" applyAlignment="1">
      <alignment horizontal="centerContinuous"/>
    </xf>
    <xf numFmtId="0" fontId="0" fillId="6" borderId="10" xfId="0" applyFill="1" applyBorder="1" applyAlignment="1">
      <alignment horizontal="centerContinuous"/>
    </xf>
    <xf numFmtId="0" fontId="0" fillId="6" borderId="11" xfId="0" applyFill="1" applyBorder="1" applyAlignment="1">
      <alignment horizontal="centerContinuous"/>
    </xf>
    <xf numFmtId="0" fontId="0" fillId="6" borderId="4" xfId="0" applyFill="1" applyBorder="1" applyAlignment="1">
      <alignment horizontal="center"/>
    </xf>
    <xf numFmtId="49" fontId="0" fillId="6" borderId="13" xfId="0" applyNumberFormat="1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16" fontId="0" fillId="6" borderId="15" xfId="0" applyNumberFormat="1" applyFill="1" applyBorder="1" applyAlignment="1">
      <alignment horizontal="center"/>
    </xf>
    <xf numFmtId="0" fontId="0" fillId="6" borderId="15" xfId="0" applyFill="1" applyBorder="1" applyAlignment="1">
      <alignment horizontal="centerContinuous"/>
    </xf>
    <xf numFmtId="0" fontId="0" fillId="6" borderId="16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17" xfId="0" applyFill="1" applyBorder="1" applyAlignment="1">
      <alignment horizontal="centerContinuous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18" xfId="0" applyFill="1" applyBorder="1" applyAlignment="1">
      <alignment horizontal="centerContinuous"/>
    </xf>
    <xf numFmtId="164" fontId="0" fillId="6" borderId="20" xfId="0" applyNumberFormat="1" applyFill="1" applyBorder="1" applyAlignment="1">
      <alignment horizontal="center"/>
    </xf>
    <xf numFmtId="165" fontId="1" fillId="6" borderId="12" xfId="1" applyNumberFormat="1" applyFill="1" applyBorder="1" applyAlignment="1">
      <alignment horizontal="center"/>
    </xf>
    <xf numFmtId="164" fontId="0" fillId="6" borderId="21" xfId="0" applyNumberFormat="1" applyFill="1" applyBorder="1" applyAlignment="1">
      <alignment horizontal="center"/>
    </xf>
    <xf numFmtId="164" fontId="0" fillId="6" borderId="22" xfId="0" applyNumberFormat="1" applyFill="1" applyBorder="1" applyAlignment="1">
      <alignment horizontal="center"/>
    </xf>
    <xf numFmtId="164" fontId="0" fillId="6" borderId="23" xfId="0" applyNumberFormat="1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9" fontId="1" fillId="6" borderId="25" xfId="1" applyFill="1" applyBorder="1" applyAlignment="1">
      <alignment horizontal="center"/>
    </xf>
    <xf numFmtId="164" fontId="0" fillId="6" borderId="26" xfId="0" applyNumberFormat="1" applyFill="1" applyBorder="1" applyAlignment="1">
      <alignment horizontal="center"/>
    </xf>
    <xf numFmtId="164" fontId="0" fillId="6" borderId="14" xfId="0" applyNumberFormat="1" applyFill="1" applyBorder="1" applyAlignment="1">
      <alignment horizontal="center"/>
    </xf>
    <xf numFmtId="164" fontId="0" fillId="6" borderId="25" xfId="0" applyNumberFormat="1" applyFill="1" applyBorder="1" applyAlignment="1">
      <alignment horizontal="center"/>
    </xf>
    <xf numFmtId="165" fontId="1" fillId="6" borderId="27" xfId="1" applyNumberFormat="1" applyFill="1" applyBorder="1" applyAlignment="1">
      <alignment horizontal="center"/>
    </xf>
    <xf numFmtId="164" fontId="0" fillId="6" borderId="28" xfId="0" applyNumberFormat="1" applyFill="1" applyBorder="1" applyAlignment="1">
      <alignment horizontal="center"/>
    </xf>
    <xf numFmtId="164" fontId="0" fillId="6" borderId="29" xfId="0" applyNumberFormat="1" applyFill="1" applyBorder="1" applyAlignment="1">
      <alignment horizontal="center"/>
    </xf>
    <xf numFmtId="9" fontId="1" fillId="6" borderId="30" xfId="1" applyFill="1" applyBorder="1" applyAlignment="1">
      <alignment horizontal="center"/>
    </xf>
    <xf numFmtId="0" fontId="0" fillId="6" borderId="31" xfId="0" applyFill="1" applyBorder="1" applyAlignment="1">
      <alignment horizontal="centerContinuous"/>
    </xf>
    <xf numFmtId="0" fontId="0" fillId="6" borderId="32" xfId="0" applyFill="1" applyBorder="1" applyAlignment="1">
      <alignment horizontal="centerContinuous"/>
    </xf>
    <xf numFmtId="0" fontId="0" fillId="6" borderId="31" xfId="0" applyFill="1" applyBorder="1" applyAlignment="1">
      <alignment horizontal="center"/>
    </xf>
    <xf numFmtId="1" fontId="0" fillId="6" borderId="33" xfId="0" applyNumberFormat="1" applyFill="1" applyBorder="1" applyAlignment="1">
      <alignment horizontal="center"/>
    </xf>
    <xf numFmtId="0" fontId="0" fillId="6" borderId="33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6" xfId="0" applyFill="1" applyBorder="1" applyAlignment="1">
      <alignment horizontal="centerContinuous"/>
    </xf>
    <xf numFmtId="0" fontId="0" fillId="6" borderId="8" xfId="0" applyFill="1" applyBorder="1" applyAlignment="1">
      <alignment horizontal="centerContinuous"/>
    </xf>
    <xf numFmtId="1" fontId="0" fillId="6" borderId="6" xfId="0" applyNumberFormat="1" applyFill="1" applyBorder="1" applyAlignment="1">
      <alignment horizontal="center"/>
    </xf>
    <xf numFmtId="1" fontId="0" fillId="6" borderId="34" xfId="0" applyNumberFormat="1" applyFill="1" applyBorder="1" applyAlignment="1">
      <alignment horizontal="center"/>
    </xf>
    <xf numFmtId="0" fontId="0" fillId="6" borderId="34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6" fillId="6" borderId="1" xfId="0" applyFont="1" applyFill="1" applyBorder="1" applyAlignment="1">
      <alignment horizontal="centerContinuous"/>
    </xf>
    <xf numFmtId="0" fontId="0" fillId="6" borderId="2" xfId="0" applyFill="1" applyBorder="1" applyAlignment="1">
      <alignment horizontal="centerContinuous"/>
    </xf>
    <xf numFmtId="0" fontId="0" fillId="6" borderId="3" xfId="0" applyFill="1" applyBorder="1" applyAlignment="1">
      <alignment horizontal="centerContinuous"/>
    </xf>
    <xf numFmtId="0" fontId="0" fillId="6" borderId="1" xfId="0" applyFill="1" applyBorder="1" applyAlignment="1">
      <alignment horizontal="centerContinuous"/>
    </xf>
    <xf numFmtId="49" fontId="0" fillId="6" borderId="35" xfId="0" applyNumberFormat="1" applyFill="1" applyBorder="1" applyAlignment="1">
      <alignment horizontal="center"/>
    </xf>
    <xf numFmtId="12" fontId="0" fillId="6" borderId="33" xfId="0" applyNumberFormat="1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16" fontId="0" fillId="6" borderId="36" xfId="0" applyNumberFormat="1" applyFill="1" applyBorder="1" applyAlignment="1">
      <alignment horizontal="center"/>
    </xf>
    <xf numFmtId="0" fontId="0" fillId="6" borderId="36" xfId="0" applyFill="1" applyBorder="1" applyAlignment="1">
      <alignment horizontal="centerContinuous"/>
    </xf>
    <xf numFmtId="0" fontId="0" fillId="6" borderId="3" xfId="0" applyFill="1" applyBorder="1" applyAlignment="1">
      <alignment horizontal="center"/>
    </xf>
    <xf numFmtId="0" fontId="0" fillId="6" borderId="19" xfId="0" applyFill="1" applyBorder="1" applyAlignment="1">
      <alignment horizontal="centerContinuous"/>
    </xf>
    <xf numFmtId="164" fontId="0" fillId="6" borderId="8" xfId="0" applyNumberFormat="1" applyFill="1" applyBorder="1" applyAlignment="1">
      <alignment horizontal="center"/>
    </xf>
    <xf numFmtId="0" fontId="0" fillId="6" borderId="37" xfId="0" applyFill="1" applyBorder="1" applyAlignment="1">
      <alignment horizontal="center"/>
    </xf>
    <xf numFmtId="164" fontId="7" fillId="6" borderId="37" xfId="0" applyNumberFormat="1" applyFont="1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38" xfId="0" applyFill="1" applyBorder="1" applyAlignment="1">
      <alignment horizontal="centerContinuous"/>
    </xf>
    <xf numFmtId="0" fontId="0" fillId="6" borderId="16" xfId="0" applyFill="1" applyBorder="1" applyAlignment="1">
      <alignment horizontal="centerContinuous"/>
    </xf>
    <xf numFmtId="0" fontId="0" fillId="6" borderId="39" xfId="0" applyFill="1" applyBorder="1" applyAlignment="1">
      <alignment horizontal="center"/>
    </xf>
    <xf numFmtId="164" fontId="7" fillId="6" borderId="14" xfId="0" applyNumberFormat="1" applyFont="1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6" borderId="41" xfId="0" applyFill="1" applyBorder="1" applyAlignment="1">
      <alignment horizontal="center"/>
    </xf>
    <xf numFmtId="164" fontId="8" fillId="6" borderId="41" xfId="0" applyNumberFormat="1" applyFont="1" applyFill="1" applyBorder="1" applyAlignment="1">
      <alignment horizontal="center"/>
    </xf>
    <xf numFmtId="164" fontId="7" fillId="6" borderId="41" xfId="0" applyNumberFormat="1" applyFont="1" applyFill="1" applyBorder="1" applyAlignment="1">
      <alignment horizontal="center"/>
    </xf>
    <xf numFmtId="1" fontId="8" fillId="6" borderId="39" xfId="0" applyNumberFormat="1" applyFont="1" applyFill="1" applyBorder="1" applyAlignment="1">
      <alignment horizontal="center"/>
    </xf>
    <xf numFmtId="1" fontId="8" fillId="6" borderId="41" xfId="0" applyNumberFormat="1" applyFont="1" applyFill="1" applyBorder="1" applyAlignment="1">
      <alignment horizontal="center"/>
    </xf>
    <xf numFmtId="0" fontId="0" fillId="6" borderId="38" xfId="0" applyFill="1" applyBorder="1" applyAlignment="1">
      <alignment horizontal="center"/>
    </xf>
    <xf numFmtId="1" fontId="8" fillId="6" borderId="14" xfId="0" applyNumberFormat="1" applyFont="1" applyFill="1" applyBorder="1" applyAlignment="1">
      <alignment horizontal="center"/>
    </xf>
    <xf numFmtId="164" fontId="7" fillId="6" borderId="39" xfId="0" applyNumberFormat="1" applyFont="1" applyFill="1" applyBorder="1" applyAlignment="1">
      <alignment horizontal="center"/>
    </xf>
    <xf numFmtId="164" fontId="7" fillId="6" borderId="42" xfId="0" applyNumberFormat="1" applyFont="1" applyFill="1" applyBorder="1" applyAlignment="1">
      <alignment horizontal="center"/>
    </xf>
    <xf numFmtId="1" fontId="8" fillId="6" borderId="34" xfId="0" applyNumberFormat="1" applyFont="1" applyFill="1" applyBorder="1" applyAlignment="1">
      <alignment horizontal="center"/>
    </xf>
    <xf numFmtId="0" fontId="9" fillId="6" borderId="0" xfId="0" applyFont="1" applyFill="1" applyAlignment="1">
      <alignment horizontal="centerContinuous"/>
    </xf>
    <xf numFmtId="9" fontId="0" fillId="0" borderId="0" xfId="1" applyFont="1" applyAlignment="1">
      <alignment horizontal="center"/>
    </xf>
    <xf numFmtId="0" fontId="0" fillId="6" borderId="12" xfId="0" applyFill="1" applyBorder="1" applyAlignment="1">
      <alignment horizontal="centerContinuous" wrapText="1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39" fillId="7" borderId="0" xfId="0" applyNumberFormat="1" applyFont="1" applyFill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36" fillId="0" borderId="139" xfId="0" applyFont="1" applyBorder="1" applyAlignment="1">
      <alignment horizontal="center" vertical="center" wrapText="1"/>
    </xf>
    <xf numFmtId="0" fontId="38" fillId="0" borderId="41" xfId="0" applyFont="1" applyBorder="1" applyAlignment="1">
      <alignment horizontal="center" vertical="center"/>
    </xf>
    <xf numFmtId="0" fontId="38" fillId="7" borderId="0" xfId="0" applyFont="1" applyFill="1" applyAlignment="1">
      <alignment horizontal="center" vertical="center" wrapText="1"/>
    </xf>
    <xf numFmtId="0" fontId="36" fillId="0" borderId="139" xfId="0" applyFont="1" applyBorder="1" applyAlignment="1">
      <alignment horizontal="center" vertical="center"/>
    </xf>
    <xf numFmtId="9" fontId="38" fillId="0" borderId="0" xfId="0" applyNumberFormat="1" applyFont="1" applyAlignment="1">
      <alignment horizontal="center" vertical="center"/>
    </xf>
    <xf numFmtId="9" fontId="38" fillId="0" borderId="41" xfId="0" applyNumberFormat="1" applyFont="1" applyBorder="1" applyAlignment="1">
      <alignment horizontal="center" vertical="center"/>
    </xf>
    <xf numFmtId="9" fontId="40" fillId="0" borderId="0" xfId="0" applyNumberFormat="1" applyFont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36" fillId="0" borderId="133" xfId="0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9" fontId="41" fillId="0" borderId="133" xfId="0" applyNumberFormat="1" applyFont="1" applyBorder="1" applyAlignment="1">
      <alignment horizontal="center" vertical="center"/>
    </xf>
    <xf numFmtId="9" fontId="41" fillId="0" borderId="39" xfId="0" applyNumberFormat="1" applyFont="1" applyBorder="1" applyAlignment="1">
      <alignment horizontal="center" vertical="center"/>
    </xf>
    <xf numFmtId="0" fontId="42" fillId="0" borderId="133" xfId="0" applyFont="1" applyBorder="1" applyAlignment="1">
      <alignment horizontal="center" vertical="center"/>
    </xf>
    <xf numFmtId="9" fontId="0" fillId="7" borderId="0" xfId="0" applyNumberFormat="1" applyFill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" fontId="36" fillId="0" borderId="41" xfId="0" applyNumberFormat="1" applyFont="1" applyBorder="1" applyAlignment="1">
      <alignment horizontal="center" vertical="center"/>
    </xf>
    <xf numFmtId="1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64" fontId="36" fillId="0" borderId="0" xfId="0" applyNumberFormat="1" applyFont="1" applyAlignment="1">
      <alignment horizontal="center" vertical="center"/>
    </xf>
    <xf numFmtId="165" fontId="36" fillId="0" borderId="0" xfId="1" applyNumberFormat="1" applyFont="1" applyAlignment="1">
      <alignment horizontal="center" vertical="center"/>
    </xf>
    <xf numFmtId="164" fontId="36" fillId="0" borderId="41" xfId="0" applyNumberFormat="1" applyFont="1" applyBorder="1" applyAlignment="1">
      <alignment horizontal="center" vertical="center"/>
    </xf>
    <xf numFmtId="0" fontId="36" fillId="0" borderId="131" xfId="0" applyFont="1" applyBorder="1" applyAlignment="1">
      <alignment horizontal="center" vertical="center"/>
    </xf>
    <xf numFmtId="164" fontId="36" fillId="0" borderId="98" xfId="0" applyNumberFormat="1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36" fillId="0" borderId="98" xfId="0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1" fontId="36" fillId="0" borderId="140" xfId="0" applyNumberFormat="1" applyFont="1" applyBorder="1" applyAlignment="1">
      <alignment horizontal="center" vertical="center"/>
    </xf>
    <xf numFmtId="1" fontId="36" fillId="0" borderId="98" xfId="0" applyNumberFormat="1" applyFont="1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1" fontId="0" fillId="7" borderId="98" xfId="0" applyNumberFormat="1" applyFill="1" applyBorder="1" applyAlignment="1">
      <alignment horizontal="center" vertical="center"/>
    </xf>
    <xf numFmtId="9" fontId="0" fillId="0" borderId="0" xfId="0" applyNumberFormat="1" applyAlignment="1">
      <alignment wrapText="1"/>
    </xf>
    <xf numFmtId="0" fontId="45" fillId="6" borderId="52" xfId="0" applyFont="1" applyFill="1" applyBorder="1"/>
    <xf numFmtId="0" fontId="45" fillId="6" borderId="53" xfId="0" applyFont="1" applyFill="1" applyBorder="1"/>
    <xf numFmtId="0" fontId="46" fillId="6" borderId="53" xfId="0" applyFont="1" applyFill="1" applyBorder="1" applyAlignment="1" applyProtection="1">
      <alignment horizontal="center"/>
      <protection locked="0"/>
    </xf>
    <xf numFmtId="0" fontId="45" fillId="6" borderId="54" xfId="0" applyFont="1" applyFill="1" applyBorder="1"/>
    <xf numFmtId="14" fontId="46" fillId="6" borderId="53" xfId="0" applyNumberFormat="1" applyFont="1" applyFill="1" applyBorder="1" applyProtection="1">
      <protection locked="0"/>
    </xf>
    <xf numFmtId="0" fontId="46" fillId="6" borderId="53" xfId="0" applyFont="1" applyFill="1" applyBorder="1" applyProtection="1">
      <protection locked="0"/>
    </xf>
    <xf numFmtId="0" fontId="46" fillId="6" borderId="54" xfId="0" applyFont="1" applyFill="1" applyBorder="1" applyProtection="1">
      <protection locked="0"/>
    </xf>
    <xf numFmtId="0" fontId="45" fillId="6" borderId="55" xfId="0" applyFont="1" applyFill="1" applyBorder="1" applyAlignment="1">
      <alignment vertical="center"/>
    </xf>
    <xf numFmtId="0" fontId="46" fillId="6" borderId="56" xfId="0" applyFont="1" applyFill="1" applyBorder="1" applyAlignment="1" applyProtection="1">
      <alignment horizontal="center" vertical="center"/>
      <protection locked="0"/>
    </xf>
    <xf numFmtId="0" fontId="45" fillId="6" borderId="57" xfId="0" applyFont="1" applyFill="1" applyBorder="1"/>
    <xf numFmtId="0" fontId="45" fillId="6" borderId="58" xfId="0" applyFont="1" applyFill="1" applyBorder="1"/>
    <xf numFmtId="0" fontId="46" fillId="6" borderId="58" xfId="0" applyFont="1" applyFill="1" applyBorder="1" applyAlignment="1" applyProtection="1">
      <alignment horizontal="center"/>
      <protection locked="0"/>
    </xf>
    <xf numFmtId="0" fontId="45" fillId="6" borderId="59" xfId="0" applyFont="1" applyFill="1" applyBorder="1"/>
    <xf numFmtId="0" fontId="45" fillId="0" borderId="58" xfId="0" applyFont="1" applyBorder="1"/>
    <xf numFmtId="0" fontId="46" fillId="6" borderId="58" xfId="0" applyFont="1" applyFill="1" applyBorder="1" applyProtection="1">
      <protection locked="0"/>
    </xf>
    <xf numFmtId="0" fontId="45" fillId="6" borderId="59" xfId="0" applyFont="1" applyFill="1" applyBorder="1" applyAlignment="1">
      <alignment vertical="center"/>
    </xf>
    <xf numFmtId="0" fontId="46" fillId="6" borderId="60" xfId="0" applyFont="1" applyFill="1" applyBorder="1" applyAlignment="1" applyProtection="1">
      <alignment horizontal="center" vertical="center"/>
      <protection locked="0"/>
    </xf>
    <xf numFmtId="0" fontId="45" fillId="6" borderId="49" xfId="0" applyFont="1" applyFill="1" applyBorder="1" applyAlignment="1" applyProtection="1">
      <alignment horizontal="center" vertical="center" wrapText="1"/>
      <protection locked="0"/>
    </xf>
    <xf numFmtId="0" fontId="45" fillId="6" borderId="61" xfId="0" applyFont="1" applyFill="1" applyBorder="1" applyAlignment="1">
      <alignment horizontal="center" vertical="center" wrapText="1"/>
    </xf>
    <xf numFmtId="0" fontId="45" fillId="6" borderId="62" xfId="0" applyFont="1" applyFill="1" applyBorder="1" applyAlignment="1">
      <alignment horizontal="center" vertical="center" wrapText="1"/>
    </xf>
    <xf numFmtId="0" fontId="45" fillId="6" borderId="63" xfId="0" applyFont="1" applyFill="1" applyBorder="1" applyAlignment="1">
      <alignment horizontal="center" vertical="center" wrapText="1"/>
    </xf>
    <xf numFmtId="0" fontId="45" fillId="6" borderId="50" xfId="0" applyFont="1" applyFill="1" applyBorder="1" applyAlignment="1">
      <alignment horizontal="center" vertical="center" wrapText="1"/>
    </xf>
    <xf numFmtId="0" fontId="45" fillId="6" borderId="64" xfId="0" applyFont="1" applyFill="1" applyBorder="1" applyAlignment="1">
      <alignment horizontal="center" vertical="center" wrapText="1"/>
    </xf>
    <xf numFmtId="0" fontId="45" fillId="6" borderId="65" xfId="0" applyFont="1" applyFill="1" applyBorder="1" applyAlignment="1">
      <alignment horizontal="center" vertical="center" wrapText="1"/>
    </xf>
    <xf numFmtId="0" fontId="45" fillId="6" borderId="51" xfId="0" applyFont="1" applyFill="1" applyBorder="1" applyAlignment="1" applyProtection="1">
      <alignment horizontal="center" vertical="center" wrapText="1"/>
      <protection locked="0"/>
    </xf>
    <xf numFmtId="0" fontId="45" fillId="11" borderId="66" xfId="0" applyFont="1" applyFill="1" applyBorder="1" applyAlignment="1" applyProtection="1">
      <alignment horizontal="center" vertical="center"/>
      <protection locked="0"/>
    </xf>
    <xf numFmtId="164" fontId="45" fillId="11" borderId="13" xfId="0" applyNumberFormat="1" applyFont="1" applyFill="1" applyBorder="1" applyAlignment="1" applyProtection="1">
      <alignment horizontal="center" vertical="center"/>
      <protection locked="0"/>
    </xf>
    <xf numFmtId="0" fontId="46" fillId="8" borderId="67" xfId="0" applyFont="1" applyFill="1" applyBorder="1" applyAlignment="1" applyProtection="1">
      <alignment horizontal="center" vertical="center"/>
      <protection locked="0"/>
    </xf>
    <xf numFmtId="0" fontId="45" fillId="11" borderId="68" xfId="0" applyFont="1" applyFill="1" applyBorder="1" applyAlignment="1" applyProtection="1">
      <alignment horizontal="center" vertical="center"/>
      <protection locked="0"/>
    </xf>
    <xf numFmtId="0" fontId="45" fillId="11" borderId="69" xfId="0" applyFont="1" applyFill="1" applyBorder="1" applyAlignment="1" applyProtection="1">
      <alignment horizontal="center" vertical="center"/>
      <protection locked="0"/>
    </xf>
    <xf numFmtId="2" fontId="46" fillId="8" borderId="68" xfId="0" applyNumberFormat="1" applyFont="1" applyFill="1" applyBorder="1" applyAlignment="1" applyProtection="1">
      <alignment horizontal="center" vertical="center"/>
      <protection locked="0"/>
    </xf>
    <xf numFmtId="165" fontId="45" fillId="11" borderId="68" xfId="0" applyNumberFormat="1" applyFont="1" applyFill="1" applyBorder="1" applyAlignment="1" applyProtection="1">
      <alignment horizontal="center" vertical="center"/>
      <protection locked="0"/>
    </xf>
    <xf numFmtId="10" fontId="45" fillId="11" borderId="70" xfId="0" applyNumberFormat="1" applyFont="1" applyFill="1" applyBorder="1" applyAlignment="1" applyProtection="1">
      <alignment horizontal="center" vertical="center"/>
      <protection locked="0"/>
    </xf>
    <xf numFmtId="2" fontId="45" fillId="11" borderId="70" xfId="0" applyNumberFormat="1" applyFont="1" applyFill="1" applyBorder="1" applyAlignment="1" applyProtection="1">
      <alignment horizontal="center" vertical="center"/>
      <protection locked="0"/>
    </xf>
    <xf numFmtId="0" fontId="45" fillId="11" borderId="68" xfId="0" applyFont="1" applyFill="1" applyBorder="1" applyAlignment="1">
      <alignment horizontal="center" vertical="center"/>
    </xf>
    <xf numFmtId="0" fontId="45" fillId="11" borderId="48" xfId="0" applyFont="1" applyFill="1" applyBorder="1" applyAlignment="1" applyProtection="1">
      <alignment horizontal="center" vertical="center"/>
      <protection locked="0"/>
    </xf>
    <xf numFmtId="0" fontId="45" fillId="0" borderId="63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73" xfId="0" applyFont="1" applyBorder="1" applyAlignment="1">
      <alignment horizontal="center" vertical="center" wrapText="1"/>
    </xf>
    <xf numFmtId="0" fontId="45" fillId="11" borderId="53" xfId="0" applyFont="1" applyFill="1" applyBorder="1" applyAlignment="1" applyProtection="1">
      <alignment horizontal="center"/>
      <protection locked="0"/>
    </xf>
    <xf numFmtId="0" fontId="45" fillId="11" borderId="78" xfId="0" applyFont="1" applyFill="1" applyBorder="1" applyAlignment="1" applyProtection="1">
      <alignment horizontal="center"/>
      <protection locked="0"/>
    </xf>
    <xf numFmtId="0" fontId="45" fillId="11" borderId="54" xfId="0" applyFont="1" applyFill="1" applyBorder="1" applyAlignment="1" applyProtection="1">
      <alignment horizontal="center"/>
      <protection locked="0"/>
    </xf>
    <xf numFmtId="0" fontId="45" fillId="11" borderId="79" xfId="0" applyFont="1" applyFill="1" applyBorder="1" applyAlignment="1" applyProtection="1">
      <alignment horizontal="center"/>
      <protection locked="0"/>
    </xf>
    <xf numFmtId="0" fontId="45" fillId="11" borderId="85" xfId="0" applyFont="1" applyFill="1" applyBorder="1" applyAlignment="1" applyProtection="1">
      <alignment horizontal="center"/>
      <protection locked="0"/>
    </xf>
    <xf numFmtId="0" fontId="45" fillId="11" borderId="86" xfId="0" applyFont="1" applyFill="1" applyBorder="1" applyAlignment="1" applyProtection="1">
      <alignment horizontal="center"/>
      <protection locked="0"/>
    </xf>
    <xf numFmtId="0" fontId="45" fillId="11" borderId="87" xfId="0" applyFont="1" applyFill="1" applyBorder="1" applyAlignment="1" applyProtection="1">
      <alignment horizontal="center"/>
      <protection locked="0"/>
    </xf>
    <xf numFmtId="0" fontId="45" fillId="11" borderId="58" xfId="0" applyFont="1" applyFill="1" applyBorder="1" applyAlignment="1" applyProtection="1">
      <alignment horizontal="center"/>
      <protection locked="0"/>
    </xf>
    <xf numFmtId="0" fontId="45" fillId="11" borderId="96" xfId="0" applyFont="1" applyFill="1" applyBorder="1" applyAlignment="1" applyProtection="1">
      <alignment horizontal="center"/>
      <protection locked="0"/>
    </xf>
    <xf numFmtId="0" fontId="45" fillId="11" borderId="97" xfId="0" applyFont="1" applyFill="1" applyBorder="1" applyAlignment="1" applyProtection="1">
      <alignment horizontal="center"/>
      <protection locked="0"/>
    </xf>
    <xf numFmtId="164" fontId="46" fillId="7" borderId="0" xfId="0" applyNumberFormat="1" applyFont="1" applyFill="1" applyAlignment="1">
      <alignment horizontal="center"/>
    </xf>
    <xf numFmtId="0" fontId="46" fillId="0" borderId="99" xfId="0" applyFont="1" applyBorder="1" applyAlignment="1">
      <alignment horizontal="center"/>
    </xf>
    <xf numFmtId="0" fontId="46" fillId="6" borderId="63" xfId="0" applyFont="1" applyFill="1" applyBorder="1" applyAlignment="1">
      <alignment horizontal="center" vertical="center" wrapText="1"/>
    </xf>
    <xf numFmtId="0" fontId="46" fillId="6" borderId="65" xfId="0" applyFont="1" applyFill="1" applyBorder="1" applyAlignment="1">
      <alignment horizontal="center" vertical="center" wrapText="1"/>
    </xf>
    <xf numFmtId="0" fontId="46" fillId="6" borderId="50" xfId="0" applyFont="1" applyFill="1" applyBorder="1" applyAlignment="1">
      <alignment horizontal="center" vertical="center" wrapText="1"/>
    </xf>
    <xf numFmtId="0" fontId="46" fillId="6" borderId="73" xfId="0" applyFont="1" applyFill="1" applyBorder="1" applyAlignment="1">
      <alignment horizontal="center" vertical="center" wrapText="1"/>
    </xf>
    <xf numFmtId="0" fontId="45" fillId="6" borderId="100" xfId="0" applyFont="1" applyFill="1" applyBorder="1"/>
    <xf numFmtId="0" fontId="45" fillId="6" borderId="54" xfId="0" applyFont="1" applyFill="1" applyBorder="1" applyAlignment="1">
      <alignment horizontal="center"/>
    </xf>
    <xf numFmtId="1" fontId="45" fillId="6" borderId="78" xfId="0" applyNumberFormat="1" applyFont="1" applyFill="1" applyBorder="1" applyAlignment="1">
      <alignment horizontal="center"/>
    </xf>
    <xf numFmtId="1" fontId="45" fillId="6" borderId="54" xfId="0" applyNumberFormat="1" applyFont="1" applyFill="1" applyBorder="1" applyAlignment="1">
      <alignment horizontal="center"/>
    </xf>
    <xf numFmtId="0" fontId="45" fillId="6" borderId="78" xfId="0" applyFont="1" applyFill="1" applyBorder="1"/>
    <xf numFmtId="0" fontId="49" fillId="6" borderId="54" xfId="0" applyFont="1" applyFill="1" applyBorder="1"/>
    <xf numFmtId="166" fontId="46" fillId="6" borderId="78" xfId="0" applyNumberFormat="1" applyFont="1" applyFill="1" applyBorder="1" applyAlignment="1">
      <alignment horizontal="center"/>
    </xf>
    <xf numFmtId="0" fontId="46" fillId="8" borderId="78" xfId="0" applyFont="1" applyFill="1" applyBorder="1"/>
    <xf numFmtId="0" fontId="46" fillId="8" borderId="54" xfId="0" applyFont="1" applyFill="1" applyBorder="1" applyAlignment="1">
      <alignment horizontal="center"/>
    </xf>
    <xf numFmtId="0" fontId="46" fillId="6" borderId="79" xfId="0" applyFont="1" applyFill="1" applyBorder="1" applyProtection="1">
      <protection locked="0"/>
    </xf>
    <xf numFmtId="0" fontId="45" fillId="6" borderId="101" xfId="0" applyFont="1" applyFill="1" applyBorder="1"/>
    <xf numFmtId="10" fontId="45" fillId="11" borderId="89" xfId="0" applyNumberFormat="1" applyFont="1" applyFill="1" applyBorder="1" applyAlignment="1" applyProtection="1">
      <alignment horizontal="center"/>
      <protection locked="0"/>
    </xf>
    <xf numFmtId="1" fontId="45" fillId="6" borderId="86" xfId="0" applyNumberFormat="1" applyFont="1" applyFill="1" applyBorder="1" applyAlignment="1">
      <alignment horizontal="center"/>
    </xf>
    <xf numFmtId="1" fontId="45" fillId="6" borderId="89" xfId="0" applyNumberFormat="1" applyFont="1" applyFill="1" applyBorder="1" applyAlignment="1">
      <alignment horizontal="center"/>
    </xf>
    <xf numFmtId="0" fontId="45" fillId="6" borderId="86" xfId="0" applyFont="1" applyFill="1" applyBorder="1"/>
    <xf numFmtId="0" fontId="49" fillId="6" borderId="89" xfId="0" applyFont="1" applyFill="1" applyBorder="1"/>
    <xf numFmtId="166" fontId="46" fillId="6" borderId="86" xfId="0" applyNumberFormat="1" applyFont="1" applyFill="1" applyBorder="1" applyAlignment="1">
      <alignment horizontal="center"/>
    </xf>
    <xf numFmtId="165" fontId="46" fillId="8" borderId="86" xfId="0" applyNumberFormat="1" applyFont="1" applyFill="1" applyBorder="1" applyAlignment="1" applyProtection="1">
      <alignment horizontal="center"/>
      <protection locked="0"/>
    </xf>
    <xf numFmtId="166" fontId="46" fillId="8" borderId="89" xfId="0" applyNumberFormat="1" applyFont="1" applyFill="1" applyBorder="1" applyAlignment="1">
      <alignment horizontal="center"/>
    </xf>
    <xf numFmtId="0" fontId="46" fillId="6" borderId="87" xfId="0" applyFont="1" applyFill="1" applyBorder="1" applyAlignment="1" applyProtection="1">
      <alignment horizontal="center"/>
      <protection locked="0"/>
    </xf>
    <xf numFmtId="0" fontId="45" fillId="6" borderId="101" xfId="0" applyFont="1" applyFill="1" applyBorder="1" applyAlignment="1">
      <alignment horizontal="left"/>
    </xf>
    <xf numFmtId="166" fontId="45" fillId="6" borderId="86" xfId="0" applyNumberFormat="1" applyFont="1" applyFill="1" applyBorder="1" applyAlignment="1">
      <alignment horizontal="center"/>
    </xf>
    <xf numFmtId="0" fontId="45" fillId="6" borderId="86" xfId="0" applyFont="1" applyFill="1" applyBorder="1" applyAlignment="1">
      <alignment horizontal="left"/>
    </xf>
    <xf numFmtId="165" fontId="46" fillId="11" borderId="86" xfId="0" applyNumberFormat="1" applyFont="1" applyFill="1" applyBorder="1" applyAlignment="1" applyProtection="1">
      <alignment horizontal="center"/>
      <protection locked="0"/>
    </xf>
    <xf numFmtId="166" fontId="46" fillId="6" borderId="87" xfId="0" applyNumberFormat="1" applyFont="1" applyFill="1" applyBorder="1" applyAlignment="1" applyProtection="1">
      <alignment horizontal="center"/>
      <protection locked="0"/>
    </xf>
    <xf numFmtId="10" fontId="45" fillId="11" borderId="86" xfId="0" applyNumberFormat="1" applyFont="1" applyFill="1" applyBorder="1" applyAlignment="1" applyProtection="1">
      <alignment horizontal="center"/>
      <protection locked="0"/>
    </xf>
    <xf numFmtId="0" fontId="45" fillId="11" borderId="89" xfId="0" applyFont="1" applyFill="1" applyBorder="1" applyAlignment="1">
      <alignment horizontal="center"/>
    </xf>
    <xf numFmtId="0" fontId="46" fillId="8" borderId="86" xfId="0" applyFont="1" applyFill="1" applyBorder="1" applyAlignment="1">
      <alignment horizontal="center"/>
    </xf>
    <xf numFmtId="166" fontId="46" fillId="11" borderId="87" xfId="0" applyNumberFormat="1" applyFont="1" applyFill="1" applyBorder="1" applyAlignment="1" applyProtection="1">
      <alignment horizontal="center"/>
      <protection locked="0"/>
    </xf>
    <xf numFmtId="166" fontId="45" fillId="6" borderId="89" xfId="0" applyNumberFormat="1" applyFont="1" applyFill="1" applyBorder="1" applyAlignment="1">
      <alignment horizontal="center"/>
    </xf>
    <xf numFmtId="164" fontId="46" fillId="6" borderId="86" xfId="0" applyNumberFormat="1" applyFont="1" applyFill="1" applyBorder="1" applyAlignment="1">
      <alignment horizontal="center"/>
    </xf>
    <xf numFmtId="0" fontId="46" fillId="6" borderId="86" xfId="0" applyFont="1" applyFill="1" applyBorder="1" applyAlignment="1">
      <alignment horizontal="center"/>
    </xf>
    <xf numFmtId="0" fontId="46" fillId="6" borderId="89" xfId="0" applyFont="1" applyFill="1" applyBorder="1" applyAlignment="1">
      <alignment horizontal="center"/>
    </xf>
    <xf numFmtId="0" fontId="45" fillId="6" borderId="106" xfId="0" applyFont="1" applyFill="1" applyBorder="1"/>
    <xf numFmtId="0" fontId="45" fillId="11" borderId="107" xfId="0" applyFont="1" applyFill="1" applyBorder="1" applyAlignment="1">
      <alignment horizontal="center"/>
    </xf>
    <xf numFmtId="0" fontId="45" fillId="6" borderId="96" xfId="0" applyFont="1" applyFill="1" applyBorder="1" applyAlignment="1" applyProtection="1">
      <alignment horizontal="center"/>
      <protection locked="0"/>
    </xf>
    <xf numFmtId="0" fontId="45" fillId="6" borderId="96" xfId="0" applyFont="1" applyFill="1" applyBorder="1" applyAlignment="1">
      <alignment horizontal="center"/>
    </xf>
    <xf numFmtId="0" fontId="45" fillId="6" borderId="95" xfId="0" applyFont="1" applyFill="1" applyBorder="1" applyAlignment="1">
      <alignment horizontal="center"/>
    </xf>
    <xf numFmtId="166" fontId="45" fillId="6" borderId="94" xfId="0" applyNumberFormat="1" applyFont="1" applyFill="1" applyBorder="1" applyAlignment="1">
      <alignment horizontal="center"/>
    </xf>
    <xf numFmtId="0" fontId="45" fillId="6" borderId="96" xfId="0" applyFont="1" applyFill="1" applyBorder="1"/>
    <xf numFmtId="0" fontId="49" fillId="6" borderId="107" xfId="0" applyFont="1" applyFill="1" applyBorder="1"/>
    <xf numFmtId="166" fontId="46" fillId="6" borderId="96" xfId="0" applyNumberFormat="1" applyFont="1" applyFill="1" applyBorder="1" applyAlignment="1">
      <alignment horizontal="center"/>
    </xf>
    <xf numFmtId="0" fontId="46" fillId="6" borderId="96" xfId="0" applyFont="1" applyFill="1" applyBorder="1" applyAlignment="1">
      <alignment horizontal="center"/>
    </xf>
    <xf numFmtId="0" fontId="46" fillId="6" borderId="97" xfId="0" applyFont="1" applyFill="1" applyBorder="1" applyAlignment="1" applyProtection="1">
      <alignment horizontal="center"/>
      <protection locked="0"/>
    </xf>
    <xf numFmtId="0" fontId="45" fillId="6" borderId="110" xfId="0" applyFont="1" applyFill="1" applyBorder="1" applyAlignment="1">
      <alignment horizontal="center" vertical="center" wrapText="1"/>
    </xf>
    <xf numFmtId="0" fontId="45" fillId="6" borderId="111" xfId="0" applyFont="1" applyFill="1" applyBorder="1" applyAlignment="1">
      <alignment horizontal="center" vertical="center" wrapText="1"/>
    </xf>
    <xf numFmtId="0" fontId="45" fillId="6" borderId="61" xfId="0" applyFont="1" applyFill="1" applyBorder="1" applyAlignment="1">
      <alignment horizontal="centerContinuous" vertical="center" wrapText="1"/>
    </xf>
    <xf numFmtId="0" fontId="45" fillId="6" borderId="72" xfId="0" applyFont="1" applyFill="1" applyBorder="1" applyAlignment="1">
      <alignment horizontal="centerContinuous" vertical="center" wrapText="1"/>
    </xf>
    <xf numFmtId="0" fontId="45" fillId="6" borderId="47" xfId="0" applyFont="1" applyFill="1" applyBorder="1" applyAlignment="1">
      <alignment vertical="center" wrapText="1"/>
    </xf>
    <xf numFmtId="0" fontId="45" fillId="6" borderId="68" xfId="0" applyFont="1" applyFill="1" applyBorder="1" applyAlignment="1">
      <alignment vertical="center" wrapText="1"/>
    </xf>
    <xf numFmtId="0" fontId="45" fillId="6" borderId="68" xfId="0" applyFont="1" applyFill="1" applyBorder="1" applyAlignment="1">
      <alignment horizontal="center" vertical="center" wrapText="1"/>
    </xf>
    <xf numFmtId="0" fontId="45" fillId="6" borderId="52" xfId="0" applyFont="1" applyFill="1" applyBorder="1" applyAlignment="1">
      <alignment horizontal="left" vertical="center" wrapText="1"/>
    </xf>
    <xf numFmtId="0" fontId="45" fillId="6" borderId="101" xfId="0" applyFont="1" applyFill="1" applyBorder="1" applyAlignment="1">
      <alignment horizontal="left" vertical="center" wrapText="1"/>
    </xf>
    <xf numFmtId="0" fontId="45" fillId="6" borderId="57" xfId="0" applyFont="1" applyFill="1" applyBorder="1" applyAlignment="1">
      <alignment horizontal="left" vertical="center" wrapText="1"/>
    </xf>
    <xf numFmtId="0" fontId="45" fillId="6" borderId="119" xfId="0" applyFont="1" applyFill="1" applyBorder="1" applyAlignment="1">
      <alignment horizontal="center" vertical="center" wrapText="1"/>
    </xf>
    <xf numFmtId="1" fontId="45" fillId="6" borderId="63" xfId="0" applyNumberFormat="1" applyFont="1" applyFill="1" applyBorder="1" applyAlignment="1">
      <alignment horizontal="center" vertical="center"/>
    </xf>
    <xf numFmtId="14" fontId="45" fillId="6" borderId="78" xfId="0" applyNumberFormat="1" applyFont="1" applyFill="1" applyBorder="1" applyAlignment="1">
      <alignment horizontal="center"/>
    </xf>
    <xf numFmtId="14" fontId="45" fillId="6" borderId="86" xfId="0" applyNumberFormat="1" applyFont="1" applyFill="1" applyBorder="1" applyAlignment="1">
      <alignment horizontal="center"/>
    </xf>
    <xf numFmtId="14" fontId="45" fillId="6" borderId="107" xfId="0" applyNumberFormat="1" applyFont="1" applyFill="1" applyBorder="1" applyAlignment="1">
      <alignment horizontal="center"/>
    </xf>
    <xf numFmtId="0" fontId="45" fillId="6" borderId="124" xfId="0" applyFont="1" applyFill="1" applyBorder="1"/>
    <xf numFmtId="0" fontId="45" fillId="6" borderId="0" xfId="0" applyFont="1" applyFill="1"/>
    <xf numFmtId="0" fontId="45" fillId="6" borderId="99" xfId="0" applyFont="1" applyFill="1" applyBorder="1"/>
    <xf numFmtId="0" fontId="45" fillId="6" borderId="125" xfId="0" applyFont="1" applyFill="1" applyBorder="1"/>
    <xf numFmtId="0" fontId="45" fillId="6" borderId="112" xfId="0" applyFont="1" applyFill="1" applyBorder="1"/>
    <xf numFmtId="0" fontId="45" fillId="6" borderId="113" xfId="0" applyFont="1" applyFill="1" applyBorder="1"/>
    <xf numFmtId="0" fontId="45" fillId="11" borderId="78" xfId="0" applyFont="1" applyFill="1" applyBorder="1"/>
    <xf numFmtId="0" fontId="45" fillId="11" borderId="86" xfId="0" applyFont="1" applyFill="1" applyBorder="1"/>
    <xf numFmtId="0" fontId="45" fillId="11" borderId="96" xfId="0" applyFont="1" applyFill="1" applyBorder="1"/>
    <xf numFmtId="167" fontId="45" fillId="12" borderId="78" xfId="0" applyNumberFormat="1" applyFont="1" applyFill="1" applyBorder="1" applyAlignment="1">
      <alignment horizontal="center" vertical="center"/>
    </xf>
    <xf numFmtId="1" fontId="46" fillId="12" borderId="78" xfId="0" applyNumberFormat="1" applyFont="1" applyFill="1" applyBorder="1" applyAlignment="1">
      <alignment horizontal="center" vertical="center"/>
    </xf>
    <xf numFmtId="165" fontId="46" fillId="12" borderId="53" xfId="1" applyNumberFormat="1" applyFont="1" applyFill="1" applyBorder="1" applyAlignment="1">
      <alignment horizontal="center" vertical="center"/>
    </xf>
    <xf numFmtId="1" fontId="45" fillId="12" borderId="78" xfId="0" applyNumberFormat="1" applyFont="1" applyFill="1" applyBorder="1" applyAlignment="1">
      <alignment horizontal="center" vertical="center"/>
    </xf>
    <xf numFmtId="167" fontId="45" fillId="12" borderId="86" xfId="0" applyNumberFormat="1" applyFont="1" applyFill="1" applyBorder="1" applyAlignment="1">
      <alignment horizontal="center" vertical="center"/>
    </xf>
    <xf numFmtId="1" fontId="46" fillId="12" borderId="85" xfId="0" applyNumberFormat="1" applyFont="1" applyFill="1" applyBorder="1" applyAlignment="1">
      <alignment horizontal="center" vertical="center"/>
    </xf>
    <xf numFmtId="1" fontId="46" fillId="12" borderId="86" xfId="0" applyNumberFormat="1" applyFont="1" applyFill="1" applyBorder="1" applyAlignment="1">
      <alignment horizontal="center" vertical="center"/>
    </xf>
    <xf numFmtId="165" fontId="46" fillId="12" borderId="85" xfId="1" applyNumberFormat="1" applyFont="1" applyFill="1" applyBorder="1" applyAlignment="1">
      <alignment horizontal="center" vertical="center" wrapText="1"/>
    </xf>
    <xf numFmtId="1" fontId="45" fillId="12" borderId="86" xfId="0" applyNumberFormat="1" applyFont="1" applyFill="1" applyBorder="1" applyAlignment="1">
      <alignment horizontal="center" vertical="center"/>
    </xf>
    <xf numFmtId="165" fontId="46" fillId="12" borderId="86" xfId="1" applyNumberFormat="1" applyFont="1" applyFill="1" applyBorder="1" applyAlignment="1">
      <alignment horizontal="center" vertical="center"/>
    </xf>
    <xf numFmtId="167" fontId="45" fillId="12" borderId="96" xfId="0" applyNumberFormat="1" applyFont="1" applyFill="1" applyBorder="1" applyAlignment="1">
      <alignment horizontal="center" vertical="center"/>
    </xf>
    <xf numFmtId="1" fontId="46" fillId="12" borderId="59" xfId="0" applyNumberFormat="1" applyFont="1" applyFill="1" applyBorder="1" applyAlignment="1">
      <alignment horizontal="center" vertical="center"/>
    </xf>
    <xf numFmtId="1" fontId="46" fillId="12" borderId="96" xfId="0" applyNumberFormat="1" applyFont="1" applyFill="1" applyBorder="1" applyAlignment="1">
      <alignment horizontal="center" vertical="center"/>
    </xf>
    <xf numFmtId="165" fontId="46" fillId="12" borderId="59" xfId="1" applyNumberFormat="1" applyFont="1" applyFill="1" applyBorder="1" applyAlignment="1">
      <alignment horizontal="center" vertical="center"/>
    </xf>
    <xf numFmtId="1" fontId="45" fillId="12" borderId="96" xfId="0" applyNumberFormat="1" applyFont="1" applyFill="1" applyBorder="1" applyAlignment="1">
      <alignment horizontal="center" vertical="center"/>
    </xf>
    <xf numFmtId="0" fontId="45" fillId="11" borderId="100" xfId="0" applyFont="1" applyFill="1" applyBorder="1" applyAlignment="1">
      <alignment horizontal="center"/>
    </xf>
    <xf numFmtId="0" fontId="45" fillId="11" borderId="101" xfId="0" applyFont="1" applyFill="1" applyBorder="1" applyAlignment="1">
      <alignment horizontal="center"/>
    </xf>
    <xf numFmtId="0" fontId="45" fillId="11" borderId="106" xfId="0" applyFont="1" applyFill="1" applyBorder="1" applyAlignment="1">
      <alignment horizontal="center"/>
    </xf>
    <xf numFmtId="0" fontId="45" fillId="11" borderId="78" xfId="0" applyFont="1" applyFill="1" applyBorder="1" applyAlignment="1">
      <alignment horizontal="center"/>
    </xf>
    <xf numFmtId="0" fontId="45" fillId="11" borderId="54" xfId="0" applyFont="1" applyFill="1" applyBorder="1" applyAlignment="1">
      <alignment horizontal="center"/>
    </xf>
    <xf numFmtId="0" fontId="45" fillId="11" borderId="56" xfId="0" applyFont="1" applyFill="1" applyBorder="1" applyAlignment="1">
      <alignment horizontal="center"/>
    </xf>
    <xf numFmtId="0" fontId="45" fillId="11" borderId="86" xfId="0" applyFont="1" applyFill="1" applyBorder="1" applyAlignment="1">
      <alignment horizontal="center"/>
    </xf>
    <xf numFmtId="0" fontId="45" fillId="11" borderId="123" xfId="0" applyFont="1" applyFill="1" applyBorder="1" applyAlignment="1">
      <alignment horizontal="center"/>
    </xf>
    <xf numFmtId="0" fontId="45" fillId="11" borderId="96" xfId="0" applyFont="1" applyFill="1" applyBorder="1" applyAlignment="1">
      <alignment horizontal="center"/>
    </xf>
    <xf numFmtId="0" fontId="45" fillId="11" borderId="60" xfId="0" applyFont="1" applyFill="1" applyBorder="1" applyAlignment="1">
      <alignment horizontal="center"/>
    </xf>
    <xf numFmtId="0" fontId="45" fillId="0" borderId="65" xfId="0" applyFont="1" applyBorder="1" applyAlignment="1">
      <alignment horizontal="center" vertical="center" wrapText="1"/>
    </xf>
    <xf numFmtId="0" fontId="45" fillId="11" borderId="76" xfId="0" applyFont="1" applyFill="1" applyBorder="1" applyAlignment="1" applyProtection="1">
      <alignment horizontal="center"/>
      <protection locked="0"/>
    </xf>
    <xf numFmtId="0" fontId="45" fillId="11" borderId="77" xfId="0" applyFont="1" applyFill="1" applyBorder="1" applyAlignment="1" applyProtection="1">
      <alignment horizontal="center"/>
      <protection locked="0"/>
    </xf>
    <xf numFmtId="0" fontId="45" fillId="11" borderId="82" xfId="0" applyFont="1" applyFill="1" applyBorder="1" applyAlignment="1" applyProtection="1">
      <alignment horizontal="center"/>
      <protection locked="0"/>
    </xf>
    <xf numFmtId="0" fontId="45" fillId="11" borderId="83" xfId="0" applyFont="1" applyFill="1" applyBorder="1" applyAlignment="1" applyProtection="1">
      <alignment horizontal="center"/>
      <protection locked="0"/>
    </xf>
    <xf numFmtId="0" fontId="45" fillId="11" borderId="84" xfId="0" applyFont="1" applyFill="1" applyBorder="1" applyAlignment="1" applyProtection="1">
      <alignment horizontal="center"/>
      <protection locked="0"/>
    </xf>
    <xf numFmtId="0" fontId="45" fillId="11" borderId="89" xfId="0" applyFont="1" applyFill="1" applyBorder="1" applyAlignment="1" applyProtection="1">
      <alignment horizontal="center"/>
      <protection locked="0"/>
    </xf>
    <xf numFmtId="0" fontId="45" fillId="6" borderId="86" xfId="0" applyFont="1" applyFill="1" applyBorder="1" applyAlignment="1">
      <alignment horizontal="center"/>
    </xf>
    <xf numFmtId="0" fontId="45" fillId="11" borderId="94" xfId="0" applyFont="1" applyFill="1" applyBorder="1" applyAlignment="1" applyProtection="1">
      <alignment horizontal="center"/>
      <protection locked="0"/>
    </xf>
    <xf numFmtId="0" fontId="45" fillId="11" borderId="95" xfId="0" applyFont="1" applyFill="1" applyBorder="1" applyAlignment="1" applyProtection="1">
      <alignment horizontal="center"/>
      <protection locked="0"/>
    </xf>
    <xf numFmtId="0" fontId="45" fillId="6" borderId="112" xfId="0" applyFont="1" applyFill="1" applyBorder="1" applyAlignment="1">
      <alignment horizontal="center" vertical="center" wrapText="1"/>
    </xf>
    <xf numFmtId="0" fontId="45" fillId="6" borderId="47" xfId="0" applyFont="1" applyFill="1" applyBorder="1" applyAlignment="1">
      <alignment horizontal="center" vertical="center" wrapText="1"/>
    </xf>
    <xf numFmtId="1" fontId="21" fillId="0" borderId="0" xfId="0" applyNumberFormat="1" applyFont="1" applyAlignment="1">
      <alignment horizontal="center"/>
    </xf>
    <xf numFmtId="0" fontId="50" fillId="0" borderId="0" xfId="0" applyFont="1" applyAlignment="1">
      <alignment horizontal="center" vertical="center" wrapText="1"/>
    </xf>
    <xf numFmtId="0" fontId="50" fillId="0" borderId="0" xfId="0" applyFont="1"/>
    <xf numFmtId="0" fontId="50" fillId="0" borderId="0" xfId="0" applyFont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0" fontId="51" fillId="0" borderId="0" xfId="0" applyFont="1" applyAlignment="1">
      <alignment vertical="center"/>
    </xf>
    <xf numFmtId="14" fontId="35" fillId="0" borderId="104" xfId="0" applyNumberFormat="1" applyFont="1" applyBorder="1" applyAlignment="1" applyProtection="1">
      <alignment vertical="center"/>
      <protection locked="0"/>
    </xf>
    <xf numFmtId="0" fontId="56" fillId="0" borderId="133" xfId="0" applyFont="1" applyBorder="1" applyAlignment="1">
      <alignment horizontal="center" vertical="center"/>
    </xf>
    <xf numFmtId="0" fontId="57" fillId="0" borderId="133" xfId="0" applyFont="1" applyBorder="1" applyAlignment="1">
      <alignment horizontal="center" vertical="center"/>
    </xf>
    <xf numFmtId="0" fontId="58" fillId="0" borderId="133" xfId="0" applyFont="1" applyBorder="1" applyAlignment="1" applyProtection="1">
      <alignment horizontal="center" vertical="center"/>
      <protection locked="0"/>
    </xf>
    <xf numFmtId="166" fontId="60" fillId="0" borderId="0" xfId="0" applyNumberFormat="1" applyFont="1" applyAlignment="1" applyProtection="1">
      <alignment horizontal="center" vertical="center"/>
      <protection locked="0"/>
    </xf>
    <xf numFmtId="1" fontId="61" fillId="0" borderId="0" xfId="0" applyNumberFormat="1" applyFont="1" applyAlignment="1" applyProtection="1">
      <alignment horizontal="center" vertical="center"/>
      <protection locked="0"/>
    </xf>
    <xf numFmtId="164" fontId="51" fillId="0" borderId="0" xfId="0" applyNumberFormat="1" applyFont="1" applyAlignment="1" applyProtection="1">
      <alignment horizontal="center" vertical="center"/>
      <protection locked="0"/>
    </xf>
    <xf numFmtId="171" fontId="62" fillId="0" borderId="0" xfId="0" applyNumberFormat="1" applyFont="1" applyAlignment="1" applyProtection="1">
      <alignment horizontal="center" vertical="center"/>
      <protection locked="0"/>
    </xf>
    <xf numFmtId="0" fontId="63" fillId="0" borderId="0" xfId="0" applyFont="1" applyAlignment="1">
      <alignment vertical="center" wrapText="1"/>
    </xf>
    <xf numFmtId="0" fontId="63" fillId="0" borderId="0" xfId="0" applyFont="1" applyAlignment="1" applyProtection="1">
      <alignment vertical="center" wrapText="1"/>
      <protection locked="0"/>
    </xf>
    <xf numFmtId="0" fontId="61" fillId="0" borderId="0" xfId="0" applyFont="1" applyAlignment="1">
      <alignment horizontal="left" vertical="center"/>
    </xf>
    <xf numFmtId="0" fontId="64" fillId="0" borderId="0" xfId="0" applyFont="1" applyAlignment="1" applyProtection="1">
      <alignment vertical="center" wrapText="1"/>
      <protection locked="0"/>
    </xf>
    <xf numFmtId="0" fontId="65" fillId="0" borderId="0" xfId="0" applyFont="1" applyAlignment="1">
      <alignment vertical="center" wrapText="1"/>
    </xf>
    <xf numFmtId="0" fontId="59" fillId="0" borderId="0" xfId="0" applyFont="1" applyAlignment="1" applyProtection="1">
      <alignment vertical="center" wrapText="1"/>
      <protection locked="0"/>
    </xf>
    <xf numFmtId="0" fontId="51" fillId="0" borderId="29" xfId="0" applyFont="1" applyBorder="1" applyAlignment="1">
      <alignment horizontal="center" vertical="center"/>
    </xf>
    <xf numFmtId="164" fontId="58" fillId="0" borderId="41" xfId="0" applyNumberFormat="1" applyFont="1" applyBorder="1" applyAlignment="1">
      <alignment horizontal="center" vertical="center"/>
    </xf>
    <xf numFmtId="164" fontId="51" fillId="0" borderId="0" xfId="0" applyNumberFormat="1" applyFont="1" applyAlignment="1">
      <alignment horizontal="center" vertical="center"/>
    </xf>
    <xf numFmtId="164" fontId="58" fillId="0" borderId="39" xfId="0" applyNumberFormat="1" applyFont="1" applyBorder="1" applyAlignment="1">
      <alignment horizontal="center" vertical="center"/>
    </xf>
    <xf numFmtId="0" fontId="52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52" fillId="0" borderId="141" xfId="0" applyFont="1" applyBorder="1" applyAlignment="1">
      <alignment horizontal="center" vertical="center" wrapText="1"/>
    </xf>
    <xf numFmtId="0" fontId="52" fillId="0" borderId="142" xfId="0" applyFont="1" applyBorder="1" applyAlignment="1">
      <alignment horizontal="center" vertical="center" wrapText="1"/>
    </xf>
    <xf numFmtId="0" fontId="52" fillId="0" borderId="143" xfId="0" applyFont="1" applyBorder="1" applyAlignment="1">
      <alignment horizontal="center" vertical="center" wrapText="1"/>
    </xf>
    <xf numFmtId="0" fontId="50" fillId="0" borderId="144" xfId="0" applyFont="1" applyBorder="1" applyAlignment="1">
      <alignment horizontal="center" vertical="center" wrapText="1"/>
    </xf>
    <xf numFmtId="9" fontId="50" fillId="0" borderId="144" xfId="0" applyNumberFormat="1" applyFont="1" applyBorder="1" applyAlignment="1">
      <alignment horizontal="center" vertical="center" wrapText="1"/>
    </xf>
    <xf numFmtId="49" fontId="50" fillId="0" borderId="144" xfId="0" applyNumberFormat="1" applyFont="1" applyBorder="1" applyAlignment="1">
      <alignment horizontal="center" vertical="center" wrapText="1"/>
    </xf>
    <xf numFmtId="10" fontId="50" fillId="0" borderId="144" xfId="0" applyNumberFormat="1" applyFont="1" applyBorder="1" applyAlignment="1">
      <alignment horizontal="center" vertical="center" wrapText="1"/>
    </xf>
    <xf numFmtId="0" fontId="50" fillId="0" borderId="145" xfId="0" applyFont="1" applyBorder="1" applyAlignment="1">
      <alignment horizontal="center" vertical="center" wrapText="1"/>
    </xf>
    <xf numFmtId="1" fontId="50" fillId="0" borderId="0" xfId="0" applyNumberFormat="1" applyFont="1" applyAlignment="1">
      <alignment horizontal="center"/>
    </xf>
    <xf numFmtId="9" fontId="50" fillId="0" borderId="0" xfId="1" applyFont="1" applyAlignment="1">
      <alignment horizontal="center"/>
    </xf>
    <xf numFmtId="0" fontId="52" fillId="6" borderId="0" xfId="0" applyFont="1" applyFill="1" applyAlignment="1">
      <alignment vertical="center"/>
    </xf>
    <xf numFmtId="0" fontId="50" fillId="6" borderId="0" xfId="0" applyFont="1" applyFill="1" applyAlignment="1">
      <alignment vertical="center"/>
    </xf>
    <xf numFmtId="0" fontId="50" fillId="2" borderId="0" xfId="0" applyFont="1" applyFill="1" applyAlignment="1">
      <alignment horizontal="center" vertical="center"/>
    </xf>
    <xf numFmtId="0" fontId="50" fillId="13" borderId="0" xfId="0" applyFont="1" applyFill="1" applyAlignment="1">
      <alignment horizontal="center" vertical="center"/>
    </xf>
    <xf numFmtId="0" fontId="50" fillId="13" borderId="0" xfId="0" applyFont="1" applyFill="1"/>
    <xf numFmtId="1" fontId="50" fillId="2" borderId="0" xfId="0" applyNumberFormat="1" applyFont="1" applyFill="1" applyAlignment="1">
      <alignment horizontal="left" vertical="center"/>
    </xf>
    <xf numFmtId="0" fontId="58" fillId="0" borderId="140" xfId="0" applyFont="1" applyBorder="1" applyAlignment="1">
      <alignment horizontal="center" vertical="center" wrapText="1"/>
    </xf>
    <xf numFmtId="0" fontId="51" fillId="0" borderId="131" xfId="0" applyFont="1" applyBorder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55" fillId="0" borderId="0" xfId="0" applyFont="1" applyAlignment="1">
      <alignment vertical="center"/>
    </xf>
    <xf numFmtId="0" fontId="68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51" fillId="0" borderId="0" xfId="0" applyFont="1" applyAlignment="1">
      <alignment horizontal="right" vertical="center"/>
    </xf>
    <xf numFmtId="0" fontId="68" fillId="6" borderId="0" xfId="0" applyFont="1" applyFill="1" applyAlignment="1" applyProtection="1">
      <alignment horizontal="center" vertical="center"/>
      <protection locked="0"/>
    </xf>
    <xf numFmtId="0" fontId="70" fillId="6" borderId="0" xfId="0" applyFont="1" applyFill="1" applyAlignment="1" applyProtection="1">
      <alignment horizontal="center" vertical="center"/>
      <protection locked="0"/>
    </xf>
    <xf numFmtId="0" fontId="71" fillId="0" borderId="0" xfId="0" applyFont="1" applyAlignment="1">
      <alignment horizontal="center" vertical="center"/>
    </xf>
    <xf numFmtId="0" fontId="71" fillId="6" borderId="0" xfId="0" applyFont="1" applyFill="1" applyAlignment="1" applyProtection="1">
      <alignment horizontal="center" vertical="center"/>
      <protection locked="0"/>
    </xf>
    <xf numFmtId="0" fontId="61" fillId="6" borderId="0" xfId="0" applyFont="1" applyFill="1" applyAlignment="1" applyProtection="1">
      <alignment horizontal="center" vertical="center"/>
      <protection locked="0"/>
    </xf>
    <xf numFmtId="0" fontId="58" fillId="0" borderId="0" xfId="0" applyFont="1" applyAlignment="1">
      <alignment vertical="center"/>
    </xf>
    <xf numFmtId="0" fontId="58" fillId="6" borderId="0" xfId="0" applyFont="1" applyFill="1" applyAlignment="1">
      <alignment horizontal="center" vertical="center"/>
    </xf>
    <xf numFmtId="0" fontId="51" fillId="6" borderId="0" xfId="0" applyFont="1" applyFill="1" applyAlignment="1">
      <alignment vertical="center"/>
    </xf>
    <xf numFmtId="0" fontId="66" fillId="6" borderId="0" xfId="0" applyFont="1" applyFill="1" applyAlignment="1">
      <alignment horizontal="center" vertical="center"/>
    </xf>
    <xf numFmtId="0" fontId="60" fillId="6" borderId="0" xfId="0" applyFont="1" applyFill="1" applyAlignment="1">
      <alignment horizontal="center" vertical="center"/>
    </xf>
    <xf numFmtId="173" fontId="51" fillId="6" borderId="0" xfId="0" applyNumberFormat="1" applyFont="1" applyFill="1" applyAlignment="1">
      <alignment horizontal="center" vertical="center"/>
    </xf>
    <xf numFmtId="174" fontId="51" fillId="6" borderId="0" xfId="0" applyNumberFormat="1" applyFont="1" applyFill="1" applyAlignment="1">
      <alignment horizontal="center" vertical="center"/>
    </xf>
    <xf numFmtId="9" fontId="6" fillId="6" borderId="0" xfId="0" applyNumberFormat="1" applyFont="1" applyFill="1" applyAlignment="1" applyProtection="1">
      <alignment horizontal="center" vertical="center"/>
      <protection locked="0"/>
    </xf>
    <xf numFmtId="172" fontId="51" fillId="0" borderId="0" xfId="0" applyNumberFormat="1" applyFont="1" applyAlignment="1">
      <alignment horizontal="center" vertical="center"/>
    </xf>
    <xf numFmtId="164" fontId="51" fillId="0" borderId="0" xfId="0" applyNumberFormat="1" applyFont="1" applyAlignment="1">
      <alignment vertical="center"/>
    </xf>
    <xf numFmtId="164" fontId="66" fillId="6" borderId="0" xfId="0" applyNumberFormat="1" applyFont="1" applyFill="1" applyAlignment="1">
      <alignment horizontal="center" vertical="center"/>
    </xf>
    <xf numFmtId="172" fontId="51" fillId="6" borderId="0" xfId="0" applyNumberFormat="1" applyFont="1" applyFill="1" applyAlignment="1">
      <alignment horizontal="center" vertical="center"/>
    </xf>
    <xf numFmtId="9" fontId="58" fillId="6" borderId="0" xfId="0" applyNumberFormat="1" applyFont="1" applyFill="1" applyAlignment="1">
      <alignment horizontal="center" vertical="center"/>
    </xf>
    <xf numFmtId="172" fontId="51" fillId="0" borderId="0" xfId="0" applyNumberFormat="1" applyFont="1" applyAlignment="1">
      <alignment vertical="center"/>
    </xf>
    <xf numFmtId="0" fontId="65" fillId="0" borderId="0" xfId="0" applyFont="1" applyAlignment="1">
      <alignment vertical="center"/>
    </xf>
    <xf numFmtId="172" fontId="65" fillId="0" borderId="0" xfId="0" applyNumberFormat="1" applyFont="1" applyAlignment="1">
      <alignment vertical="center"/>
    </xf>
    <xf numFmtId="14" fontId="51" fillId="0" borderId="133" xfId="0" applyNumberFormat="1" applyFont="1" applyBorder="1" applyAlignment="1">
      <alignment horizontal="left" vertical="center"/>
    </xf>
    <xf numFmtId="14" fontId="51" fillId="0" borderId="0" xfId="0" applyNumberFormat="1" applyFont="1" applyAlignment="1">
      <alignment horizontal="left" vertical="center"/>
    </xf>
    <xf numFmtId="166" fontId="51" fillId="6" borderId="135" xfId="0" applyNumberFormat="1" applyFont="1" applyFill="1" applyBorder="1" applyAlignment="1">
      <alignment horizontal="center" vertical="center"/>
    </xf>
    <xf numFmtId="0" fontId="60" fillId="6" borderId="135" xfId="0" applyFont="1" applyFill="1" applyBorder="1" applyAlignment="1">
      <alignment horizontal="center" vertical="center"/>
    </xf>
    <xf numFmtId="166" fontId="51" fillId="6" borderId="139" xfId="0" applyNumberFormat="1" applyFont="1" applyFill="1" applyBorder="1" applyAlignment="1">
      <alignment horizontal="center" vertical="center"/>
    </xf>
    <xf numFmtId="0" fontId="60" fillId="6" borderId="139" xfId="0" applyFont="1" applyFill="1" applyBorder="1" applyAlignment="1">
      <alignment horizontal="center" vertical="center"/>
    </xf>
    <xf numFmtId="166" fontId="51" fillId="6" borderId="14" xfId="0" applyNumberFormat="1" applyFont="1" applyFill="1" applyBorder="1" applyAlignment="1">
      <alignment horizontal="center" vertical="center"/>
    </xf>
    <xf numFmtId="164" fontId="26" fillId="0" borderId="13" xfId="2" applyNumberFormat="1" applyBorder="1" applyAlignment="1">
      <alignment horizontal="center"/>
    </xf>
    <xf numFmtId="164" fontId="26" fillId="6" borderId="147" xfId="2" applyNumberFormat="1" applyFill="1" applyBorder="1" applyAlignment="1">
      <alignment horizontal="center"/>
    </xf>
    <xf numFmtId="164" fontId="26" fillId="6" borderId="139" xfId="2" applyNumberFormat="1" applyFill="1" applyBorder="1" applyAlignment="1">
      <alignment horizontal="center"/>
    </xf>
    <xf numFmtId="164" fontId="26" fillId="0" borderId="147" xfId="2" applyNumberFormat="1" applyBorder="1" applyAlignment="1">
      <alignment horizontal="center"/>
    </xf>
    <xf numFmtId="1" fontId="26" fillId="0" borderId="147" xfId="2" applyNumberFormat="1" applyBorder="1" applyAlignment="1">
      <alignment horizontal="center"/>
    </xf>
    <xf numFmtId="1" fontId="26" fillId="0" borderId="13" xfId="2" applyNumberFormat="1" applyBorder="1" applyAlignment="1">
      <alignment horizontal="center"/>
    </xf>
    <xf numFmtId="1" fontId="26" fillId="10" borderId="147" xfId="2" applyNumberFormat="1" applyFill="1" applyBorder="1" applyAlignment="1">
      <alignment horizontal="center"/>
    </xf>
    <xf numFmtId="1" fontId="26" fillId="10" borderId="5" xfId="2" applyNumberFormat="1" applyFill="1" applyBorder="1" applyAlignment="1">
      <alignment horizontal="center"/>
    </xf>
    <xf numFmtId="0" fontId="26" fillId="0" borderId="104" xfId="2" applyBorder="1" applyAlignment="1">
      <alignment horizontal="center"/>
    </xf>
    <xf numFmtId="164" fontId="26" fillId="0" borderId="16" xfId="2" applyNumberFormat="1" applyBorder="1" applyAlignment="1">
      <alignment horizontal="center"/>
    </xf>
    <xf numFmtId="0" fontId="26" fillId="0" borderId="148" xfId="2" applyBorder="1" applyAlignment="1">
      <alignment horizontal="center"/>
    </xf>
    <xf numFmtId="0" fontId="26" fillId="0" borderId="149" xfId="2" applyBorder="1" applyAlignment="1">
      <alignment horizontal="center"/>
    </xf>
    <xf numFmtId="16" fontId="26" fillId="0" borderId="9" xfId="2" applyNumberFormat="1" applyBorder="1" applyAlignment="1">
      <alignment horizontal="center"/>
    </xf>
    <xf numFmtId="9" fontId="26" fillId="0" borderId="17" xfId="4" applyBorder="1" applyAlignment="1">
      <alignment horizontal="center"/>
    </xf>
    <xf numFmtId="0" fontId="26" fillId="0" borderId="35" xfId="2" applyBorder="1" applyAlignment="1">
      <alignment horizontal="center"/>
    </xf>
    <xf numFmtId="0" fontId="26" fillId="0" borderId="1" xfId="2" applyBorder="1" applyAlignment="1">
      <alignment horizontal="center"/>
    </xf>
    <xf numFmtId="0" fontId="26" fillId="0" borderId="9" xfId="2" applyBorder="1" applyAlignment="1">
      <alignment horizontal="center"/>
    </xf>
    <xf numFmtId="0" fontId="26" fillId="0" borderId="17" xfId="2" applyBorder="1" applyAlignment="1">
      <alignment horizontal="center"/>
    </xf>
    <xf numFmtId="0" fontId="33" fillId="0" borderId="27" xfId="2" applyFont="1" applyBorder="1" applyAlignment="1">
      <alignment horizontal="center"/>
    </xf>
    <xf numFmtId="0" fontId="26" fillId="2" borderId="18" xfId="2" applyFill="1" applyBorder="1" applyAlignment="1">
      <alignment horizontal="center"/>
    </xf>
    <xf numFmtId="49" fontId="26" fillId="0" borderId="21" xfId="2" applyNumberFormat="1" applyBorder="1" applyAlignment="1">
      <alignment horizontal="center"/>
    </xf>
    <xf numFmtId="164" fontId="26" fillId="6" borderId="28" xfId="2" applyNumberFormat="1" applyFill="1" applyBorder="1" applyAlignment="1">
      <alignment horizontal="center"/>
    </xf>
    <xf numFmtId="164" fontId="26" fillId="6" borderId="131" xfId="2" applyNumberFormat="1" applyFill="1" applyBorder="1" applyAlignment="1">
      <alignment horizontal="center"/>
    </xf>
    <xf numFmtId="164" fontId="26" fillId="0" borderId="131" xfId="2" applyNumberFormat="1" applyBorder="1" applyAlignment="1">
      <alignment horizontal="center"/>
    </xf>
    <xf numFmtId="164" fontId="26" fillId="0" borderId="28" xfId="2" applyNumberFormat="1" applyBorder="1" applyAlignment="1">
      <alignment horizontal="center"/>
    </xf>
    <xf numFmtId="164" fontId="26" fillId="0" borderId="132" xfId="2" applyNumberFormat="1" applyBorder="1" applyAlignment="1">
      <alignment horizontal="center"/>
    </xf>
    <xf numFmtId="1" fontId="26" fillId="0" borderId="28" xfId="2" applyNumberFormat="1" applyBorder="1" applyAlignment="1">
      <alignment horizontal="center"/>
    </xf>
    <xf numFmtId="1" fontId="26" fillId="0" borderId="131" xfId="2" applyNumberFormat="1" applyBorder="1" applyAlignment="1">
      <alignment horizontal="center"/>
    </xf>
    <xf numFmtId="1" fontId="26" fillId="0" borderId="132" xfId="2" applyNumberFormat="1" applyBorder="1" applyAlignment="1">
      <alignment horizontal="center"/>
    </xf>
    <xf numFmtId="2" fontId="26" fillId="6" borderId="138" xfId="2" applyNumberFormat="1" applyFill="1" applyBorder="1" applyAlignment="1">
      <alignment horizontal="center"/>
    </xf>
    <xf numFmtId="2" fontId="26" fillId="6" borderId="19" xfId="2" applyNumberFormat="1" applyFill="1" applyBorder="1" applyAlignment="1">
      <alignment horizontal="center"/>
    </xf>
    <xf numFmtId="2" fontId="26" fillId="0" borderId="18" xfId="2" applyNumberFormat="1" applyBorder="1" applyAlignment="1">
      <alignment horizontal="center"/>
    </xf>
    <xf numFmtId="0" fontId="26" fillId="10" borderId="138" xfId="2" applyFill="1" applyBorder="1" applyAlignment="1">
      <alignment horizontal="center"/>
    </xf>
    <xf numFmtId="2" fontId="33" fillId="2" borderId="18" xfId="2" applyNumberFormat="1" applyFont="1" applyFill="1" applyBorder="1" applyAlignment="1">
      <alignment horizontal="center"/>
    </xf>
    <xf numFmtId="2" fontId="34" fillId="0" borderId="138" xfId="2" applyNumberFormat="1" applyFont="1" applyBorder="1" applyAlignment="1">
      <alignment horizontal="center"/>
    </xf>
    <xf numFmtId="0" fontId="26" fillId="10" borderId="18" xfId="2" applyFill="1" applyBorder="1" applyAlignment="1">
      <alignment horizontal="center"/>
    </xf>
    <xf numFmtId="0" fontId="26" fillId="10" borderId="20" xfId="2" applyFill="1" applyBorder="1" applyAlignment="1">
      <alignment horizontal="center"/>
    </xf>
    <xf numFmtId="0" fontId="75" fillId="0" borderId="0" xfId="0" applyFont="1"/>
    <xf numFmtId="0" fontId="75" fillId="0" borderId="151" xfId="0" applyFont="1" applyBorder="1" applyAlignment="1">
      <alignment horizontal="center" vertical="center"/>
    </xf>
    <xf numFmtId="0" fontId="75" fillId="0" borderId="85" xfId="0" applyFont="1" applyBorder="1" applyAlignment="1">
      <alignment horizontal="left" vertical="center"/>
    </xf>
    <xf numFmtId="0" fontId="75" fillId="0" borderId="154" xfId="0" applyFont="1" applyBorder="1" applyAlignment="1">
      <alignment horizontal="left" vertical="center"/>
    </xf>
    <xf numFmtId="0" fontId="75" fillId="0" borderId="155" xfId="0" applyFont="1" applyBorder="1" applyAlignment="1" applyProtection="1">
      <alignment horizontal="left" vertical="center"/>
      <protection locked="0"/>
    </xf>
    <xf numFmtId="0" fontId="75" fillId="0" borderId="154" xfId="0" applyFont="1" applyBorder="1" applyAlignment="1">
      <alignment horizontal="center" vertical="center"/>
    </xf>
    <xf numFmtId="0" fontId="75" fillId="0" borderId="85" xfId="0" applyFont="1" applyBorder="1" applyAlignment="1" applyProtection="1">
      <alignment horizontal="center" vertical="center"/>
      <protection locked="0"/>
    </xf>
    <xf numFmtId="0" fontId="75" fillId="0" borderId="85" xfId="0" applyFont="1" applyBorder="1" applyAlignment="1">
      <alignment horizontal="center" vertical="center"/>
    </xf>
    <xf numFmtId="0" fontId="75" fillId="0" borderId="151" xfId="0" applyFont="1" applyBorder="1" applyAlignment="1">
      <alignment horizontal="center" vertical="center" wrapText="1"/>
    </xf>
    <xf numFmtId="0" fontId="75" fillId="0" borderId="0" xfId="0" applyFont="1" applyAlignment="1">
      <alignment horizontal="center" vertical="center" wrapText="1"/>
    </xf>
    <xf numFmtId="0" fontId="75" fillId="0" borderId="152" xfId="0" applyFont="1" applyBorder="1" applyAlignment="1">
      <alignment horizontal="center" vertical="center" wrapText="1"/>
    </xf>
    <xf numFmtId="0" fontId="75" fillId="7" borderId="152" xfId="0" applyFont="1" applyFill="1" applyBorder="1" applyAlignment="1">
      <alignment horizontal="center" vertical="center" wrapText="1"/>
    </xf>
    <xf numFmtId="0" fontId="75" fillId="6" borderId="152" xfId="0" applyFont="1" applyFill="1" applyBorder="1" applyAlignment="1">
      <alignment horizontal="center" vertical="center" wrapText="1"/>
    </xf>
    <xf numFmtId="164" fontId="75" fillId="7" borderId="152" xfId="0" applyNumberFormat="1" applyFont="1" applyFill="1" applyBorder="1" applyAlignment="1">
      <alignment horizontal="center" vertical="center" wrapText="1"/>
    </xf>
    <xf numFmtId="0" fontId="75" fillId="6" borderId="152" xfId="0" applyFont="1" applyFill="1" applyBorder="1" applyAlignment="1">
      <alignment horizontal="center" vertical="center"/>
    </xf>
    <xf numFmtId="164" fontId="75" fillId="7" borderId="152" xfId="0" applyNumberFormat="1" applyFont="1" applyFill="1" applyBorder="1" applyAlignment="1">
      <alignment horizontal="center" vertical="center"/>
    </xf>
    <xf numFmtId="0" fontId="75" fillId="7" borderId="152" xfId="0" applyFont="1" applyFill="1" applyBorder="1" applyAlignment="1">
      <alignment horizontal="center" vertical="center"/>
    </xf>
    <xf numFmtId="0" fontId="75" fillId="0" borderId="152" xfId="0" applyFont="1" applyBorder="1" applyAlignment="1">
      <alignment horizontal="center" vertical="center"/>
    </xf>
    <xf numFmtId="1" fontId="75" fillId="0" borderId="98" xfId="0" applyNumberFormat="1" applyFont="1" applyBorder="1"/>
    <xf numFmtId="1" fontId="75" fillId="0" borderId="0" xfId="0" applyNumberFormat="1" applyFont="1"/>
    <xf numFmtId="1" fontId="75" fillId="0" borderId="0" xfId="0" applyNumberFormat="1" applyFont="1" applyAlignment="1">
      <alignment horizontal="center"/>
    </xf>
    <xf numFmtId="1" fontId="75" fillId="0" borderId="152" xfId="0" applyNumberFormat="1" applyFont="1" applyBorder="1" applyAlignment="1">
      <alignment horizontal="center" vertical="center"/>
    </xf>
    <xf numFmtId="9" fontId="75" fillId="0" borderId="0" xfId="1" applyFont="1" applyFill="1" applyAlignment="1">
      <alignment horizontal="center"/>
    </xf>
    <xf numFmtId="10" fontId="75" fillId="7" borderId="152" xfId="0" applyNumberFormat="1" applyFont="1" applyFill="1" applyBorder="1" applyAlignment="1" applyProtection="1">
      <alignment horizontal="center" vertical="center"/>
      <protection locked="0"/>
    </xf>
    <xf numFmtId="165" fontId="75" fillId="0" borderId="152" xfId="0" applyNumberFormat="1" applyFont="1" applyBorder="1" applyAlignment="1" applyProtection="1">
      <alignment horizontal="center" vertical="center"/>
      <protection locked="0"/>
    </xf>
    <xf numFmtId="166" fontId="75" fillId="0" borderId="152" xfId="0" applyNumberFormat="1" applyFont="1" applyBorder="1" applyAlignment="1">
      <alignment horizontal="center" vertical="center"/>
    </xf>
    <xf numFmtId="165" fontId="75" fillId="7" borderId="152" xfId="0" applyNumberFormat="1" applyFont="1" applyFill="1" applyBorder="1" applyAlignment="1" applyProtection="1">
      <alignment horizontal="center" vertical="center"/>
      <protection locked="0"/>
    </xf>
    <xf numFmtId="0" fontId="75" fillId="0" borderId="0" xfId="0" applyFont="1" applyAlignment="1">
      <alignment wrapText="1"/>
    </xf>
    <xf numFmtId="9" fontId="75" fillId="0" borderId="0" xfId="0" applyNumberFormat="1" applyFont="1" applyAlignment="1">
      <alignment wrapText="1"/>
    </xf>
    <xf numFmtId="167" fontId="75" fillId="0" borderId="151" xfId="0" applyNumberFormat="1" applyFont="1" applyBorder="1" applyAlignment="1">
      <alignment horizontal="center" vertical="center"/>
    </xf>
    <xf numFmtId="0" fontId="75" fillId="0" borderId="151" xfId="0" applyFont="1" applyBorder="1" applyAlignment="1" applyProtection="1">
      <alignment horizontal="center" vertical="center"/>
      <protection locked="0"/>
    </xf>
    <xf numFmtId="1" fontId="75" fillId="0" borderId="151" xfId="0" applyNumberFormat="1" applyFont="1" applyBorder="1" applyAlignment="1">
      <alignment horizontal="center" vertical="center"/>
    </xf>
    <xf numFmtId="165" fontId="75" fillId="0" borderId="151" xfId="1" applyNumberFormat="1" applyFont="1" applyFill="1" applyBorder="1" applyAlignment="1">
      <alignment horizontal="center" vertical="center"/>
    </xf>
    <xf numFmtId="166" fontId="75" fillId="0" borderId="151" xfId="0" applyNumberFormat="1" applyFont="1" applyBorder="1" applyAlignment="1">
      <alignment horizontal="center" vertical="center"/>
    </xf>
    <xf numFmtId="0" fontId="75" fillId="0" borderId="0" xfId="0" applyFont="1" applyAlignment="1" applyProtection="1">
      <alignment horizontal="left"/>
      <protection locked="0"/>
    </xf>
    <xf numFmtId="0" fontId="75" fillId="0" borderId="164" xfId="0" applyFont="1" applyBorder="1" applyAlignment="1">
      <alignment horizontal="center" vertical="center"/>
    </xf>
    <xf numFmtId="0" fontId="75" fillId="0" borderId="167" xfId="0" applyFont="1" applyBorder="1" applyAlignment="1" applyProtection="1">
      <alignment horizontal="center" vertical="center"/>
      <protection locked="0"/>
    </xf>
    <xf numFmtId="0" fontId="75" fillId="0" borderId="164" xfId="0" applyFont="1" applyBorder="1" applyAlignment="1" applyProtection="1">
      <alignment horizontal="center" vertical="center" wrapText="1"/>
      <protection locked="0"/>
    </xf>
    <xf numFmtId="0" fontId="75" fillId="0" borderId="165" xfId="0" applyFont="1" applyBorder="1" applyAlignment="1" applyProtection="1">
      <alignment horizontal="center" vertical="center" wrapText="1"/>
      <protection locked="0"/>
    </xf>
    <xf numFmtId="0" fontId="75" fillId="0" borderId="41" xfId="0" applyFont="1" applyBorder="1" applyAlignment="1" applyProtection="1">
      <alignment horizontal="center" vertical="center"/>
      <protection locked="0"/>
    </xf>
    <xf numFmtId="164" fontId="75" fillId="0" borderId="0" xfId="0" applyNumberFormat="1" applyFont="1" applyAlignment="1" applyProtection="1">
      <alignment horizontal="center" vertical="center"/>
      <protection locked="0"/>
    </xf>
    <xf numFmtId="0" fontId="75" fillId="0" borderId="0" xfId="0" applyFont="1" applyAlignment="1" applyProtection="1">
      <alignment horizontal="center" vertical="center"/>
      <protection locked="0"/>
    </xf>
    <xf numFmtId="2" fontId="75" fillId="0" borderId="0" xfId="0" applyNumberFormat="1" applyFont="1" applyAlignment="1" applyProtection="1">
      <alignment horizontal="center" vertical="center"/>
      <protection locked="0"/>
    </xf>
    <xf numFmtId="165" fontId="75" fillId="0" borderId="0" xfId="0" applyNumberFormat="1" applyFont="1" applyAlignment="1" applyProtection="1">
      <alignment horizontal="center" vertical="center"/>
      <protection locked="0"/>
    </xf>
    <xf numFmtId="10" fontId="75" fillId="0" borderId="0" xfId="0" applyNumberFormat="1" applyFont="1" applyAlignment="1" applyProtection="1">
      <alignment horizontal="center" vertical="center"/>
      <protection locked="0"/>
    </xf>
    <xf numFmtId="0" fontId="75" fillId="0" borderId="0" xfId="0" applyFont="1" applyAlignment="1">
      <alignment horizontal="center" vertical="center"/>
    </xf>
    <xf numFmtId="0" fontId="75" fillId="0" borderId="13" xfId="0" applyFont="1" applyBorder="1" applyAlignment="1" applyProtection="1">
      <alignment horizontal="center" vertical="center"/>
      <protection locked="0"/>
    </xf>
    <xf numFmtId="0" fontId="75" fillId="7" borderId="169" xfId="0" applyFont="1" applyFill="1" applyBorder="1" applyAlignment="1">
      <alignment horizontal="center" vertical="center" wrapText="1"/>
    </xf>
    <xf numFmtId="0" fontId="75" fillId="0" borderId="168" xfId="0" applyFont="1" applyBorder="1" applyAlignment="1">
      <alignment horizontal="center" vertical="center"/>
    </xf>
    <xf numFmtId="0" fontId="75" fillId="0" borderId="41" xfId="0" applyFont="1" applyBorder="1" applyAlignment="1">
      <alignment horizontal="center" vertical="center"/>
    </xf>
    <xf numFmtId="20" fontId="75" fillId="0" borderId="164" xfId="0" applyNumberFormat="1" applyFont="1" applyBorder="1" applyAlignment="1">
      <alignment horizontal="center" vertical="center"/>
    </xf>
    <xf numFmtId="0" fontId="75" fillId="0" borderId="39" xfId="0" applyFont="1" applyBorder="1" applyAlignment="1">
      <alignment horizontal="center" vertical="center"/>
    </xf>
    <xf numFmtId="0" fontId="75" fillId="0" borderId="133" xfId="0" applyFont="1" applyBorder="1" applyAlignment="1">
      <alignment horizontal="center" vertical="center"/>
    </xf>
    <xf numFmtId="0" fontId="75" fillId="0" borderId="15" xfId="0" applyFont="1" applyBorder="1" applyAlignment="1">
      <alignment horizontal="center" vertical="center"/>
    </xf>
    <xf numFmtId="1" fontId="5" fillId="0" borderId="152" xfId="0" applyNumberFormat="1" applyFont="1" applyBorder="1" applyAlignment="1">
      <alignment horizontal="center" vertical="center"/>
    </xf>
    <xf numFmtId="0" fontId="5" fillId="0" borderId="152" xfId="0" applyFont="1" applyBorder="1" applyAlignment="1">
      <alignment horizontal="center" vertical="center"/>
    </xf>
    <xf numFmtId="166" fontId="5" fillId="0" borderId="152" xfId="0" applyNumberFormat="1" applyFont="1" applyBorder="1" applyAlignment="1">
      <alignment horizontal="center" vertical="center"/>
    </xf>
    <xf numFmtId="164" fontId="75" fillId="0" borderId="151" xfId="0" applyNumberFormat="1" applyFont="1" applyBorder="1" applyAlignment="1">
      <alignment horizontal="center" vertical="center"/>
    </xf>
    <xf numFmtId="0" fontId="75" fillId="0" borderId="166" xfId="0" applyFont="1" applyBorder="1" applyAlignment="1">
      <alignment vertical="center"/>
    </xf>
    <xf numFmtId="0" fontId="75" fillId="0" borderId="85" xfId="0" applyFont="1" applyBorder="1" applyAlignment="1">
      <alignment vertical="center"/>
    </xf>
    <xf numFmtId="0" fontId="75" fillId="0" borderId="155" xfId="0" applyFont="1" applyBorder="1" applyAlignment="1">
      <alignment vertical="center"/>
    </xf>
    <xf numFmtId="0" fontId="75" fillId="0" borderId="154" xfId="0" applyFont="1" applyBorder="1" applyAlignment="1">
      <alignment vertical="center"/>
    </xf>
    <xf numFmtId="0" fontId="75" fillId="0" borderId="167" xfId="0" applyFont="1" applyBorder="1" applyAlignment="1">
      <alignment vertical="center"/>
    </xf>
    <xf numFmtId="0" fontId="75" fillId="0" borderId="177" xfId="0" applyFont="1" applyBorder="1"/>
    <xf numFmtId="0" fontId="75" fillId="0" borderId="177" xfId="0" applyFont="1" applyBorder="1" applyAlignment="1">
      <alignment vertical="center"/>
    </xf>
    <xf numFmtId="0" fontId="75" fillId="0" borderId="178" xfId="0" applyFont="1" applyBorder="1" applyAlignment="1">
      <alignment horizontal="center" vertical="center"/>
    </xf>
    <xf numFmtId="164" fontId="5" fillId="14" borderId="179" xfId="0" applyNumberFormat="1" applyFont="1" applyFill="1" applyBorder="1" applyAlignment="1">
      <alignment horizontal="center" vertical="center"/>
    </xf>
    <xf numFmtId="0" fontId="75" fillId="0" borderId="179" xfId="0" applyFont="1" applyBorder="1" applyAlignment="1">
      <alignment horizontal="center" vertical="center" wrapText="1"/>
    </xf>
    <xf numFmtId="0" fontId="75" fillId="0" borderId="179" xfId="0" applyFont="1" applyBorder="1" applyAlignment="1" applyProtection="1">
      <alignment horizontal="center" vertical="center"/>
      <protection locked="0"/>
    </xf>
    <xf numFmtId="166" fontId="75" fillId="0" borderId="179" xfId="0" applyNumberFormat="1" applyFont="1" applyBorder="1" applyAlignment="1" applyProtection="1">
      <alignment horizontal="center" vertical="center"/>
      <protection locked="0"/>
    </xf>
    <xf numFmtId="166" fontId="75" fillId="7" borderId="179" xfId="0" applyNumberFormat="1" applyFont="1" applyFill="1" applyBorder="1" applyAlignment="1" applyProtection="1">
      <alignment horizontal="center" vertical="center"/>
      <protection locked="0"/>
    </xf>
    <xf numFmtId="0" fontId="75" fillId="0" borderId="153" xfId="0" applyFont="1" applyBorder="1"/>
    <xf numFmtId="0" fontId="75" fillId="0" borderId="145" xfId="0" applyFont="1" applyBorder="1"/>
    <xf numFmtId="0" fontId="75" fillId="0" borderId="143" xfId="0" applyFont="1" applyBorder="1"/>
    <xf numFmtId="0" fontId="75" fillId="0" borderId="141" xfId="0" applyFont="1" applyBorder="1"/>
    <xf numFmtId="0" fontId="74" fillId="0" borderId="152" xfId="0" applyFont="1" applyBorder="1" applyAlignment="1">
      <alignment vertical="center"/>
    </xf>
    <xf numFmtId="0" fontId="74" fillId="0" borderId="0" xfId="0" applyFont="1"/>
    <xf numFmtId="0" fontId="75" fillId="0" borderId="13" xfId="0" applyFont="1" applyBorder="1"/>
    <xf numFmtId="0" fontId="75" fillId="0" borderId="180" xfId="0" applyFont="1" applyBorder="1"/>
    <xf numFmtId="0" fontId="75" fillId="13" borderId="0" xfId="0" applyFont="1" applyFill="1" applyAlignment="1">
      <alignment horizontal="center" vertical="center"/>
    </xf>
    <xf numFmtId="166" fontId="75" fillId="0" borderId="0" xfId="0" applyNumberFormat="1" applyFont="1" applyAlignment="1">
      <alignment horizontal="center" vertical="center"/>
    </xf>
    <xf numFmtId="2" fontId="75" fillId="0" borderId="0" xfId="1" applyNumberFormat="1" applyFont="1" applyAlignment="1">
      <alignment horizontal="center" vertical="center"/>
    </xf>
    <xf numFmtId="1" fontId="75" fillId="0" borderId="0" xfId="1" applyNumberFormat="1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1" fillId="6" borderId="0" xfId="0" applyFont="1" applyFill="1" applyAlignment="1">
      <alignment horizontal="center" vertical="center"/>
    </xf>
    <xf numFmtId="166" fontId="78" fillId="0" borderId="152" xfId="0" applyNumberFormat="1" applyFont="1" applyBorder="1" applyAlignment="1">
      <alignment horizontal="center" vertical="center"/>
    </xf>
    <xf numFmtId="175" fontId="75" fillId="7" borderId="152" xfId="0" applyNumberFormat="1" applyFont="1" applyFill="1" applyBorder="1" applyAlignment="1">
      <alignment horizontal="center" vertical="center"/>
    </xf>
    <xf numFmtId="0" fontId="79" fillId="0" borderId="0" xfId="0" applyFont="1"/>
    <xf numFmtId="0" fontId="79" fillId="0" borderId="0" xfId="0" applyFont="1" applyAlignment="1">
      <alignment horizontal="center" vertical="center" wrapText="1"/>
    </xf>
    <xf numFmtId="0" fontId="79" fillId="0" borderId="0" xfId="0" applyFont="1" applyAlignment="1">
      <alignment vertical="center" wrapText="1"/>
    </xf>
    <xf numFmtId="166" fontId="79" fillId="0" borderId="0" xfId="0" applyNumberFormat="1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1" fontId="79" fillId="0" borderId="0" xfId="0" applyNumberFormat="1" applyFont="1" applyAlignment="1">
      <alignment horizontal="center" vertical="center"/>
    </xf>
    <xf numFmtId="0" fontId="79" fillId="0" borderId="0" xfId="0" applyFont="1" applyAlignment="1">
      <alignment horizontal="center"/>
    </xf>
    <xf numFmtId="0" fontId="79" fillId="0" borderId="0" xfId="0" applyFont="1" applyAlignment="1">
      <alignment wrapText="1"/>
    </xf>
    <xf numFmtId="164" fontId="79" fillId="0" borderId="0" xfId="0" applyNumberFormat="1" applyFont="1" applyAlignment="1">
      <alignment horizontal="center"/>
    </xf>
    <xf numFmtId="176" fontId="75" fillId="0" borderId="151" xfId="0" applyNumberFormat="1" applyFont="1" applyBorder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2" fontId="75" fillId="7" borderId="152" xfId="0" applyNumberFormat="1" applyFont="1" applyFill="1" applyBorder="1" applyAlignment="1" applyProtection="1">
      <alignment horizontal="center" vertical="center" wrapText="1"/>
      <protection locked="0"/>
    </xf>
    <xf numFmtId="2" fontId="75" fillId="7" borderId="169" xfId="0" applyNumberFormat="1" applyFont="1" applyFill="1" applyBorder="1" applyAlignment="1" applyProtection="1">
      <alignment horizontal="center" vertical="center" wrapText="1"/>
      <protection locked="0"/>
    </xf>
    <xf numFmtId="49" fontId="75" fillId="7" borderId="152" xfId="0" applyNumberFormat="1" applyFont="1" applyFill="1" applyBorder="1" applyAlignment="1">
      <alignment horizontal="center" vertical="center"/>
    </xf>
    <xf numFmtId="49" fontId="75" fillId="7" borderId="152" xfId="0" applyNumberFormat="1" applyFont="1" applyFill="1" applyBorder="1" applyAlignment="1">
      <alignment horizontal="center" vertical="center" wrapText="1"/>
    </xf>
    <xf numFmtId="0" fontId="75" fillId="7" borderId="169" xfId="0" applyFont="1" applyFill="1" applyBorder="1" applyAlignment="1">
      <alignment horizontal="center" vertical="center"/>
    </xf>
    <xf numFmtId="0" fontId="59" fillId="0" borderId="0" xfId="0" applyFont="1" applyAlignment="1">
      <alignment vertical="center" wrapText="1"/>
    </xf>
    <xf numFmtId="0" fontId="75" fillId="6" borderId="174" xfId="0" applyFont="1" applyFill="1" applyBorder="1" applyAlignment="1" applyProtection="1">
      <alignment horizontal="center" vertical="center"/>
      <protection locked="0"/>
    </xf>
    <xf numFmtId="2" fontId="75" fillId="6" borderId="152" xfId="0" applyNumberFormat="1" applyFont="1" applyFill="1" applyBorder="1" applyAlignment="1" applyProtection="1">
      <alignment horizontal="center" vertical="center"/>
      <protection locked="0"/>
    </xf>
    <xf numFmtId="0" fontId="75" fillId="6" borderId="164" xfId="0" applyFont="1" applyFill="1" applyBorder="1" applyAlignment="1" applyProtection="1">
      <alignment horizontal="center" vertical="center"/>
      <protection locked="0"/>
    </xf>
    <xf numFmtId="164" fontId="75" fillId="6" borderId="151" xfId="0" applyNumberFormat="1" applyFont="1" applyFill="1" applyBorder="1" applyAlignment="1" applyProtection="1">
      <alignment horizontal="center" vertical="center"/>
      <protection locked="0"/>
    </xf>
    <xf numFmtId="0" fontId="75" fillId="6" borderId="151" xfId="0" applyFont="1" applyFill="1" applyBorder="1" applyAlignment="1" applyProtection="1">
      <alignment horizontal="center" vertical="center"/>
      <protection locked="0"/>
    </xf>
    <xf numFmtId="2" fontId="75" fillId="6" borderId="151" xfId="0" applyNumberFormat="1" applyFont="1" applyFill="1" applyBorder="1" applyAlignment="1" applyProtection="1">
      <alignment horizontal="center" vertical="center"/>
      <protection locked="0"/>
    </xf>
    <xf numFmtId="165" fontId="75" fillId="6" borderId="151" xfId="0" applyNumberFormat="1" applyFont="1" applyFill="1" applyBorder="1" applyAlignment="1" applyProtection="1">
      <alignment horizontal="center" vertical="center"/>
      <protection locked="0"/>
    </xf>
    <xf numFmtId="10" fontId="75" fillId="6" borderId="151" xfId="0" applyNumberFormat="1" applyFont="1" applyFill="1" applyBorder="1" applyAlignment="1" applyProtection="1">
      <alignment horizontal="center" vertical="center"/>
      <protection locked="0"/>
    </xf>
    <xf numFmtId="0" fontId="75" fillId="6" borderId="151" xfId="0" applyFont="1" applyFill="1" applyBorder="1" applyAlignment="1">
      <alignment horizontal="center" vertical="center"/>
    </xf>
    <xf numFmtId="0" fontId="75" fillId="6" borderId="165" xfId="0" applyFont="1" applyFill="1" applyBorder="1" applyAlignment="1" applyProtection="1">
      <alignment horizontal="center" vertical="center"/>
      <protection locked="0"/>
    </xf>
    <xf numFmtId="0" fontId="52" fillId="0" borderId="0" xfId="0" applyFont="1" applyAlignment="1">
      <alignment horizontal="center" vertical="center" wrapText="1"/>
    </xf>
    <xf numFmtId="0" fontId="50" fillId="0" borderId="0" xfId="0" applyFont="1" applyAlignment="1">
      <alignment wrapText="1"/>
    </xf>
    <xf numFmtId="1" fontId="66" fillId="6" borderId="135" xfId="0" applyNumberFormat="1" applyFont="1" applyFill="1" applyBorder="1" applyAlignment="1">
      <alignment horizontal="center" vertical="center"/>
    </xf>
    <xf numFmtId="1" fontId="66" fillId="6" borderId="139" xfId="0" applyNumberFormat="1" applyFont="1" applyFill="1" applyBorder="1" applyAlignment="1">
      <alignment horizontal="center" vertical="center"/>
    </xf>
    <xf numFmtId="1" fontId="66" fillId="6" borderId="14" xfId="0" applyNumberFormat="1" applyFont="1" applyFill="1" applyBorder="1" applyAlignment="1">
      <alignment horizontal="center" vertical="center"/>
    </xf>
    <xf numFmtId="0" fontId="13" fillId="6" borderId="43" xfId="0" applyFont="1" applyFill="1" applyBorder="1" applyAlignment="1">
      <alignment horizontal="center" vertical="center"/>
    </xf>
    <xf numFmtId="0" fontId="13" fillId="6" borderId="44" xfId="0" applyFont="1" applyFill="1" applyBorder="1" applyAlignment="1">
      <alignment horizontal="center" vertical="center"/>
    </xf>
    <xf numFmtId="0" fontId="13" fillId="6" borderId="45" xfId="0" applyFont="1" applyFill="1" applyBorder="1" applyAlignment="1">
      <alignment horizontal="center" vertical="center"/>
    </xf>
    <xf numFmtId="0" fontId="13" fillId="6" borderId="46" xfId="0" applyFont="1" applyFill="1" applyBorder="1" applyAlignment="1">
      <alignment horizontal="center" vertical="center"/>
    </xf>
    <xf numFmtId="0" fontId="13" fillId="6" borderId="47" xfId="0" applyFont="1" applyFill="1" applyBorder="1" applyAlignment="1">
      <alignment horizontal="center" vertical="center"/>
    </xf>
    <xf numFmtId="0" fontId="13" fillId="6" borderId="48" xfId="0" applyFont="1" applyFill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6" fillId="6" borderId="71" xfId="0" applyFont="1" applyFill="1" applyBorder="1" applyAlignment="1">
      <alignment horizontal="center" vertical="center" wrapText="1"/>
    </xf>
    <xf numFmtId="0" fontId="16" fillId="6" borderId="72" xfId="0" applyFont="1" applyFill="1" applyBorder="1" applyAlignment="1">
      <alignment horizontal="center" vertical="center" wrapText="1"/>
    </xf>
    <xf numFmtId="0" fontId="16" fillId="0" borderId="64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6" borderId="74" xfId="0" applyFont="1" applyFill="1" applyBorder="1"/>
    <xf numFmtId="0" fontId="12" fillId="6" borderId="75" xfId="0" applyFont="1" applyFill="1" applyBorder="1"/>
    <xf numFmtId="0" fontId="19" fillId="7" borderId="76" xfId="0" applyFont="1" applyFill="1" applyBorder="1" applyAlignment="1" applyProtection="1">
      <alignment horizontal="center"/>
      <protection locked="0"/>
    </xf>
    <xf numFmtId="0" fontId="19" fillId="7" borderId="77" xfId="0" applyFont="1" applyFill="1" applyBorder="1" applyAlignment="1" applyProtection="1">
      <alignment horizontal="center"/>
      <protection locked="0"/>
    </xf>
    <xf numFmtId="0" fontId="12" fillId="6" borderId="80" xfId="0" applyFont="1" applyFill="1" applyBorder="1"/>
    <xf numFmtId="0" fontId="12" fillId="6" borderId="81" xfId="0" applyFont="1" applyFill="1" applyBorder="1"/>
    <xf numFmtId="0" fontId="19" fillId="7" borderId="82" xfId="0" applyFont="1" applyFill="1" applyBorder="1" applyAlignment="1" applyProtection="1">
      <alignment horizontal="center"/>
      <protection locked="0"/>
    </xf>
    <xf numFmtId="0" fontId="19" fillId="7" borderId="83" xfId="0" applyFont="1" applyFill="1" applyBorder="1" applyAlignment="1" applyProtection="1">
      <alignment horizontal="center"/>
      <protection locked="0"/>
    </xf>
    <xf numFmtId="0" fontId="19" fillId="7" borderId="84" xfId="0" applyFont="1" applyFill="1" applyBorder="1" applyAlignment="1" applyProtection="1">
      <alignment horizontal="center"/>
      <protection locked="0"/>
    </xf>
    <xf numFmtId="0" fontId="12" fillId="6" borderId="88" xfId="0" applyFont="1" applyFill="1" applyBorder="1" applyAlignment="1">
      <alignment horizontal="left"/>
    </xf>
    <xf numFmtId="0" fontId="12" fillId="6" borderId="89" xfId="0" applyFont="1" applyFill="1" applyBorder="1" applyAlignment="1">
      <alignment horizontal="left"/>
    </xf>
    <xf numFmtId="0" fontId="19" fillId="7" borderId="90" xfId="0" applyFont="1" applyFill="1" applyBorder="1" applyAlignment="1" applyProtection="1">
      <alignment horizontal="center"/>
      <protection locked="0"/>
    </xf>
    <xf numFmtId="0" fontId="19" fillId="7" borderId="89" xfId="0" applyFont="1" applyFill="1" applyBorder="1" applyAlignment="1" applyProtection="1">
      <alignment horizontal="center"/>
      <protection locked="0"/>
    </xf>
    <xf numFmtId="0" fontId="6" fillId="8" borderId="103" xfId="0" applyFont="1" applyFill="1" applyBorder="1" applyAlignment="1" applyProtection="1">
      <alignment horizontal="center"/>
      <protection locked="0"/>
    </xf>
    <xf numFmtId="0" fontId="6" fillId="8" borderId="104" xfId="0" applyFont="1" applyFill="1" applyBorder="1" applyAlignment="1" applyProtection="1">
      <alignment horizontal="center"/>
      <protection locked="0"/>
    </xf>
    <xf numFmtId="0" fontId="6" fillId="8" borderId="105" xfId="0" applyFont="1" applyFill="1" applyBorder="1" applyAlignment="1" applyProtection="1">
      <alignment horizontal="center"/>
      <protection locked="0"/>
    </xf>
    <xf numFmtId="0" fontId="12" fillId="6" borderId="91" xfId="0" applyFont="1" applyFill="1" applyBorder="1"/>
    <xf numFmtId="0" fontId="12" fillId="6" borderId="92" xfId="0" applyFont="1" applyFill="1" applyBorder="1"/>
    <xf numFmtId="0" fontId="19" fillId="7" borderId="93" xfId="0" applyFont="1" applyFill="1" applyBorder="1" applyAlignment="1" applyProtection="1">
      <alignment horizontal="center"/>
      <protection locked="0"/>
    </xf>
    <xf numFmtId="0" fontId="19" fillId="7" borderId="94" xfId="0" applyFont="1" applyFill="1" applyBorder="1" applyAlignment="1" applyProtection="1">
      <alignment horizontal="center"/>
      <protection locked="0"/>
    </xf>
    <xf numFmtId="0" fontId="19" fillId="7" borderId="95" xfId="0" applyFont="1" applyFill="1" applyBorder="1" applyAlignment="1" applyProtection="1">
      <alignment horizontal="center"/>
      <protection locked="0"/>
    </xf>
    <xf numFmtId="0" fontId="21" fillId="0" borderId="49" xfId="0" applyFont="1" applyBorder="1" applyAlignment="1">
      <alignment horizontal="center"/>
    </xf>
    <xf numFmtId="0" fontId="21" fillId="0" borderId="50" xfId="0" applyFont="1" applyBorder="1" applyAlignment="1">
      <alignment horizontal="center"/>
    </xf>
    <xf numFmtId="0" fontId="21" fillId="0" borderId="65" xfId="0" applyFont="1" applyBorder="1" applyAlignment="1">
      <alignment horizontal="center"/>
    </xf>
    <xf numFmtId="0" fontId="21" fillId="0" borderId="64" xfId="0" applyFont="1" applyBorder="1" applyAlignment="1">
      <alignment horizontal="center"/>
    </xf>
    <xf numFmtId="0" fontId="21" fillId="6" borderId="71" xfId="0" applyFont="1" applyFill="1" applyBorder="1" applyAlignment="1">
      <alignment horizontal="center" vertical="center" wrapText="1"/>
    </xf>
    <xf numFmtId="0" fontId="21" fillId="6" borderId="72" xfId="0" applyFont="1" applyFill="1" applyBorder="1" applyAlignment="1">
      <alignment horizontal="center" vertical="center" wrapText="1"/>
    </xf>
    <xf numFmtId="0" fontId="21" fillId="6" borderId="61" xfId="0" applyFont="1" applyFill="1" applyBorder="1" applyAlignment="1">
      <alignment horizontal="center" vertical="center" wrapText="1"/>
    </xf>
    <xf numFmtId="166" fontId="12" fillId="6" borderId="54" xfId="0" applyNumberFormat="1" applyFont="1" applyFill="1" applyBorder="1" applyAlignment="1">
      <alignment horizontal="center"/>
    </xf>
    <xf numFmtId="0" fontId="12" fillId="6" borderId="89" xfId="0" applyFont="1" applyFill="1" applyBorder="1" applyAlignment="1">
      <alignment horizontal="center"/>
    </xf>
    <xf numFmtId="166" fontId="12" fillId="6" borderId="78" xfId="0" applyNumberFormat="1" applyFont="1" applyFill="1" applyBorder="1" applyAlignment="1">
      <alignment horizontal="center"/>
    </xf>
    <xf numFmtId="0" fontId="12" fillId="6" borderId="86" xfId="0" applyFont="1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0" fillId="8" borderId="102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4" xfId="0" applyFill="1" applyBorder="1" applyAlignment="1" applyProtection="1">
      <alignment horizontal="left"/>
      <protection locked="0"/>
    </xf>
    <xf numFmtId="0" fontId="0" fillId="8" borderId="0" xfId="0" applyFill="1" applyAlignment="1" applyProtection="1">
      <alignment horizontal="left"/>
      <protection locked="0"/>
    </xf>
    <xf numFmtId="0" fontId="0" fillId="8" borderId="5" xfId="0" applyFill="1" applyBorder="1" applyAlignment="1" applyProtection="1">
      <alignment horizontal="left"/>
      <protection locked="0"/>
    </xf>
    <xf numFmtId="0" fontId="0" fillId="5" borderId="6" xfId="0" applyFill="1" applyBorder="1" applyAlignment="1" applyProtection="1">
      <alignment horizontal="center"/>
      <protection locked="0"/>
    </xf>
    <xf numFmtId="0" fontId="0" fillId="5" borderId="7" xfId="0" applyFill="1" applyBorder="1" applyAlignment="1" applyProtection="1">
      <alignment horizontal="center"/>
      <protection locked="0"/>
    </xf>
    <xf numFmtId="0" fontId="0" fillId="5" borderId="8" xfId="0" applyFill="1" applyBorder="1" applyAlignment="1" applyProtection="1">
      <alignment horizontal="center"/>
      <protection locked="0"/>
    </xf>
    <xf numFmtId="0" fontId="21" fillId="6" borderId="108" xfId="0" applyFont="1" applyFill="1" applyBorder="1" applyAlignment="1">
      <alignment horizontal="center" vertical="center"/>
    </xf>
    <xf numFmtId="0" fontId="21" fillId="6" borderId="109" xfId="0" applyFont="1" applyFill="1" applyBorder="1" applyAlignment="1">
      <alignment horizontal="center" vertical="center"/>
    </xf>
    <xf numFmtId="0" fontId="21" fillId="6" borderId="114" xfId="0" applyFont="1" applyFill="1" applyBorder="1" applyAlignment="1">
      <alignment horizontal="center" vertical="center"/>
    </xf>
    <xf numFmtId="0" fontId="21" fillId="6" borderId="115" xfId="0" applyFont="1" applyFill="1" applyBorder="1" applyAlignment="1">
      <alignment horizontal="center" vertical="center"/>
    </xf>
    <xf numFmtId="0" fontId="16" fillId="6" borderId="112" xfId="0" applyFont="1" applyFill="1" applyBorder="1" applyAlignment="1">
      <alignment horizontal="center" vertical="center" wrapText="1"/>
    </xf>
    <xf numFmtId="0" fontId="16" fillId="6" borderId="113" xfId="0" applyFont="1" applyFill="1" applyBorder="1" applyAlignment="1">
      <alignment horizontal="center" vertical="center" wrapText="1"/>
    </xf>
    <xf numFmtId="0" fontId="16" fillId="6" borderId="47" xfId="0" applyFont="1" applyFill="1" applyBorder="1" applyAlignment="1">
      <alignment horizontal="center" vertical="center" wrapText="1"/>
    </xf>
    <xf numFmtId="0" fontId="16" fillId="6" borderId="48" xfId="0" applyFont="1" applyFill="1" applyBorder="1" applyAlignment="1">
      <alignment horizontal="center" vertical="center" wrapText="1"/>
    </xf>
    <xf numFmtId="0" fontId="12" fillId="6" borderId="112" xfId="0" applyFont="1" applyFill="1" applyBorder="1" applyAlignment="1" applyProtection="1">
      <alignment horizontal="center"/>
      <protection locked="0"/>
    </xf>
    <xf numFmtId="0" fontId="12" fillId="6" borderId="111" xfId="0" applyFont="1" applyFill="1" applyBorder="1" applyAlignment="1" applyProtection="1">
      <alignment horizontal="center"/>
      <protection locked="0"/>
    </xf>
    <xf numFmtId="0" fontId="12" fillId="6" borderId="46" xfId="0" applyFont="1" applyFill="1" applyBorder="1" applyAlignment="1" applyProtection="1">
      <alignment horizontal="center"/>
      <protection locked="0"/>
    </xf>
    <xf numFmtId="0" fontId="12" fillId="6" borderId="47" xfId="0" applyFont="1" applyFill="1" applyBorder="1" applyAlignment="1" applyProtection="1">
      <alignment horizontal="center"/>
      <protection locked="0"/>
    </xf>
    <xf numFmtId="0" fontId="12" fillId="6" borderId="70" xfId="0" applyFont="1" applyFill="1" applyBorder="1" applyAlignment="1" applyProtection="1">
      <alignment horizontal="center"/>
      <protection locked="0"/>
    </xf>
    <xf numFmtId="168" fontId="12" fillId="6" borderId="47" xfId="0" applyNumberFormat="1" applyFont="1" applyFill="1" applyBorder="1" applyAlignment="1" applyProtection="1">
      <alignment horizontal="center"/>
      <protection locked="0"/>
    </xf>
    <xf numFmtId="168" fontId="12" fillId="6" borderId="48" xfId="0" applyNumberFormat="1" applyFont="1" applyFill="1" applyBorder="1" applyAlignment="1" applyProtection="1">
      <alignment horizontal="center"/>
      <protection locked="0"/>
    </xf>
    <xf numFmtId="20" fontId="19" fillId="7" borderId="110" xfId="0" applyNumberFormat="1" applyFont="1" applyFill="1" applyBorder="1" applyAlignment="1">
      <alignment horizontal="center" vertical="center"/>
    </xf>
    <xf numFmtId="20" fontId="19" fillId="7" borderId="117" xfId="0" applyNumberFormat="1" applyFont="1" applyFill="1" applyBorder="1" applyAlignment="1">
      <alignment horizontal="center" vertical="center"/>
    </xf>
    <xf numFmtId="20" fontId="19" fillId="7" borderId="68" xfId="0" applyNumberFormat="1" applyFont="1" applyFill="1" applyBorder="1" applyAlignment="1">
      <alignment horizontal="center" vertical="center"/>
    </xf>
    <xf numFmtId="0" fontId="19" fillId="7" borderId="116" xfId="0" applyFont="1" applyFill="1" applyBorder="1" applyAlignment="1">
      <alignment horizontal="center"/>
    </xf>
    <xf numFmtId="0" fontId="19" fillId="7" borderId="113" xfId="0" applyFont="1" applyFill="1" applyBorder="1" applyAlignment="1">
      <alignment horizontal="center"/>
    </xf>
    <xf numFmtId="0" fontId="19" fillId="7" borderId="118" xfId="0" applyFont="1" applyFill="1" applyBorder="1" applyAlignment="1">
      <alignment horizontal="center"/>
    </xf>
    <xf numFmtId="0" fontId="19" fillId="7" borderId="99" xfId="0" applyFont="1" applyFill="1" applyBorder="1" applyAlignment="1">
      <alignment horizontal="center"/>
    </xf>
    <xf numFmtId="0" fontId="19" fillId="7" borderId="69" xfId="0" applyFont="1" applyFill="1" applyBorder="1" applyAlignment="1">
      <alignment horizontal="center"/>
    </xf>
    <xf numFmtId="0" fontId="19" fillId="7" borderId="48" xfId="0" applyFont="1" applyFill="1" applyBorder="1" applyAlignment="1">
      <alignment horizontal="center"/>
    </xf>
    <xf numFmtId="1" fontId="16" fillId="6" borderId="61" xfId="0" applyNumberFormat="1" applyFont="1" applyFill="1" applyBorder="1" applyAlignment="1">
      <alignment horizontal="center" vertical="center" wrapText="1"/>
    </xf>
    <xf numFmtId="1" fontId="16" fillId="6" borderId="120" xfId="0" applyNumberFormat="1" applyFont="1" applyFill="1" applyBorder="1" applyAlignment="1">
      <alignment horizontal="center" vertical="center" wrapText="1"/>
    </xf>
    <xf numFmtId="1" fontId="16" fillId="6" borderId="72" xfId="0" applyNumberFormat="1" applyFont="1" applyFill="1" applyBorder="1" applyAlignment="1">
      <alignment horizontal="center" vertical="center" wrapText="1"/>
    </xf>
    <xf numFmtId="0" fontId="12" fillId="6" borderId="121" xfId="0" applyFont="1" applyFill="1" applyBorder="1" applyAlignment="1">
      <alignment horizontal="center" vertical="center"/>
    </xf>
    <xf numFmtId="0" fontId="12" fillId="6" borderId="120" xfId="0" applyFont="1" applyFill="1" applyBorder="1" applyAlignment="1">
      <alignment horizontal="center" vertical="center"/>
    </xf>
    <xf numFmtId="0" fontId="12" fillId="6" borderId="72" xfId="0" applyFont="1" applyFill="1" applyBorder="1" applyAlignment="1">
      <alignment horizontal="center" vertical="center"/>
    </xf>
    <xf numFmtId="1" fontId="16" fillId="6" borderId="122" xfId="0" applyNumberFormat="1" applyFont="1" applyFill="1" applyBorder="1" applyAlignment="1">
      <alignment horizontal="center" vertical="center" wrapText="1"/>
    </xf>
    <xf numFmtId="0" fontId="74" fillId="0" borderId="161" xfId="0" applyFont="1" applyBorder="1" applyAlignment="1">
      <alignment horizontal="center" vertical="center"/>
    </xf>
    <xf numFmtId="0" fontId="74" fillId="0" borderId="162" xfId="0" applyFont="1" applyBorder="1" applyAlignment="1">
      <alignment horizontal="center" vertical="center"/>
    </xf>
    <xf numFmtId="0" fontId="74" fillId="0" borderId="163" xfId="0" applyFont="1" applyBorder="1" applyAlignment="1">
      <alignment horizontal="center" vertical="center"/>
    </xf>
    <xf numFmtId="0" fontId="74" fillId="0" borderId="164" xfId="0" applyFont="1" applyBorder="1" applyAlignment="1">
      <alignment horizontal="center" vertical="center"/>
    </xf>
    <xf numFmtId="0" fontId="74" fillId="0" borderId="151" xfId="0" applyFont="1" applyBorder="1" applyAlignment="1">
      <alignment horizontal="center" vertical="center"/>
    </xf>
    <xf numFmtId="0" fontId="74" fillId="0" borderId="165" xfId="0" applyFont="1" applyBorder="1" applyAlignment="1">
      <alignment horizontal="center" vertical="center"/>
    </xf>
    <xf numFmtId="0" fontId="75" fillId="0" borderId="164" xfId="0" applyFont="1" applyBorder="1" applyAlignment="1">
      <alignment horizontal="center" vertical="center"/>
    </xf>
    <xf numFmtId="0" fontId="75" fillId="0" borderId="151" xfId="0" applyFont="1" applyBorder="1" applyAlignment="1">
      <alignment horizontal="center" vertical="center"/>
    </xf>
    <xf numFmtId="0" fontId="75" fillId="0" borderId="165" xfId="0" applyFont="1" applyBorder="1" applyAlignment="1">
      <alignment horizontal="center" vertical="center"/>
    </xf>
    <xf numFmtId="0" fontId="2" fillId="7" borderId="164" xfId="0" applyFont="1" applyFill="1" applyBorder="1" applyAlignment="1">
      <alignment horizontal="center" vertical="center"/>
    </xf>
    <xf numFmtId="0" fontId="2" fillId="7" borderId="151" xfId="0" applyFont="1" applyFill="1" applyBorder="1" applyAlignment="1">
      <alignment horizontal="center" vertical="center"/>
    </xf>
    <xf numFmtId="0" fontId="2" fillId="7" borderId="165" xfId="0" applyFont="1" applyFill="1" applyBorder="1" applyAlignment="1">
      <alignment horizontal="center" vertical="center"/>
    </xf>
    <xf numFmtId="0" fontId="5" fillId="7" borderId="168" xfId="0" applyFont="1" applyFill="1" applyBorder="1" applyAlignment="1">
      <alignment horizontal="center" vertical="center"/>
    </xf>
    <xf numFmtId="0" fontId="5" fillId="7" borderId="152" xfId="0" applyFont="1" applyFill="1" applyBorder="1" applyAlignment="1">
      <alignment horizontal="center" vertical="center"/>
    </xf>
    <xf numFmtId="14" fontId="75" fillId="0" borderId="151" xfId="0" applyNumberFormat="1" applyFont="1" applyBorder="1" applyAlignment="1" applyProtection="1">
      <alignment horizontal="center" vertical="center"/>
      <protection locked="0"/>
    </xf>
    <xf numFmtId="166" fontId="79" fillId="0" borderId="0" xfId="0" applyNumberFormat="1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5" fillId="0" borderId="157" xfId="0" applyFont="1" applyBorder="1" applyAlignment="1">
      <alignment horizontal="center" vertical="center" wrapText="1"/>
    </xf>
    <xf numFmtId="0" fontId="75" fillId="0" borderId="146" xfId="0" applyFont="1" applyBorder="1" applyAlignment="1">
      <alignment horizontal="center" vertical="center" wrapText="1"/>
    </xf>
    <xf numFmtId="0" fontId="75" fillId="0" borderId="171" xfId="0" applyFont="1" applyBorder="1" applyAlignment="1">
      <alignment horizontal="center" vertical="center" wrapText="1"/>
    </xf>
    <xf numFmtId="0" fontId="75" fillId="0" borderId="158" xfId="0" applyFont="1" applyBorder="1" applyAlignment="1">
      <alignment horizontal="center" vertical="center" wrapText="1"/>
    </xf>
    <xf numFmtId="0" fontId="75" fillId="0" borderId="0" xfId="0" applyFont="1" applyAlignment="1">
      <alignment horizontal="center" vertical="center" wrapText="1"/>
    </xf>
    <xf numFmtId="0" fontId="75" fillId="0" borderId="13" xfId="0" applyFont="1" applyBorder="1" applyAlignment="1">
      <alignment horizontal="center" vertical="center" wrapText="1"/>
    </xf>
    <xf numFmtId="0" fontId="75" fillId="0" borderId="156" xfId="0" applyFont="1" applyBorder="1" applyAlignment="1">
      <alignment horizontal="center" vertical="center" wrapText="1"/>
    </xf>
    <xf numFmtId="0" fontId="75" fillId="0" borderId="150" xfId="0" applyFont="1" applyBorder="1" applyAlignment="1">
      <alignment horizontal="center" vertical="center" wrapText="1"/>
    </xf>
    <xf numFmtId="0" fontId="75" fillId="0" borderId="173" xfId="0" applyFont="1" applyBorder="1" applyAlignment="1">
      <alignment horizontal="center" vertical="center" wrapText="1"/>
    </xf>
    <xf numFmtId="0" fontId="75" fillId="0" borderId="170" xfId="0" applyFont="1" applyBorder="1" applyAlignment="1">
      <alignment horizontal="center" vertical="center" wrapText="1"/>
    </xf>
    <xf numFmtId="0" fontId="75" fillId="0" borderId="172" xfId="0" applyFont="1" applyBorder="1" applyAlignment="1">
      <alignment horizontal="center" vertical="center" wrapText="1"/>
    </xf>
    <xf numFmtId="1" fontId="75" fillId="0" borderId="159" xfId="0" applyNumberFormat="1" applyFont="1" applyBorder="1" applyAlignment="1">
      <alignment horizontal="center" vertical="center"/>
    </xf>
    <xf numFmtId="1" fontId="75" fillId="0" borderId="160" xfId="0" applyNumberFormat="1" applyFont="1" applyBorder="1" applyAlignment="1">
      <alignment horizontal="center" vertical="center"/>
    </xf>
    <xf numFmtId="0" fontId="75" fillId="0" borderId="154" xfId="0" applyFont="1" applyBorder="1" applyAlignment="1">
      <alignment horizontal="center" vertical="center" wrapText="1"/>
    </xf>
    <xf numFmtId="0" fontId="75" fillId="0" borderId="155" xfId="0" applyFont="1" applyBorder="1" applyAlignment="1">
      <alignment horizontal="center" vertical="center" wrapText="1"/>
    </xf>
    <xf numFmtId="0" fontId="75" fillId="0" borderId="159" xfId="0" applyFont="1" applyBorder="1" applyAlignment="1">
      <alignment horizontal="center" vertical="center" wrapText="1"/>
    </xf>
    <xf numFmtId="0" fontId="75" fillId="0" borderId="160" xfId="0" applyFont="1" applyBorder="1" applyAlignment="1">
      <alignment horizontal="center" vertical="center" wrapText="1"/>
    </xf>
    <xf numFmtId="0" fontId="75" fillId="6" borderId="176" xfId="0" applyFont="1" applyFill="1" applyBorder="1" applyAlignment="1" applyProtection="1">
      <alignment horizontal="center" vertical="center"/>
      <protection locked="0"/>
    </xf>
    <xf numFmtId="0" fontId="75" fillId="6" borderId="152" xfId="0" applyFont="1" applyFill="1" applyBorder="1" applyAlignment="1" applyProtection="1">
      <alignment horizontal="center" vertical="center"/>
      <protection locked="0"/>
    </xf>
    <xf numFmtId="0" fontId="75" fillId="0" borderId="0" xfId="0" applyFont="1" applyAlignment="1" applyProtection="1">
      <alignment horizontal="left"/>
      <protection locked="0"/>
    </xf>
    <xf numFmtId="0" fontId="75" fillId="0" borderId="0" xfId="0" applyFont="1" applyAlignment="1" applyProtection="1">
      <alignment horizontal="center"/>
      <protection locked="0"/>
    </xf>
    <xf numFmtId="1" fontId="75" fillId="0" borderId="151" xfId="0" applyNumberFormat="1" applyFont="1" applyBorder="1" applyAlignment="1">
      <alignment horizontal="center" vertical="center" wrapText="1"/>
    </xf>
    <xf numFmtId="0" fontId="75" fillId="0" borderId="151" xfId="0" applyFont="1" applyBorder="1" applyAlignment="1">
      <alignment horizontal="left" vertical="top" wrapText="1"/>
    </xf>
    <xf numFmtId="0" fontId="75" fillId="0" borderId="165" xfId="0" applyFont="1" applyBorder="1" applyAlignment="1">
      <alignment horizontal="left" vertical="top" wrapText="1"/>
    </xf>
    <xf numFmtId="0" fontId="75" fillId="0" borderId="0" xfId="0" applyFont="1" applyAlignment="1">
      <alignment horizontal="center"/>
    </xf>
    <xf numFmtId="0" fontId="74" fillId="0" borderId="174" xfId="0" applyFont="1" applyBorder="1" applyAlignment="1">
      <alignment horizontal="center" vertical="center"/>
    </xf>
    <xf numFmtId="0" fontId="74" fillId="0" borderId="175" xfId="0" applyFont="1" applyBorder="1" applyAlignment="1">
      <alignment horizontal="center" vertical="center"/>
    </xf>
    <xf numFmtId="0" fontId="74" fillId="0" borderId="176" xfId="0" applyFont="1" applyBorder="1" applyAlignment="1">
      <alignment horizontal="center" vertical="center"/>
    </xf>
    <xf numFmtId="0" fontId="2" fillId="7" borderId="168" xfId="0" applyFont="1" applyFill="1" applyBorder="1" applyAlignment="1">
      <alignment horizontal="center" vertical="center"/>
    </xf>
    <xf numFmtId="0" fontId="2" fillId="7" borderId="152" xfId="0" applyFont="1" applyFill="1" applyBorder="1" applyAlignment="1">
      <alignment horizontal="center" vertical="center"/>
    </xf>
    <xf numFmtId="0" fontId="2" fillId="7" borderId="169" xfId="0" applyFont="1" applyFill="1" applyBorder="1" applyAlignment="1">
      <alignment horizontal="center" vertical="center"/>
    </xf>
    <xf numFmtId="0" fontId="75" fillId="0" borderId="168" xfId="0" applyFont="1" applyBorder="1" applyAlignment="1">
      <alignment horizontal="center" vertical="center" wrapText="1"/>
    </xf>
    <xf numFmtId="0" fontId="75" fillId="0" borderId="152" xfId="0" applyFont="1" applyBorder="1" applyAlignment="1">
      <alignment horizontal="center" vertical="center" wrapText="1"/>
    </xf>
    <xf numFmtId="0" fontId="75" fillId="6" borderId="168" xfId="0" applyFont="1" applyFill="1" applyBorder="1" applyAlignment="1">
      <alignment horizontal="center" vertical="center" wrapText="1"/>
    </xf>
    <xf numFmtId="0" fontId="75" fillId="6" borderId="152" xfId="0" applyFont="1" applyFill="1" applyBorder="1" applyAlignment="1">
      <alignment horizontal="center" vertical="center" wrapText="1"/>
    </xf>
    <xf numFmtId="0" fontId="5" fillId="7" borderId="152" xfId="0" applyFont="1" applyFill="1" applyBorder="1" applyAlignment="1">
      <alignment horizontal="center" vertical="center" wrapText="1"/>
    </xf>
    <xf numFmtId="0" fontId="5" fillId="7" borderId="169" xfId="0" applyFont="1" applyFill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67" fillId="0" borderId="0" xfId="0" applyFont="1" applyAlignment="1" applyProtection="1">
      <alignment horizontal="right"/>
      <protection locked="0"/>
    </xf>
    <xf numFmtId="0" fontId="67" fillId="0" borderId="133" xfId="0" applyFont="1" applyBorder="1" applyAlignment="1" applyProtection="1">
      <alignment horizontal="right"/>
      <protection locked="0"/>
    </xf>
    <xf numFmtId="170" fontId="53" fillId="0" borderId="133" xfId="0" applyNumberFormat="1" applyFont="1" applyBorder="1" applyAlignment="1">
      <alignment horizontal="center" vertical="center"/>
    </xf>
    <xf numFmtId="0" fontId="59" fillId="0" borderId="0" xfId="0" applyFont="1" applyAlignment="1" applyProtection="1">
      <alignment horizontal="center" vertical="center" wrapText="1"/>
      <protection locked="0"/>
    </xf>
    <xf numFmtId="0" fontId="51" fillId="6" borderId="0" xfId="0" applyFont="1" applyFill="1" applyAlignment="1">
      <alignment horizontal="center" vertical="center"/>
    </xf>
    <xf numFmtId="0" fontId="28" fillId="0" borderId="1" xfId="2" applyFont="1" applyBorder="1" applyAlignment="1">
      <alignment horizontal="center" vertical="center"/>
    </xf>
    <xf numFmtId="0" fontId="28" fillId="0" borderId="2" xfId="2" applyFont="1" applyBorder="1" applyAlignment="1">
      <alignment horizontal="center" vertical="center"/>
    </xf>
    <xf numFmtId="0" fontId="28" fillId="0" borderId="3" xfId="2" applyFont="1" applyBorder="1" applyAlignment="1">
      <alignment horizontal="center" vertical="center"/>
    </xf>
    <xf numFmtId="0" fontId="28" fillId="0" borderId="4" xfId="2" applyFont="1" applyBorder="1" applyAlignment="1">
      <alignment horizontal="center" vertical="center"/>
    </xf>
    <xf numFmtId="0" fontId="28" fillId="0" borderId="0" xfId="2" applyFont="1" applyAlignment="1">
      <alignment horizontal="center" vertical="center"/>
    </xf>
    <xf numFmtId="0" fontId="28" fillId="0" borderId="5" xfId="2" applyFont="1" applyBorder="1" applyAlignment="1">
      <alignment horizontal="center" vertical="center"/>
    </xf>
    <xf numFmtId="0" fontId="28" fillId="0" borderId="6" xfId="2" applyFont="1" applyBorder="1" applyAlignment="1">
      <alignment horizontal="center" vertical="center"/>
    </xf>
    <xf numFmtId="0" fontId="28" fillId="0" borderId="7" xfId="2" applyFont="1" applyBorder="1" applyAlignment="1">
      <alignment horizontal="center" vertical="center"/>
    </xf>
    <xf numFmtId="0" fontId="28" fillId="0" borderId="8" xfId="2" applyFont="1" applyBorder="1" applyAlignment="1">
      <alignment horizontal="center" vertical="center"/>
    </xf>
    <xf numFmtId="0" fontId="26" fillId="0" borderId="0" xfId="2"/>
    <xf numFmtId="0" fontId="26" fillId="0" borderId="24" xfId="2" applyBorder="1" applyAlignment="1">
      <alignment horizontal="center"/>
    </xf>
    <xf numFmtId="0" fontId="26" fillId="0" borderId="132" xfId="2" applyBorder="1" applyAlignment="1">
      <alignment horizontal="center"/>
    </xf>
    <xf numFmtId="0" fontId="26" fillId="0" borderId="6" xfId="2" applyBorder="1" applyAlignment="1">
      <alignment horizontal="center"/>
    </xf>
    <xf numFmtId="0" fontId="26" fillId="0" borderId="8" xfId="2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6" borderId="0" xfId="0" applyFont="1" applyFill="1" applyAlignment="1">
      <alignment horizontal="left"/>
    </xf>
    <xf numFmtId="164" fontId="0" fillId="0" borderId="0" xfId="0" applyNumberFormat="1" applyAlignment="1">
      <alignment horizontal="center"/>
    </xf>
    <xf numFmtId="0" fontId="10" fillId="0" borderId="0" xfId="0" applyFont="1" applyAlignment="1">
      <alignment horizontal="center"/>
    </xf>
    <xf numFmtId="20" fontId="45" fillId="11" borderId="110" xfId="0" applyNumberFormat="1" applyFont="1" applyFill="1" applyBorder="1" applyAlignment="1">
      <alignment horizontal="center" vertical="center"/>
    </xf>
    <xf numFmtId="20" fontId="45" fillId="11" borderId="117" xfId="0" applyNumberFormat="1" applyFont="1" applyFill="1" applyBorder="1" applyAlignment="1">
      <alignment horizontal="center" vertical="center"/>
    </xf>
    <xf numFmtId="20" fontId="45" fillId="11" borderId="68" xfId="0" applyNumberFormat="1" applyFont="1" applyFill="1" applyBorder="1" applyAlignment="1">
      <alignment horizontal="center" vertical="center"/>
    </xf>
    <xf numFmtId="0" fontId="45" fillId="11" borderId="116" xfId="0" applyFont="1" applyFill="1" applyBorder="1" applyAlignment="1">
      <alignment horizontal="center"/>
    </xf>
    <xf numFmtId="0" fontId="45" fillId="11" borderId="113" xfId="0" applyFont="1" applyFill="1" applyBorder="1" applyAlignment="1">
      <alignment horizontal="center"/>
    </xf>
    <xf numFmtId="0" fontId="45" fillId="11" borderId="118" xfId="0" applyFont="1" applyFill="1" applyBorder="1" applyAlignment="1">
      <alignment horizontal="center"/>
    </xf>
    <xf numFmtId="0" fontId="45" fillId="11" borderId="99" xfId="0" applyFont="1" applyFill="1" applyBorder="1" applyAlignment="1">
      <alignment horizontal="center"/>
    </xf>
    <xf numFmtId="0" fontId="45" fillId="11" borderId="69" xfId="0" applyFont="1" applyFill="1" applyBorder="1" applyAlignment="1">
      <alignment horizontal="center"/>
    </xf>
    <xf numFmtId="0" fontId="45" fillId="11" borderId="48" xfId="0" applyFont="1" applyFill="1" applyBorder="1" applyAlignment="1">
      <alignment horizontal="center"/>
    </xf>
    <xf numFmtId="0" fontId="44" fillId="0" borderId="49" xfId="0" applyFont="1" applyBorder="1" applyAlignment="1">
      <alignment horizontal="center" vertical="center"/>
    </xf>
    <xf numFmtId="0" fontId="44" fillId="0" borderId="50" xfId="0" applyFont="1" applyBorder="1" applyAlignment="1">
      <alignment horizontal="center" vertical="center"/>
    </xf>
    <xf numFmtId="0" fontId="44" fillId="0" borderId="51" xfId="0" applyFont="1" applyBorder="1" applyAlignment="1">
      <alignment horizontal="center" vertical="center"/>
    </xf>
    <xf numFmtId="1" fontId="45" fillId="6" borderId="61" xfId="0" applyNumberFormat="1" applyFont="1" applyFill="1" applyBorder="1" applyAlignment="1">
      <alignment horizontal="center" vertical="center" wrapText="1"/>
    </xf>
    <xf numFmtId="1" fontId="45" fillId="6" borderId="120" xfId="0" applyNumberFormat="1" applyFont="1" applyFill="1" applyBorder="1" applyAlignment="1">
      <alignment horizontal="center" vertical="center" wrapText="1"/>
    </xf>
    <xf numFmtId="1" fontId="45" fillId="6" borderId="72" xfId="0" applyNumberFormat="1" applyFont="1" applyFill="1" applyBorder="1" applyAlignment="1">
      <alignment horizontal="center" vertical="center" wrapText="1"/>
    </xf>
    <xf numFmtId="0" fontId="45" fillId="6" borderId="121" xfId="0" applyFont="1" applyFill="1" applyBorder="1" applyAlignment="1">
      <alignment horizontal="center" vertical="center"/>
    </xf>
    <xf numFmtId="0" fontId="45" fillId="6" borderId="120" xfId="0" applyFont="1" applyFill="1" applyBorder="1" applyAlignment="1">
      <alignment horizontal="center" vertical="center"/>
    </xf>
    <xf numFmtId="0" fontId="45" fillId="6" borderId="72" xfId="0" applyFont="1" applyFill="1" applyBorder="1" applyAlignment="1">
      <alignment horizontal="center" vertical="center"/>
    </xf>
    <xf numFmtId="1" fontId="45" fillId="6" borderId="122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45" fillId="6" borderId="112" xfId="0" applyFont="1" applyFill="1" applyBorder="1" applyAlignment="1" applyProtection="1">
      <alignment horizontal="center"/>
      <protection locked="0"/>
    </xf>
    <xf numFmtId="0" fontId="45" fillId="6" borderId="111" xfId="0" applyFont="1" applyFill="1" applyBorder="1" applyAlignment="1" applyProtection="1">
      <alignment horizontal="center"/>
      <protection locked="0"/>
    </xf>
    <xf numFmtId="0" fontId="45" fillId="6" borderId="46" xfId="0" applyFont="1" applyFill="1" applyBorder="1" applyAlignment="1" applyProtection="1">
      <alignment horizontal="center"/>
      <protection locked="0"/>
    </xf>
    <xf numFmtId="0" fontId="45" fillId="6" borderId="47" xfId="0" applyFont="1" applyFill="1" applyBorder="1" applyAlignment="1" applyProtection="1">
      <alignment horizontal="center"/>
      <protection locked="0"/>
    </xf>
    <xf numFmtId="0" fontId="45" fillId="6" borderId="70" xfId="0" applyFont="1" applyFill="1" applyBorder="1" applyAlignment="1" applyProtection="1">
      <alignment horizontal="center"/>
      <protection locked="0"/>
    </xf>
    <xf numFmtId="168" fontId="45" fillId="6" borderId="47" xfId="0" applyNumberFormat="1" applyFont="1" applyFill="1" applyBorder="1" applyAlignment="1" applyProtection="1">
      <alignment horizontal="center"/>
      <protection locked="0"/>
    </xf>
    <xf numFmtId="168" fontId="45" fillId="6" borderId="48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45" fillId="6" borderId="80" xfId="0" applyFont="1" applyFill="1" applyBorder="1"/>
    <xf numFmtId="0" fontId="45" fillId="6" borderId="81" xfId="0" applyFont="1" applyFill="1" applyBorder="1"/>
    <xf numFmtId="0" fontId="45" fillId="11" borderId="82" xfId="0" applyFont="1" applyFill="1" applyBorder="1" applyAlignment="1" applyProtection="1">
      <alignment horizontal="center"/>
      <protection locked="0"/>
    </xf>
    <xf numFmtId="0" fontId="45" fillId="11" borderId="83" xfId="0" applyFont="1" applyFill="1" applyBorder="1" applyAlignment="1" applyProtection="1">
      <alignment horizontal="center"/>
      <protection locked="0"/>
    </xf>
    <xf numFmtId="0" fontId="45" fillId="11" borderId="84" xfId="0" applyFont="1" applyFill="1" applyBorder="1" applyAlignment="1" applyProtection="1">
      <alignment horizontal="center"/>
      <protection locked="0"/>
    </xf>
    <xf numFmtId="0" fontId="46" fillId="6" borderId="108" xfId="0" applyFont="1" applyFill="1" applyBorder="1" applyAlignment="1">
      <alignment horizontal="center" vertical="center"/>
    </xf>
    <xf numFmtId="0" fontId="46" fillId="6" borderId="109" xfId="0" applyFont="1" applyFill="1" applyBorder="1" applyAlignment="1">
      <alignment horizontal="center" vertical="center"/>
    </xf>
    <xf numFmtId="0" fontId="46" fillId="6" borderId="114" xfId="0" applyFont="1" applyFill="1" applyBorder="1" applyAlignment="1">
      <alignment horizontal="center" vertical="center"/>
    </xf>
    <xf numFmtId="0" fontId="46" fillId="6" borderId="115" xfId="0" applyFont="1" applyFill="1" applyBorder="1" applyAlignment="1">
      <alignment horizontal="center" vertical="center"/>
    </xf>
    <xf numFmtId="0" fontId="45" fillId="6" borderId="112" xfId="0" applyFont="1" applyFill="1" applyBorder="1" applyAlignment="1">
      <alignment horizontal="center" vertical="center" wrapText="1"/>
    </xf>
    <xf numFmtId="0" fontId="45" fillId="6" borderId="113" xfId="0" applyFont="1" applyFill="1" applyBorder="1" applyAlignment="1">
      <alignment horizontal="center" vertical="center" wrapText="1"/>
    </xf>
    <xf numFmtId="0" fontId="45" fillId="6" borderId="47" xfId="0" applyFont="1" applyFill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center" vertical="center" wrapText="1"/>
    </xf>
    <xf numFmtId="0" fontId="45" fillId="6" borderId="91" xfId="0" applyFont="1" applyFill="1" applyBorder="1"/>
    <xf numFmtId="0" fontId="45" fillId="6" borderId="92" xfId="0" applyFont="1" applyFill="1" applyBorder="1"/>
    <xf numFmtId="0" fontId="45" fillId="11" borderId="93" xfId="0" applyFont="1" applyFill="1" applyBorder="1" applyAlignment="1" applyProtection="1">
      <alignment horizontal="center"/>
      <protection locked="0"/>
    </xf>
    <xf numFmtId="0" fontId="45" fillId="11" borderId="94" xfId="0" applyFont="1" applyFill="1" applyBorder="1" applyAlignment="1" applyProtection="1">
      <alignment horizontal="center"/>
      <protection locked="0"/>
    </xf>
    <xf numFmtId="0" fontId="45" fillId="11" borderId="95" xfId="0" applyFont="1" applyFill="1" applyBorder="1" applyAlignment="1" applyProtection="1">
      <alignment horizontal="center"/>
      <protection locked="0"/>
    </xf>
    <xf numFmtId="0" fontId="46" fillId="0" borderId="49" xfId="0" applyFont="1" applyBorder="1" applyAlignment="1">
      <alignment horizontal="center"/>
    </xf>
    <xf numFmtId="0" fontId="46" fillId="0" borderId="50" xfId="0" applyFont="1" applyBorder="1" applyAlignment="1">
      <alignment horizontal="center"/>
    </xf>
    <xf numFmtId="0" fontId="46" fillId="0" borderId="65" xfId="0" applyFont="1" applyBorder="1" applyAlignment="1">
      <alignment horizontal="center"/>
    </xf>
    <xf numFmtId="0" fontId="46" fillId="0" borderId="64" xfId="0" applyFont="1" applyBorder="1" applyAlignment="1">
      <alignment horizontal="center"/>
    </xf>
    <xf numFmtId="0" fontId="46" fillId="6" borderId="71" xfId="0" applyFont="1" applyFill="1" applyBorder="1" applyAlignment="1">
      <alignment horizontal="center" vertical="center" wrapText="1"/>
    </xf>
    <xf numFmtId="0" fontId="46" fillId="6" borderId="72" xfId="0" applyFont="1" applyFill="1" applyBorder="1" applyAlignment="1">
      <alignment horizontal="center" vertical="center" wrapText="1"/>
    </xf>
    <xf numFmtId="0" fontId="46" fillId="6" borderId="61" xfId="0" applyFont="1" applyFill="1" applyBorder="1" applyAlignment="1">
      <alignment horizontal="center" vertical="center" wrapText="1"/>
    </xf>
    <xf numFmtId="166" fontId="45" fillId="6" borderId="54" xfId="0" applyNumberFormat="1" applyFont="1" applyFill="1" applyBorder="1" applyAlignment="1">
      <alignment horizontal="center"/>
    </xf>
    <xf numFmtId="0" fontId="45" fillId="6" borderId="89" xfId="0" applyFont="1" applyFill="1" applyBorder="1" applyAlignment="1">
      <alignment horizontal="center"/>
    </xf>
    <xf numFmtId="166" fontId="45" fillId="6" borderId="78" xfId="0" applyNumberFormat="1" applyFont="1" applyFill="1" applyBorder="1" applyAlignment="1">
      <alignment horizontal="center"/>
    </xf>
    <xf numFmtId="0" fontId="45" fillId="6" borderId="86" xfId="0" applyFont="1" applyFill="1" applyBorder="1" applyAlignment="1">
      <alignment horizontal="center"/>
    </xf>
    <xf numFmtId="0" fontId="45" fillId="6" borderId="88" xfId="0" applyFont="1" applyFill="1" applyBorder="1" applyAlignment="1">
      <alignment horizontal="left"/>
    </xf>
    <xf numFmtId="0" fontId="45" fillId="6" borderId="89" xfId="0" applyFont="1" applyFill="1" applyBorder="1" applyAlignment="1">
      <alignment horizontal="left"/>
    </xf>
    <xf numFmtId="0" fontId="45" fillId="11" borderId="90" xfId="0" applyFont="1" applyFill="1" applyBorder="1" applyAlignment="1" applyProtection="1">
      <alignment horizontal="center"/>
      <protection locked="0"/>
    </xf>
    <xf numFmtId="0" fontId="45" fillId="11" borderId="89" xfId="0" applyFont="1" applyFill="1" applyBorder="1" applyAlignment="1" applyProtection="1">
      <alignment horizontal="center"/>
      <protection locked="0"/>
    </xf>
    <xf numFmtId="0" fontId="52" fillId="0" borderId="0" xfId="0" applyFont="1" applyAlignment="1">
      <alignment horizontal="left" vertical="center"/>
    </xf>
    <xf numFmtId="0" fontId="44" fillId="6" borderId="43" xfId="0" applyFont="1" applyFill="1" applyBorder="1" applyAlignment="1">
      <alignment horizontal="center" vertical="center"/>
    </xf>
    <xf numFmtId="0" fontId="44" fillId="6" borderId="44" xfId="0" applyFont="1" applyFill="1" applyBorder="1" applyAlignment="1">
      <alignment horizontal="center" vertical="center"/>
    </xf>
    <xf numFmtId="0" fontId="44" fillId="6" borderId="45" xfId="0" applyFont="1" applyFill="1" applyBorder="1" applyAlignment="1">
      <alignment horizontal="center" vertical="center"/>
    </xf>
    <xf numFmtId="0" fontId="44" fillId="6" borderId="46" xfId="0" applyFont="1" applyFill="1" applyBorder="1" applyAlignment="1">
      <alignment horizontal="center" vertical="center"/>
    </xf>
    <xf numFmtId="0" fontId="44" fillId="6" borderId="47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/>
    </xf>
    <xf numFmtId="0" fontId="45" fillId="6" borderId="71" xfId="0" applyFont="1" applyFill="1" applyBorder="1" applyAlignment="1">
      <alignment horizontal="center" vertical="center" wrapText="1"/>
    </xf>
    <xf numFmtId="0" fontId="45" fillId="6" borderId="72" xfId="0" applyFont="1" applyFill="1" applyBorder="1" applyAlignment="1">
      <alignment horizontal="center" vertical="center" wrapText="1"/>
    </xf>
    <xf numFmtId="0" fontId="45" fillId="0" borderId="64" xfId="0" applyFont="1" applyBorder="1" applyAlignment="1">
      <alignment horizontal="center" vertical="center" wrapText="1"/>
    </xf>
    <xf numFmtId="0" fontId="45" fillId="0" borderId="65" xfId="0" applyFont="1" applyBorder="1" applyAlignment="1">
      <alignment horizontal="center" vertical="center" wrapText="1"/>
    </xf>
    <xf numFmtId="0" fontId="45" fillId="6" borderId="74" xfId="0" applyFont="1" applyFill="1" applyBorder="1"/>
    <xf numFmtId="0" fontId="45" fillId="6" borderId="75" xfId="0" applyFont="1" applyFill="1" applyBorder="1"/>
    <xf numFmtId="0" fontId="45" fillId="11" borderId="76" xfId="0" applyFont="1" applyFill="1" applyBorder="1" applyAlignment="1" applyProtection="1">
      <alignment horizontal="center"/>
      <protection locked="0"/>
    </xf>
    <xf numFmtId="0" fontId="45" fillId="11" borderId="77" xfId="0" applyFont="1" applyFill="1" applyBorder="1" applyAlignment="1" applyProtection="1">
      <alignment horizontal="center"/>
      <protection locked="0"/>
    </xf>
  </cellXfs>
  <cellStyles count="5">
    <cellStyle name="Moeda 2" xfId="3" xr:uid="{00000000-0005-0000-0000-000000000000}"/>
    <cellStyle name="Normal" xfId="0" builtinId="0"/>
    <cellStyle name="Normal 2" xfId="2" xr:uid="{00000000-0005-0000-0000-000002000000}"/>
    <cellStyle name="Porcentagem" xfId="1" builtinId="5"/>
    <cellStyle name="Porcentagem 2" xfId="4" xr:uid="{00000000-0005-0000-0000-000004000000}"/>
  </cellStyles>
  <dxfs count="6"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</dxfs>
  <tableStyles count="0" defaultTableStyle="TableStyleMedium2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r>
              <a:rPr lang="en-US"/>
              <a:t>Curva  - Concreto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rgbClr val="000000"/>
              </a:solidFill>
              <a:latin typeface="MS Sans Serif"/>
              <a:ea typeface="MS Sans Serif"/>
              <a:cs typeface="MS Sans Serif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7777001424309992E-2"/>
          <c:y val="0.11118678453270024"/>
          <c:w val="0.84868685782877817"/>
          <c:h val="0.70375725761552532"/>
        </c:manualLayout>
      </c:layout>
      <c:lineChart>
        <c:grouping val="standard"/>
        <c:varyColors val="0"/>
        <c:ser>
          <c:idx val="0"/>
          <c:order val="0"/>
          <c:tx>
            <c:strRef>
              <c:f>'Analise Combinação de materiais'!$Q$3</c:f>
              <c:strCache>
                <c:ptCount val="1"/>
                <c:pt idx="0">
                  <c:v>Curva  retida acumulada - Concreto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rgbClr val="C00000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numRef>
              <c:f>'Analise Combinação de materiais'!$C$11:$C$22</c:f>
              <c:numCache>
                <c:formatCode>General</c:formatCode>
                <c:ptCount val="12"/>
                <c:pt idx="0">
                  <c:v>25</c:v>
                </c:pt>
                <c:pt idx="1">
                  <c:v>19</c:v>
                </c:pt>
                <c:pt idx="2">
                  <c:v>12.5</c:v>
                </c:pt>
                <c:pt idx="3">
                  <c:v>9.5</c:v>
                </c:pt>
                <c:pt idx="4">
                  <c:v>6.3</c:v>
                </c:pt>
                <c:pt idx="5">
                  <c:v>4.8</c:v>
                </c:pt>
                <c:pt idx="6">
                  <c:v>2.4</c:v>
                </c:pt>
                <c:pt idx="7">
                  <c:v>1.2</c:v>
                </c:pt>
                <c:pt idx="8">
                  <c:v>0.6</c:v>
                </c:pt>
                <c:pt idx="9">
                  <c:v>0.3</c:v>
                </c:pt>
                <c:pt idx="10">
                  <c:v>0.15</c:v>
                </c:pt>
                <c:pt idx="11">
                  <c:v>7.4999999999999997E-2</c:v>
                </c:pt>
              </c:numCache>
            </c:numRef>
          </c:cat>
          <c:val>
            <c:numRef>
              <c:f>'Analise Combinação de materiais'!$S$11:$S$22</c:f>
              <c:numCache>
                <c:formatCode>0</c:formatCode>
                <c:ptCount val="12"/>
                <c:pt idx="0">
                  <c:v>100</c:v>
                </c:pt>
                <c:pt idx="1">
                  <c:v>98.928883337390872</c:v>
                </c:pt>
                <c:pt idx="2">
                  <c:v>75.364316759990174</c:v>
                </c:pt>
                <c:pt idx="3">
                  <c:v>66.591361237667854</c:v>
                </c:pt>
                <c:pt idx="4">
                  <c:v>55.013100170416863</c:v>
                </c:pt>
                <c:pt idx="5">
                  <c:v>49.9768948325233</c:v>
                </c:pt>
                <c:pt idx="6">
                  <c:v>44.307629650573119</c:v>
                </c:pt>
                <c:pt idx="7">
                  <c:v>39.193128056960148</c:v>
                </c:pt>
                <c:pt idx="8">
                  <c:v>32.806810668986458</c:v>
                </c:pt>
                <c:pt idx="9">
                  <c:v>24.450818549774553</c:v>
                </c:pt>
                <c:pt idx="10">
                  <c:v>18.904806081271076</c:v>
                </c:pt>
                <c:pt idx="11">
                  <c:v>15.299819140920079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F2B-45A4-BC50-1678F111A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7219200"/>
        <c:axId val="-268926832"/>
      </c:lineChart>
      <c:catAx>
        <c:axId val="-207219200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latin typeface="MS Sans Serif"/>
                    <a:ea typeface="MS Sans Serif"/>
                    <a:cs typeface="MS Sans Serif"/>
                  </a:defRPr>
                </a:pPr>
                <a:r>
                  <a:rPr lang="pt-BR"/>
                  <a:t>Peneiras (mm)</a:t>
                </a:r>
              </a:p>
            </c:rich>
          </c:tx>
          <c:layout>
            <c:manualLayout>
              <c:xMode val="edge"/>
              <c:yMode val="edge"/>
              <c:x val="0.47640930549210359"/>
              <c:y val="0.866649486995943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00000"/>
                  </a:solidFill>
                  <a:latin typeface="MS Sans Serif"/>
                  <a:ea typeface="MS Sans Serif"/>
                  <a:cs typeface="MS Sans Serif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endParaRPr lang="pt-BR"/>
          </a:p>
        </c:txPr>
        <c:crossAx val="-268926832"/>
        <c:crosses val="autoZero"/>
        <c:auto val="1"/>
        <c:lblAlgn val="ctr"/>
        <c:lblOffset val="100"/>
        <c:noMultiLvlLbl val="0"/>
      </c:catAx>
      <c:valAx>
        <c:axId val="-268926832"/>
        <c:scaling>
          <c:orientation val="minMax"/>
          <c:max val="1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latin typeface="MS Sans Serif"/>
                    <a:ea typeface="MS Sans Serif"/>
                    <a:cs typeface="MS Sans Serif"/>
                  </a:defRPr>
                </a:pPr>
                <a:r>
                  <a:rPr lang="pt-BR"/>
                  <a:t>Retida acumulada (%)</a:t>
                </a:r>
              </a:p>
            </c:rich>
          </c:tx>
          <c:layout>
            <c:manualLayout>
              <c:xMode val="edge"/>
              <c:yMode val="edge"/>
              <c:x val="4.9751738779131492E-2"/>
              <c:y val="0.232738467013657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00000"/>
                  </a:solidFill>
                  <a:latin typeface="MS Sans Serif"/>
                  <a:ea typeface="MS Sans Serif"/>
                  <a:cs typeface="MS Sans Serif"/>
                </a:defRPr>
              </a:pPr>
              <a:endParaRPr lang="pt-BR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endParaRPr lang="pt-BR"/>
          </a:p>
        </c:txPr>
        <c:crossAx val="-207219200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r"/>
      <c:layout>
        <c:manualLayout>
          <c:xMode val="edge"/>
          <c:yMode val="edge"/>
          <c:x val="0.55458830026164896"/>
          <c:y val="0.51909424958243855"/>
          <c:w val="0.34880755869571539"/>
          <c:h val="0.16649850972018329"/>
        </c:manualLayout>
      </c:layout>
      <c:overlay val="0"/>
      <c:spPr>
        <a:noFill/>
        <a:ln>
          <a:solidFill>
            <a:schemeClr val="bg1">
              <a:lumMod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latin typeface="MS Sans Serif"/>
              <a:ea typeface="MS Sans Serif"/>
              <a:cs typeface="MS Sans Serif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rgbClr val="000000"/>
          </a:solidFill>
          <a:latin typeface="MS Sans Serif"/>
          <a:ea typeface="MS Sans Serif"/>
          <a:cs typeface="MS Sans Serif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r>
              <a:rPr lang="pt-BR"/>
              <a:t>GRANULOMETRIA ACUMULADA</a:t>
            </a:r>
          </a:p>
        </c:rich>
      </c:tx>
      <c:layout>
        <c:manualLayout>
          <c:xMode val="edge"/>
          <c:yMode val="edge"/>
          <c:x val="0.39661924066422388"/>
          <c:y val="3.07016238354821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999799946318922E-2"/>
          <c:y val="0.13036078459048839"/>
          <c:w val="0.8897334421099965"/>
          <c:h val="0.73825684988534557"/>
        </c:manualLayout>
      </c:layout>
      <c:lineChart>
        <c:grouping val="standard"/>
        <c:varyColors val="0"/>
        <c:ser>
          <c:idx val="0"/>
          <c:order val="0"/>
          <c:tx>
            <c:strRef>
              <c:f>'Analise Granul.. - Ag Miúdo'!$G$6</c:f>
              <c:strCache>
                <c:ptCount val="1"/>
                <c:pt idx="0">
                  <c:v>Fina</c:v>
                </c:pt>
              </c:strCache>
            </c:strRef>
          </c:tx>
          <c:spPr>
            <a:ln w="12700">
              <a:solidFill>
                <a:srgbClr val="008000"/>
              </a:solidFill>
              <a:prstDash val="sysDash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Miúdo'!$G$8:$G$15</c:f>
              <c:numCache>
                <c:formatCode>0.0</c:formatCode>
                <c:ptCount val="8"/>
                <c:pt idx="0">
                  <c:v>0.4</c:v>
                </c:pt>
                <c:pt idx="1">
                  <c:v>1.1000000000000001</c:v>
                </c:pt>
                <c:pt idx="2">
                  <c:v>3.1</c:v>
                </c:pt>
                <c:pt idx="3">
                  <c:v>11.4</c:v>
                </c:pt>
                <c:pt idx="4">
                  <c:v>35.200000000000003</c:v>
                </c:pt>
                <c:pt idx="5">
                  <c:v>65.900000000000006</c:v>
                </c:pt>
                <c:pt idx="6">
                  <c:v>90.4</c:v>
                </c:pt>
                <c:pt idx="7">
                  <c:v>99.9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15-4555-9F36-235EB796FB56}"/>
            </c:ext>
          </c:extLst>
        </c:ser>
        <c:ser>
          <c:idx val="1"/>
          <c:order val="1"/>
          <c:tx>
            <c:strRef>
              <c:f>'Analise Granul.. - Ag Miúdo'!$H$6</c:f>
              <c:strCache>
                <c:ptCount val="1"/>
                <c:pt idx="0">
                  <c:v>Média</c:v>
                </c:pt>
              </c:strCache>
            </c:strRef>
          </c:tx>
          <c:spPr>
            <a:ln w="12700">
              <a:solidFill>
                <a:srgbClr val="0000FF"/>
              </a:solidFill>
              <a:prstDash val="lgDashDotDot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Miúdo'!$H$8:$H$15</c:f>
              <c:numCache>
                <c:formatCode>0.0</c:formatCode>
                <c:ptCount val="8"/>
                <c:pt idx="0">
                  <c:v>0</c:v>
                </c:pt>
                <c:pt idx="1">
                  <c:v>2.9</c:v>
                </c:pt>
                <c:pt idx="2">
                  <c:v>19.5</c:v>
                </c:pt>
                <c:pt idx="3">
                  <c:v>33.6</c:v>
                </c:pt>
                <c:pt idx="4">
                  <c:v>51.400000000000006</c:v>
                </c:pt>
                <c:pt idx="5">
                  <c:v>74.800000000000011</c:v>
                </c:pt>
                <c:pt idx="6">
                  <c:v>89.300000000000011</c:v>
                </c:pt>
                <c:pt idx="7">
                  <c:v>100.00000000000001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15-4555-9F36-235EB796FB56}"/>
            </c:ext>
          </c:extLst>
        </c:ser>
        <c:ser>
          <c:idx val="2"/>
          <c:order val="2"/>
          <c:tx>
            <c:strRef>
              <c:f>'Analise Granul.. - Ag Miúdo'!$I$6</c:f>
              <c:strCache>
                <c:ptCount val="1"/>
                <c:pt idx="0">
                  <c:v>Grossa</c:v>
                </c:pt>
              </c:strCache>
            </c:strRef>
          </c:tx>
          <c:spPr>
            <a:ln w="38100">
              <a:solidFill>
                <a:srgbClr val="000000"/>
              </a:solidFill>
              <a:prstDash val="lgDashDotDot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Miúdo'!$I$8:$I$15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15-4555-9F36-235EB796FB56}"/>
            </c:ext>
          </c:extLst>
        </c:ser>
        <c:ser>
          <c:idx val="3"/>
          <c:order val="3"/>
          <c:spPr>
            <a:ln w="38100">
              <a:solidFill>
                <a:schemeClr val="tx2"/>
              </a:solidFill>
              <a:prstDash val="solid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Miúdo'!$K$8:$K$15</c:f>
              <c:numCache>
                <c:formatCode>0.0</c:formatCode>
                <c:ptCount val="8"/>
                <c:pt idx="0">
                  <c:v>8.0000000000000016E-2</c:v>
                </c:pt>
                <c:pt idx="1">
                  <c:v>2.54</c:v>
                </c:pt>
                <c:pt idx="2">
                  <c:v>16.220000000000002</c:v>
                </c:pt>
                <c:pt idx="3">
                  <c:v>29.160000000000004</c:v>
                </c:pt>
                <c:pt idx="4">
                  <c:v>48.160000000000011</c:v>
                </c:pt>
                <c:pt idx="5">
                  <c:v>73.02000000000001</c:v>
                </c:pt>
                <c:pt idx="6">
                  <c:v>89.52000000000001</c:v>
                </c:pt>
                <c:pt idx="7">
                  <c:v>99.980000000000018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15-4555-9F36-235EB796FB56}"/>
            </c:ext>
          </c:extLst>
        </c:ser>
        <c:ser>
          <c:idx val="4"/>
          <c:order val="4"/>
          <c:tx>
            <c:v>Acum. Superior</c:v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Miúdo'!$L$8:$L$15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35</c:v>
                </c:pt>
                <c:pt idx="5">
                  <c:v>65</c:v>
                </c:pt>
                <c:pt idx="6">
                  <c:v>90</c:v>
                </c:pt>
                <c:pt idx="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15-4555-9F36-235EB796FB56}"/>
            </c:ext>
          </c:extLst>
        </c:ser>
        <c:ser>
          <c:idx val="5"/>
          <c:order val="5"/>
          <c:tx>
            <c:v>Acum Inferior</c:v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Miúdo'!$M$8:$M$15</c:f>
              <c:numCache>
                <c:formatCode>0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75</c:v>
                </c:pt>
                <c:pt idx="5">
                  <c:v>90</c:v>
                </c:pt>
                <c:pt idx="6">
                  <c:v>98</c:v>
                </c:pt>
                <c:pt idx="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15-4555-9F36-235EB796F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83135328"/>
        <c:axId val="-1983137504"/>
      </c:lineChart>
      <c:catAx>
        <c:axId val="-1983135328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MS Sans Serif"/>
                    <a:ea typeface="MS Sans Serif"/>
                    <a:cs typeface="MS Sans Serif"/>
                  </a:defRPr>
                </a:pPr>
                <a:r>
                  <a:rPr lang="pt-BR"/>
                  <a:t>No. das peneiras</a:t>
                </a:r>
              </a:p>
            </c:rich>
          </c:tx>
          <c:layout>
            <c:manualLayout>
              <c:xMode val="edge"/>
              <c:yMode val="edge"/>
              <c:x val="0.44150847143983635"/>
              <c:y val="0.932896451705001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endParaRPr lang="pt-BR"/>
          </a:p>
        </c:txPr>
        <c:crossAx val="-1983137504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-1983137504"/>
        <c:scaling>
          <c:orientation val="maxMin"/>
          <c:max val="100"/>
        </c:scaling>
        <c:delete val="0"/>
        <c:axPos val="l"/>
        <c:title>
          <c:tx>
            <c:rich>
              <a:bodyPr rot="0" vert="wordArtVert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MS Sans Serif"/>
                    <a:ea typeface="MS Sans Serif"/>
                    <a:cs typeface="MS Sans Serif"/>
                  </a:defRPr>
                </a:pPr>
                <a:r>
                  <a:rPr lang="pt-BR"/>
                  <a:t>% acumulada</a:t>
                </a:r>
              </a:p>
            </c:rich>
          </c:tx>
          <c:layout>
            <c:manualLayout>
              <c:xMode val="edge"/>
              <c:yMode val="edge"/>
              <c:x val="6.5019100335230373E-3"/>
              <c:y val="0.2456143751261861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endParaRPr lang="pt-BR"/>
          </a:p>
        </c:txPr>
        <c:crossAx val="-1983135328"/>
        <c:crosses val="max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4328805692215245E-2"/>
          <c:y val="0.15139836258259312"/>
          <c:w val="0.15796172136898728"/>
          <c:h val="0.29010989010989013"/>
        </c:manualLayout>
      </c:layout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MS Sans Serif"/>
              <a:ea typeface="MS Sans Serif"/>
              <a:cs typeface="MS Sans Serif"/>
            </a:defRPr>
          </a:pPr>
          <a:endParaRPr lang="pt-BR"/>
        </a:p>
      </c:txPr>
    </c:legend>
    <c:plotVisOnly val="0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MS Sans Serif"/>
          <a:ea typeface="MS Sans Serif"/>
          <a:cs typeface="MS Sans Serif"/>
        </a:defRPr>
      </a:pPr>
      <a:endParaRPr lang="pt-BR"/>
    </a:p>
  </c:txPr>
  <c:printSettings>
    <c:headerFooter alignWithMargins="0">
      <c:oddHeader>&amp;F</c:oddHeader>
      <c:oddFooter>Page &amp;P</c:oddFooter>
    </c:headerFooter>
    <c:pageMargins b="0.98425196899999978" l="0.78740157499999996" r="0.78740157499999996" t="0.98425196899999978" header="0.5" footer="0.5"/>
    <c:pageSetup orientation="landscape" horizontalDpi="360" verticalDpi="36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r>
              <a:rPr lang="pt-BR"/>
              <a:t>GRANULOMETRIA RETIDA</a:t>
            </a:r>
          </a:p>
        </c:rich>
      </c:tx>
      <c:layout>
        <c:manualLayout>
          <c:xMode val="edge"/>
          <c:yMode val="edge"/>
          <c:x val="0.40129075890053623"/>
          <c:y val="1.14416475972540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393703323357682E-2"/>
          <c:y val="0.14509478637712417"/>
          <c:w val="0.82950502780595892"/>
          <c:h val="0.72248372726033672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8000"/>
              </a:solidFill>
              <a:prstDash val="sysDash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Miúdo'!$D$8:$D$15</c:f>
              <c:numCache>
                <c:formatCode>0.0</c:formatCode>
                <c:ptCount val="8"/>
                <c:pt idx="0">
                  <c:v>0.4</c:v>
                </c:pt>
                <c:pt idx="1">
                  <c:v>0.7</c:v>
                </c:pt>
                <c:pt idx="2">
                  <c:v>2</c:v>
                </c:pt>
                <c:pt idx="3">
                  <c:v>8.3000000000000007</c:v>
                </c:pt>
                <c:pt idx="4">
                  <c:v>23.8</c:v>
                </c:pt>
                <c:pt idx="5">
                  <c:v>30.7</c:v>
                </c:pt>
                <c:pt idx="6">
                  <c:v>24.5</c:v>
                </c:pt>
                <c:pt idx="7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B3-4FBD-9EEC-317C0234080C}"/>
            </c:ext>
          </c:extLst>
        </c:ser>
        <c:ser>
          <c:idx val="1"/>
          <c:order val="1"/>
          <c:spPr>
            <a:ln w="25400">
              <a:solidFill>
                <a:srgbClr val="0000FF"/>
              </a:solidFill>
              <a:prstDash val="lgDashDot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Miúdo'!$E$8:$E$15</c:f>
              <c:numCache>
                <c:formatCode>0.0</c:formatCode>
                <c:ptCount val="8"/>
                <c:pt idx="0">
                  <c:v>0</c:v>
                </c:pt>
                <c:pt idx="1">
                  <c:v>2.9</c:v>
                </c:pt>
                <c:pt idx="2">
                  <c:v>16.600000000000001</c:v>
                </c:pt>
                <c:pt idx="3">
                  <c:v>14.1</c:v>
                </c:pt>
                <c:pt idx="4">
                  <c:v>17.8</c:v>
                </c:pt>
                <c:pt idx="5">
                  <c:v>23.4</c:v>
                </c:pt>
                <c:pt idx="6">
                  <c:v>14.5</c:v>
                </c:pt>
                <c:pt idx="7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B3-4FBD-9EEC-317C0234080C}"/>
            </c:ext>
          </c:extLst>
        </c:ser>
        <c:ser>
          <c:idx val="2"/>
          <c:order val="2"/>
          <c:spPr>
            <a:ln w="38100">
              <a:solidFill>
                <a:srgbClr val="000000"/>
              </a:solidFill>
              <a:prstDash val="lgDashDotDot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Miúdo'!$F$8:$F$15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B3-4FBD-9EEC-317C0234080C}"/>
            </c:ext>
          </c:extLst>
        </c:ser>
        <c:ser>
          <c:idx val="3"/>
          <c:order val="3"/>
          <c:spPr>
            <a:ln w="38100">
              <a:solidFill>
                <a:srgbClr val="002060"/>
              </a:solidFill>
              <a:prstDash val="solid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Miúdo'!$J$8:$J$15</c:f>
              <c:numCache>
                <c:formatCode>0.0</c:formatCode>
                <c:ptCount val="8"/>
                <c:pt idx="0">
                  <c:v>8.0000000000000016E-2</c:v>
                </c:pt>
                <c:pt idx="1">
                  <c:v>2.46</c:v>
                </c:pt>
                <c:pt idx="2">
                  <c:v>13.680000000000001</c:v>
                </c:pt>
                <c:pt idx="3">
                  <c:v>12.940000000000001</c:v>
                </c:pt>
                <c:pt idx="4">
                  <c:v>19.000000000000004</c:v>
                </c:pt>
                <c:pt idx="5">
                  <c:v>24.86</c:v>
                </c:pt>
                <c:pt idx="6">
                  <c:v>16.5</c:v>
                </c:pt>
                <c:pt idx="7">
                  <c:v>10.46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B3-4FBD-9EEC-317C0234080C}"/>
            </c:ext>
          </c:extLst>
        </c:ser>
        <c:ser>
          <c:idx val="4"/>
          <c:order val="4"/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Miúdo'!$N$8:$N$15</c:f>
              <c:numCache>
                <c:formatCode>0</c:formatCode>
                <c:ptCount val="8"/>
                <c:pt idx="0">
                  <c:v>0</c:v>
                </c:pt>
                <c:pt idx="1">
                  <c:v>5</c:v>
                </c:pt>
                <c:pt idx="2">
                  <c:v>22</c:v>
                </c:pt>
                <c:pt idx="3">
                  <c:v>32</c:v>
                </c:pt>
                <c:pt idx="4">
                  <c:v>33</c:v>
                </c:pt>
                <c:pt idx="5">
                  <c:v>32</c:v>
                </c:pt>
                <c:pt idx="6">
                  <c:v>24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B3-4FBD-9EEC-317C0234080C}"/>
            </c:ext>
          </c:extLst>
        </c:ser>
        <c:ser>
          <c:idx val="5"/>
          <c:order val="5"/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Miúdo'!$P$8:$P$15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9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B3-4FBD-9EEC-317C02340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83128800"/>
        <c:axId val="-1983131520"/>
      </c:lineChart>
      <c:catAx>
        <c:axId val="-1983128800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MS Sans Serif"/>
                    <a:ea typeface="MS Sans Serif"/>
                    <a:cs typeface="MS Sans Serif"/>
                  </a:defRPr>
                </a:pPr>
                <a:r>
                  <a:rPr lang="pt-BR"/>
                  <a:t>No. das peneiras</a:t>
                </a:r>
              </a:p>
            </c:rich>
          </c:tx>
          <c:layout>
            <c:manualLayout>
              <c:xMode val="edge"/>
              <c:yMode val="edge"/>
              <c:x val="0.44330231858703228"/>
              <c:y val="0.95403740605939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endParaRPr lang="pt-BR"/>
          </a:p>
        </c:txPr>
        <c:crossAx val="-198313152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983131520"/>
        <c:scaling>
          <c:orientation val="minMax"/>
        </c:scaling>
        <c:delete val="0"/>
        <c:axPos val="l"/>
        <c:title>
          <c:tx>
            <c:rich>
              <a:bodyPr rot="0" vert="wordArtVert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MS Sans Serif"/>
                    <a:ea typeface="MS Sans Serif"/>
                    <a:cs typeface="MS Sans Serif"/>
                  </a:defRPr>
                </a:pPr>
                <a:r>
                  <a:rPr lang="pt-BR"/>
                  <a:t>% retida</a:t>
                </a:r>
              </a:p>
            </c:rich>
          </c:tx>
          <c:layout>
            <c:manualLayout>
              <c:xMode val="edge"/>
              <c:yMode val="edge"/>
              <c:x val="6.4516045923707389E-3"/>
              <c:y val="0.3295194508009153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endParaRPr lang="pt-BR"/>
          </a:p>
        </c:txPr>
        <c:crossAx val="-1983128800"/>
        <c:crosses val="max"/>
        <c:crossBetween val="midCat"/>
        <c:majorUnit val="10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904139896623348"/>
          <c:y val="0.14645308924485126"/>
          <c:w val="0.1464648084633593"/>
          <c:h val="0.35926773455377581"/>
        </c:manualLayout>
      </c:layout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MS Sans Serif"/>
              <a:ea typeface="MS Sans Serif"/>
              <a:cs typeface="MS Sans Serif"/>
            </a:defRPr>
          </a:pPr>
          <a:endParaRPr lang="pt-BR"/>
        </a:p>
      </c:txPr>
    </c:legend>
    <c:plotVisOnly val="0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MS Sans Serif"/>
          <a:ea typeface="MS Sans Serif"/>
          <a:cs typeface="MS Sans Serif"/>
        </a:defRPr>
      </a:pPr>
      <a:endParaRPr lang="pt-BR"/>
    </a:p>
  </c:txPr>
  <c:printSettings>
    <c:headerFooter alignWithMargins="0">
      <c:oddHeader>&amp;F</c:oddHeader>
      <c:oddFooter>Page &amp;P</c:oddFooter>
    </c:headerFooter>
    <c:pageMargins b="0.984251969" l="0.78740157499999996" r="0.78740157499999996" t="0.984251969" header="0.49212598499999999" footer="0.49212598499999999"/>
    <c:pageSetup paperSize="9"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GRANULOMETRIA </a:t>
            </a:r>
          </a:p>
        </c:rich>
      </c:tx>
      <c:layout>
        <c:manualLayout>
          <c:xMode val="edge"/>
          <c:yMode val="edge"/>
          <c:x val="0.40671169123993728"/>
          <c:y val="1.21703853955375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383629790608801E-2"/>
          <c:y val="0.10924044973204626"/>
          <c:w val="0.91275227608029841"/>
          <c:h val="0.797161032938713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'Pedra 0+1'!$B$8</c:f>
              <c:strCache>
                <c:ptCount val="1"/>
                <c:pt idx="0">
                  <c:v>Pedra 0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noFill/>
              <a:ln w="9525">
                <a:noFill/>
              </a:ln>
            </c:spPr>
          </c:marker>
          <c:xVal>
            <c:numRef>
              <c:f>'[2]Pedra 0+1 riomix'!$D$1:$M$1</c:f>
              <c:numCache>
                <c:formatCode>General</c:formatCode>
                <c:ptCount val="10"/>
                <c:pt idx="0">
                  <c:v>4.9848931076097918</c:v>
                </c:pt>
                <c:pt idx="1">
                  <c:v>4.7369655941662066</c:v>
                </c:pt>
                <c:pt idx="2">
                  <c:v>4.3808217839409309</c:v>
                </c:pt>
                <c:pt idx="3">
                  <c:v>3.9848931076097918</c:v>
                </c:pt>
                <c:pt idx="4">
                  <c:v>3.4037221860510094</c:v>
                </c:pt>
                <c:pt idx="5">
                  <c:v>2.9848931076097918</c:v>
                </c:pt>
                <c:pt idx="6">
                  <c:v>2.3923174227787602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xVal>
          <c:yVal>
            <c:numRef>
              <c:f>'Pedra 0+1'!$D$8:$M$8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63</c:v>
                </c:pt>
                <c:pt idx="7">
                  <c:v>88</c:v>
                </c:pt>
                <c:pt idx="8">
                  <c:v>95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18-4739-B6F8-5A6B3BB5DC74}"/>
            </c:ext>
          </c:extLst>
        </c:ser>
        <c:ser>
          <c:idx val="1"/>
          <c:order val="1"/>
          <c:tx>
            <c:strRef>
              <c:f>'Pedra 0+1'!$B$9</c:f>
              <c:strCache>
                <c:ptCount val="1"/>
                <c:pt idx="0">
                  <c:v>Pedra 1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'[2]Pedra 0+1 riomix'!$D$1:$M$1</c:f>
              <c:numCache>
                <c:formatCode>General</c:formatCode>
                <c:ptCount val="10"/>
                <c:pt idx="0">
                  <c:v>4.9848931076097918</c:v>
                </c:pt>
                <c:pt idx="1">
                  <c:v>4.7369655941662066</c:v>
                </c:pt>
                <c:pt idx="2">
                  <c:v>4.3808217839409309</c:v>
                </c:pt>
                <c:pt idx="3">
                  <c:v>3.9848931076097918</c:v>
                </c:pt>
                <c:pt idx="4">
                  <c:v>3.4037221860510094</c:v>
                </c:pt>
                <c:pt idx="5">
                  <c:v>2.9848931076097918</c:v>
                </c:pt>
                <c:pt idx="6">
                  <c:v>2.3923174227787602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xVal>
          <c:yVal>
            <c:numRef>
              <c:f>'Pedra 0+1'!$D$9:$M$9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69</c:v>
                </c:pt>
                <c:pt idx="5">
                  <c:v>91</c:v>
                </c:pt>
                <c:pt idx="6">
                  <c:v>99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18-4739-B6F8-5A6B3BB5DC74}"/>
            </c:ext>
          </c:extLst>
        </c:ser>
        <c:ser>
          <c:idx val="5"/>
          <c:order val="2"/>
          <c:tx>
            <c:strRef>
              <c:f>'Pedra 0+1'!$B$10</c:f>
              <c:strCache>
                <c:ptCount val="1"/>
                <c:pt idx="0">
                  <c:v>Pedra 2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'[2]Pedra 0+1 riomix'!$D$1:$M$1</c:f>
              <c:numCache>
                <c:formatCode>General</c:formatCode>
                <c:ptCount val="10"/>
                <c:pt idx="0">
                  <c:v>4.9848931076097918</c:v>
                </c:pt>
                <c:pt idx="1">
                  <c:v>4.7369655941662066</c:v>
                </c:pt>
                <c:pt idx="2">
                  <c:v>4.3808217839409309</c:v>
                </c:pt>
                <c:pt idx="3">
                  <c:v>3.9848931076097918</c:v>
                </c:pt>
                <c:pt idx="4">
                  <c:v>3.4037221860510094</c:v>
                </c:pt>
                <c:pt idx="5">
                  <c:v>2.9848931076097918</c:v>
                </c:pt>
                <c:pt idx="6">
                  <c:v>2.3923174227787602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xVal>
          <c:yVal>
            <c:numRef>
              <c:f>'Pedra 0+1'!$D$10:$M$10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18-4739-B6F8-5A6B3BB5DC74}"/>
            </c:ext>
          </c:extLst>
        </c:ser>
        <c:ser>
          <c:idx val="2"/>
          <c:order val="3"/>
          <c:tx>
            <c:strRef>
              <c:f>'Pedra 0+1'!$B$11</c:f>
              <c:strCache>
                <c:ptCount val="1"/>
                <c:pt idx="0">
                  <c:v>Mista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'[2]Pedra 0+1 riomix'!$D$1:$M$1</c:f>
              <c:numCache>
                <c:formatCode>General</c:formatCode>
                <c:ptCount val="10"/>
                <c:pt idx="0">
                  <c:v>4.9848931076097918</c:v>
                </c:pt>
                <c:pt idx="1">
                  <c:v>4.7369655941662066</c:v>
                </c:pt>
                <c:pt idx="2">
                  <c:v>4.3808217839409309</c:v>
                </c:pt>
                <c:pt idx="3">
                  <c:v>3.9848931076097918</c:v>
                </c:pt>
                <c:pt idx="4">
                  <c:v>3.4037221860510094</c:v>
                </c:pt>
                <c:pt idx="5">
                  <c:v>2.9848931076097918</c:v>
                </c:pt>
                <c:pt idx="6">
                  <c:v>2.3923174227787602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xVal>
          <c:yVal>
            <c:numRef>
              <c:f>'Pedra 0+1'!$D$11:$M$11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2.0999999999999996</c:v>
                </c:pt>
                <c:pt idx="4">
                  <c:v>48.3</c:v>
                </c:pt>
                <c:pt idx="5">
                  <c:v>65.5</c:v>
                </c:pt>
                <c:pt idx="6">
                  <c:v>88.199999999999989</c:v>
                </c:pt>
                <c:pt idx="7">
                  <c:v>96.4</c:v>
                </c:pt>
                <c:pt idx="8">
                  <c:v>98.5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18-4739-B6F8-5A6B3BB5DC74}"/>
            </c:ext>
          </c:extLst>
        </c:ser>
        <c:ser>
          <c:idx val="3"/>
          <c:order val="4"/>
          <c:tx>
            <c:v>Faixa ideal</c:v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'[2]Pedra 0+1 riomix'!$D$1:$M$1</c:f>
              <c:numCache>
                <c:formatCode>General</c:formatCode>
                <c:ptCount val="10"/>
                <c:pt idx="0">
                  <c:v>4.9848931076097918</c:v>
                </c:pt>
                <c:pt idx="1">
                  <c:v>4.7369655941662066</c:v>
                </c:pt>
                <c:pt idx="2">
                  <c:v>4.3808217839409309</c:v>
                </c:pt>
                <c:pt idx="3">
                  <c:v>3.9848931076097918</c:v>
                </c:pt>
                <c:pt idx="4">
                  <c:v>3.4037221860510094</c:v>
                </c:pt>
                <c:pt idx="5">
                  <c:v>2.9848931076097918</c:v>
                </c:pt>
                <c:pt idx="6">
                  <c:v>2.3923174227787602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xVal>
          <c:yVal>
            <c:numRef>
              <c:f>'Pedra 0+1'!$E$12:$M$12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45</c:v>
                </c:pt>
                <c:pt idx="6">
                  <c:v>72.8557129685272</c:v>
                </c:pt>
                <c:pt idx="7" formatCode="General">
                  <c:v>90</c:v>
                </c:pt>
                <c:pt idx="8" formatCode="General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18-4739-B6F8-5A6B3BB5DC74}"/>
            </c:ext>
          </c:extLst>
        </c:ser>
        <c:ser>
          <c:idx val="4"/>
          <c:order val="5"/>
          <c:tx>
            <c:strRef>
              <c:f>'Pedra 0+1'!$B$13</c:f>
              <c:strCache>
                <c:ptCount val="1"/>
                <c:pt idx="0">
                  <c:v>Faixa  inferior</c:v>
                </c:pt>
              </c:strCache>
            </c:strRef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'[2]Pedra 0+1 riomix'!$D$1:$M$1</c:f>
              <c:numCache>
                <c:formatCode>General</c:formatCode>
                <c:ptCount val="10"/>
                <c:pt idx="0">
                  <c:v>4.9848931076097918</c:v>
                </c:pt>
                <c:pt idx="1">
                  <c:v>4.7369655941662066</c:v>
                </c:pt>
                <c:pt idx="2">
                  <c:v>4.3808217839409309</c:v>
                </c:pt>
                <c:pt idx="3">
                  <c:v>3.9848931076097918</c:v>
                </c:pt>
                <c:pt idx="4">
                  <c:v>3.4037221860510094</c:v>
                </c:pt>
                <c:pt idx="5">
                  <c:v>2.9848931076097918</c:v>
                </c:pt>
                <c:pt idx="6">
                  <c:v>2.3923174227787602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xVal>
          <c:yVal>
            <c:numRef>
              <c:f>'Pedra 0+1'!$E$13:$M$13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45</c:v>
                </c:pt>
                <c:pt idx="5">
                  <c:v>80</c:v>
                </c:pt>
                <c:pt idx="6">
                  <c:v>92.380316874900984</c:v>
                </c:pt>
                <c:pt idx="7" formatCode="General">
                  <c:v>100</c:v>
                </c:pt>
                <c:pt idx="8" formatCode="General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18-4739-B6F8-5A6B3BB5D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3127712"/>
        <c:axId val="-1983134784"/>
      </c:scatterChart>
      <c:valAx>
        <c:axId val="-1983127712"/>
        <c:scaling>
          <c:orientation val="minMax"/>
          <c:max val="5"/>
        </c:scaling>
        <c:delete val="0"/>
        <c:axPos val="t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 ( mm )</a:t>
                </a:r>
              </a:p>
            </c:rich>
          </c:tx>
          <c:layout>
            <c:manualLayout>
              <c:xMode val="edge"/>
              <c:yMode val="edge"/>
              <c:x val="0.34362444291778965"/>
              <c:y val="0.945234117540581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-1983134784"/>
        <c:crossesAt val="100"/>
        <c:crossBetween val="midCat"/>
        <c:majorUnit val="1"/>
      </c:valAx>
      <c:valAx>
        <c:axId val="-1983134784"/>
        <c:scaling>
          <c:orientation val="maxMin"/>
          <c:max val="100"/>
          <c:min val="0"/>
        </c:scaling>
        <c:delete val="0"/>
        <c:axPos val="l"/>
        <c:title>
          <c:tx>
            <c:rich>
              <a:bodyPr rot="0" vert="wordArtVert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% ACUMULADA</a:t>
                </a:r>
              </a:p>
            </c:rich>
          </c:tx>
          <c:layout>
            <c:manualLayout>
              <c:xMode val="edge"/>
              <c:yMode val="edge"/>
              <c:x val="6.7114093959731542E-3"/>
              <c:y val="0.3164302332391006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-1983127712"/>
        <c:crosses val="autoZero"/>
        <c:crossBetween val="midCat"/>
      </c:valAx>
      <c:spPr>
        <a:solidFill>
          <a:schemeClr val="bg1"/>
        </a:solidFill>
        <a:ln w="25400">
          <a:solidFill>
            <a:srgbClr val="000000"/>
          </a:solidFill>
          <a:prstDash val="solid"/>
        </a:ln>
      </c:spPr>
    </c:plotArea>
    <c:legend>
      <c:legendPos val="r"/>
      <c:legendEntry>
        <c:idx val="5"/>
        <c:delete val="1"/>
      </c:legendEntry>
      <c:layout>
        <c:manualLayout>
          <c:xMode val="edge"/>
          <c:yMode val="edge"/>
          <c:x val="8.4461237721282306E-2"/>
          <c:y val="9.7825280017817207E-2"/>
          <c:w val="0.1577673256339478"/>
          <c:h val="0.28803266731617977"/>
        </c:manualLayout>
      </c:layout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 horizontalDpi="1200" verticalDpi="1200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015603202764717E-2"/>
          <c:y val="0.11514286820171855"/>
          <c:w val="0.95943344639176176"/>
          <c:h val="0.824391769455491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'Dosagem  0'!$AY$49</c:f>
              <c:strCache>
                <c:ptCount val="1"/>
                <c:pt idx="0">
                  <c:v>Resistência obtida MPa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l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'Dosagem  0'!$E$53:$E$56</c:f>
              <c:numCache>
                <c:formatCode>General</c:formatCode>
                <c:ptCount val="4"/>
                <c:pt idx="0">
                  <c:v>3</c:v>
                </c:pt>
                <c:pt idx="1">
                  <c:v>7</c:v>
                </c:pt>
                <c:pt idx="2">
                  <c:v>14</c:v>
                </c:pt>
                <c:pt idx="3">
                  <c:v>28</c:v>
                </c:pt>
              </c:numCache>
            </c:numRef>
          </c:cat>
          <c:val>
            <c:numRef>
              <c:f>'Dosagem  0'!$I$53:$I$56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1-4BC6-941C-B5B50817591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axId val="1137783312"/>
        <c:axId val="1137784560"/>
      </c:barChart>
      <c:lineChart>
        <c:grouping val="standard"/>
        <c:varyColors val="0"/>
        <c:ser>
          <c:idx val="1"/>
          <c:order val="1"/>
          <c:tx>
            <c:strRef>
              <c:f>'Dosagem  0'!$AV$49</c:f>
              <c:strCache>
                <c:ptCount val="1"/>
                <c:pt idx="0">
                  <c:v>Previsto Cimento CP III </c:v>
                </c:pt>
              </c:strCache>
            </c:strRef>
          </c:tx>
          <c:spPr>
            <a:ln w="12700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'Dosagem  0'!$E$53:$E$56</c:f>
              <c:numCache>
                <c:formatCode>General</c:formatCode>
                <c:ptCount val="4"/>
                <c:pt idx="0">
                  <c:v>3</c:v>
                </c:pt>
                <c:pt idx="1">
                  <c:v>7</c:v>
                </c:pt>
                <c:pt idx="2">
                  <c:v>14</c:v>
                </c:pt>
                <c:pt idx="3">
                  <c:v>28</c:v>
                </c:pt>
              </c:numCache>
            </c:numRef>
          </c:cat>
          <c:val>
            <c:numRef>
              <c:f>'Dosagem  0'!$AV$50:$AV$53</c:f>
              <c:numCache>
                <c:formatCode>0.0</c:formatCode>
                <c:ptCount val="4"/>
                <c:pt idx="0">
                  <c:v>15.3</c:v>
                </c:pt>
                <c:pt idx="1">
                  <c:v>24.862500000000001</c:v>
                </c:pt>
                <c:pt idx="2">
                  <c:v>31.364999999999998</c:v>
                </c:pt>
                <c:pt idx="3">
                  <c:v>38.25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831-4BC6-941C-B5B50817591D}"/>
            </c:ext>
          </c:extLst>
        </c:ser>
        <c:ser>
          <c:idx val="2"/>
          <c:order val="2"/>
          <c:tx>
            <c:strRef>
              <c:f>'Dosagem  0'!$BA$49</c:f>
              <c:strCache>
                <c:ptCount val="1"/>
                <c:pt idx="0">
                  <c:v>Previsto Cimento CPV</c:v>
                </c:pt>
              </c:strCache>
            </c:strRef>
          </c:tx>
          <c:spPr>
            <a:ln w="12700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'Dosagem  0'!$E$53:$E$56</c:f>
              <c:numCache>
                <c:formatCode>General</c:formatCode>
                <c:ptCount val="4"/>
                <c:pt idx="0">
                  <c:v>3</c:v>
                </c:pt>
                <c:pt idx="1">
                  <c:v>7</c:v>
                </c:pt>
                <c:pt idx="2">
                  <c:v>14</c:v>
                </c:pt>
                <c:pt idx="3">
                  <c:v>28</c:v>
                </c:pt>
              </c:numCache>
            </c:numRef>
          </c:cat>
          <c:val>
            <c:numRef>
              <c:f>'Dosagem  0'!$BA$50:$BA$53</c:f>
              <c:numCache>
                <c:formatCode>0.0</c:formatCode>
                <c:ptCount val="4"/>
                <c:pt idx="0">
                  <c:v>19.125</c:v>
                </c:pt>
                <c:pt idx="1">
                  <c:v>30.6</c:v>
                </c:pt>
                <c:pt idx="2">
                  <c:v>34.425000000000004</c:v>
                </c:pt>
                <c:pt idx="3">
                  <c:v>38.25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831-4BC6-941C-B5B508175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3530288"/>
        <c:axId val="1733529808"/>
        <c:extLst/>
      </c:lineChart>
      <c:catAx>
        <c:axId val="1733530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3529808"/>
        <c:crosses val="autoZero"/>
        <c:auto val="1"/>
        <c:lblAlgn val="ctr"/>
        <c:lblOffset val="100"/>
        <c:noMultiLvlLbl val="0"/>
      </c:catAx>
      <c:valAx>
        <c:axId val="1733529808"/>
        <c:scaling>
          <c:orientation val="minMax"/>
          <c:max val="50"/>
          <c:min val="10"/>
        </c:scaling>
        <c:delete val="0"/>
        <c:axPos val="l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733530288"/>
        <c:crosses val="autoZero"/>
        <c:crossBetween val="between"/>
      </c:valAx>
      <c:valAx>
        <c:axId val="1137784560"/>
        <c:scaling>
          <c:orientation val="minMax"/>
        </c:scaling>
        <c:delete val="1"/>
        <c:axPos val="r"/>
        <c:numFmt formatCode="0.0" sourceLinked="1"/>
        <c:majorTickMark val="out"/>
        <c:minorTickMark val="none"/>
        <c:tickLblPos val="nextTo"/>
        <c:crossAx val="1137783312"/>
        <c:crosses val="max"/>
        <c:crossBetween val="between"/>
      </c:valAx>
      <c:catAx>
        <c:axId val="113778331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37784560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314290808891942"/>
          <c:y val="1.0848435846930616E-3"/>
          <c:w val="0.30277346398031202"/>
          <c:h val="0.195022149172450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/>
              <a:t>Composição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2499835222344376E-2"/>
          <c:y val="0.25270315600793802"/>
          <c:w val="0.78292257559339729"/>
          <c:h val="0.60833339734972158"/>
        </c:manualLayout>
      </c:layout>
      <c:pieChart>
        <c:varyColors val="1"/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1-FF04-4E92-BB1A-0E21685EB15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3-FF04-4E92-BB1A-0E21685EB15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5-FF04-4E92-BB1A-0E21685EB15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7-FF04-4E92-BB1A-0E21685EB15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9-FF04-4E92-BB1A-0E21685EB155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B-FF04-4E92-BB1A-0E21685EB155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D-FF04-4E92-BB1A-0E21685EB155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F-FF04-4E92-BB1A-0E21685EB155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1-FF04-4E92-BB1A-0E21685EB155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3-FF04-4E92-BB1A-0E21685EB155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5-FF04-4E92-BB1A-0E21685EB155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7-FF04-4E92-BB1A-0E21685EB155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9-FF04-4E92-BB1A-0E21685EB15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bg2">
                              <a:lumMod val="10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pt-BR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'Dosagem  0'!$E$31:$E$44</c15:sqref>
                        </c15:fullRef>
                        <c15:formulaRef>
                          <c15:sqref>'Dosagem  0'!$E$31:$E$43</c15:sqref>
                        </c15:formulaRef>
                      </c:ext>
                    </c:extLst>
                    <c:strCache>
                      <c:ptCount val="13"/>
                      <c:pt idx="0">
                        <c:v>Cimento:</c:v>
                      </c:pt>
                      <c:pt idx="1">
                        <c:v>Aglom.2:</c:v>
                      </c:pt>
                      <c:pt idx="2">
                        <c:v>Ag.miúdo 1:</c:v>
                      </c:pt>
                      <c:pt idx="3">
                        <c:v>Ag.miúdo 2:</c:v>
                      </c:pt>
                      <c:pt idx="4">
                        <c:v>Ag.miúdo 3:</c:v>
                      </c:pt>
                      <c:pt idx="5">
                        <c:v>Ag.graúdo 1:</c:v>
                      </c:pt>
                      <c:pt idx="6">
                        <c:v>Ag.graúdo 2:</c:v>
                      </c:pt>
                      <c:pt idx="7">
                        <c:v>Ag.graúdo 3:</c:v>
                      </c:pt>
                      <c:pt idx="8">
                        <c:v>água</c:v>
                      </c:pt>
                      <c:pt idx="9">
                        <c:v>Aditivo 1:</c:v>
                      </c:pt>
                      <c:pt idx="10">
                        <c:v>Aditivo 2:</c:v>
                      </c:pt>
                      <c:pt idx="11">
                        <c:v>Aditivo 3:</c:v>
                      </c:pt>
                      <c:pt idx="12">
                        <c:v>Adição 1: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'Dosagem  0'!$E$31:$E$44</c15:sqref>
                        </c15:fullRef>
                        <c15:formulaRef>
                          <c15:sqref>'Dosagem  0'!$E$31:$E$43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A-FF04-4E92-BB1A-0E21685EB155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2">
              <a:lumMod val="10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/>
              <a:t>Composição kg/m³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1154370957794952"/>
          <c:y val="0.10011534752765695"/>
          <c:w val="0.67566923163894421"/>
          <c:h val="0.88955575944242593"/>
        </c:manualLayout>
      </c:layout>
      <c:bar3DChart>
        <c:barDir val="bar"/>
        <c:grouping val="clustered"/>
        <c:varyColors val="0"/>
        <c:ser>
          <c:idx val="0"/>
          <c:order val="0"/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7"/>
              <c:numFmt formatCode="#,##0.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6EB6-4E9E-9DAF-05D35AF4BF90}"/>
                </c:ext>
              </c:extLst>
            </c:dLbl>
            <c:dLbl>
              <c:idx val="8"/>
              <c:numFmt formatCode="#,##0.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EB6-4E9E-9DAF-05D35AF4BF90}"/>
                </c:ext>
              </c:extLst>
            </c:dLbl>
            <c:dLbl>
              <c:idx val="9"/>
              <c:numFmt formatCode="#,##0.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6EB6-4E9E-9DAF-05D35AF4BF90}"/>
                </c:ext>
              </c:extLst>
            </c:dLbl>
            <c:dLbl>
              <c:idx val="10"/>
              <c:numFmt formatCode="#,##0.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EB6-4E9E-9DAF-05D35AF4BF9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'Dosagem  0'!$E$31:$E$44</c15:sqref>
                  </c15:fullRef>
                </c:ext>
              </c:extLst>
              <c:f>('Dosagem  0'!$E$31:$E$34,'Dosagem  0'!$E$36:$E$37,'Dosagem  0'!$E$39:$E$41,'Dosagem  0'!$E$43:$E$44)</c:f>
              <c:strCache>
                <c:ptCount val="11"/>
                <c:pt idx="0">
                  <c:v>Cimento:</c:v>
                </c:pt>
                <c:pt idx="1">
                  <c:v>Aglom.2:</c:v>
                </c:pt>
                <c:pt idx="2">
                  <c:v>Ag.miúdo 1:</c:v>
                </c:pt>
                <c:pt idx="3">
                  <c:v>Ag.miúdo 2:</c:v>
                </c:pt>
                <c:pt idx="4">
                  <c:v>Ag.graúdo 1:</c:v>
                </c:pt>
                <c:pt idx="5">
                  <c:v>Ag.graúdo 2:</c:v>
                </c:pt>
                <c:pt idx="6">
                  <c:v>água</c:v>
                </c:pt>
                <c:pt idx="7">
                  <c:v>Aditivo 1:</c:v>
                </c:pt>
                <c:pt idx="8">
                  <c:v>Aditivo 2:</c:v>
                </c:pt>
                <c:pt idx="9">
                  <c:v>Adição 1:</c:v>
                </c:pt>
                <c:pt idx="10">
                  <c:v>Adição 2: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'Dosagem  0'!$S$31:$S$44</c15:sqref>
                  </c15:fullRef>
                </c:ext>
              </c:extLst>
              <c:f>('Dosagem  0'!$S$31:$S$34,'Dosagem  0'!$S$36:$S$37,'Dosagem  0'!$S$39:$S$41,'Dosagem  0'!$S$43:$S$44)</c:f>
              <c:numCache>
                <c:formatCode>0</c:formatCode>
                <c:ptCount val="11"/>
                <c:pt idx="0">
                  <c:v>321</c:v>
                </c:pt>
                <c:pt idx="1">
                  <c:v>0</c:v>
                </c:pt>
                <c:pt idx="2">
                  <c:v>143.98460852459016</c:v>
                </c:pt>
                <c:pt idx="3">
                  <c:v>575.93843409836063</c:v>
                </c:pt>
                <c:pt idx="4">
                  <c:v>327.73883999999993</c:v>
                </c:pt>
                <c:pt idx="5">
                  <c:v>764.72395999999981</c:v>
                </c:pt>
                <c:pt idx="6">
                  <c:v>189</c:v>
                </c:pt>
                <c:pt idx="7" formatCode="0.00">
                  <c:v>2.4074999999999998</c:v>
                </c:pt>
                <c:pt idx="8">
                  <c:v>1.284</c:v>
                </c:pt>
                <c:pt idx="9">
                  <c:v>3.21</c:v>
                </c:pt>
                <c:pt idx="10">
                  <c:v>0.60026999999999997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B6-4E9E-9DAF-05D35AF4B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41077520"/>
        <c:axId val="1941078960"/>
        <c:axId val="0"/>
      </c:bar3DChart>
      <c:catAx>
        <c:axId val="19410775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941078960"/>
        <c:crosses val="autoZero"/>
        <c:auto val="1"/>
        <c:lblAlgn val="ctr"/>
        <c:lblOffset val="100"/>
        <c:noMultiLvlLbl val="0"/>
      </c:catAx>
      <c:valAx>
        <c:axId val="1941078960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94107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r>
              <a:rPr lang="en-US"/>
              <a:t>Curva  - Concreto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rgbClr val="000000"/>
              </a:solidFill>
              <a:latin typeface="MS Sans Serif"/>
              <a:ea typeface="MS Sans Serif"/>
              <a:cs typeface="MS Sans Serif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7777001424309992E-2"/>
          <c:y val="0.11118678453270024"/>
          <c:w val="0.84868685782877817"/>
          <c:h val="0.70375725761552532"/>
        </c:manualLayout>
      </c:layout>
      <c:lineChart>
        <c:grouping val="standard"/>
        <c:varyColors val="0"/>
        <c:ser>
          <c:idx val="0"/>
          <c:order val="0"/>
          <c:tx>
            <c:strRef>
              <c:f>'Analise Combinação de materiais'!$Q$3</c:f>
              <c:strCache>
                <c:ptCount val="1"/>
                <c:pt idx="0">
                  <c:v>Curva  retida acumulada - Concreto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rgbClr val="C00000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numRef>
              <c:f>'Analise Combinação de materiais'!$C$11:$C$22</c:f>
              <c:numCache>
                <c:formatCode>General</c:formatCode>
                <c:ptCount val="12"/>
                <c:pt idx="0">
                  <c:v>25</c:v>
                </c:pt>
                <c:pt idx="1">
                  <c:v>19</c:v>
                </c:pt>
                <c:pt idx="2">
                  <c:v>12.5</c:v>
                </c:pt>
                <c:pt idx="3">
                  <c:v>9.5</c:v>
                </c:pt>
                <c:pt idx="4">
                  <c:v>6.3</c:v>
                </c:pt>
                <c:pt idx="5">
                  <c:v>4.8</c:v>
                </c:pt>
                <c:pt idx="6">
                  <c:v>2.4</c:v>
                </c:pt>
                <c:pt idx="7">
                  <c:v>1.2</c:v>
                </c:pt>
                <c:pt idx="8">
                  <c:v>0.6</c:v>
                </c:pt>
                <c:pt idx="9">
                  <c:v>0.3</c:v>
                </c:pt>
                <c:pt idx="10">
                  <c:v>0.15</c:v>
                </c:pt>
                <c:pt idx="11">
                  <c:v>7.4999999999999997E-2</c:v>
                </c:pt>
              </c:numCache>
            </c:numRef>
          </c:cat>
          <c:val>
            <c:numRef>
              <c:f>'Analise Combinação de materiais'!$S$11:$S$22</c:f>
              <c:numCache>
                <c:formatCode>0</c:formatCode>
                <c:ptCount val="12"/>
                <c:pt idx="0">
                  <c:v>100</c:v>
                </c:pt>
                <c:pt idx="1">
                  <c:v>98.928883337390872</c:v>
                </c:pt>
                <c:pt idx="2">
                  <c:v>75.364316759990174</c:v>
                </c:pt>
                <c:pt idx="3">
                  <c:v>66.591361237667854</c:v>
                </c:pt>
                <c:pt idx="4">
                  <c:v>55.013100170416863</c:v>
                </c:pt>
                <c:pt idx="5">
                  <c:v>49.9768948325233</c:v>
                </c:pt>
                <c:pt idx="6">
                  <c:v>44.307629650573119</c:v>
                </c:pt>
                <c:pt idx="7">
                  <c:v>39.193128056960148</c:v>
                </c:pt>
                <c:pt idx="8">
                  <c:v>32.806810668986458</c:v>
                </c:pt>
                <c:pt idx="9">
                  <c:v>24.450818549774553</c:v>
                </c:pt>
                <c:pt idx="10">
                  <c:v>18.904806081271076</c:v>
                </c:pt>
                <c:pt idx="11">
                  <c:v>15.299819140920079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563-422B-9908-621D5DF62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7219200"/>
        <c:axId val="-268926832"/>
      </c:lineChart>
      <c:catAx>
        <c:axId val="-207219200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latin typeface="MS Sans Serif"/>
                    <a:ea typeface="MS Sans Serif"/>
                    <a:cs typeface="MS Sans Serif"/>
                  </a:defRPr>
                </a:pPr>
                <a:r>
                  <a:rPr lang="pt-BR"/>
                  <a:t>Peneiras (mm)</a:t>
                </a:r>
              </a:p>
            </c:rich>
          </c:tx>
          <c:layout>
            <c:manualLayout>
              <c:xMode val="edge"/>
              <c:yMode val="edge"/>
              <c:x val="0.47640930549210359"/>
              <c:y val="0.866649486995943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00000"/>
                  </a:solidFill>
                  <a:latin typeface="MS Sans Serif"/>
                  <a:ea typeface="MS Sans Serif"/>
                  <a:cs typeface="MS Sans Serif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endParaRPr lang="pt-BR"/>
          </a:p>
        </c:txPr>
        <c:crossAx val="-268926832"/>
        <c:crosses val="autoZero"/>
        <c:auto val="1"/>
        <c:lblAlgn val="ctr"/>
        <c:lblOffset val="100"/>
        <c:noMultiLvlLbl val="0"/>
      </c:catAx>
      <c:valAx>
        <c:axId val="-268926832"/>
        <c:scaling>
          <c:orientation val="minMax"/>
          <c:max val="1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latin typeface="MS Sans Serif"/>
                    <a:ea typeface="MS Sans Serif"/>
                    <a:cs typeface="MS Sans Serif"/>
                  </a:defRPr>
                </a:pPr>
                <a:r>
                  <a:rPr lang="pt-BR"/>
                  <a:t>Retida acumulada (%)</a:t>
                </a:r>
              </a:p>
            </c:rich>
          </c:tx>
          <c:layout>
            <c:manualLayout>
              <c:xMode val="edge"/>
              <c:yMode val="edge"/>
              <c:x val="4.9751738779131492E-2"/>
              <c:y val="0.232738467013657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00000"/>
                  </a:solidFill>
                  <a:latin typeface="MS Sans Serif"/>
                  <a:ea typeface="MS Sans Serif"/>
                  <a:cs typeface="MS Sans Serif"/>
                </a:defRPr>
              </a:pPr>
              <a:endParaRPr lang="pt-BR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endParaRPr lang="pt-BR"/>
          </a:p>
        </c:txPr>
        <c:crossAx val="-207219200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r"/>
      <c:layout>
        <c:manualLayout>
          <c:xMode val="edge"/>
          <c:yMode val="edge"/>
          <c:x val="0.55458830026164896"/>
          <c:y val="0.51909424958243855"/>
          <c:w val="0.34880755869571539"/>
          <c:h val="0.16649850972018329"/>
        </c:manualLayout>
      </c:layout>
      <c:overlay val="0"/>
      <c:spPr>
        <a:noFill/>
        <a:ln>
          <a:solidFill>
            <a:schemeClr val="bg1">
              <a:lumMod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latin typeface="MS Sans Serif"/>
              <a:ea typeface="MS Sans Serif"/>
              <a:cs typeface="MS Sans Serif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rgbClr val="000000"/>
          </a:solidFill>
          <a:latin typeface="MS Sans Serif"/>
          <a:ea typeface="MS Sans Serif"/>
          <a:cs typeface="MS Sans Serif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r>
              <a:rPr lang="pt-BR"/>
              <a:t>GRANULOMETRIA ACUMULADA</a:t>
            </a:r>
          </a:p>
        </c:rich>
      </c:tx>
      <c:layout>
        <c:manualLayout>
          <c:xMode val="edge"/>
          <c:yMode val="edge"/>
          <c:x val="0.39661924066422388"/>
          <c:y val="3.07016238354821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999799946318922E-2"/>
          <c:y val="0.13036078459048839"/>
          <c:w val="0.8897334421099965"/>
          <c:h val="0.73825684988534557"/>
        </c:manualLayout>
      </c:layout>
      <c:lineChart>
        <c:grouping val="standard"/>
        <c:varyColors val="0"/>
        <c:ser>
          <c:idx val="0"/>
          <c:order val="0"/>
          <c:tx>
            <c:strRef>
              <c:f>'Analise Granul.. - Ag Miúdo'!$G$6</c:f>
              <c:strCache>
                <c:ptCount val="1"/>
                <c:pt idx="0">
                  <c:v>Fina</c:v>
                </c:pt>
              </c:strCache>
            </c:strRef>
          </c:tx>
          <c:spPr>
            <a:ln w="12700">
              <a:solidFill>
                <a:srgbClr val="008000"/>
              </a:solidFill>
              <a:prstDash val="sysDash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Miúdo'!$G$8:$G$15</c:f>
              <c:numCache>
                <c:formatCode>0.0</c:formatCode>
                <c:ptCount val="8"/>
                <c:pt idx="0">
                  <c:v>0.4</c:v>
                </c:pt>
                <c:pt idx="1">
                  <c:v>1.1000000000000001</c:v>
                </c:pt>
                <c:pt idx="2">
                  <c:v>3.1</c:v>
                </c:pt>
                <c:pt idx="3">
                  <c:v>11.4</c:v>
                </c:pt>
                <c:pt idx="4">
                  <c:v>35.200000000000003</c:v>
                </c:pt>
                <c:pt idx="5">
                  <c:v>65.900000000000006</c:v>
                </c:pt>
                <c:pt idx="6">
                  <c:v>90.4</c:v>
                </c:pt>
                <c:pt idx="7">
                  <c:v>99.9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3E-4A55-8EA8-A5819D4A5B55}"/>
            </c:ext>
          </c:extLst>
        </c:ser>
        <c:ser>
          <c:idx val="1"/>
          <c:order val="1"/>
          <c:tx>
            <c:strRef>
              <c:f>'Analise Granul.. - Ag Miúdo'!$H$6</c:f>
              <c:strCache>
                <c:ptCount val="1"/>
                <c:pt idx="0">
                  <c:v>Média</c:v>
                </c:pt>
              </c:strCache>
            </c:strRef>
          </c:tx>
          <c:spPr>
            <a:ln w="12700">
              <a:solidFill>
                <a:srgbClr val="0000FF"/>
              </a:solidFill>
              <a:prstDash val="lgDashDotDot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Miúdo'!$H$8:$H$15</c:f>
              <c:numCache>
                <c:formatCode>0.0</c:formatCode>
                <c:ptCount val="8"/>
                <c:pt idx="0">
                  <c:v>0</c:v>
                </c:pt>
                <c:pt idx="1">
                  <c:v>2.9</c:v>
                </c:pt>
                <c:pt idx="2">
                  <c:v>19.5</c:v>
                </c:pt>
                <c:pt idx="3">
                  <c:v>33.6</c:v>
                </c:pt>
                <c:pt idx="4">
                  <c:v>51.400000000000006</c:v>
                </c:pt>
                <c:pt idx="5">
                  <c:v>74.800000000000011</c:v>
                </c:pt>
                <c:pt idx="6">
                  <c:v>89.300000000000011</c:v>
                </c:pt>
                <c:pt idx="7">
                  <c:v>100.00000000000001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3E-4A55-8EA8-A5819D4A5B55}"/>
            </c:ext>
          </c:extLst>
        </c:ser>
        <c:ser>
          <c:idx val="2"/>
          <c:order val="2"/>
          <c:tx>
            <c:strRef>
              <c:f>'Analise Granul.. - Ag Miúdo'!$I$6</c:f>
              <c:strCache>
                <c:ptCount val="1"/>
                <c:pt idx="0">
                  <c:v>Grossa</c:v>
                </c:pt>
              </c:strCache>
            </c:strRef>
          </c:tx>
          <c:spPr>
            <a:ln w="38100">
              <a:solidFill>
                <a:srgbClr val="000000"/>
              </a:solidFill>
              <a:prstDash val="lgDashDotDot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Miúdo'!$I$8:$I$15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3E-4A55-8EA8-A5819D4A5B55}"/>
            </c:ext>
          </c:extLst>
        </c:ser>
        <c:ser>
          <c:idx val="3"/>
          <c:order val="3"/>
          <c:spPr>
            <a:ln w="38100">
              <a:solidFill>
                <a:schemeClr val="tx2"/>
              </a:solidFill>
              <a:prstDash val="solid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Miúdo'!$K$8:$K$15</c:f>
              <c:numCache>
                <c:formatCode>0.0</c:formatCode>
                <c:ptCount val="8"/>
                <c:pt idx="0">
                  <c:v>8.0000000000000016E-2</c:v>
                </c:pt>
                <c:pt idx="1">
                  <c:v>2.54</c:v>
                </c:pt>
                <c:pt idx="2">
                  <c:v>16.220000000000002</c:v>
                </c:pt>
                <c:pt idx="3">
                  <c:v>29.160000000000004</c:v>
                </c:pt>
                <c:pt idx="4">
                  <c:v>48.160000000000011</c:v>
                </c:pt>
                <c:pt idx="5">
                  <c:v>73.02000000000001</c:v>
                </c:pt>
                <c:pt idx="6">
                  <c:v>89.52000000000001</c:v>
                </c:pt>
                <c:pt idx="7">
                  <c:v>99.980000000000018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3E-4A55-8EA8-A5819D4A5B55}"/>
            </c:ext>
          </c:extLst>
        </c:ser>
        <c:ser>
          <c:idx val="4"/>
          <c:order val="4"/>
          <c:tx>
            <c:v>Acum. Superior</c:v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Miúdo'!$L$8:$L$15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35</c:v>
                </c:pt>
                <c:pt idx="5">
                  <c:v>65</c:v>
                </c:pt>
                <c:pt idx="6">
                  <c:v>90</c:v>
                </c:pt>
                <c:pt idx="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3E-4A55-8EA8-A5819D4A5B55}"/>
            </c:ext>
          </c:extLst>
        </c:ser>
        <c:ser>
          <c:idx val="5"/>
          <c:order val="5"/>
          <c:tx>
            <c:v>Acum Inferior</c:v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Miúdo'!$M$8:$M$15</c:f>
              <c:numCache>
                <c:formatCode>0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75</c:v>
                </c:pt>
                <c:pt idx="5">
                  <c:v>90</c:v>
                </c:pt>
                <c:pt idx="6">
                  <c:v>98</c:v>
                </c:pt>
                <c:pt idx="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C3E-4A55-8EA8-A5819D4A5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83135328"/>
        <c:axId val="-1983137504"/>
      </c:lineChart>
      <c:catAx>
        <c:axId val="-1983135328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MS Sans Serif"/>
                    <a:ea typeface="MS Sans Serif"/>
                    <a:cs typeface="MS Sans Serif"/>
                  </a:defRPr>
                </a:pPr>
                <a:r>
                  <a:rPr lang="pt-BR"/>
                  <a:t>No. das peneiras</a:t>
                </a:r>
              </a:p>
            </c:rich>
          </c:tx>
          <c:layout>
            <c:manualLayout>
              <c:xMode val="edge"/>
              <c:yMode val="edge"/>
              <c:x val="0.44150847143983635"/>
              <c:y val="0.932896451705001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endParaRPr lang="pt-BR"/>
          </a:p>
        </c:txPr>
        <c:crossAx val="-1983137504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-1983137504"/>
        <c:scaling>
          <c:orientation val="maxMin"/>
          <c:max val="100"/>
        </c:scaling>
        <c:delete val="0"/>
        <c:axPos val="l"/>
        <c:title>
          <c:tx>
            <c:rich>
              <a:bodyPr rot="0" vert="wordArtVert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MS Sans Serif"/>
                    <a:ea typeface="MS Sans Serif"/>
                    <a:cs typeface="MS Sans Serif"/>
                  </a:defRPr>
                </a:pPr>
                <a:r>
                  <a:rPr lang="pt-BR"/>
                  <a:t>% acumulada</a:t>
                </a:r>
              </a:p>
            </c:rich>
          </c:tx>
          <c:layout>
            <c:manualLayout>
              <c:xMode val="edge"/>
              <c:yMode val="edge"/>
              <c:x val="6.5019100335230373E-3"/>
              <c:y val="0.2456143751261861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endParaRPr lang="pt-BR"/>
          </a:p>
        </c:txPr>
        <c:crossAx val="-1983135328"/>
        <c:crosses val="max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4328805692215245E-2"/>
          <c:y val="0.15139836258259312"/>
          <c:w val="0.15796172136898728"/>
          <c:h val="0.29010989010989013"/>
        </c:manualLayout>
      </c:layout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MS Sans Serif"/>
              <a:ea typeface="MS Sans Serif"/>
              <a:cs typeface="MS Sans Serif"/>
            </a:defRPr>
          </a:pPr>
          <a:endParaRPr lang="pt-BR"/>
        </a:p>
      </c:txPr>
    </c:legend>
    <c:plotVisOnly val="0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MS Sans Serif"/>
          <a:ea typeface="MS Sans Serif"/>
          <a:cs typeface="MS Sans Serif"/>
        </a:defRPr>
      </a:pPr>
      <a:endParaRPr lang="pt-BR"/>
    </a:p>
  </c:txPr>
  <c:printSettings>
    <c:headerFooter alignWithMargins="0">
      <c:oddHeader>&amp;F</c:oddHeader>
      <c:oddFooter>Page &amp;P</c:oddFooter>
    </c:headerFooter>
    <c:pageMargins b="0.98425196899999978" l="0.78740157499999996" r="0.78740157499999996" t="0.98425196899999978" header="0.5" footer="0.5"/>
    <c:pageSetup orientation="landscape" horizontalDpi="360" verticalDpi="36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r>
              <a:rPr lang="pt-BR"/>
              <a:t>GRANULOMETRIA RETIDA</a:t>
            </a:r>
          </a:p>
        </c:rich>
      </c:tx>
      <c:layout>
        <c:manualLayout>
          <c:xMode val="edge"/>
          <c:yMode val="edge"/>
          <c:x val="0.40129075890053623"/>
          <c:y val="1.14416475972540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393703323357682E-2"/>
          <c:y val="0.14509478637712417"/>
          <c:w val="0.82950502780595892"/>
          <c:h val="0.72248372726033672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8000"/>
              </a:solidFill>
              <a:prstDash val="sysDash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Miúdo'!$D$8:$D$15</c:f>
              <c:numCache>
                <c:formatCode>0.0</c:formatCode>
                <c:ptCount val="8"/>
                <c:pt idx="0">
                  <c:v>0.4</c:v>
                </c:pt>
                <c:pt idx="1">
                  <c:v>0.7</c:v>
                </c:pt>
                <c:pt idx="2">
                  <c:v>2</c:v>
                </c:pt>
                <c:pt idx="3">
                  <c:v>8.3000000000000007</c:v>
                </c:pt>
                <c:pt idx="4">
                  <c:v>23.8</c:v>
                </c:pt>
                <c:pt idx="5">
                  <c:v>30.7</c:v>
                </c:pt>
                <c:pt idx="6">
                  <c:v>24.5</c:v>
                </c:pt>
                <c:pt idx="7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A4-4DB0-8625-74CD5DB6EB88}"/>
            </c:ext>
          </c:extLst>
        </c:ser>
        <c:ser>
          <c:idx val="1"/>
          <c:order val="1"/>
          <c:spPr>
            <a:ln w="25400">
              <a:solidFill>
                <a:srgbClr val="0000FF"/>
              </a:solidFill>
              <a:prstDash val="lgDashDot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Miúdo'!$E$8:$E$15</c:f>
              <c:numCache>
                <c:formatCode>0.0</c:formatCode>
                <c:ptCount val="8"/>
                <c:pt idx="0">
                  <c:v>0</c:v>
                </c:pt>
                <c:pt idx="1">
                  <c:v>2.9</c:v>
                </c:pt>
                <c:pt idx="2">
                  <c:v>16.600000000000001</c:v>
                </c:pt>
                <c:pt idx="3">
                  <c:v>14.1</c:v>
                </c:pt>
                <c:pt idx="4">
                  <c:v>17.8</c:v>
                </c:pt>
                <c:pt idx="5">
                  <c:v>23.4</c:v>
                </c:pt>
                <c:pt idx="6">
                  <c:v>14.5</c:v>
                </c:pt>
                <c:pt idx="7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A4-4DB0-8625-74CD5DB6EB88}"/>
            </c:ext>
          </c:extLst>
        </c:ser>
        <c:ser>
          <c:idx val="2"/>
          <c:order val="2"/>
          <c:spPr>
            <a:ln w="38100">
              <a:solidFill>
                <a:srgbClr val="000000"/>
              </a:solidFill>
              <a:prstDash val="lgDashDotDot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Miúdo'!$F$8:$F$15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A4-4DB0-8625-74CD5DB6EB88}"/>
            </c:ext>
          </c:extLst>
        </c:ser>
        <c:ser>
          <c:idx val="3"/>
          <c:order val="3"/>
          <c:spPr>
            <a:ln w="38100">
              <a:solidFill>
                <a:srgbClr val="002060"/>
              </a:solidFill>
              <a:prstDash val="solid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Miúdo'!$J$8:$J$15</c:f>
              <c:numCache>
                <c:formatCode>0.0</c:formatCode>
                <c:ptCount val="8"/>
                <c:pt idx="0">
                  <c:v>8.0000000000000016E-2</c:v>
                </c:pt>
                <c:pt idx="1">
                  <c:v>2.46</c:v>
                </c:pt>
                <c:pt idx="2">
                  <c:v>13.680000000000001</c:v>
                </c:pt>
                <c:pt idx="3">
                  <c:v>12.940000000000001</c:v>
                </c:pt>
                <c:pt idx="4">
                  <c:v>19.000000000000004</c:v>
                </c:pt>
                <c:pt idx="5">
                  <c:v>24.86</c:v>
                </c:pt>
                <c:pt idx="6">
                  <c:v>16.5</c:v>
                </c:pt>
                <c:pt idx="7">
                  <c:v>10.46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A4-4DB0-8625-74CD5DB6EB88}"/>
            </c:ext>
          </c:extLst>
        </c:ser>
        <c:ser>
          <c:idx val="4"/>
          <c:order val="4"/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Miúdo'!$N$8:$N$15</c:f>
              <c:numCache>
                <c:formatCode>0</c:formatCode>
                <c:ptCount val="8"/>
                <c:pt idx="0">
                  <c:v>0</c:v>
                </c:pt>
                <c:pt idx="1">
                  <c:v>5</c:v>
                </c:pt>
                <c:pt idx="2">
                  <c:v>22</c:v>
                </c:pt>
                <c:pt idx="3">
                  <c:v>32</c:v>
                </c:pt>
                <c:pt idx="4">
                  <c:v>33</c:v>
                </c:pt>
                <c:pt idx="5">
                  <c:v>32</c:v>
                </c:pt>
                <c:pt idx="6">
                  <c:v>24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A4-4DB0-8625-74CD5DB6EB88}"/>
            </c:ext>
          </c:extLst>
        </c:ser>
        <c:ser>
          <c:idx val="5"/>
          <c:order val="5"/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Miúdo'!$P$8:$P$15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9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A4-4DB0-8625-74CD5DB6E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83128800"/>
        <c:axId val="-1983131520"/>
      </c:lineChart>
      <c:catAx>
        <c:axId val="-1983128800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MS Sans Serif"/>
                    <a:ea typeface="MS Sans Serif"/>
                    <a:cs typeface="MS Sans Serif"/>
                  </a:defRPr>
                </a:pPr>
                <a:r>
                  <a:rPr lang="pt-BR"/>
                  <a:t>No. das peneiras</a:t>
                </a:r>
              </a:p>
            </c:rich>
          </c:tx>
          <c:layout>
            <c:manualLayout>
              <c:xMode val="edge"/>
              <c:yMode val="edge"/>
              <c:x val="0.44330231858703228"/>
              <c:y val="0.95403740605939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endParaRPr lang="pt-BR"/>
          </a:p>
        </c:txPr>
        <c:crossAx val="-198313152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983131520"/>
        <c:scaling>
          <c:orientation val="minMax"/>
        </c:scaling>
        <c:delete val="0"/>
        <c:axPos val="l"/>
        <c:title>
          <c:tx>
            <c:rich>
              <a:bodyPr rot="0" vert="wordArtVert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MS Sans Serif"/>
                    <a:ea typeface="MS Sans Serif"/>
                    <a:cs typeface="MS Sans Serif"/>
                  </a:defRPr>
                </a:pPr>
                <a:r>
                  <a:rPr lang="pt-BR"/>
                  <a:t>% retida</a:t>
                </a:r>
              </a:p>
            </c:rich>
          </c:tx>
          <c:layout>
            <c:manualLayout>
              <c:xMode val="edge"/>
              <c:yMode val="edge"/>
              <c:x val="6.4516045923707389E-3"/>
              <c:y val="0.3295194508009153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endParaRPr lang="pt-BR"/>
          </a:p>
        </c:txPr>
        <c:crossAx val="-1983128800"/>
        <c:crosses val="max"/>
        <c:crossBetween val="midCat"/>
        <c:majorUnit val="10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904139896623348"/>
          <c:y val="0.14645308924485126"/>
          <c:w val="0.1464648084633593"/>
          <c:h val="0.35926773455377581"/>
        </c:manualLayout>
      </c:layout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MS Sans Serif"/>
              <a:ea typeface="MS Sans Serif"/>
              <a:cs typeface="MS Sans Serif"/>
            </a:defRPr>
          </a:pPr>
          <a:endParaRPr lang="pt-BR"/>
        </a:p>
      </c:txPr>
    </c:legend>
    <c:plotVisOnly val="0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MS Sans Serif"/>
          <a:ea typeface="MS Sans Serif"/>
          <a:cs typeface="MS Sans Serif"/>
        </a:defRPr>
      </a:pPr>
      <a:endParaRPr lang="pt-BR"/>
    </a:p>
  </c:txPr>
  <c:printSettings>
    <c:headerFooter alignWithMargins="0">
      <c:oddHeader>&amp;F</c:oddHeader>
      <c:oddFooter>Page &amp;P</c:oddFooter>
    </c:headerFooter>
    <c:pageMargins b="0.984251969" l="0.78740157499999996" r="0.78740157499999996" t="0.984251969" header="0.49212598499999999" footer="0.49212598499999999"/>
    <c:pageSetup paperSize="9" orientation="landscape" horizontalDpi="1200" verticalDpi="12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GRANULOMETRIA </a:t>
            </a:r>
          </a:p>
        </c:rich>
      </c:tx>
      <c:layout>
        <c:manualLayout>
          <c:xMode val="edge"/>
          <c:yMode val="edge"/>
          <c:x val="0.40671169123993728"/>
          <c:y val="1.21703853955375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383629790608801E-2"/>
          <c:y val="0.10924044973204626"/>
          <c:w val="0.91275227608029841"/>
          <c:h val="0.797161032938713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'Pedra 0+1'!$B$8</c:f>
              <c:strCache>
                <c:ptCount val="1"/>
                <c:pt idx="0">
                  <c:v>Pedra 0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noFill/>
              <a:ln w="9525">
                <a:noFill/>
              </a:ln>
            </c:spPr>
          </c:marker>
          <c:xVal>
            <c:numRef>
              <c:f>'[2]Pedra 0+1 riomix'!$D$1:$M$1</c:f>
              <c:numCache>
                <c:formatCode>General</c:formatCode>
                <c:ptCount val="10"/>
                <c:pt idx="0">
                  <c:v>4.9848931076097918</c:v>
                </c:pt>
                <c:pt idx="1">
                  <c:v>4.7369655941662066</c:v>
                </c:pt>
                <c:pt idx="2">
                  <c:v>4.3808217839409309</c:v>
                </c:pt>
                <c:pt idx="3">
                  <c:v>3.9848931076097918</c:v>
                </c:pt>
                <c:pt idx="4">
                  <c:v>3.4037221860510094</c:v>
                </c:pt>
                <c:pt idx="5">
                  <c:v>2.9848931076097918</c:v>
                </c:pt>
                <c:pt idx="6">
                  <c:v>2.3923174227787602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xVal>
          <c:yVal>
            <c:numRef>
              <c:f>'Pedra 0+1'!$D$8:$M$8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63</c:v>
                </c:pt>
                <c:pt idx="7">
                  <c:v>88</c:v>
                </c:pt>
                <c:pt idx="8">
                  <c:v>95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DF-42E4-9E3B-C16F981AA252}"/>
            </c:ext>
          </c:extLst>
        </c:ser>
        <c:ser>
          <c:idx val="1"/>
          <c:order val="1"/>
          <c:tx>
            <c:strRef>
              <c:f>'Pedra 0+1'!$B$9</c:f>
              <c:strCache>
                <c:ptCount val="1"/>
                <c:pt idx="0">
                  <c:v>Pedra 1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'[2]Pedra 0+1 riomix'!$D$1:$M$1</c:f>
              <c:numCache>
                <c:formatCode>General</c:formatCode>
                <c:ptCount val="10"/>
                <c:pt idx="0">
                  <c:v>4.9848931076097918</c:v>
                </c:pt>
                <c:pt idx="1">
                  <c:v>4.7369655941662066</c:v>
                </c:pt>
                <c:pt idx="2">
                  <c:v>4.3808217839409309</c:v>
                </c:pt>
                <c:pt idx="3">
                  <c:v>3.9848931076097918</c:v>
                </c:pt>
                <c:pt idx="4">
                  <c:v>3.4037221860510094</c:v>
                </c:pt>
                <c:pt idx="5">
                  <c:v>2.9848931076097918</c:v>
                </c:pt>
                <c:pt idx="6">
                  <c:v>2.3923174227787602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xVal>
          <c:yVal>
            <c:numRef>
              <c:f>'Pedra 0+1'!$D$9:$M$9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69</c:v>
                </c:pt>
                <c:pt idx="5">
                  <c:v>91</c:v>
                </c:pt>
                <c:pt idx="6">
                  <c:v>99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DF-42E4-9E3B-C16F981AA252}"/>
            </c:ext>
          </c:extLst>
        </c:ser>
        <c:ser>
          <c:idx val="5"/>
          <c:order val="2"/>
          <c:tx>
            <c:strRef>
              <c:f>'Pedra 0+1'!$B$10</c:f>
              <c:strCache>
                <c:ptCount val="1"/>
                <c:pt idx="0">
                  <c:v>Pedra 2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'[2]Pedra 0+1 riomix'!$D$1:$M$1</c:f>
              <c:numCache>
                <c:formatCode>General</c:formatCode>
                <c:ptCount val="10"/>
                <c:pt idx="0">
                  <c:v>4.9848931076097918</c:v>
                </c:pt>
                <c:pt idx="1">
                  <c:v>4.7369655941662066</c:v>
                </c:pt>
                <c:pt idx="2">
                  <c:v>4.3808217839409309</c:v>
                </c:pt>
                <c:pt idx="3">
                  <c:v>3.9848931076097918</c:v>
                </c:pt>
                <c:pt idx="4">
                  <c:v>3.4037221860510094</c:v>
                </c:pt>
                <c:pt idx="5">
                  <c:v>2.9848931076097918</c:v>
                </c:pt>
                <c:pt idx="6">
                  <c:v>2.3923174227787602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xVal>
          <c:yVal>
            <c:numRef>
              <c:f>'Pedra 0+1'!$D$10:$M$10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DF-42E4-9E3B-C16F981AA252}"/>
            </c:ext>
          </c:extLst>
        </c:ser>
        <c:ser>
          <c:idx val="2"/>
          <c:order val="3"/>
          <c:tx>
            <c:strRef>
              <c:f>'Pedra 0+1'!$B$11</c:f>
              <c:strCache>
                <c:ptCount val="1"/>
                <c:pt idx="0">
                  <c:v>Mista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'[2]Pedra 0+1 riomix'!$D$1:$M$1</c:f>
              <c:numCache>
                <c:formatCode>General</c:formatCode>
                <c:ptCount val="10"/>
                <c:pt idx="0">
                  <c:v>4.9848931076097918</c:v>
                </c:pt>
                <c:pt idx="1">
                  <c:v>4.7369655941662066</c:v>
                </c:pt>
                <c:pt idx="2">
                  <c:v>4.3808217839409309</c:v>
                </c:pt>
                <c:pt idx="3">
                  <c:v>3.9848931076097918</c:v>
                </c:pt>
                <c:pt idx="4">
                  <c:v>3.4037221860510094</c:v>
                </c:pt>
                <c:pt idx="5">
                  <c:v>2.9848931076097918</c:v>
                </c:pt>
                <c:pt idx="6">
                  <c:v>2.3923174227787602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xVal>
          <c:yVal>
            <c:numRef>
              <c:f>'Pedra 0+1'!$D$11:$M$11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2.0999999999999996</c:v>
                </c:pt>
                <c:pt idx="4">
                  <c:v>48.3</c:v>
                </c:pt>
                <c:pt idx="5">
                  <c:v>65.5</c:v>
                </c:pt>
                <c:pt idx="6">
                  <c:v>88.199999999999989</c:v>
                </c:pt>
                <c:pt idx="7">
                  <c:v>96.4</c:v>
                </c:pt>
                <c:pt idx="8">
                  <c:v>98.5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DF-42E4-9E3B-C16F981AA252}"/>
            </c:ext>
          </c:extLst>
        </c:ser>
        <c:ser>
          <c:idx val="3"/>
          <c:order val="4"/>
          <c:tx>
            <c:v>Faixa ideal</c:v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'[2]Pedra 0+1 riomix'!$D$1:$M$1</c:f>
              <c:numCache>
                <c:formatCode>General</c:formatCode>
                <c:ptCount val="10"/>
                <c:pt idx="0">
                  <c:v>4.9848931076097918</c:v>
                </c:pt>
                <c:pt idx="1">
                  <c:v>4.7369655941662066</c:v>
                </c:pt>
                <c:pt idx="2">
                  <c:v>4.3808217839409309</c:v>
                </c:pt>
                <c:pt idx="3">
                  <c:v>3.9848931076097918</c:v>
                </c:pt>
                <c:pt idx="4">
                  <c:v>3.4037221860510094</c:v>
                </c:pt>
                <c:pt idx="5">
                  <c:v>2.9848931076097918</c:v>
                </c:pt>
                <c:pt idx="6">
                  <c:v>2.3923174227787602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xVal>
          <c:yVal>
            <c:numRef>
              <c:f>'Pedra 0+1'!$E$12:$M$12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45</c:v>
                </c:pt>
                <c:pt idx="6">
                  <c:v>72.8557129685272</c:v>
                </c:pt>
                <c:pt idx="7" formatCode="General">
                  <c:v>90</c:v>
                </c:pt>
                <c:pt idx="8" formatCode="General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DF-42E4-9E3B-C16F981AA252}"/>
            </c:ext>
          </c:extLst>
        </c:ser>
        <c:ser>
          <c:idx val="4"/>
          <c:order val="5"/>
          <c:tx>
            <c:strRef>
              <c:f>'Pedra 0+1'!$B$13</c:f>
              <c:strCache>
                <c:ptCount val="1"/>
                <c:pt idx="0">
                  <c:v>Faixa  inferior</c:v>
                </c:pt>
              </c:strCache>
            </c:strRef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'[2]Pedra 0+1 riomix'!$D$1:$M$1</c:f>
              <c:numCache>
                <c:formatCode>General</c:formatCode>
                <c:ptCount val="10"/>
                <c:pt idx="0">
                  <c:v>4.9848931076097918</c:v>
                </c:pt>
                <c:pt idx="1">
                  <c:v>4.7369655941662066</c:v>
                </c:pt>
                <c:pt idx="2">
                  <c:v>4.3808217839409309</c:v>
                </c:pt>
                <c:pt idx="3">
                  <c:v>3.9848931076097918</c:v>
                </c:pt>
                <c:pt idx="4">
                  <c:v>3.4037221860510094</c:v>
                </c:pt>
                <c:pt idx="5">
                  <c:v>2.9848931076097918</c:v>
                </c:pt>
                <c:pt idx="6">
                  <c:v>2.3923174227787602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xVal>
          <c:yVal>
            <c:numRef>
              <c:f>'Pedra 0+1'!$E$13:$M$13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45</c:v>
                </c:pt>
                <c:pt idx="5">
                  <c:v>80</c:v>
                </c:pt>
                <c:pt idx="6">
                  <c:v>92.380316874900984</c:v>
                </c:pt>
                <c:pt idx="7" formatCode="General">
                  <c:v>100</c:v>
                </c:pt>
                <c:pt idx="8" formatCode="General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DF-42E4-9E3B-C16F981AA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3127712"/>
        <c:axId val="-1983134784"/>
      </c:scatterChart>
      <c:valAx>
        <c:axId val="-1983127712"/>
        <c:scaling>
          <c:orientation val="minMax"/>
          <c:max val="5"/>
        </c:scaling>
        <c:delete val="0"/>
        <c:axPos val="t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 ( mm )</a:t>
                </a:r>
              </a:p>
            </c:rich>
          </c:tx>
          <c:layout>
            <c:manualLayout>
              <c:xMode val="edge"/>
              <c:yMode val="edge"/>
              <c:x val="0.34362444291778965"/>
              <c:y val="0.945234117540581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-1983134784"/>
        <c:crossesAt val="100"/>
        <c:crossBetween val="midCat"/>
        <c:majorUnit val="1"/>
      </c:valAx>
      <c:valAx>
        <c:axId val="-1983134784"/>
        <c:scaling>
          <c:orientation val="maxMin"/>
          <c:max val="100"/>
          <c:min val="0"/>
        </c:scaling>
        <c:delete val="0"/>
        <c:axPos val="l"/>
        <c:title>
          <c:tx>
            <c:rich>
              <a:bodyPr rot="0" vert="wordArtVert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% ACUMULADA</a:t>
                </a:r>
              </a:p>
            </c:rich>
          </c:tx>
          <c:layout>
            <c:manualLayout>
              <c:xMode val="edge"/>
              <c:yMode val="edge"/>
              <c:x val="6.7114093959731542E-3"/>
              <c:y val="0.3164302332391006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-1983127712"/>
        <c:crosses val="autoZero"/>
        <c:crossBetween val="midCat"/>
      </c:valAx>
      <c:spPr>
        <a:solidFill>
          <a:schemeClr val="bg1"/>
        </a:solidFill>
        <a:ln w="25400">
          <a:solidFill>
            <a:srgbClr val="000000"/>
          </a:solidFill>
          <a:prstDash val="solid"/>
        </a:ln>
      </c:spPr>
    </c:plotArea>
    <c:legend>
      <c:legendPos val="r"/>
      <c:legendEntry>
        <c:idx val="5"/>
        <c:delete val="1"/>
      </c:legendEntry>
      <c:layout>
        <c:manualLayout>
          <c:xMode val="edge"/>
          <c:yMode val="edge"/>
          <c:x val="8.4461237721282306E-2"/>
          <c:y val="9.7825280017817207E-2"/>
          <c:w val="0.1577673256339478"/>
          <c:h val="0.28803266731617977"/>
        </c:manualLayout>
      </c:layout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 horizontalDpi="1200" verticalDpi="1200"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536289212580131E-2"/>
          <c:y val="3.9956484842112713E-2"/>
          <c:w val="0.95943344639176176"/>
          <c:h val="0.824391769455491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'Dosagem '!$AY$49</c:f>
              <c:strCache>
                <c:ptCount val="1"/>
                <c:pt idx="0">
                  <c:v>Resistência obtida MPa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l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'Dosagem '!$E$53:$E$56</c:f>
              <c:numCache>
                <c:formatCode>General</c:formatCode>
                <c:ptCount val="4"/>
                <c:pt idx="0">
                  <c:v>3</c:v>
                </c:pt>
                <c:pt idx="1">
                  <c:v>7</c:v>
                </c:pt>
                <c:pt idx="2">
                  <c:v>14</c:v>
                </c:pt>
                <c:pt idx="3">
                  <c:v>28</c:v>
                </c:pt>
              </c:numCache>
            </c:numRef>
          </c:cat>
          <c:val>
            <c:numRef>
              <c:f>'Dosagem '!$I$53:$I$56</c:f>
              <c:numCache>
                <c:formatCode>0.0</c:formatCode>
                <c:ptCount val="4"/>
                <c:pt idx="0">
                  <c:v>15</c:v>
                </c:pt>
                <c:pt idx="1">
                  <c:v>28</c:v>
                </c:pt>
                <c:pt idx="2">
                  <c:v>36.1</c:v>
                </c:pt>
                <c:pt idx="3">
                  <c:v>42.8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43-46C1-AC43-9AF722ECFD1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axId val="1137783312"/>
        <c:axId val="1137784560"/>
      </c:barChart>
      <c:lineChart>
        <c:grouping val="standard"/>
        <c:varyColors val="0"/>
        <c:ser>
          <c:idx val="1"/>
          <c:order val="1"/>
          <c:tx>
            <c:strRef>
              <c:f>'Dosagem '!$AV$49</c:f>
              <c:strCache>
                <c:ptCount val="1"/>
                <c:pt idx="0">
                  <c:v>Previsto Cimento CP III </c:v>
                </c:pt>
              </c:strCache>
              <c:extLst xmlns:c15="http://schemas.microsoft.com/office/drawing/2012/chart"/>
            </c:strRef>
          </c:tx>
          <c:spPr>
            <a:ln w="12700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'Dosagem '!$E$53:$E$56</c:f>
              <c:numCache>
                <c:formatCode>General</c:formatCode>
                <c:ptCount val="4"/>
                <c:pt idx="0">
                  <c:v>3</c:v>
                </c:pt>
                <c:pt idx="1">
                  <c:v>7</c:v>
                </c:pt>
                <c:pt idx="2">
                  <c:v>14</c:v>
                </c:pt>
                <c:pt idx="3">
                  <c:v>28</c:v>
                </c:pt>
              </c:numCache>
              <c:extLst xmlns:c15="http://schemas.microsoft.com/office/drawing/2012/chart"/>
            </c:numRef>
          </c:cat>
          <c:val>
            <c:numRef>
              <c:f>'Dosagem '!$AV$50:$AV$53</c:f>
              <c:numCache>
                <c:formatCode>0.0</c:formatCode>
                <c:ptCount val="4"/>
                <c:pt idx="0">
                  <c:v>15.3</c:v>
                </c:pt>
                <c:pt idx="1">
                  <c:v>24.862500000000001</c:v>
                </c:pt>
                <c:pt idx="2">
                  <c:v>31.364999999999998</c:v>
                </c:pt>
                <c:pt idx="3">
                  <c:v>38.25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76E5-4A3D-809A-9593E640A80A}"/>
            </c:ext>
          </c:extLst>
        </c:ser>
        <c:ser>
          <c:idx val="2"/>
          <c:order val="2"/>
          <c:tx>
            <c:strRef>
              <c:f>'Dosagem '!$BA$49</c:f>
              <c:strCache>
                <c:ptCount val="1"/>
                <c:pt idx="0">
                  <c:v>Previsto Cimento CPV</c:v>
                </c:pt>
              </c:strCache>
              <c:extLst xmlns:c15="http://schemas.microsoft.com/office/drawing/2012/chart"/>
            </c:strRef>
          </c:tx>
          <c:spPr>
            <a:ln w="12700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'Dosagem '!$E$53:$E$56</c:f>
              <c:numCache>
                <c:formatCode>General</c:formatCode>
                <c:ptCount val="4"/>
                <c:pt idx="0">
                  <c:v>3</c:v>
                </c:pt>
                <c:pt idx="1">
                  <c:v>7</c:v>
                </c:pt>
                <c:pt idx="2">
                  <c:v>14</c:v>
                </c:pt>
                <c:pt idx="3">
                  <c:v>28</c:v>
                </c:pt>
              </c:numCache>
              <c:extLst xmlns:c15="http://schemas.microsoft.com/office/drawing/2012/chart"/>
            </c:numRef>
          </c:cat>
          <c:val>
            <c:numRef>
              <c:f>'Dosagem '!$BA$50:$BA$53</c:f>
              <c:numCache>
                <c:formatCode>0.0</c:formatCode>
                <c:ptCount val="4"/>
                <c:pt idx="0">
                  <c:v>19.125</c:v>
                </c:pt>
                <c:pt idx="1">
                  <c:v>30.6</c:v>
                </c:pt>
                <c:pt idx="2">
                  <c:v>34.425000000000004</c:v>
                </c:pt>
                <c:pt idx="3">
                  <c:v>38.25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6E5-4A3D-809A-9593E640A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3530288"/>
        <c:axId val="1733529808"/>
        <c:extLst/>
      </c:lineChart>
      <c:catAx>
        <c:axId val="1733530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733529808"/>
        <c:crosses val="autoZero"/>
        <c:auto val="1"/>
        <c:lblAlgn val="ctr"/>
        <c:lblOffset val="100"/>
        <c:noMultiLvlLbl val="0"/>
      </c:catAx>
      <c:valAx>
        <c:axId val="1733529808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733530288"/>
        <c:crosses val="autoZero"/>
        <c:crossBetween val="between"/>
      </c:valAx>
      <c:valAx>
        <c:axId val="1137784560"/>
        <c:scaling>
          <c:orientation val="minMax"/>
        </c:scaling>
        <c:delete val="1"/>
        <c:axPos val="r"/>
        <c:numFmt formatCode="0.0" sourceLinked="1"/>
        <c:majorTickMark val="out"/>
        <c:minorTickMark val="none"/>
        <c:tickLblPos val="nextTo"/>
        <c:crossAx val="1137783312"/>
        <c:crosses val="max"/>
        <c:crossBetween val="between"/>
      </c:valAx>
      <c:catAx>
        <c:axId val="11377833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77845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9720761402773067E-4"/>
          <c:y val="1.0846603704152717E-3"/>
          <c:w val="0.30277346398031202"/>
          <c:h val="0.195022149172450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/>
              <a:t>Composição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2499835222344376E-2"/>
          <c:y val="0.25270315600793802"/>
          <c:w val="0.78292257559339729"/>
          <c:h val="0.60833339734972158"/>
        </c:manualLayout>
      </c:layout>
      <c:pieChart>
        <c:varyColors val="1"/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1-21A6-448B-98B0-D9C3EF06D99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3-21A6-448B-98B0-D9C3EF06D99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5-21A6-448B-98B0-D9C3EF06D99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7-21A6-448B-98B0-D9C3EF06D996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9-21A6-448B-98B0-D9C3EF06D996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B-21A6-448B-98B0-D9C3EF06D996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D-21A6-448B-98B0-D9C3EF06D996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F-21A6-448B-98B0-D9C3EF06D996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1-21A6-448B-98B0-D9C3EF06D996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3-21A6-448B-98B0-D9C3EF06D996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5-21A6-448B-98B0-D9C3EF06D996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7-21A6-448B-98B0-D9C3EF06D996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9-21A6-448B-98B0-D9C3EF06D99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bg2">
                              <a:lumMod val="10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pt-BR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'Dosagem '!$E$31:$E$44</c15:sqref>
                        </c15:fullRef>
                        <c15:formulaRef>
                          <c15:sqref>'Dosagem '!$E$31:$E$43</c15:sqref>
                        </c15:formulaRef>
                      </c:ext>
                    </c:extLst>
                    <c:strCache>
                      <c:ptCount val="13"/>
                      <c:pt idx="0">
                        <c:v>Cimento:</c:v>
                      </c:pt>
                      <c:pt idx="1">
                        <c:v>Aglom.2:</c:v>
                      </c:pt>
                      <c:pt idx="2">
                        <c:v>Ag.miúdo 1:</c:v>
                      </c:pt>
                      <c:pt idx="3">
                        <c:v>Ag.miúdo 2:</c:v>
                      </c:pt>
                      <c:pt idx="4">
                        <c:v>Ag.miúdo 3:</c:v>
                      </c:pt>
                      <c:pt idx="5">
                        <c:v>Ag.graúdo 1:</c:v>
                      </c:pt>
                      <c:pt idx="6">
                        <c:v>Ag.graúdo 2:</c:v>
                      </c:pt>
                      <c:pt idx="7">
                        <c:v>Ag.graúdo 3:</c:v>
                      </c:pt>
                      <c:pt idx="8">
                        <c:v>água</c:v>
                      </c:pt>
                      <c:pt idx="9">
                        <c:v>Aditivo 1:</c:v>
                      </c:pt>
                      <c:pt idx="10">
                        <c:v>Aditivo 2:</c:v>
                      </c:pt>
                      <c:pt idx="11">
                        <c:v>Aditivo 3:</c:v>
                      </c:pt>
                      <c:pt idx="12">
                        <c:v>Adição 1: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'Dosagem '!$E$31:$E$44</c15:sqref>
                        </c15:fullRef>
                        <c15:formulaRef>
                          <c15:sqref>'Dosagem '!$E$31:$E$43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1-D490-43D7-B3C6-FB9F26E68807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2">
              <a:lumMod val="10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/>
              <a:t>Composição kg/m³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1154370957794952"/>
          <c:y val="0.10011534752765695"/>
          <c:w val="0.67566923163894421"/>
          <c:h val="0.88955575944242593"/>
        </c:manualLayout>
      </c:layout>
      <c:bar3DChart>
        <c:barDir val="bar"/>
        <c:grouping val="clustered"/>
        <c:varyColors val="0"/>
        <c:ser>
          <c:idx val="0"/>
          <c:order val="0"/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7"/>
              <c:numFmt formatCode="#,##0.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80D-4AD7-8FD6-9A21D0012DE1}"/>
                </c:ext>
              </c:extLst>
            </c:dLbl>
            <c:dLbl>
              <c:idx val="8"/>
              <c:numFmt formatCode="#,##0.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280D-4AD7-8FD6-9A21D0012DE1}"/>
                </c:ext>
              </c:extLst>
            </c:dLbl>
            <c:dLbl>
              <c:idx val="9"/>
              <c:numFmt formatCode="#,##0.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280D-4AD7-8FD6-9A21D0012DE1}"/>
                </c:ext>
              </c:extLst>
            </c:dLbl>
            <c:dLbl>
              <c:idx val="10"/>
              <c:numFmt formatCode="#,##0.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280D-4AD7-8FD6-9A21D0012DE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'Dosagem '!$E$31:$E$44</c15:sqref>
                  </c15:fullRef>
                </c:ext>
              </c:extLst>
              <c:f>('Dosagem '!$E$31:$E$34,'Dosagem '!$E$36:$E$37,'Dosagem '!$E$39:$E$41,'Dosagem '!$E$43:$E$44)</c:f>
              <c:strCache>
                <c:ptCount val="11"/>
                <c:pt idx="0">
                  <c:v>Cimento:</c:v>
                </c:pt>
                <c:pt idx="1">
                  <c:v>Aglom.2:</c:v>
                </c:pt>
                <c:pt idx="2">
                  <c:v>Ag.miúdo 1:</c:v>
                </c:pt>
                <c:pt idx="3">
                  <c:v>Ag.miúdo 2:</c:v>
                </c:pt>
                <c:pt idx="4">
                  <c:v>Ag.graúdo 1:</c:v>
                </c:pt>
                <c:pt idx="5">
                  <c:v>Ag.graúdo 2:</c:v>
                </c:pt>
                <c:pt idx="6">
                  <c:v>água</c:v>
                </c:pt>
                <c:pt idx="7">
                  <c:v>Aditivo 1:</c:v>
                </c:pt>
                <c:pt idx="8">
                  <c:v>Aditivo 2:</c:v>
                </c:pt>
                <c:pt idx="9">
                  <c:v>Adição 1:</c:v>
                </c:pt>
                <c:pt idx="10">
                  <c:v>Adição 2: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'Dosagem '!$S$31:$S$44</c15:sqref>
                  </c15:fullRef>
                </c:ext>
              </c:extLst>
              <c:f>('Dosagem '!$S$31:$S$34,'Dosagem '!$S$36:$S$37,'Dosagem '!$S$39:$S$41,'Dosagem '!$S$43:$S$44)</c:f>
              <c:numCache>
                <c:formatCode>0</c:formatCode>
                <c:ptCount val="11"/>
                <c:pt idx="0">
                  <c:v>321</c:v>
                </c:pt>
                <c:pt idx="1">
                  <c:v>0</c:v>
                </c:pt>
                <c:pt idx="2">
                  <c:v>143.98460852459016</c:v>
                </c:pt>
                <c:pt idx="3">
                  <c:v>575.93843409836063</c:v>
                </c:pt>
                <c:pt idx="4">
                  <c:v>327.73883999999993</c:v>
                </c:pt>
                <c:pt idx="5">
                  <c:v>764.72395999999981</c:v>
                </c:pt>
                <c:pt idx="6">
                  <c:v>189</c:v>
                </c:pt>
                <c:pt idx="7" formatCode="0.00">
                  <c:v>2.4074999999999998</c:v>
                </c:pt>
                <c:pt idx="8">
                  <c:v>1.284</c:v>
                </c:pt>
                <c:pt idx="9">
                  <c:v>3.21</c:v>
                </c:pt>
                <c:pt idx="10">
                  <c:v>0.60026999999999997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D-4C61-931E-9961C2B30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41077520"/>
        <c:axId val="1941078960"/>
        <c:axId val="0"/>
      </c:bar3DChart>
      <c:catAx>
        <c:axId val="19410775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941078960"/>
        <c:crosses val="autoZero"/>
        <c:auto val="1"/>
        <c:lblAlgn val="ctr"/>
        <c:lblOffset val="100"/>
        <c:noMultiLvlLbl val="0"/>
      </c:catAx>
      <c:valAx>
        <c:axId val="1941078960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94107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/>
              <a:t>(CURVAS DE ABRAMS 28 DIAS</a:t>
            </a:r>
          </a:p>
        </c:rich>
      </c:tx>
      <c:layout>
        <c:manualLayout>
          <c:xMode val="edge"/>
          <c:yMode val="edge"/>
          <c:x val="0.23707936325757653"/>
          <c:y val="1.9983210955834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319511074140335"/>
          <c:y val="0.13733719173775871"/>
          <c:w val="0.85807004949272803"/>
          <c:h val="0.76736409293598673"/>
        </c:manualLayout>
      </c:layout>
      <c:scatterChart>
        <c:scatterStyle val="lineMarker"/>
        <c:varyColors val="0"/>
        <c:ser>
          <c:idx val="18"/>
          <c:order val="0"/>
          <c:tx>
            <c:strRef>
              <c:f>'Curva de abrams'!$C$6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'Curva de abrams'!$D$6:$D$11</c:f>
              <c:numCache>
                <c:formatCode>0.000</c:formatCode>
                <c:ptCount val="6"/>
                <c:pt idx="0">
                  <c:v>0.6</c:v>
                </c:pt>
                <c:pt idx="1">
                  <c:v>0.55000000000000004</c:v>
                </c:pt>
                <c:pt idx="2">
                  <c:v>0.51</c:v>
                </c:pt>
                <c:pt idx="3">
                  <c:v>0.45</c:v>
                </c:pt>
              </c:numCache>
            </c:numRef>
          </c:xVal>
          <c:yVal>
            <c:numRef>
              <c:f>'Curva de abrams'!$F$6:$F$11</c:f>
              <c:numCache>
                <c:formatCode>0.0</c:formatCode>
                <c:ptCount val="6"/>
                <c:pt idx="0">
                  <c:v>34</c:v>
                </c:pt>
                <c:pt idx="1">
                  <c:v>42.3</c:v>
                </c:pt>
                <c:pt idx="2">
                  <c:v>46.9</c:v>
                </c:pt>
                <c:pt idx="3">
                  <c:v>55.3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042-4998-A881-A982D86123E9}"/>
            </c:ext>
          </c:extLst>
        </c:ser>
        <c:ser>
          <c:idx val="21"/>
          <c:order val="1"/>
          <c:tx>
            <c:strRef>
              <c:f>'Curva de abrams'!$C$6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'Curva de abrams'!$D$6:$D$11</c:f>
              <c:numCache>
                <c:formatCode>0.000</c:formatCode>
                <c:ptCount val="6"/>
                <c:pt idx="0">
                  <c:v>0.6</c:v>
                </c:pt>
                <c:pt idx="1">
                  <c:v>0.55000000000000004</c:v>
                </c:pt>
                <c:pt idx="2">
                  <c:v>0.51</c:v>
                </c:pt>
                <c:pt idx="3">
                  <c:v>0.45</c:v>
                </c:pt>
              </c:numCache>
            </c:numRef>
          </c:xVal>
          <c:yVal>
            <c:numRef>
              <c:f>'Curva de abrams'!$F$6:$F$11</c:f>
              <c:numCache>
                <c:formatCode>0.0</c:formatCode>
                <c:ptCount val="6"/>
                <c:pt idx="0">
                  <c:v>34</c:v>
                </c:pt>
                <c:pt idx="1">
                  <c:v>42.3</c:v>
                </c:pt>
                <c:pt idx="2">
                  <c:v>46.9</c:v>
                </c:pt>
                <c:pt idx="3">
                  <c:v>55.3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042-4998-A881-A982D86123E9}"/>
            </c:ext>
          </c:extLst>
        </c:ser>
        <c:ser>
          <c:idx val="24"/>
          <c:order val="2"/>
          <c:tx>
            <c:strRef>
              <c:f>'Curva de abrams'!$C$6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'Curva de abrams'!$D$6:$D$11</c:f>
              <c:numCache>
                <c:formatCode>0.000</c:formatCode>
                <c:ptCount val="6"/>
                <c:pt idx="0">
                  <c:v>0.6</c:v>
                </c:pt>
                <c:pt idx="1">
                  <c:v>0.55000000000000004</c:v>
                </c:pt>
                <c:pt idx="2">
                  <c:v>0.51</c:v>
                </c:pt>
                <c:pt idx="3">
                  <c:v>0.45</c:v>
                </c:pt>
              </c:numCache>
            </c:numRef>
          </c:xVal>
          <c:yVal>
            <c:numRef>
              <c:f>'Curva de abrams'!$F$6:$F$11</c:f>
              <c:numCache>
                <c:formatCode>0.0</c:formatCode>
                <c:ptCount val="6"/>
                <c:pt idx="0">
                  <c:v>34</c:v>
                </c:pt>
                <c:pt idx="1">
                  <c:v>42.3</c:v>
                </c:pt>
                <c:pt idx="2">
                  <c:v>46.9</c:v>
                </c:pt>
                <c:pt idx="3">
                  <c:v>55.3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042-4998-A881-A982D86123E9}"/>
            </c:ext>
          </c:extLst>
        </c:ser>
        <c:ser>
          <c:idx val="27"/>
          <c:order val="3"/>
          <c:tx>
            <c:strRef>
              <c:f>'Curva de abrams'!$C$6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'Curva de abrams'!$D$6:$D$11</c:f>
              <c:numCache>
                <c:formatCode>0.000</c:formatCode>
                <c:ptCount val="6"/>
                <c:pt idx="0">
                  <c:v>0.6</c:v>
                </c:pt>
                <c:pt idx="1">
                  <c:v>0.55000000000000004</c:v>
                </c:pt>
                <c:pt idx="2">
                  <c:v>0.51</c:v>
                </c:pt>
                <c:pt idx="3">
                  <c:v>0.45</c:v>
                </c:pt>
              </c:numCache>
            </c:numRef>
          </c:xVal>
          <c:yVal>
            <c:numRef>
              <c:f>'Curva de abrams'!$F$6:$F$11</c:f>
              <c:numCache>
                <c:formatCode>0.0</c:formatCode>
                <c:ptCount val="6"/>
                <c:pt idx="0">
                  <c:v>34</c:v>
                </c:pt>
                <c:pt idx="1">
                  <c:v>42.3</c:v>
                </c:pt>
                <c:pt idx="2">
                  <c:v>46.9</c:v>
                </c:pt>
                <c:pt idx="3">
                  <c:v>55.3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C042-4998-A881-A982D86123E9}"/>
            </c:ext>
          </c:extLst>
        </c:ser>
        <c:ser>
          <c:idx val="15"/>
          <c:order val="8"/>
          <c:tx>
            <c:strRef>
              <c:f>'Curva de abrams'!$C$6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'Curva de abrams'!$D$6:$D$11</c:f>
              <c:numCache>
                <c:formatCode>0.000</c:formatCode>
                <c:ptCount val="6"/>
                <c:pt idx="0">
                  <c:v>0.6</c:v>
                </c:pt>
                <c:pt idx="1">
                  <c:v>0.55000000000000004</c:v>
                </c:pt>
                <c:pt idx="2">
                  <c:v>0.51</c:v>
                </c:pt>
                <c:pt idx="3">
                  <c:v>0.45</c:v>
                </c:pt>
              </c:numCache>
            </c:numRef>
          </c:xVal>
          <c:yVal>
            <c:numRef>
              <c:f>'Curva de abrams'!$F$6:$F$11</c:f>
              <c:numCache>
                <c:formatCode>0.0</c:formatCode>
                <c:ptCount val="6"/>
                <c:pt idx="0">
                  <c:v>34</c:v>
                </c:pt>
                <c:pt idx="1">
                  <c:v>42.3</c:v>
                </c:pt>
                <c:pt idx="2">
                  <c:v>46.9</c:v>
                </c:pt>
                <c:pt idx="3">
                  <c:v>55.3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C042-4998-A881-A982D86123E9}"/>
            </c:ext>
          </c:extLst>
        </c:ser>
        <c:ser>
          <c:idx val="3"/>
          <c:order val="9"/>
          <c:tx>
            <c:strRef>
              <c:f>'Curva de abrams'!$C$6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'Curva de abrams'!$D$6:$D$11</c:f>
              <c:numCache>
                <c:formatCode>0.000</c:formatCode>
                <c:ptCount val="6"/>
                <c:pt idx="0">
                  <c:v>0.6</c:v>
                </c:pt>
                <c:pt idx="1">
                  <c:v>0.55000000000000004</c:v>
                </c:pt>
                <c:pt idx="2">
                  <c:v>0.51</c:v>
                </c:pt>
                <c:pt idx="3">
                  <c:v>0.45</c:v>
                </c:pt>
              </c:numCache>
            </c:numRef>
          </c:xVal>
          <c:yVal>
            <c:numRef>
              <c:f>'Curva de abrams'!$F$6:$F$11</c:f>
              <c:numCache>
                <c:formatCode>0.0</c:formatCode>
                <c:ptCount val="6"/>
                <c:pt idx="0">
                  <c:v>34</c:v>
                </c:pt>
                <c:pt idx="1">
                  <c:v>42.3</c:v>
                </c:pt>
                <c:pt idx="2">
                  <c:v>46.9</c:v>
                </c:pt>
                <c:pt idx="3">
                  <c:v>55.3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C042-4998-A881-A982D86123E9}"/>
            </c:ext>
          </c:extLst>
        </c:ser>
        <c:ser>
          <c:idx val="6"/>
          <c:order val="10"/>
          <c:tx>
            <c:strRef>
              <c:f>'Curva de abrams'!$C$6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'Curva de abrams'!$D$6:$D$11</c:f>
              <c:numCache>
                <c:formatCode>0.000</c:formatCode>
                <c:ptCount val="6"/>
                <c:pt idx="0">
                  <c:v>0.6</c:v>
                </c:pt>
                <c:pt idx="1">
                  <c:v>0.55000000000000004</c:v>
                </c:pt>
                <c:pt idx="2">
                  <c:v>0.51</c:v>
                </c:pt>
                <c:pt idx="3">
                  <c:v>0.45</c:v>
                </c:pt>
              </c:numCache>
            </c:numRef>
          </c:xVal>
          <c:yVal>
            <c:numRef>
              <c:f>'Curva de abrams'!$F$6:$F$11</c:f>
              <c:numCache>
                <c:formatCode>0.0</c:formatCode>
                <c:ptCount val="6"/>
                <c:pt idx="0">
                  <c:v>34</c:v>
                </c:pt>
                <c:pt idx="1">
                  <c:v>42.3</c:v>
                </c:pt>
                <c:pt idx="2">
                  <c:v>46.9</c:v>
                </c:pt>
                <c:pt idx="3">
                  <c:v>55.3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C042-4998-A881-A982D86123E9}"/>
            </c:ext>
          </c:extLst>
        </c:ser>
        <c:ser>
          <c:idx val="1"/>
          <c:order val="11"/>
          <c:tx>
            <c:strRef>
              <c:f>'Curva de abrams'!$C$6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1">
                    <a:shade val="38000"/>
                  </a:schemeClr>
                </a:solidFill>
              </a:ln>
              <a:effectLst/>
            </c:spPr>
            <c:trendlineType val="power"/>
            <c:forward val="0.1"/>
            <c:backward val="5.0000000000000024E-2"/>
            <c:dispRSqr val="1"/>
            <c:dispEq val="1"/>
            <c:trendlineLbl>
              <c:layout>
                <c:manualLayout>
                  <c:x val="0.21719313353819761"/>
                  <c:y val="-0.584093914797567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</c:trendlineLbl>
          </c:trendline>
          <c:xVal>
            <c:numRef>
              <c:f>'Curva de abrams'!$D$6:$D$11</c:f>
              <c:numCache>
                <c:formatCode>0.000</c:formatCode>
                <c:ptCount val="6"/>
                <c:pt idx="0">
                  <c:v>0.6</c:v>
                </c:pt>
                <c:pt idx="1">
                  <c:v>0.55000000000000004</c:v>
                </c:pt>
                <c:pt idx="2">
                  <c:v>0.51</c:v>
                </c:pt>
                <c:pt idx="3">
                  <c:v>0.45</c:v>
                </c:pt>
              </c:numCache>
            </c:numRef>
          </c:xVal>
          <c:yVal>
            <c:numRef>
              <c:f>'Curva de abrams'!$F$6:$F$11</c:f>
              <c:numCache>
                <c:formatCode>0.0</c:formatCode>
                <c:ptCount val="6"/>
                <c:pt idx="0">
                  <c:v>34</c:v>
                </c:pt>
                <c:pt idx="1">
                  <c:v>42.3</c:v>
                </c:pt>
                <c:pt idx="2">
                  <c:v>46.9</c:v>
                </c:pt>
                <c:pt idx="3">
                  <c:v>55.3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42-4998-A881-A982D8612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26096"/>
        <c:axId val="15342011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4"/>
                <c:tx>
                  <c:strRef>
                    <c:extLst>
                      <c:ext uri="{02D57815-91ED-43cb-92C2-25804820EDAC}">
                        <c15:formulaRef>
                          <c15:sqref>'Curva de abrams'!$C$6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'Curva de abrams'!$D$6:$D$11</c15:sqref>
                        </c15:formulaRef>
                      </c:ext>
                    </c:extLst>
                    <c:numCache>
                      <c:formatCode>0.000</c:formatCode>
                      <c:ptCount val="6"/>
                      <c:pt idx="0">
                        <c:v>0.6</c:v>
                      </c:pt>
                      <c:pt idx="1">
                        <c:v>0.55000000000000004</c:v>
                      </c:pt>
                      <c:pt idx="2">
                        <c:v>0.51</c:v>
                      </c:pt>
                      <c:pt idx="3">
                        <c:v>0.45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'Curva de abrams'!$F$6:$F$11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34</c:v>
                      </c:pt>
                      <c:pt idx="1">
                        <c:v>42.3</c:v>
                      </c:pt>
                      <c:pt idx="2">
                        <c:v>46.9</c:v>
                      </c:pt>
                      <c:pt idx="3">
                        <c:v>55.3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C042-4998-A881-A982D86123E9}"/>
                  </c:ext>
                </c:extLst>
              </c15:ser>
            </c15:filteredScatterSeries>
            <c15:filteredScatterSeries>
              <c15:ser>
                <c:idx val="3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abrams'!$C$6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abrams'!$D$6:$D$11</c15:sqref>
                        </c15:formulaRef>
                      </c:ext>
                    </c:extLst>
                    <c:numCache>
                      <c:formatCode>0.000</c:formatCode>
                      <c:ptCount val="6"/>
                      <c:pt idx="0">
                        <c:v>0.6</c:v>
                      </c:pt>
                      <c:pt idx="1">
                        <c:v>0.55000000000000004</c:v>
                      </c:pt>
                      <c:pt idx="2">
                        <c:v>0.51</c:v>
                      </c:pt>
                      <c:pt idx="3">
                        <c:v>0.45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abrams'!$F$6:$F$11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34</c:v>
                      </c:pt>
                      <c:pt idx="1">
                        <c:v>42.3</c:v>
                      </c:pt>
                      <c:pt idx="2">
                        <c:v>46.9</c:v>
                      </c:pt>
                      <c:pt idx="3">
                        <c:v>55.3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042-4998-A881-A982D86123E9}"/>
                  </c:ext>
                </c:extLst>
              </c15:ser>
            </c15:filteredScatterSeries>
            <c15:filteredScatterSeries>
              <c15:ser>
                <c:idx val="9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abrams'!$C$6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abrams'!$D$6:$D$11</c15:sqref>
                        </c15:formulaRef>
                      </c:ext>
                    </c:extLst>
                    <c:numCache>
                      <c:formatCode>0.000</c:formatCode>
                      <c:ptCount val="6"/>
                      <c:pt idx="0">
                        <c:v>0.6</c:v>
                      </c:pt>
                      <c:pt idx="1">
                        <c:v>0.55000000000000004</c:v>
                      </c:pt>
                      <c:pt idx="2">
                        <c:v>0.51</c:v>
                      </c:pt>
                      <c:pt idx="3">
                        <c:v>0.45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abrams'!$F$6:$F$11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34</c:v>
                      </c:pt>
                      <c:pt idx="1">
                        <c:v>42.3</c:v>
                      </c:pt>
                      <c:pt idx="2">
                        <c:v>46.9</c:v>
                      </c:pt>
                      <c:pt idx="3">
                        <c:v>55.3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042-4998-A881-A982D86123E9}"/>
                  </c:ext>
                </c:extLst>
              </c15:ser>
            </c15:filteredScatterSeries>
            <c15:filteredScatterSeries>
              <c15:ser>
                <c:idx val="12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abrams'!$C$6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abrams'!$D$6:$D$11</c15:sqref>
                        </c15:formulaRef>
                      </c:ext>
                    </c:extLst>
                    <c:numCache>
                      <c:formatCode>0.000</c:formatCode>
                      <c:ptCount val="6"/>
                      <c:pt idx="0">
                        <c:v>0.6</c:v>
                      </c:pt>
                      <c:pt idx="1">
                        <c:v>0.55000000000000004</c:v>
                      </c:pt>
                      <c:pt idx="2">
                        <c:v>0.51</c:v>
                      </c:pt>
                      <c:pt idx="3">
                        <c:v>0.45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de abrams'!$F$6:$F$11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34</c:v>
                      </c:pt>
                      <c:pt idx="1">
                        <c:v>42.3</c:v>
                      </c:pt>
                      <c:pt idx="2">
                        <c:v>46.9</c:v>
                      </c:pt>
                      <c:pt idx="3">
                        <c:v>55.3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042-4998-A881-A982D86123E9}"/>
                  </c:ext>
                </c:extLst>
              </c15:ser>
            </c15:filteredScatterSeries>
          </c:ext>
        </c:extLst>
      </c:scatterChart>
      <c:valAx>
        <c:axId val="153426096"/>
        <c:scaling>
          <c:orientation val="minMax"/>
          <c:max val="0.8"/>
          <c:min val="0.35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3420112"/>
        <c:crosses val="autoZero"/>
        <c:crossBetween val="midCat"/>
        <c:majorUnit val="5.0000000000000024E-2"/>
        <c:minorUnit val="1.0000000000000005E-2"/>
      </c:valAx>
      <c:valAx>
        <c:axId val="1534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3426096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41" footer="0.31496062000000041"/>
    <c:pageSetup paperSize="9"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r>
              <a:rPr lang="pt-BR"/>
              <a:t>GRANULOMETRIA ACUMULADA</a:t>
            </a:r>
          </a:p>
        </c:rich>
      </c:tx>
      <c:layout>
        <c:manualLayout>
          <c:xMode val="edge"/>
          <c:yMode val="edge"/>
          <c:x val="0.39661924066422388"/>
          <c:y val="3.07016238354821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924629391756196E-2"/>
          <c:y val="0.11184234478298209"/>
          <c:w val="0.88426584105387562"/>
          <c:h val="0.6864049787661447"/>
        </c:manualLayout>
      </c:layout>
      <c:lineChart>
        <c:grouping val="standard"/>
        <c:varyColors val="0"/>
        <c:ser>
          <c:idx val="0"/>
          <c:order val="0"/>
          <c:tx>
            <c:strRef>
              <c:f>'Analise Granul.. - Ag Miúdo'!$G$6</c:f>
              <c:strCache>
                <c:ptCount val="1"/>
                <c:pt idx="0">
                  <c:v>Fina</c:v>
                </c:pt>
              </c:strCache>
            </c:strRef>
          </c:tx>
          <c:spPr>
            <a:ln w="12700">
              <a:solidFill>
                <a:srgbClr val="008000"/>
              </a:solidFill>
              <a:prstDash val="sysDash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Miúdo'!$G$8:$G$15</c:f>
              <c:numCache>
                <c:formatCode>0.0</c:formatCode>
                <c:ptCount val="8"/>
                <c:pt idx="0">
                  <c:v>0.4</c:v>
                </c:pt>
                <c:pt idx="1">
                  <c:v>1.1000000000000001</c:v>
                </c:pt>
                <c:pt idx="2">
                  <c:v>3.1</c:v>
                </c:pt>
                <c:pt idx="3">
                  <c:v>11.4</c:v>
                </c:pt>
                <c:pt idx="4">
                  <c:v>35.200000000000003</c:v>
                </c:pt>
                <c:pt idx="5">
                  <c:v>65.900000000000006</c:v>
                </c:pt>
                <c:pt idx="6">
                  <c:v>90.4</c:v>
                </c:pt>
                <c:pt idx="7">
                  <c:v>99.9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BC-44BB-BA05-BDF83B50E2B2}"/>
            </c:ext>
          </c:extLst>
        </c:ser>
        <c:ser>
          <c:idx val="1"/>
          <c:order val="1"/>
          <c:tx>
            <c:strRef>
              <c:f>'Analise Granul.. - Ag Miúdo'!$H$6</c:f>
              <c:strCache>
                <c:ptCount val="1"/>
                <c:pt idx="0">
                  <c:v>Média</c:v>
                </c:pt>
              </c:strCache>
            </c:strRef>
          </c:tx>
          <c:spPr>
            <a:ln w="12700">
              <a:solidFill>
                <a:srgbClr val="0000FF"/>
              </a:solidFill>
              <a:prstDash val="lgDashDotDot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Miúdo'!$H$8:$H$15</c:f>
              <c:numCache>
                <c:formatCode>0.0</c:formatCode>
                <c:ptCount val="8"/>
                <c:pt idx="0">
                  <c:v>0</c:v>
                </c:pt>
                <c:pt idx="1">
                  <c:v>2.9</c:v>
                </c:pt>
                <c:pt idx="2">
                  <c:v>19.5</c:v>
                </c:pt>
                <c:pt idx="3">
                  <c:v>33.6</c:v>
                </c:pt>
                <c:pt idx="4">
                  <c:v>51.400000000000006</c:v>
                </c:pt>
                <c:pt idx="5">
                  <c:v>74.800000000000011</c:v>
                </c:pt>
                <c:pt idx="6">
                  <c:v>89.300000000000011</c:v>
                </c:pt>
                <c:pt idx="7">
                  <c:v>100.00000000000001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BC-44BB-BA05-BDF83B50E2B2}"/>
            </c:ext>
          </c:extLst>
        </c:ser>
        <c:ser>
          <c:idx val="2"/>
          <c:order val="2"/>
          <c:tx>
            <c:strRef>
              <c:f>'Analise Granul.. - Ag Miúdo'!$I$6</c:f>
              <c:strCache>
                <c:ptCount val="1"/>
                <c:pt idx="0">
                  <c:v>Grossa</c:v>
                </c:pt>
              </c:strCache>
            </c:strRef>
          </c:tx>
          <c:spPr>
            <a:ln w="38100">
              <a:solidFill>
                <a:srgbClr val="000000"/>
              </a:solidFill>
              <a:prstDash val="lgDashDotDot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Miúdo'!$I$8:$I$15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BC-44BB-BA05-BDF83B50E2B2}"/>
            </c:ext>
          </c:extLst>
        </c:ser>
        <c:ser>
          <c:idx val="3"/>
          <c:order val="3"/>
          <c:spPr>
            <a:ln w="38100">
              <a:solidFill>
                <a:schemeClr val="tx2"/>
              </a:solidFill>
              <a:prstDash val="solid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Miúdo'!$K$8:$K$15</c:f>
              <c:numCache>
                <c:formatCode>0.0</c:formatCode>
                <c:ptCount val="8"/>
                <c:pt idx="0">
                  <c:v>8.0000000000000016E-2</c:v>
                </c:pt>
                <c:pt idx="1">
                  <c:v>2.54</c:v>
                </c:pt>
                <c:pt idx="2">
                  <c:v>16.220000000000002</c:v>
                </c:pt>
                <c:pt idx="3">
                  <c:v>29.160000000000004</c:v>
                </c:pt>
                <c:pt idx="4">
                  <c:v>48.160000000000011</c:v>
                </c:pt>
                <c:pt idx="5">
                  <c:v>73.02000000000001</c:v>
                </c:pt>
                <c:pt idx="6">
                  <c:v>89.52000000000001</c:v>
                </c:pt>
                <c:pt idx="7">
                  <c:v>99.980000000000018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BC-44BB-BA05-BDF83B50E2B2}"/>
            </c:ext>
          </c:extLst>
        </c:ser>
        <c:ser>
          <c:idx val="4"/>
          <c:order val="4"/>
          <c:tx>
            <c:v>Acum. Superior</c:v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Miúdo'!$L$8:$L$15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35</c:v>
                </c:pt>
                <c:pt idx="5">
                  <c:v>65</c:v>
                </c:pt>
                <c:pt idx="6">
                  <c:v>90</c:v>
                </c:pt>
                <c:pt idx="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BC-44BB-BA05-BDF83B50E2B2}"/>
            </c:ext>
          </c:extLst>
        </c:ser>
        <c:ser>
          <c:idx val="5"/>
          <c:order val="5"/>
          <c:tx>
            <c:v>Acum Inferior</c:v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Miúdo'!$M$8:$M$15</c:f>
              <c:numCache>
                <c:formatCode>0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75</c:v>
                </c:pt>
                <c:pt idx="5">
                  <c:v>90</c:v>
                </c:pt>
                <c:pt idx="6">
                  <c:v>98</c:v>
                </c:pt>
                <c:pt idx="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BC-44BB-BA05-BDF83B50E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83130976"/>
        <c:axId val="-1983133696"/>
      </c:lineChart>
      <c:catAx>
        <c:axId val="-1983130976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MS Sans Serif"/>
                    <a:ea typeface="MS Sans Serif"/>
                    <a:cs typeface="MS Sans Serif"/>
                  </a:defRPr>
                </a:pPr>
                <a:r>
                  <a:rPr lang="pt-BR"/>
                  <a:t>No. das peneiras</a:t>
                </a:r>
              </a:p>
            </c:rich>
          </c:tx>
          <c:layout>
            <c:manualLayout>
              <c:xMode val="edge"/>
              <c:yMode val="edge"/>
              <c:x val="0.44343325277409629"/>
              <c:y val="0.866229875111764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endParaRPr lang="pt-BR"/>
          </a:p>
        </c:txPr>
        <c:crossAx val="-1983133696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-1983133696"/>
        <c:scaling>
          <c:orientation val="maxMin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wordArtVert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MS Sans Serif"/>
                    <a:ea typeface="MS Sans Serif"/>
                    <a:cs typeface="MS Sans Serif"/>
                  </a:defRPr>
                </a:pPr>
                <a:r>
                  <a:rPr lang="pt-BR"/>
                  <a:t>% acumulada</a:t>
                </a:r>
              </a:p>
            </c:rich>
          </c:tx>
          <c:layout>
            <c:manualLayout>
              <c:xMode val="edge"/>
              <c:yMode val="edge"/>
              <c:x val="6.5019100335230373E-3"/>
              <c:y val="0.2456143751261861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endParaRPr lang="pt-BR"/>
          </a:p>
        </c:txPr>
        <c:crossAx val="-1983130976"/>
        <c:crosses val="max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6624178165848081E-2"/>
          <c:y val="0.12087912087912088"/>
          <c:w val="0.15796172136898728"/>
          <c:h val="0.38974358974358975"/>
        </c:manualLayout>
      </c:layout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MS Sans Serif"/>
              <a:ea typeface="MS Sans Serif"/>
              <a:cs typeface="MS Sans Serif"/>
            </a:defRPr>
          </a:pPr>
          <a:endParaRPr lang="pt-BR"/>
        </a:p>
      </c:txPr>
    </c:legend>
    <c:plotVisOnly val="0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MS Sans Serif"/>
          <a:ea typeface="MS Sans Serif"/>
          <a:cs typeface="MS Sans Serif"/>
        </a:defRPr>
      </a:pPr>
      <a:endParaRPr lang="pt-BR"/>
    </a:p>
  </c:txPr>
  <c:printSettings>
    <c:headerFooter alignWithMargins="0">
      <c:oddHeader>&amp;F</c:oddHeader>
      <c:oddFooter>Page &amp;P</c:oddFooter>
    </c:headerFooter>
    <c:pageMargins b="0.98425196899999978" l="0.78740157499999996" r="0.78740157499999996" t="0.98425196899999978" header="0.5" footer="0.5"/>
    <c:pageSetup orientation="landscape" horizontalDpi="360" verticalDpi="36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r>
              <a:rPr lang="pt-BR"/>
              <a:t>GRANULOMETRIA RETIDA</a:t>
            </a:r>
          </a:p>
        </c:rich>
      </c:tx>
      <c:layout>
        <c:manualLayout>
          <c:xMode val="edge"/>
          <c:yMode val="edge"/>
          <c:x val="0.40129075890053623"/>
          <c:y val="1.14416475972540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7419403616055704E-2"/>
          <c:y val="0.10526315789473686"/>
          <c:w val="0.87612958425503062"/>
          <c:h val="0.78260869565217428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8000"/>
              </a:solidFill>
              <a:prstDash val="sysDash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Miúdo'!$D$8:$D$15</c:f>
              <c:numCache>
                <c:formatCode>0.0</c:formatCode>
                <c:ptCount val="8"/>
                <c:pt idx="0">
                  <c:v>0.4</c:v>
                </c:pt>
                <c:pt idx="1">
                  <c:v>0.7</c:v>
                </c:pt>
                <c:pt idx="2">
                  <c:v>2</c:v>
                </c:pt>
                <c:pt idx="3">
                  <c:v>8.3000000000000007</c:v>
                </c:pt>
                <c:pt idx="4">
                  <c:v>23.8</c:v>
                </c:pt>
                <c:pt idx="5">
                  <c:v>30.7</c:v>
                </c:pt>
                <c:pt idx="6">
                  <c:v>24.5</c:v>
                </c:pt>
                <c:pt idx="7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91-40B9-9DAD-B6C5BB6B2DF3}"/>
            </c:ext>
          </c:extLst>
        </c:ser>
        <c:ser>
          <c:idx val="1"/>
          <c:order val="1"/>
          <c:spPr>
            <a:ln w="25400">
              <a:solidFill>
                <a:srgbClr val="0000FF"/>
              </a:solidFill>
              <a:prstDash val="lgDashDot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Miúdo'!$E$8:$E$15</c:f>
              <c:numCache>
                <c:formatCode>0.0</c:formatCode>
                <c:ptCount val="8"/>
                <c:pt idx="0">
                  <c:v>0</c:v>
                </c:pt>
                <c:pt idx="1">
                  <c:v>2.9</c:v>
                </c:pt>
                <c:pt idx="2">
                  <c:v>16.600000000000001</c:v>
                </c:pt>
                <c:pt idx="3">
                  <c:v>14.1</c:v>
                </c:pt>
                <c:pt idx="4">
                  <c:v>17.8</c:v>
                </c:pt>
                <c:pt idx="5">
                  <c:v>23.4</c:v>
                </c:pt>
                <c:pt idx="6">
                  <c:v>14.5</c:v>
                </c:pt>
                <c:pt idx="7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91-40B9-9DAD-B6C5BB6B2DF3}"/>
            </c:ext>
          </c:extLst>
        </c:ser>
        <c:ser>
          <c:idx val="2"/>
          <c:order val="2"/>
          <c:spPr>
            <a:ln w="38100">
              <a:solidFill>
                <a:srgbClr val="000000"/>
              </a:solidFill>
              <a:prstDash val="lgDashDotDot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Miúdo'!$F$8:$F$15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91-40B9-9DAD-B6C5BB6B2DF3}"/>
            </c:ext>
          </c:extLst>
        </c:ser>
        <c:ser>
          <c:idx val="3"/>
          <c:order val="3"/>
          <c:spPr>
            <a:ln w="38100">
              <a:solidFill>
                <a:srgbClr val="002060"/>
              </a:solidFill>
              <a:prstDash val="solid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Miúdo'!$J$8:$J$15</c:f>
              <c:numCache>
                <c:formatCode>0.0</c:formatCode>
                <c:ptCount val="8"/>
                <c:pt idx="0">
                  <c:v>8.0000000000000016E-2</c:v>
                </c:pt>
                <c:pt idx="1">
                  <c:v>2.46</c:v>
                </c:pt>
                <c:pt idx="2">
                  <c:v>13.680000000000001</c:v>
                </c:pt>
                <c:pt idx="3">
                  <c:v>12.940000000000001</c:v>
                </c:pt>
                <c:pt idx="4">
                  <c:v>19.000000000000004</c:v>
                </c:pt>
                <c:pt idx="5">
                  <c:v>24.86</c:v>
                </c:pt>
                <c:pt idx="6">
                  <c:v>16.5</c:v>
                </c:pt>
                <c:pt idx="7">
                  <c:v>10.46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91-40B9-9DAD-B6C5BB6B2DF3}"/>
            </c:ext>
          </c:extLst>
        </c:ser>
        <c:ser>
          <c:idx val="4"/>
          <c:order val="4"/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Miúdo'!$N$8:$N$15</c:f>
              <c:numCache>
                <c:formatCode>0</c:formatCode>
                <c:ptCount val="8"/>
                <c:pt idx="0">
                  <c:v>0</c:v>
                </c:pt>
                <c:pt idx="1">
                  <c:v>5</c:v>
                </c:pt>
                <c:pt idx="2">
                  <c:v>22</c:v>
                </c:pt>
                <c:pt idx="3">
                  <c:v>32</c:v>
                </c:pt>
                <c:pt idx="4">
                  <c:v>33</c:v>
                </c:pt>
                <c:pt idx="5">
                  <c:v>32</c:v>
                </c:pt>
                <c:pt idx="6">
                  <c:v>24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91-40B9-9DAD-B6C5BB6B2DF3}"/>
            </c:ext>
          </c:extLst>
        </c:ser>
        <c:ser>
          <c:idx val="5"/>
          <c:order val="5"/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strRef>
              <c:f>'Analise Granul.. - Ag Miúdo'!$B$8:$B$15</c:f>
              <c:strCache>
                <c:ptCount val="8"/>
                <c:pt idx="0">
                  <c:v>1/4"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Fundo</c:v>
                </c:pt>
              </c:strCache>
            </c:strRef>
          </c:cat>
          <c:val>
            <c:numRef>
              <c:f>'Analise Granul.. - Ag Miúdo'!$P$8:$P$15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9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91-40B9-9DAD-B6C5BB6B2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83127168"/>
        <c:axId val="-1983130432"/>
      </c:lineChart>
      <c:catAx>
        <c:axId val="-1983127168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MS Sans Serif"/>
                    <a:ea typeface="MS Sans Serif"/>
                    <a:cs typeface="MS Sans Serif"/>
                  </a:defRPr>
                </a:pPr>
                <a:r>
                  <a:rPr lang="pt-BR"/>
                  <a:t>No. das peneiras</a:t>
                </a:r>
              </a:p>
            </c:rich>
          </c:tx>
          <c:layout>
            <c:manualLayout>
              <c:xMode val="edge"/>
              <c:yMode val="edge"/>
              <c:x val="0.43612926911743394"/>
              <c:y val="0.938215102974828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endParaRPr lang="pt-BR"/>
          </a:p>
        </c:txPr>
        <c:crossAx val="-198313043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983130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wordArtVert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MS Sans Serif"/>
                    <a:ea typeface="MS Sans Serif"/>
                    <a:cs typeface="MS Sans Serif"/>
                  </a:defRPr>
                </a:pPr>
                <a:r>
                  <a:rPr lang="pt-BR"/>
                  <a:t>% retida</a:t>
                </a:r>
              </a:p>
            </c:rich>
          </c:tx>
          <c:layout>
            <c:manualLayout>
              <c:xMode val="edge"/>
              <c:yMode val="edge"/>
              <c:x val="6.4516045923707389E-3"/>
              <c:y val="0.3295194508009153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endParaRPr lang="pt-BR"/>
          </a:p>
        </c:txPr>
        <c:crossAx val="-1983127168"/>
        <c:crosses val="max"/>
        <c:crossBetween val="midCat"/>
        <c:majorUnit val="10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904139896623348"/>
          <c:y val="0.14645308924485126"/>
          <c:w val="0.1464648084633593"/>
          <c:h val="0.35926773455377581"/>
        </c:manualLayout>
      </c:layout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MS Sans Serif"/>
              <a:ea typeface="MS Sans Serif"/>
              <a:cs typeface="MS Sans Serif"/>
            </a:defRPr>
          </a:pPr>
          <a:endParaRPr lang="pt-BR"/>
        </a:p>
      </c:txPr>
    </c:legend>
    <c:plotVisOnly val="0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MS Sans Serif"/>
          <a:ea typeface="MS Sans Serif"/>
          <a:cs typeface="MS Sans Serif"/>
        </a:defRPr>
      </a:pPr>
      <a:endParaRPr lang="pt-BR"/>
    </a:p>
  </c:txPr>
  <c:printSettings>
    <c:headerFooter alignWithMargins="0">
      <c:oddHeader>&amp;F</c:oddHeader>
      <c:oddFooter>Page &amp;P</c:oddFooter>
    </c:headerFooter>
    <c:pageMargins b="0.98425196899999978" l="0.78740157499999996" r="0.78740157499999996" t="0.98425196899999978" header="0.5" footer="0.5"/>
    <c:pageSetup paperSize="9" orientation="portrait" horizontalDpi="360" verticalDpi="36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GRANULOMETRIA </a:t>
            </a:r>
          </a:p>
        </c:rich>
      </c:tx>
      <c:layout>
        <c:manualLayout>
          <c:xMode val="edge"/>
          <c:yMode val="edge"/>
          <c:x val="0.40671169123993728"/>
          <c:y val="1.21703853955375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2483268982847224E-2"/>
          <c:y val="7.9107583421399022E-2"/>
          <c:w val="0.91275227608029841"/>
          <c:h val="0.797161032938713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'Pedra 0+1'!$B$8</c:f>
              <c:strCache>
                <c:ptCount val="1"/>
                <c:pt idx="0">
                  <c:v>Pedra 0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noFill/>
              <a:ln w="9525">
                <a:noFill/>
              </a:ln>
            </c:spPr>
          </c:marker>
          <c:xVal>
            <c:numRef>
              <c:f>'[2]Pedra 0+1 riomix'!$D$1:$M$1</c:f>
              <c:numCache>
                <c:formatCode>General</c:formatCode>
                <c:ptCount val="10"/>
                <c:pt idx="0">
                  <c:v>4.9848931076097918</c:v>
                </c:pt>
                <c:pt idx="1">
                  <c:v>4.7369655941662066</c:v>
                </c:pt>
                <c:pt idx="2">
                  <c:v>4.3808217839409309</c:v>
                </c:pt>
                <c:pt idx="3">
                  <c:v>3.9848931076097918</c:v>
                </c:pt>
                <c:pt idx="4">
                  <c:v>3.4037221860510094</c:v>
                </c:pt>
                <c:pt idx="5">
                  <c:v>2.9848931076097918</c:v>
                </c:pt>
                <c:pt idx="6">
                  <c:v>2.3923174227787602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xVal>
          <c:yVal>
            <c:numRef>
              <c:f>'Pedra 0+1'!$D$8:$M$8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63</c:v>
                </c:pt>
                <c:pt idx="7">
                  <c:v>88</c:v>
                </c:pt>
                <c:pt idx="8">
                  <c:v>95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DF-42E4-9E3B-C16F981AA252}"/>
            </c:ext>
          </c:extLst>
        </c:ser>
        <c:ser>
          <c:idx val="1"/>
          <c:order val="1"/>
          <c:tx>
            <c:strRef>
              <c:f>'Pedra 0+1'!$B$9</c:f>
              <c:strCache>
                <c:ptCount val="1"/>
                <c:pt idx="0">
                  <c:v>Pedra 1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'[2]Pedra 0+1 riomix'!$D$1:$M$1</c:f>
              <c:numCache>
                <c:formatCode>General</c:formatCode>
                <c:ptCount val="10"/>
                <c:pt idx="0">
                  <c:v>4.9848931076097918</c:v>
                </c:pt>
                <c:pt idx="1">
                  <c:v>4.7369655941662066</c:v>
                </c:pt>
                <c:pt idx="2">
                  <c:v>4.3808217839409309</c:v>
                </c:pt>
                <c:pt idx="3">
                  <c:v>3.9848931076097918</c:v>
                </c:pt>
                <c:pt idx="4">
                  <c:v>3.4037221860510094</c:v>
                </c:pt>
                <c:pt idx="5">
                  <c:v>2.9848931076097918</c:v>
                </c:pt>
                <c:pt idx="6">
                  <c:v>2.3923174227787602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xVal>
          <c:yVal>
            <c:numRef>
              <c:f>'Pedra 0+1'!$D$9:$M$9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69</c:v>
                </c:pt>
                <c:pt idx="5">
                  <c:v>91</c:v>
                </c:pt>
                <c:pt idx="6">
                  <c:v>99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DF-42E4-9E3B-C16F981AA252}"/>
            </c:ext>
          </c:extLst>
        </c:ser>
        <c:ser>
          <c:idx val="5"/>
          <c:order val="2"/>
          <c:tx>
            <c:strRef>
              <c:f>'Pedra 0+1'!$B$10</c:f>
              <c:strCache>
                <c:ptCount val="1"/>
                <c:pt idx="0">
                  <c:v>Pedra 2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'[2]Pedra 0+1 riomix'!$D$1:$M$1</c:f>
              <c:numCache>
                <c:formatCode>General</c:formatCode>
                <c:ptCount val="10"/>
                <c:pt idx="0">
                  <c:v>4.9848931076097918</c:v>
                </c:pt>
                <c:pt idx="1">
                  <c:v>4.7369655941662066</c:v>
                </c:pt>
                <c:pt idx="2">
                  <c:v>4.3808217839409309</c:v>
                </c:pt>
                <c:pt idx="3">
                  <c:v>3.9848931076097918</c:v>
                </c:pt>
                <c:pt idx="4">
                  <c:v>3.4037221860510094</c:v>
                </c:pt>
                <c:pt idx="5">
                  <c:v>2.9848931076097918</c:v>
                </c:pt>
                <c:pt idx="6">
                  <c:v>2.3923174227787602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xVal>
          <c:yVal>
            <c:numRef>
              <c:f>'Pedra 0+1'!$D$10:$M$10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DF-42E4-9E3B-C16F981AA252}"/>
            </c:ext>
          </c:extLst>
        </c:ser>
        <c:ser>
          <c:idx val="2"/>
          <c:order val="3"/>
          <c:tx>
            <c:strRef>
              <c:f>'Pedra 0+1'!$B$11</c:f>
              <c:strCache>
                <c:ptCount val="1"/>
                <c:pt idx="0">
                  <c:v>Mista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'[2]Pedra 0+1 riomix'!$D$1:$M$1</c:f>
              <c:numCache>
                <c:formatCode>General</c:formatCode>
                <c:ptCount val="10"/>
                <c:pt idx="0">
                  <c:v>4.9848931076097918</c:v>
                </c:pt>
                <c:pt idx="1">
                  <c:v>4.7369655941662066</c:v>
                </c:pt>
                <c:pt idx="2">
                  <c:v>4.3808217839409309</c:v>
                </c:pt>
                <c:pt idx="3">
                  <c:v>3.9848931076097918</c:v>
                </c:pt>
                <c:pt idx="4">
                  <c:v>3.4037221860510094</c:v>
                </c:pt>
                <c:pt idx="5">
                  <c:v>2.9848931076097918</c:v>
                </c:pt>
                <c:pt idx="6">
                  <c:v>2.3923174227787602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xVal>
          <c:yVal>
            <c:numRef>
              <c:f>'Pedra 0+1'!$D$11:$M$11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2.0999999999999996</c:v>
                </c:pt>
                <c:pt idx="4">
                  <c:v>48.3</c:v>
                </c:pt>
                <c:pt idx="5">
                  <c:v>65.5</c:v>
                </c:pt>
                <c:pt idx="6">
                  <c:v>88.199999999999989</c:v>
                </c:pt>
                <c:pt idx="7">
                  <c:v>96.4</c:v>
                </c:pt>
                <c:pt idx="8">
                  <c:v>98.5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DF-42E4-9E3B-C16F981AA252}"/>
            </c:ext>
          </c:extLst>
        </c:ser>
        <c:ser>
          <c:idx val="3"/>
          <c:order val="4"/>
          <c:tx>
            <c:v>Faixa ideal</c:v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'[2]Pedra 0+1 riomix'!$D$1:$M$1</c:f>
              <c:numCache>
                <c:formatCode>General</c:formatCode>
                <c:ptCount val="10"/>
                <c:pt idx="0">
                  <c:v>4.9848931076097918</c:v>
                </c:pt>
                <c:pt idx="1">
                  <c:v>4.7369655941662066</c:v>
                </c:pt>
                <c:pt idx="2">
                  <c:v>4.3808217839409309</c:v>
                </c:pt>
                <c:pt idx="3">
                  <c:v>3.9848931076097918</c:v>
                </c:pt>
                <c:pt idx="4">
                  <c:v>3.4037221860510094</c:v>
                </c:pt>
                <c:pt idx="5">
                  <c:v>2.9848931076097918</c:v>
                </c:pt>
                <c:pt idx="6">
                  <c:v>2.3923174227787602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xVal>
          <c:yVal>
            <c:numRef>
              <c:f>'Pedra 0+1'!$E$12:$M$12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45</c:v>
                </c:pt>
                <c:pt idx="6">
                  <c:v>72.8557129685272</c:v>
                </c:pt>
                <c:pt idx="7" formatCode="General">
                  <c:v>90</c:v>
                </c:pt>
                <c:pt idx="8" formatCode="General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DF-42E4-9E3B-C16F981AA252}"/>
            </c:ext>
          </c:extLst>
        </c:ser>
        <c:ser>
          <c:idx val="4"/>
          <c:order val="5"/>
          <c:tx>
            <c:strRef>
              <c:f>'Pedra 0+1'!$B$13</c:f>
              <c:strCache>
                <c:ptCount val="1"/>
                <c:pt idx="0">
                  <c:v>Faixa  inferior</c:v>
                </c:pt>
              </c:strCache>
            </c:strRef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'[2]Pedra 0+1 riomix'!$D$1:$M$1</c:f>
              <c:numCache>
                <c:formatCode>General</c:formatCode>
                <c:ptCount val="10"/>
                <c:pt idx="0">
                  <c:v>4.9848931076097918</c:v>
                </c:pt>
                <c:pt idx="1">
                  <c:v>4.7369655941662066</c:v>
                </c:pt>
                <c:pt idx="2">
                  <c:v>4.3808217839409309</c:v>
                </c:pt>
                <c:pt idx="3">
                  <c:v>3.9848931076097918</c:v>
                </c:pt>
                <c:pt idx="4">
                  <c:v>3.4037221860510094</c:v>
                </c:pt>
                <c:pt idx="5">
                  <c:v>2.9848931076097918</c:v>
                </c:pt>
                <c:pt idx="6">
                  <c:v>2.3923174227787602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xVal>
          <c:yVal>
            <c:numRef>
              <c:f>'Pedra 0+1'!$E$13:$M$13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45</c:v>
                </c:pt>
                <c:pt idx="5">
                  <c:v>80</c:v>
                </c:pt>
                <c:pt idx="6">
                  <c:v>92.380316874900984</c:v>
                </c:pt>
                <c:pt idx="7" formatCode="General">
                  <c:v>100</c:v>
                </c:pt>
                <c:pt idx="8" formatCode="General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DF-42E4-9E3B-C16F981AA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3134240"/>
        <c:axId val="-1983133152"/>
      </c:scatterChart>
      <c:valAx>
        <c:axId val="-1983134240"/>
        <c:scaling>
          <c:orientation val="minMax"/>
          <c:max val="5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 ( mm )</a:t>
                </a:r>
              </a:p>
            </c:rich>
          </c:tx>
          <c:layout>
            <c:manualLayout>
              <c:xMode val="edge"/>
              <c:yMode val="edge"/>
              <c:x val="0.34362444291778965"/>
              <c:y val="0.945234117540581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-1983133152"/>
        <c:crossesAt val="100"/>
        <c:crossBetween val="midCat"/>
        <c:majorUnit val="1"/>
      </c:valAx>
      <c:valAx>
        <c:axId val="-1983133152"/>
        <c:scaling>
          <c:orientation val="maxMin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wordArtVert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% ACUMULADA</a:t>
                </a:r>
              </a:p>
            </c:rich>
          </c:tx>
          <c:layout>
            <c:manualLayout>
              <c:xMode val="edge"/>
              <c:yMode val="edge"/>
              <c:x val="6.7114093959731542E-3"/>
              <c:y val="0.3164302332391006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-1983134240"/>
        <c:crosses val="autoZero"/>
        <c:crossBetween val="midCat"/>
      </c:valAx>
      <c:spPr>
        <a:solidFill>
          <a:srgbClr val="E3E3E3"/>
        </a:solidFill>
        <a:ln w="25400">
          <a:solidFill>
            <a:srgbClr val="000000"/>
          </a:solidFill>
          <a:prstDash val="solid"/>
        </a:ln>
      </c:spPr>
    </c:plotArea>
    <c:legend>
      <c:legendPos val="r"/>
      <c:legendEntry>
        <c:idx val="5"/>
        <c:delete val="1"/>
      </c:legendEntry>
      <c:layout>
        <c:manualLayout>
          <c:xMode val="edge"/>
          <c:yMode val="edge"/>
          <c:x val="7.2895757918735982E-2"/>
          <c:y val="8.8049417551619602E-2"/>
          <c:w val="0.18255047649245187"/>
          <c:h val="0.28803266731617977"/>
        </c:manualLayout>
      </c:layout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 horizontalDpi="1200" verticalDpi="1200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 - Concreto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7777001424309992E-2"/>
          <c:y val="0.11118678453270024"/>
          <c:w val="0.84868685782877817"/>
          <c:h val="0.70375725761552532"/>
        </c:manualLayout>
      </c:layout>
      <c:lineChart>
        <c:grouping val="standard"/>
        <c:varyColors val="0"/>
        <c:ser>
          <c:idx val="0"/>
          <c:order val="0"/>
          <c:tx>
            <c:strRef>
              <c:f>'Analise Combinação de materiais'!$Q$3</c:f>
              <c:strCache>
                <c:ptCount val="1"/>
                <c:pt idx="0">
                  <c:v>Curva  retida acumulada - Concreto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rgbClr val="C00000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numRef>
              <c:f>'Analise Combinação de materiais'!$C$11:$C$22</c:f>
              <c:numCache>
                <c:formatCode>General</c:formatCode>
                <c:ptCount val="12"/>
                <c:pt idx="0">
                  <c:v>25</c:v>
                </c:pt>
                <c:pt idx="1">
                  <c:v>19</c:v>
                </c:pt>
                <c:pt idx="2">
                  <c:v>12.5</c:v>
                </c:pt>
                <c:pt idx="3">
                  <c:v>9.5</c:v>
                </c:pt>
                <c:pt idx="4">
                  <c:v>6.3</c:v>
                </c:pt>
                <c:pt idx="5">
                  <c:v>4.8</c:v>
                </c:pt>
                <c:pt idx="6">
                  <c:v>2.4</c:v>
                </c:pt>
                <c:pt idx="7">
                  <c:v>1.2</c:v>
                </c:pt>
                <c:pt idx="8">
                  <c:v>0.6</c:v>
                </c:pt>
                <c:pt idx="9">
                  <c:v>0.3</c:v>
                </c:pt>
                <c:pt idx="10">
                  <c:v>0.15</c:v>
                </c:pt>
                <c:pt idx="11">
                  <c:v>7.4999999999999997E-2</c:v>
                </c:pt>
              </c:numCache>
            </c:numRef>
          </c:cat>
          <c:val>
            <c:numRef>
              <c:f>'Analise Combinação de materiais'!$S$11:$S$22</c:f>
              <c:numCache>
                <c:formatCode>0</c:formatCode>
                <c:ptCount val="12"/>
                <c:pt idx="0">
                  <c:v>100</c:v>
                </c:pt>
                <c:pt idx="1">
                  <c:v>98.928883337390872</c:v>
                </c:pt>
                <c:pt idx="2">
                  <c:v>75.364316759990174</c:v>
                </c:pt>
                <c:pt idx="3">
                  <c:v>66.591361237667854</c:v>
                </c:pt>
                <c:pt idx="4">
                  <c:v>55.013100170416863</c:v>
                </c:pt>
                <c:pt idx="5">
                  <c:v>49.9768948325233</c:v>
                </c:pt>
                <c:pt idx="6">
                  <c:v>44.307629650573119</c:v>
                </c:pt>
                <c:pt idx="7">
                  <c:v>39.193128056960148</c:v>
                </c:pt>
                <c:pt idx="8">
                  <c:v>32.806810668986458</c:v>
                </c:pt>
                <c:pt idx="9">
                  <c:v>24.450818549774553</c:v>
                </c:pt>
                <c:pt idx="10">
                  <c:v>18.904806081271076</c:v>
                </c:pt>
                <c:pt idx="11">
                  <c:v>15.299819140920079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4E-4264-8294-A60E243A9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83128256"/>
        <c:axId val="-1983129888"/>
      </c:lineChart>
      <c:catAx>
        <c:axId val="-1983128256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Peneiras (mm)</a:t>
                </a:r>
              </a:p>
            </c:rich>
          </c:tx>
          <c:layout>
            <c:manualLayout>
              <c:xMode val="edge"/>
              <c:yMode val="edge"/>
              <c:x val="0.47640930549210359"/>
              <c:y val="0.866649486995943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83129888"/>
        <c:crosses val="autoZero"/>
        <c:auto val="1"/>
        <c:lblAlgn val="ctr"/>
        <c:lblOffset val="100"/>
        <c:noMultiLvlLbl val="0"/>
      </c:catAx>
      <c:valAx>
        <c:axId val="-1983129888"/>
        <c:scaling>
          <c:orientation val="minMax"/>
          <c:max val="100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Retida acumulada (%)</a:t>
                </a:r>
              </a:p>
            </c:rich>
          </c:tx>
          <c:layout>
            <c:manualLayout>
              <c:xMode val="edge"/>
              <c:yMode val="edge"/>
              <c:x val="4.9751738779131492E-2"/>
              <c:y val="0.232738467013657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83128256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r"/>
      <c:layout>
        <c:manualLayout>
          <c:xMode val="edge"/>
          <c:yMode val="edge"/>
          <c:x val="0.62374244175109506"/>
          <c:y val="0.51909424958243855"/>
          <c:w val="0.27965335319000617"/>
          <c:h val="0.16649850972018329"/>
        </c:manualLayout>
      </c:layout>
      <c:overlay val="0"/>
      <c:spPr>
        <a:noFill/>
        <a:ln>
          <a:solidFill>
            <a:schemeClr val="bg1">
              <a:lumMod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0</xdr:row>
      <xdr:rowOff>133350</xdr:rowOff>
    </xdr:from>
    <xdr:to>
      <xdr:col>5</xdr:col>
      <xdr:colOff>266700</xdr:colOff>
      <xdr:row>1</xdr:row>
      <xdr:rowOff>0</xdr:rowOff>
    </xdr:to>
    <xdr:sp macro="" textlink="">
      <xdr:nvSpPr>
        <xdr:cNvPr id="2" name="Rectangl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524250" y="133350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400050</xdr:colOff>
      <xdr:row>97</xdr:row>
      <xdr:rowOff>28575</xdr:rowOff>
    </xdr:from>
    <xdr:to>
      <xdr:col>10</xdr:col>
      <xdr:colOff>400050</xdr:colOff>
      <xdr:row>100</xdr:row>
      <xdr:rowOff>9525</xdr:rowOff>
    </xdr:to>
    <xdr:sp macro="" textlink="">
      <xdr:nvSpPr>
        <xdr:cNvPr id="3" name="Line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7486650" y="20669250"/>
          <a:ext cx="0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238125</xdr:colOff>
      <xdr:row>0</xdr:row>
      <xdr:rowOff>133350</xdr:rowOff>
    </xdr:from>
    <xdr:to>
      <xdr:col>5</xdr:col>
      <xdr:colOff>266700</xdr:colOff>
      <xdr:row>1</xdr:row>
      <xdr:rowOff>0</xdr:rowOff>
    </xdr:to>
    <xdr:sp macro="" textlink="">
      <xdr:nvSpPr>
        <xdr:cNvPr id="4" name="Rectangle 4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524250" y="133350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266700</xdr:colOff>
      <xdr:row>1</xdr:row>
      <xdr:rowOff>0</xdr:rowOff>
    </xdr:from>
    <xdr:to>
      <xdr:col>12</xdr:col>
      <xdr:colOff>409575</xdr:colOff>
      <xdr:row>1</xdr:row>
      <xdr:rowOff>28575</xdr:rowOff>
    </xdr:to>
    <xdr:sp macro="" textlink="">
      <xdr:nvSpPr>
        <xdr:cNvPr id="5" name="Rectangle 4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3552825" y="200025"/>
          <a:ext cx="52863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400050</xdr:colOff>
      <xdr:row>97</xdr:row>
      <xdr:rowOff>28575</xdr:rowOff>
    </xdr:from>
    <xdr:to>
      <xdr:col>10</xdr:col>
      <xdr:colOff>400050</xdr:colOff>
      <xdr:row>100</xdr:row>
      <xdr:rowOff>9525</xdr:rowOff>
    </xdr:to>
    <xdr:sp macro="" textlink="">
      <xdr:nvSpPr>
        <xdr:cNvPr id="6" name="Line 4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>
          <a:off x="7486650" y="20669250"/>
          <a:ext cx="0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238125</xdr:colOff>
      <xdr:row>0</xdr:row>
      <xdr:rowOff>133350</xdr:rowOff>
    </xdr:from>
    <xdr:to>
      <xdr:col>5</xdr:col>
      <xdr:colOff>266700</xdr:colOff>
      <xdr:row>1</xdr:row>
      <xdr:rowOff>0</xdr:rowOff>
    </xdr:to>
    <xdr:sp macro="" textlink="">
      <xdr:nvSpPr>
        <xdr:cNvPr id="7" name="Rectangle 7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3524250" y="133350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266700</xdr:colOff>
      <xdr:row>1</xdr:row>
      <xdr:rowOff>0</xdr:rowOff>
    </xdr:from>
    <xdr:to>
      <xdr:col>12</xdr:col>
      <xdr:colOff>409575</xdr:colOff>
      <xdr:row>1</xdr:row>
      <xdr:rowOff>28575</xdr:rowOff>
    </xdr:to>
    <xdr:sp macro="" textlink="">
      <xdr:nvSpPr>
        <xdr:cNvPr id="8" name="Rectangle 7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3552825" y="200025"/>
          <a:ext cx="52863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400050</xdr:colOff>
      <xdr:row>97</xdr:row>
      <xdr:rowOff>28575</xdr:rowOff>
    </xdr:from>
    <xdr:to>
      <xdr:col>10</xdr:col>
      <xdr:colOff>400050</xdr:colOff>
      <xdr:row>100</xdr:row>
      <xdr:rowOff>9525</xdr:rowOff>
    </xdr:to>
    <xdr:sp macro="" textlink="">
      <xdr:nvSpPr>
        <xdr:cNvPr id="9" name="Line 7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ShapeType="1"/>
        </xdr:cNvSpPr>
      </xdr:nvSpPr>
      <xdr:spPr bwMode="auto">
        <a:xfrm>
          <a:off x="7486650" y="20669250"/>
          <a:ext cx="0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0</xdr:row>
      <xdr:rowOff>133350</xdr:rowOff>
    </xdr:from>
    <xdr:to>
      <xdr:col>6</xdr:col>
      <xdr:colOff>266700</xdr:colOff>
      <xdr:row>1</xdr:row>
      <xdr:rowOff>0</xdr:rowOff>
    </xdr:to>
    <xdr:sp macro="" textlink="">
      <xdr:nvSpPr>
        <xdr:cNvPr id="2" name="Rectangle 6">
          <a:extLst>
            <a:ext uri="{FF2B5EF4-FFF2-40B4-BE49-F238E27FC236}">
              <a16:creationId xmlns:a16="http://schemas.microsoft.com/office/drawing/2014/main" id="{AC7ECACE-3961-4D91-B3F9-6C2BBB9BBA05}"/>
            </a:ext>
          </a:extLst>
        </xdr:cNvPr>
        <xdr:cNvSpPr>
          <a:spLocks noChangeArrowheads="1"/>
        </xdr:cNvSpPr>
      </xdr:nvSpPr>
      <xdr:spPr bwMode="auto">
        <a:xfrm>
          <a:off x="2133600" y="95250"/>
          <a:ext cx="28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88</xdr:row>
      <xdr:rowOff>28575</xdr:rowOff>
    </xdr:from>
    <xdr:to>
      <xdr:col>11</xdr:col>
      <xdr:colOff>400050</xdr:colOff>
      <xdr:row>91</xdr:row>
      <xdr:rowOff>9525</xdr:rowOff>
    </xdr:to>
    <xdr:sp macro="" textlink="">
      <xdr:nvSpPr>
        <xdr:cNvPr id="3" name="Line 9">
          <a:extLst>
            <a:ext uri="{FF2B5EF4-FFF2-40B4-BE49-F238E27FC236}">
              <a16:creationId xmlns:a16="http://schemas.microsoft.com/office/drawing/2014/main" id="{1FF01ABC-F9AB-40B3-9FC8-E83BE01C9D28}"/>
            </a:ext>
          </a:extLst>
        </xdr:cNvPr>
        <xdr:cNvSpPr>
          <a:spLocks noChangeShapeType="1"/>
        </xdr:cNvSpPr>
      </xdr:nvSpPr>
      <xdr:spPr bwMode="auto">
        <a:xfrm>
          <a:off x="6677025" y="20050125"/>
          <a:ext cx="0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238125</xdr:colOff>
      <xdr:row>0</xdr:row>
      <xdr:rowOff>133350</xdr:rowOff>
    </xdr:from>
    <xdr:to>
      <xdr:col>6</xdr:col>
      <xdr:colOff>266700</xdr:colOff>
      <xdr:row>1</xdr:row>
      <xdr:rowOff>0</xdr:rowOff>
    </xdr:to>
    <xdr:sp macro="" textlink="">
      <xdr:nvSpPr>
        <xdr:cNvPr id="4" name="Rectangle 41">
          <a:extLst>
            <a:ext uri="{FF2B5EF4-FFF2-40B4-BE49-F238E27FC236}">
              <a16:creationId xmlns:a16="http://schemas.microsoft.com/office/drawing/2014/main" id="{07EECF04-F2C0-4131-A7C1-5136E64822EB}"/>
            </a:ext>
          </a:extLst>
        </xdr:cNvPr>
        <xdr:cNvSpPr>
          <a:spLocks noChangeArrowheads="1"/>
        </xdr:cNvSpPr>
      </xdr:nvSpPr>
      <xdr:spPr bwMode="auto">
        <a:xfrm>
          <a:off x="2133600" y="95250"/>
          <a:ext cx="28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88</xdr:row>
      <xdr:rowOff>28575</xdr:rowOff>
    </xdr:from>
    <xdr:to>
      <xdr:col>11</xdr:col>
      <xdr:colOff>400050</xdr:colOff>
      <xdr:row>91</xdr:row>
      <xdr:rowOff>9525</xdr:rowOff>
    </xdr:to>
    <xdr:sp macro="" textlink="">
      <xdr:nvSpPr>
        <xdr:cNvPr id="5" name="Line 44">
          <a:extLst>
            <a:ext uri="{FF2B5EF4-FFF2-40B4-BE49-F238E27FC236}">
              <a16:creationId xmlns:a16="http://schemas.microsoft.com/office/drawing/2014/main" id="{A0EFC746-FF1F-400C-ABE9-6CD1C4654717}"/>
            </a:ext>
          </a:extLst>
        </xdr:cNvPr>
        <xdr:cNvSpPr>
          <a:spLocks noChangeShapeType="1"/>
        </xdr:cNvSpPr>
      </xdr:nvSpPr>
      <xdr:spPr bwMode="auto">
        <a:xfrm>
          <a:off x="6677025" y="20050125"/>
          <a:ext cx="0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238125</xdr:colOff>
      <xdr:row>0</xdr:row>
      <xdr:rowOff>133350</xdr:rowOff>
    </xdr:from>
    <xdr:to>
      <xdr:col>6</xdr:col>
      <xdr:colOff>266700</xdr:colOff>
      <xdr:row>1</xdr:row>
      <xdr:rowOff>0</xdr:rowOff>
    </xdr:to>
    <xdr:sp macro="" textlink="">
      <xdr:nvSpPr>
        <xdr:cNvPr id="6" name="Rectangle 76">
          <a:extLst>
            <a:ext uri="{FF2B5EF4-FFF2-40B4-BE49-F238E27FC236}">
              <a16:creationId xmlns:a16="http://schemas.microsoft.com/office/drawing/2014/main" id="{E1D8B747-F74B-4358-9EF2-DD077F2D32FA}"/>
            </a:ext>
          </a:extLst>
        </xdr:cNvPr>
        <xdr:cNvSpPr>
          <a:spLocks noChangeArrowheads="1"/>
        </xdr:cNvSpPr>
      </xdr:nvSpPr>
      <xdr:spPr bwMode="auto">
        <a:xfrm>
          <a:off x="2133600" y="95250"/>
          <a:ext cx="28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88</xdr:row>
      <xdr:rowOff>28575</xdr:rowOff>
    </xdr:from>
    <xdr:to>
      <xdr:col>11</xdr:col>
      <xdr:colOff>400050</xdr:colOff>
      <xdr:row>91</xdr:row>
      <xdr:rowOff>9525</xdr:rowOff>
    </xdr:to>
    <xdr:sp macro="" textlink="">
      <xdr:nvSpPr>
        <xdr:cNvPr id="7" name="Line 79">
          <a:extLst>
            <a:ext uri="{FF2B5EF4-FFF2-40B4-BE49-F238E27FC236}">
              <a16:creationId xmlns:a16="http://schemas.microsoft.com/office/drawing/2014/main" id="{80A06046-0F26-498B-A6E0-8673783E083F}"/>
            </a:ext>
          </a:extLst>
        </xdr:cNvPr>
        <xdr:cNvSpPr>
          <a:spLocks noChangeShapeType="1"/>
        </xdr:cNvSpPr>
      </xdr:nvSpPr>
      <xdr:spPr bwMode="auto">
        <a:xfrm>
          <a:off x="6677025" y="20050125"/>
          <a:ext cx="0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28014</xdr:colOff>
      <xdr:row>22</xdr:row>
      <xdr:rowOff>53629</xdr:rowOff>
    </xdr:from>
    <xdr:to>
      <xdr:col>35</xdr:col>
      <xdr:colOff>766000</xdr:colOff>
      <xdr:row>36</xdr:row>
      <xdr:rowOff>48024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5AE6BE4-7A71-4ACD-B468-03CBF4470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394608</xdr:colOff>
      <xdr:row>21</xdr:row>
      <xdr:rowOff>68035</xdr:rowOff>
    </xdr:from>
    <xdr:to>
      <xdr:col>28</xdr:col>
      <xdr:colOff>294554</xdr:colOff>
      <xdr:row>37</xdr:row>
      <xdr:rowOff>136070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DDF8F91C-D893-4396-9F2D-94B3B077B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367392</xdr:colOff>
      <xdr:row>4</xdr:row>
      <xdr:rowOff>122465</xdr:rowOff>
    </xdr:from>
    <xdr:to>
      <xdr:col>28</xdr:col>
      <xdr:colOff>469043</xdr:colOff>
      <xdr:row>19</xdr:row>
      <xdr:rowOff>67236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61FC6BF2-9395-481C-BF12-2C81D5BAE2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406611</xdr:colOff>
      <xdr:row>5</xdr:row>
      <xdr:rowOff>108858</xdr:rowOff>
    </xdr:from>
    <xdr:to>
      <xdr:col>36</xdr:col>
      <xdr:colOff>27214</xdr:colOff>
      <xdr:row>19</xdr:row>
      <xdr:rowOff>78443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7D163F50-1E57-4551-900F-0368090B5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81643</xdr:colOff>
      <xdr:row>50</xdr:row>
      <xdr:rowOff>40822</xdr:rowOff>
    </xdr:from>
    <xdr:to>
      <xdr:col>15</xdr:col>
      <xdr:colOff>870857</xdr:colOff>
      <xdr:row>55</xdr:row>
      <xdr:rowOff>231322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028DDAC-1805-4E81-BEFC-1B487EB4C8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40821</xdr:colOff>
      <xdr:row>28</xdr:row>
      <xdr:rowOff>13607</xdr:rowOff>
    </xdr:from>
    <xdr:to>
      <xdr:col>15</xdr:col>
      <xdr:colOff>898072</xdr:colOff>
      <xdr:row>43</xdr:row>
      <xdr:rowOff>217714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20D2CFBD-D164-4ACF-B5C0-D7A214442D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81642</xdr:colOff>
      <xdr:row>28</xdr:row>
      <xdr:rowOff>40823</xdr:rowOff>
    </xdr:from>
    <xdr:to>
      <xdr:col>15</xdr:col>
      <xdr:colOff>843643</xdr:colOff>
      <xdr:row>43</xdr:row>
      <xdr:rowOff>204108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7714E472-B420-425B-B0C3-4416863473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0.0067</cdr:x>
      <cdr:y>0.88676</cdr:y>
    </cdr:from>
    <cdr:to>
      <cdr:x>0.99428</cdr:x>
      <cdr:y>0.93256</cdr:y>
    </cdr:to>
    <cdr:sp macro="" textlink="">
      <cdr:nvSpPr>
        <cdr:cNvPr id="11366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4169924"/>
          <a:ext cx="7019163" cy="2189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strike="noStrike">
              <a:solidFill>
                <a:srgbClr val="000000"/>
              </a:solidFill>
              <a:latin typeface="Arial"/>
              <a:cs typeface="Arial"/>
            </a:rPr>
            <a:t>             Fundo                                        2,4                                             4,8              6,3                         9,5              12,7                         19                25             32       38                     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0</xdr:row>
      <xdr:rowOff>133350</xdr:rowOff>
    </xdr:from>
    <xdr:to>
      <xdr:col>6</xdr:col>
      <xdr:colOff>266700</xdr:colOff>
      <xdr:row>1</xdr:row>
      <xdr:rowOff>0</xdr:rowOff>
    </xdr:to>
    <xdr:sp macro="" textlink="">
      <xdr:nvSpPr>
        <xdr:cNvPr id="2" name="Rectangle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2962275" y="133350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88</xdr:row>
      <xdr:rowOff>28575</xdr:rowOff>
    </xdr:from>
    <xdr:to>
      <xdr:col>11</xdr:col>
      <xdr:colOff>400050</xdr:colOff>
      <xdr:row>91</xdr:row>
      <xdr:rowOff>9525</xdr:rowOff>
    </xdr:to>
    <xdr:sp macro="" textlink="">
      <xdr:nvSpPr>
        <xdr:cNvPr id="3" name="Line 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ShapeType="1"/>
        </xdr:cNvSpPr>
      </xdr:nvSpPr>
      <xdr:spPr bwMode="auto">
        <a:xfrm>
          <a:off x="6924675" y="20669250"/>
          <a:ext cx="0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238125</xdr:colOff>
      <xdr:row>0</xdr:row>
      <xdr:rowOff>133350</xdr:rowOff>
    </xdr:from>
    <xdr:to>
      <xdr:col>6</xdr:col>
      <xdr:colOff>266700</xdr:colOff>
      <xdr:row>1</xdr:row>
      <xdr:rowOff>0</xdr:rowOff>
    </xdr:to>
    <xdr:sp macro="" textlink="">
      <xdr:nvSpPr>
        <xdr:cNvPr id="4" name="Rectangle 4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2962275" y="133350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88</xdr:row>
      <xdr:rowOff>28575</xdr:rowOff>
    </xdr:from>
    <xdr:to>
      <xdr:col>11</xdr:col>
      <xdr:colOff>400050</xdr:colOff>
      <xdr:row>91</xdr:row>
      <xdr:rowOff>9525</xdr:rowOff>
    </xdr:to>
    <xdr:sp macro="" textlink="">
      <xdr:nvSpPr>
        <xdr:cNvPr id="6" name="Line 4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ShapeType="1"/>
        </xdr:cNvSpPr>
      </xdr:nvSpPr>
      <xdr:spPr bwMode="auto">
        <a:xfrm>
          <a:off x="6924675" y="20669250"/>
          <a:ext cx="0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238125</xdr:colOff>
      <xdr:row>0</xdr:row>
      <xdr:rowOff>133350</xdr:rowOff>
    </xdr:from>
    <xdr:to>
      <xdr:col>6</xdr:col>
      <xdr:colOff>266700</xdr:colOff>
      <xdr:row>1</xdr:row>
      <xdr:rowOff>0</xdr:rowOff>
    </xdr:to>
    <xdr:sp macro="" textlink="">
      <xdr:nvSpPr>
        <xdr:cNvPr id="7" name="Rectangle 7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962275" y="133350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88</xdr:row>
      <xdr:rowOff>28575</xdr:rowOff>
    </xdr:from>
    <xdr:to>
      <xdr:col>11</xdr:col>
      <xdr:colOff>400050</xdr:colOff>
      <xdr:row>91</xdr:row>
      <xdr:rowOff>9525</xdr:rowOff>
    </xdr:to>
    <xdr:sp macro="" textlink="">
      <xdr:nvSpPr>
        <xdr:cNvPr id="9" name="Line 7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ShapeType="1"/>
        </xdr:cNvSpPr>
      </xdr:nvSpPr>
      <xdr:spPr bwMode="auto">
        <a:xfrm>
          <a:off x="6924675" y="20669250"/>
          <a:ext cx="0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28014</xdr:colOff>
      <xdr:row>22</xdr:row>
      <xdr:rowOff>53629</xdr:rowOff>
    </xdr:from>
    <xdr:to>
      <xdr:col>35</xdr:col>
      <xdr:colOff>766000</xdr:colOff>
      <xdr:row>36</xdr:row>
      <xdr:rowOff>48024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394608</xdr:colOff>
      <xdr:row>21</xdr:row>
      <xdr:rowOff>68035</xdr:rowOff>
    </xdr:from>
    <xdr:to>
      <xdr:col>28</xdr:col>
      <xdr:colOff>294554</xdr:colOff>
      <xdr:row>37</xdr:row>
      <xdr:rowOff>136070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367392</xdr:colOff>
      <xdr:row>4</xdr:row>
      <xdr:rowOff>122465</xdr:rowOff>
    </xdr:from>
    <xdr:to>
      <xdr:col>28</xdr:col>
      <xdr:colOff>469043</xdr:colOff>
      <xdr:row>19</xdr:row>
      <xdr:rowOff>67236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406611</xdr:colOff>
      <xdr:row>5</xdr:row>
      <xdr:rowOff>108858</xdr:rowOff>
    </xdr:from>
    <xdr:to>
      <xdr:col>36</xdr:col>
      <xdr:colOff>27214</xdr:colOff>
      <xdr:row>19</xdr:row>
      <xdr:rowOff>78443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81643</xdr:colOff>
      <xdr:row>50</xdr:row>
      <xdr:rowOff>40822</xdr:rowOff>
    </xdr:from>
    <xdr:to>
      <xdr:col>15</xdr:col>
      <xdr:colOff>870857</xdr:colOff>
      <xdr:row>55</xdr:row>
      <xdr:rowOff>231322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40821</xdr:colOff>
      <xdr:row>28</xdr:row>
      <xdr:rowOff>13607</xdr:rowOff>
    </xdr:from>
    <xdr:to>
      <xdr:col>15</xdr:col>
      <xdr:colOff>898072</xdr:colOff>
      <xdr:row>43</xdr:row>
      <xdr:rowOff>217714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81642</xdr:colOff>
      <xdr:row>28</xdr:row>
      <xdr:rowOff>40823</xdr:rowOff>
    </xdr:from>
    <xdr:to>
      <xdr:col>15</xdr:col>
      <xdr:colOff>843643</xdr:colOff>
      <xdr:row>43</xdr:row>
      <xdr:rowOff>204108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0.0067</cdr:x>
      <cdr:y>0.88676</cdr:y>
    </cdr:from>
    <cdr:to>
      <cdr:x>0.99428</cdr:x>
      <cdr:y>0.93256</cdr:y>
    </cdr:to>
    <cdr:sp macro="" textlink="">
      <cdr:nvSpPr>
        <cdr:cNvPr id="11366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4169924"/>
          <a:ext cx="7019163" cy="2189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strike="noStrike">
              <a:solidFill>
                <a:srgbClr val="000000"/>
              </a:solidFill>
              <a:latin typeface="Arial"/>
              <a:cs typeface="Arial"/>
            </a:rPr>
            <a:t>             Fundo                                        2,4                                             4,8              6,3                         9,5              12,7                         19                25             32       38                     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16566</xdr:colOff>
      <xdr:row>10</xdr:row>
      <xdr:rowOff>8910</xdr:rowOff>
    </xdr:from>
    <xdr:to>
      <xdr:col>6</xdr:col>
      <xdr:colOff>919369</xdr:colOff>
      <xdr:row>20</xdr:row>
      <xdr:rowOff>190500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600075</xdr:colOff>
          <xdr:row>4</xdr:row>
          <xdr:rowOff>66675</xdr:rowOff>
        </xdr:from>
        <xdr:to>
          <xdr:col>22</xdr:col>
          <xdr:colOff>523875</xdr:colOff>
          <xdr:row>5</xdr:row>
          <xdr:rowOff>152400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2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VOLTAR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18</xdr:row>
      <xdr:rowOff>0</xdr:rowOff>
    </xdr:from>
    <xdr:to>
      <xdr:col>15</xdr:col>
      <xdr:colOff>361950</xdr:colOff>
      <xdr:row>44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314325</xdr:colOff>
      <xdr:row>44</xdr:row>
      <xdr:rowOff>47625</xdr:rowOff>
    </xdr:from>
    <xdr:to>
      <xdr:col>15</xdr:col>
      <xdr:colOff>419100</xdr:colOff>
      <xdr:row>70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78441</xdr:colOff>
      <xdr:row>4</xdr:row>
      <xdr:rowOff>100853</xdr:rowOff>
    </xdr:from>
    <xdr:to>
      <xdr:col>64</xdr:col>
      <xdr:colOff>76221</xdr:colOff>
      <xdr:row>58</xdr:row>
      <xdr:rowOff>54957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76647" y="840441"/>
          <a:ext cx="26723809" cy="857142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13</xdr:row>
      <xdr:rowOff>76200</xdr:rowOff>
    </xdr:from>
    <xdr:to>
      <xdr:col>12</xdr:col>
      <xdr:colOff>495300</xdr:colOff>
      <xdr:row>33</xdr:row>
      <xdr:rowOff>200025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0.0067</cdr:x>
      <cdr:y>0.88676</cdr:y>
    </cdr:from>
    <cdr:to>
      <cdr:x>0.99428</cdr:x>
      <cdr:y>0.93256</cdr:y>
    </cdr:to>
    <cdr:sp macro="" textlink="">
      <cdr:nvSpPr>
        <cdr:cNvPr id="11366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4169924"/>
          <a:ext cx="7019163" cy="2189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strike="noStrike">
              <a:solidFill>
                <a:srgbClr val="000000"/>
              </a:solidFill>
              <a:latin typeface="Arial"/>
              <a:cs typeface="Arial"/>
            </a:rPr>
            <a:t>             Fundo                                        2,4                                             4,8              6,3                         9,5              12,7                         19                25             32       38                     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157443</xdr:colOff>
      <xdr:row>26</xdr:row>
      <xdr:rowOff>7843</xdr:rowOff>
    </xdr:from>
    <xdr:to>
      <xdr:col>14</xdr:col>
      <xdr:colOff>392206</xdr:colOff>
      <xdr:row>45</xdr:row>
      <xdr:rowOff>33616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0</xdr:row>
      <xdr:rowOff>133350</xdr:rowOff>
    </xdr:from>
    <xdr:to>
      <xdr:col>6</xdr:col>
      <xdr:colOff>266700</xdr:colOff>
      <xdr:row>1</xdr:row>
      <xdr:rowOff>0</xdr:rowOff>
    </xdr:to>
    <xdr:sp macro="" textlink="">
      <xdr:nvSpPr>
        <xdr:cNvPr id="2" name="Rectangle 6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2695575" y="133350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97</xdr:row>
      <xdr:rowOff>28575</xdr:rowOff>
    </xdr:from>
    <xdr:to>
      <xdr:col>11</xdr:col>
      <xdr:colOff>400050</xdr:colOff>
      <xdr:row>100</xdr:row>
      <xdr:rowOff>9525</xdr:rowOff>
    </xdr:to>
    <xdr:sp macro="" textlink="">
      <xdr:nvSpPr>
        <xdr:cNvPr id="3" name="Line 9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ShapeType="1"/>
        </xdr:cNvSpPr>
      </xdr:nvSpPr>
      <xdr:spPr bwMode="auto">
        <a:xfrm>
          <a:off x="6486525" y="20659725"/>
          <a:ext cx="0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238125</xdr:colOff>
      <xdr:row>0</xdr:row>
      <xdr:rowOff>133350</xdr:rowOff>
    </xdr:from>
    <xdr:to>
      <xdr:col>6</xdr:col>
      <xdr:colOff>266700</xdr:colOff>
      <xdr:row>1</xdr:row>
      <xdr:rowOff>0</xdr:rowOff>
    </xdr:to>
    <xdr:sp macro="" textlink="">
      <xdr:nvSpPr>
        <xdr:cNvPr id="4" name="Rectangle 4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2695575" y="133350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266700</xdr:colOff>
      <xdr:row>1</xdr:row>
      <xdr:rowOff>0</xdr:rowOff>
    </xdr:from>
    <xdr:to>
      <xdr:col>13</xdr:col>
      <xdr:colOff>409575</xdr:colOff>
      <xdr:row>1</xdr:row>
      <xdr:rowOff>28575</xdr:rowOff>
    </xdr:to>
    <xdr:sp macro="" textlink="">
      <xdr:nvSpPr>
        <xdr:cNvPr id="5" name="Rectangle 42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2724150" y="200025"/>
          <a:ext cx="51149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97</xdr:row>
      <xdr:rowOff>28575</xdr:rowOff>
    </xdr:from>
    <xdr:to>
      <xdr:col>11</xdr:col>
      <xdr:colOff>400050</xdr:colOff>
      <xdr:row>100</xdr:row>
      <xdr:rowOff>9525</xdr:rowOff>
    </xdr:to>
    <xdr:sp macro="" textlink="">
      <xdr:nvSpPr>
        <xdr:cNvPr id="6" name="Line 4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ShapeType="1"/>
        </xdr:cNvSpPr>
      </xdr:nvSpPr>
      <xdr:spPr bwMode="auto">
        <a:xfrm>
          <a:off x="6486525" y="20659725"/>
          <a:ext cx="0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238125</xdr:colOff>
      <xdr:row>0</xdr:row>
      <xdr:rowOff>133350</xdr:rowOff>
    </xdr:from>
    <xdr:to>
      <xdr:col>6</xdr:col>
      <xdr:colOff>266700</xdr:colOff>
      <xdr:row>1</xdr:row>
      <xdr:rowOff>0</xdr:rowOff>
    </xdr:to>
    <xdr:sp macro="" textlink="">
      <xdr:nvSpPr>
        <xdr:cNvPr id="7" name="Rectangle 7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2695575" y="133350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266700</xdr:colOff>
      <xdr:row>1</xdr:row>
      <xdr:rowOff>0</xdr:rowOff>
    </xdr:from>
    <xdr:to>
      <xdr:col>13</xdr:col>
      <xdr:colOff>409575</xdr:colOff>
      <xdr:row>1</xdr:row>
      <xdr:rowOff>28575</xdr:rowOff>
    </xdr:to>
    <xdr:sp macro="" textlink="">
      <xdr:nvSpPr>
        <xdr:cNvPr id="8" name="Rectangle 7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2724150" y="200025"/>
          <a:ext cx="51149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97</xdr:row>
      <xdr:rowOff>28575</xdr:rowOff>
    </xdr:from>
    <xdr:to>
      <xdr:col>11</xdr:col>
      <xdr:colOff>400050</xdr:colOff>
      <xdr:row>100</xdr:row>
      <xdr:rowOff>9525</xdr:rowOff>
    </xdr:to>
    <xdr:sp macro="" textlink="">
      <xdr:nvSpPr>
        <xdr:cNvPr id="9" name="Line 79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ShapeType="1"/>
        </xdr:cNvSpPr>
      </xdr:nvSpPr>
      <xdr:spPr bwMode="auto">
        <a:xfrm>
          <a:off x="6486525" y="20659725"/>
          <a:ext cx="0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36\laboratorio\Users\FranciscoCarlos\Dropbox\A=Topmix\Modelos\curva%20de%20abrams%20modelo%20nov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SSOAL%20-%20EDSON\MATERIAIS%20DESENVOLVIDO%20POR%20EDSON\PLANILHA%20DE%20DOSAGEM%20-%20REV..%200\ESTUDO%20GRANULOMETRI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laudio.ferreira\Desktop\REGIONAL%20MG-DF\BETIM\ADICON%202%20-%20BETI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o varejo"/>
      <sheetName val="comparativo linha"/>
      <sheetName val="curva"/>
      <sheetName val="comparativo"/>
      <sheetName val="binder"/>
      <sheetName val="aj agua e ac"/>
      <sheetName val="ajuste do consumo por ac"/>
    </sheetNames>
    <sheetDataSet>
      <sheetData sheetId="0">
        <row r="2">
          <cell r="A2">
            <v>7.0000000000000007E-2</v>
          </cell>
          <cell r="B2">
            <v>3</v>
          </cell>
          <cell r="C2">
            <v>1.03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dra 0+1 riomix"/>
      <sheetName val="Pedra 0+1 TOP MIX"/>
      <sheetName val="Pedra 0+1 SUPERMIX"/>
    </sheetNames>
    <sheetDataSet>
      <sheetData sheetId="0">
        <row r="1">
          <cell r="C1">
            <v>2</v>
          </cell>
          <cell r="D1">
            <v>4.9848931076097918</v>
          </cell>
          <cell r="E1">
            <v>4.7369655941662066</v>
          </cell>
          <cell r="F1">
            <v>4.3808217839409309</v>
          </cell>
          <cell r="G1">
            <v>3.9848931076097918</v>
          </cell>
          <cell r="H1">
            <v>3.4037221860510094</v>
          </cell>
          <cell r="I1">
            <v>2.9848931076097918</v>
          </cell>
          <cell r="J1">
            <v>2.3923174227787602</v>
          </cell>
          <cell r="K1">
            <v>2</v>
          </cell>
          <cell r="L1">
            <v>1</v>
          </cell>
          <cell r="M1">
            <v>0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cipal"/>
      <sheetName val="Pend. e Lemb."/>
      <sheetName val="MCC (AGL.)"/>
      <sheetName val="MCC (A.M.)"/>
      <sheetName val="MCC (A.G.)"/>
      <sheetName val="MCC (AD.)"/>
      <sheetName val="B.D."/>
      <sheetName val="Traço Exp."/>
      <sheetName val="COTAÇÃO"/>
      <sheetName val="Traço Exp. - Impr."/>
      <sheetName val="COMPACIDADE"/>
      <sheetName val="Abrams"/>
      <sheetName val="tec-econ"/>
      <sheetName val="TABELA - R.T."/>
      <sheetName val="TABELA - PESAGEM"/>
      <sheetName val="Resultados"/>
      <sheetName val="Resultados (B.D.)"/>
      <sheetName val="Instruções"/>
      <sheetName val="Comparativo"/>
      <sheetName val="Resumo de Preços"/>
      <sheetName val="ADICON 2 - BETIM"/>
    </sheetNames>
    <definedNames>
      <definedName name="ABRAM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AF7" t="str">
            <v>TX 1</v>
          </cell>
        </row>
        <row r="31">
          <cell r="AG31" t="str">
            <v>28 dias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63"/>
  <sheetViews>
    <sheetView topLeftCell="A13" zoomScale="70" zoomScaleNormal="70" workbookViewId="0">
      <selection activeCell="G39" sqref="G39"/>
    </sheetView>
  </sheetViews>
  <sheetFormatPr defaultRowHeight="15" x14ac:dyDescent="0.25"/>
  <cols>
    <col min="1" max="1" width="9.140625" customWidth="1"/>
    <col min="2" max="2" width="8.42578125" customWidth="1"/>
    <col min="3" max="3" width="4.28515625" customWidth="1"/>
    <col min="4" max="4" width="17.140625" style="20" customWidth="1"/>
    <col min="5" max="5" width="10.28515625" style="20" customWidth="1"/>
    <col min="6" max="6" width="9.7109375" style="20" customWidth="1"/>
    <col min="7" max="7" width="11" style="20" customWidth="1"/>
    <col min="8" max="8" width="11.140625" style="20" customWidth="1"/>
    <col min="9" max="9" width="10.28515625" style="20" customWidth="1"/>
    <col min="10" max="10" width="14.85546875" style="20" customWidth="1"/>
    <col min="11" max="11" width="9.7109375" style="20" customWidth="1"/>
    <col min="12" max="12" width="10.42578125" style="20" customWidth="1"/>
    <col min="13" max="13" width="9.5703125" style="20" customWidth="1"/>
    <col min="14" max="14" width="8.28515625" style="20" customWidth="1"/>
    <col min="15" max="15" width="13.140625" style="20" customWidth="1"/>
    <col min="16" max="17" width="9.140625" customWidth="1"/>
    <col min="257" max="257" width="9.140625" customWidth="1"/>
    <col min="258" max="258" width="8.42578125" customWidth="1"/>
    <col min="259" max="259" width="4.28515625" customWidth="1"/>
    <col min="260" max="260" width="17.140625" customWidth="1"/>
    <col min="261" max="261" width="10.28515625" bestFit="1" customWidth="1"/>
    <col min="262" max="262" width="9.7109375" customWidth="1"/>
    <col min="263" max="263" width="11" customWidth="1"/>
    <col min="264" max="264" width="11.140625" customWidth="1"/>
    <col min="265" max="265" width="10.28515625" customWidth="1"/>
    <col min="266" max="266" width="14.85546875" customWidth="1"/>
    <col min="267" max="267" width="9.7109375" customWidth="1"/>
    <col min="268" max="268" width="10.42578125" customWidth="1"/>
    <col min="269" max="269" width="9.5703125" customWidth="1"/>
    <col min="270" max="270" width="8.28515625" customWidth="1"/>
    <col min="271" max="271" width="13.140625" customWidth="1"/>
    <col min="513" max="513" width="9.140625" customWidth="1"/>
    <col min="514" max="514" width="8.42578125" customWidth="1"/>
    <col min="515" max="515" width="4.28515625" customWidth="1"/>
    <col min="516" max="516" width="17.140625" customWidth="1"/>
    <col min="517" max="517" width="10.28515625" bestFit="1" customWidth="1"/>
    <col min="518" max="518" width="9.7109375" customWidth="1"/>
    <col min="519" max="519" width="11" customWidth="1"/>
    <col min="520" max="520" width="11.140625" customWidth="1"/>
    <col min="521" max="521" width="10.28515625" customWidth="1"/>
    <col min="522" max="522" width="14.85546875" customWidth="1"/>
    <col min="523" max="523" width="9.7109375" customWidth="1"/>
    <col min="524" max="524" width="10.42578125" customWidth="1"/>
    <col min="525" max="525" width="9.5703125" customWidth="1"/>
    <col min="526" max="526" width="8.28515625" customWidth="1"/>
    <col min="527" max="527" width="13.140625" customWidth="1"/>
    <col min="769" max="769" width="9.140625" customWidth="1"/>
    <col min="770" max="770" width="8.42578125" customWidth="1"/>
    <col min="771" max="771" width="4.28515625" customWidth="1"/>
    <col min="772" max="772" width="17.140625" customWidth="1"/>
    <col min="773" max="773" width="10.28515625" bestFit="1" customWidth="1"/>
    <col min="774" max="774" width="9.7109375" customWidth="1"/>
    <col min="775" max="775" width="11" customWidth="1"/>
    <col min="776" max="776" width="11.140625" customWidth="1"/>
    <col min="777" max="777" width="10.28515625" customWidth="1"/>
    <col min="778" max="778" width="14.85546875" customWidth="1"/>
    <col min="779" max="779" width="9.7109375" customWidth="1"/>
    <col min="780" max="780" width="10.42578125" customWidth="1"/>
    <col min="781" max="781" width="9.5703125" customWidth="1"/>
    <col min="782" max="782" width="8.28515625" customWidth="1"/>
    <col min="783" max="783" width="13.140625" customWidth="1"/>
    <col min="1025" max="1025" width="9.140625" customWidth="1"/>
    <col min="1026" max="1026" width="8.42578125" customWidth="1"/>
    <col min="1027" max="1027" width="4.28515625" customWidth="1"/>
    <col min="1028" max="1028" width="17.140625" customWidth="1"/>
    <col min="1029" max="1029" width="10.28515625" bestFit="1" customWidth="1"/>
    <col min="1030" max="1030" width="9.7109375" customWidth="1"/>
    <col min="1031" max="1031" width="11" customWidth="1"/>
    <col min="1032" max="1032" width="11.140625" customWidth="1"/>
    <col min="1033" max="1033" width="10.28515625" customWidth="1"/>
    <col min="1034" max="1034" width="14.85546875" customWidth="1"/>
    <col min="1035" max="1035" width="9.7109375" customWidth="1"/>
    <col min="1036" max="1036" width="10.42578125" customWidth="1"/>
    <col min="1037" max="1037" width="9.5703125" customWidth="1"/>
    <col min="1038" max="1038" width="8.28515625" customWidth="1"/>
    <col min="1039" max="1039" width="13.140625" customWidth="1"/>
    <col min="1281" max="1281" width="9.140625" customWidth="1"/>
    <col min="1282" max="1282" width="8.42578125" customWidth="1"/>
    <col min="1283" max="1283" width="4.28515625" customWidth="1"/>
    <col min="1284" max="1284" width="17.140625" customWidth="1"/>
    <col min="1285" max="1285" width="10.28515625" bestFit="1" customWidth="1"/>
    <col min="1286" max="1286" width="9.7109375" customWidth="1"/>
    <col min="1287" max="1287" width="11" customWidth="1"/>
    <col min="1288" max="1288" width="11.140625" customWidth="1"/>
    <col min="1289" max="1289" width="10.28515625" customWidth="1"/>
    <col min="1290" max="1290" width="14.85546875" customWidth="1"/>
    <col min="1291" max="1291" width="9.7109375" customWidth="1"/>
    <col min="1292" max="1292" width="10.42578125" customWidth="1"/>
    <col min="1293" max="1293" width="9.5703125" customWidth="1"/>
    <col min="1294" max="1294" width="8.28515625" customWidth="1"/>
    <col min="1295" max="1295" width="13.140625" customWidth="1"/>
    <col min="1537" max="1537" width="9.140625" customWidth="1"/>
    <col min="1538" max="1538" width="8.42578125" customWidth="1"/>
    <col min="1539" max="1539" width="4.28515625" customWidth="1"/>
    <col min="1540" max="1540" width="17.140625" customWidth="1"/>
    <col min="1541" max="1541" width="10.28515625" bestFit="1" customWidth="1"/>
    <col min="1542" max="1542" width="9.7109375" customWidth="1"/>
    <col min="1543" max="1543" width="11" customWidth="1"/>
    <col min="1544" max="1544" width="11.140625" customWidth="1"/>
    <col min="1545" max="1545" width="10.28515625" customWidth="1"/>
    <col min="1546" max="1546" width="14.85546875" customWidth="1"/>
    <col min="1547" max="1547" width="9.7109375" customWidth="1"/>
    <col min="1548" max="1548" width="10.42578125" customWidth="1"/>
    <col min="1549" max="1549" width="9.5703125" customWidth="1"/>
    <col min="1550" max="1550" width="8.28515625" customWidth="1"/>
    <col min="1551" max="1551" width="13.140625" customWidth="1"/>
    <col min="1793" max="1793" width="9.140625" customWidth="1"/>
    <col min="1794" max="1794" width="8.42578125" customWidth="1"/>
    <col min="1795" max="1795" width="4.28515625" customWidth="1"/>
    <col min="1796" max="1796" width="17.140625" customWidth="1"/>
    <col min="1797" max="1797" width="10.28515625" bestFit="1" customWidth="1"/>
    <col min="1798" max="1798" width="9.7109375" customWidth="1"/>
    <col min="1799" max="1799" width="11" customWidth="1"/>
    <col min="1800" max="1800" width="11.140625" customWidth="1"/>
    <col min="1801" max="1801" width="10.28515625" customWidth="1"/>
    <col min="1802" max="1802" width="14.85546875" customWidth="1"/>
    <col min="1803" max="1803" width="9.7109375" customWidth="1"/>
    <col min="1804" max="1804" width="10.42578125" customWidth="1"/>
    <col min="1805" max="1805" width="9.5703125" customWidth="1"/>
    <col min="1806" max="1806" width="8.28515625" customWidth="1"/>
    <col min="1807" max="1807" width="13.140625" customWidth="1"/>
    <col min="2049" max="2049" width="9.140625" customWidth="1"/>
    <col min="2050" max="2050" width="8.42578125" customWidth="1"/>
    <col min="2051" max="2051" width="4.28515625" customWidth="1"/>
    <col min="2052" max="2052" width="17.140625" customWidth="1"/>
    <col min="2053" max="2053" width="10.28515625" bestFit="1" customWidth="1"/>
    <col min="2054" max="2054" width="9.7109375" customWidth="1"/>
    <col min="2055" max="2055" width="11" customWidth="1"/>
    <col min="2056" max="2056" width="11.140625" customWidth="1"/>
    <col min="2057" max="2057" width="10.28515625" customWidth="1"/>
    <col min="2058" max="2058" width="14.85546875" customWidth="1"/>
    <col min="2059" max="2059" width="9.7109375" customWidth="1"/>
    <col min="2060" max="2060" width="10.42578125" customWidth="1"/>
    <col min="2061" max="2061" width="9.5703125" customWidth="1"/>
    <col min="2062" max="2062" width="8.28515625" customWidth="1"/>
    <col min="2063" max="2063" width="13.140625" customWidth="1"/>
    <col min="2305" max="2305" width="9.140625" customWidth="1"/>
    <col min="2306" max="2306" width="8.42578125" customWidth="1"/>
    <col min="2307" max="2307" width="4.28515625" customWidth="1"/>
    <col min="2308" max="2308" width="17.140625" customWidth="1"/>
    <col min="2309" max="2309" width="10.28515625" bestFit="1" customWidth="1"/>
    <col min="2310" max="2310" width="9.7109375" customWidth="1"/>
    <col min="2311" max="2311" width="11" customWidth="1"/>
    <col min="2312" max="2312" width="11.140625" customWidth="1"/>
    <col min="2313" max="2313" width="10.28515625" customWidth="1"/>
    <col min="2314" max="2314" width="14.85546875" customWidth="1"/>
    <col min="2315" max="2315" width="9.7109375" customWidth="1"/>
    <col min="2316" max="2316" width="10.42578125" customWidth="1"/>
    <col min="2317" max="2317" width="9.5703125" customWidth="1"/>
    <col min="2318" max="2318" width="8.28515625" customWidth="1"/>
    <col min="2319" max="2319" width="13.140625" customWidth="1"/>
    <col min="2561" max="2561" width="9.140625" customWidth="1"/>
    <col min="2562" max="2562" width="8.42578125" customWidth="1"/>
    <col min="2563" max="2563" width="4.28515625" customWidth="1"/>
    <col min="2564" max="2564" width="17.140625" customWidth="1"/>
    <col min="2565" max="2565" width="10.28515625" bestFit="1" customWidth="1"/>
    <col min="2566" max="2566" width="9.7109375" customWidth="1"/>
    <col min="2567" max="2567" width="11" customWidth="1"/>
    <col min="2568" max="2568" width="11.140625" customWidth="1"/>
    <col min="2569" max="2569" width="10.28515625" customWidth="1"/>
    <col min="2570" max="2570" width="14.85546875" customWidth="1"/>
    <col min="2571" max="2571" width="9.7109375" customWidth="1"/>
    <col min="2572" max="2572" width="10.42578125" customWidth="1"/>
    <col min="2573" max="2573" width="9.5703125" customWidth="1"/>
    <col min="2574" max="2574" width="8.28515625" customWidth="1"/>
    <col min="2575" max="2575" width="13.140625" customWidth="1"/>
    <col min="2817" max="2817" width="9.140625" customWidth="1"/>
    <col min="2818" max="2818" width="8.42578125" customWidth="1"/>
    <col min="2819" max="2819" width="4.28515625" customWidth="1"/>
    <col min="2820" max="2820" width="17.140625" customWidth="1"/>
    <col min="2821" max="2821" width="10.28515625" bestFit="1" customWidth="1"/>
    <col min="2822" max="2822" width="9.7109375" customWidth="1"/>
    <col min="2823" max="2823" width="11" customWidth="1"/>
    <col min="2824" max="2824" width="11.140625" customWidth="1"/>
    <col min="2825" max="2825" width="10.28515625" customWidth="1"/>
    <col min="2826" max="2826" width="14.85546875" customWidth="1"/>
    <col min="2827" max="2827" width="9.7109375" customWidth="1"/>
    <col min="2828" max="2828" width="10.42578125" customWidth="1"/>
    <col min="2829" max="2829" width="9.5703125" customWidth="1"/>
    <col min="2830" max="2830" width="8.28515625" customWidth="1"/>
    <col min="2831" max="2831" width="13.140625" customWidth="1"/>
    <col min="3073" max="3073" width="9.140625" customWidth="1"/>
    <col min="3074" max="3074" width="8.42578125" customWidth="1"/>
    <col min="3075" max="3075" width="4.28515625" customWidth="1"/>
    <col min="3076" max="3076" width="17.140625" customWidth="1"/>
    <col min="3077" max="3077" width="10.28515625" bestFit="1" customWidth="1"/>
    <col min="3078" max="3078" width="9.7109375" customWidth="1"/>
    <col min="3079" max="3079" width="11" customWidth="1"/>
    <col min="3080" max="3080" width="11.140625" customWidth="1"/>
    <col min="3081" max="3081" width="10.28515625" customWidth="1"/>
    <col min="3082" max="3082" width="14.85546875" customWidth="1"/>
    <col min="3083" max="3083" width="9.7109375" customWidth="1"/>
    <col min="3084" max="3084" width="10.42578125" customWidth="1"/>
    <col min="3085" max="3085" width="9.5703125" customWidth="1"/>
    <col min="3086" max="3086" width="8.28515625" customWidth="1"/>
    <col min="3087" max="3087" width="13.140625" customWidth="1"/>
    <col min="3329" max="3329" width="9.140625" customWidth="1"/>
    <col min="3330" max="3330" width="8.42578125" customWidth="1"/>
    <col min="3331" max="3331" width="4.28515625" customWidth="1"/>
    <col min="3332" max="3332" width="17.140625" customWidth="1"/>
    <col min="3333" max="3333" width="10.28515625" bestFit="1" customWidth="1"/>
    <col min="3334" max="3334" width="9.7109375" customWidth="1"/>
    <col min="3335" max="3335" width="11" customWidth="1"/>
    <col min="3336" max="3336" width="11.140625" customWidth="1"/>
    <col min="3337" max="3337" width="10.28515625" customWidth="1"/>
    <col min="3338" max="3338" width="14.85546875" customWidth="1"/>
    <col min="3339" max="3339" width="9.7109375" customWidth="1"/>
    <col min="3340" max="3340" width="10.42578125" customWidth="1"/>
    <col min="3341" max="3341" width="9.5703125" customWidth="1"/>
    <col min="3342" max="3342" width="8.28515625" customWidth="1"/>
    <col min="3343" max="3343" width="13.140625" customWidth="1"/>
    <col min="3585" max="3585" width="9.140625" customWidth="1"/>
    <col min="3586" max="3586" width="8.42578125" customWidth="1"/>
    <col min="3587" max="3587" width="4.28515625" customWidth="1"/>
    <col min="3588" max="3588" width="17.140625" customWidth="1"/>
    <col min="3589" max="3589" width="10.28515625" bestFit="1" customWidth="1"/>
    <col min="3590" max="3590" width="9.7109375" customWidth="1"/>
    <col min="3591" max="3591" width="11" customWidth="1"/>
    <col min="3592" max="3592" width="11.140625" customWidth="1"/>
    <col min="3593" max="3593" width="10.28515625" customWidth="1"/>
    <col min="3594" max="3594" width="14.85546875" customWidth="1"/>
    <col min="3595" max="3595" width="9.7109375" customWidth="1"/>
    <col min="3596" max="3596" width="10.42578125" customWidth="1"/>
    <col min="3597" max="3597" width="9.5703125" customWidth="1"/>
    <col min="3598" max="3598" width="8.28515625" customWidth="1"/>
    <col min="3599" max="3599" width="13.140625" customWidth="1"/>
    <col min="3841" max="3841" width="9.140625" customWidth="1"/>
    <col min="3842" max="3842" width="8.42578125" customWidth="1"/>
    <col min="3843" max="3843" width="4.28515625" customWidth="1"/>
    <col min="3844" max="3844" width="17.140625" customWidth="1"/>
    <col min="3845" max="3845" width="10.28515625" bestFit="1" customWidth="1"/>
    <col min="3846" max="3846" width="9.7109375" customWidth="1"/>
    <col min="3847" max="3847" width="11" customWidth="1"/>
    <col min="3848" max="3848" width="11.140625" customWidth="1"/>
    <col min="3849" max="3849" width="10.28515625" customWidth="1"/>
    <col min="3850" max="3850" width="14.85546875" customWidth="1"/>
    <col min="3851" max="3851" width="9.7109375" customWidth="1"/>
    <col min="3852" max="3852" width="10.42578125" customWidth="1"/>
    <col min="3853" max="3853" width="9.5703125" customWidth="1"/>
    <col min="3854" max="3854" width="8.28515625" customWidth="1"/>
    <col min="3855" max="3855" width="13.140625" customWidth="1"/>
    <col min="4097" max="4097" width="9.140625" customWidth="1"/>
    <col min="4098" max="4098" width="8.42578125" customWidth="1"/>
    <col min="4099" max="4099" width="4.28515625" customWidth="1"/>
    <col min="4100" max="4100" width="17.140625" customWidth="1"/>
    <col min="4101" max="4101" width="10.28515625" bestFit="1" customWidth="1"/>
    <col min="4102" max="4102" width="9.7109375" customWidth="1"/>
    <col min="4103" max="4103" width="11" customWidth="1"/>
    <col min="4104" max="4104" width="11.140625" customWidth="1"/>
    <col min="4105" max="4105" width="10.28515625" customWidth="1"/>
    <col min="4106" max="4106" width="14.85546875" customWidth="1"/>
    <col min="4107" max="4107" width="9.7109375" customWidth="1"/>
    <col min="4108" max="4108" width="10.42578125" customWidth="1"/>
    <col min="4109" max="4109" width="9.5703125" customWidth="1"/>
    <col min="4110" max="4110" width="8.28515625" customWidth="1"/>
    <col min="4111" max="4111" width="13.140625" customWidth="1"/>
    <col min="4353" max="4353" width="9.140625" customWidth="1"/>
    <col min="4354" max="4354" width="8.42578125" customWidth="1"/>
    <col min="4355" max="4355" width="4.28515625" customWidth="1"/>
    <col min="4356" max="4356" width="17.140625" customWidth="1"/>
    <col min="4357" max="4357" width="10.28515625" bestFit="1" customWidth="1"/>
    <col min="4358" max="4358" width="9.7109375" customWidth="1"/>
    <col min="4359" max="4359" width="11" customWidth="1"/>
    <col min="4360" max="4360" width="11.140625" customWidth="1"/>
    <col min="4361" max="4361" width="10.28515625" customWidth="1"/>
    <col min="4362" max="4362" width="14.85546875" customWidth="1"/>
    <col min="4363" max="4363" width="9.7109375" customWidth="1"/>
    <col min="4364" max="4364" width="10.42578125" customWidth="1"/>
    <col min="4365" max="4365" width="9.5703125" customWidth="1"/>
    <col min="4366" max="4366" width="8.28515625" customWidth="1"/>
    <col min="4367" max="4367" width="13.140625" customWidth="1"/>
    <col min="4609" max="4609" width="9.140625" customWidth="1"/>
    <col min="4610" max="4610" width="8.42578125" customWidth="1"/>
    <col min="4611" max="4611" width="4.28515625" customWidth="1"/>
    <col min="4612" max="4612" width="17.140625" customWidth="1"/>
    <col min="4613" max="4613" width="10.28515625" bestFit="1" customWidth="1"/>
    <col min="4614" max="4614" width="9.7109375" customWidth="1"/>
    <col min="4615" max="4615" width="11" customWidth="1"/>
    <col min="4616" max="4616" width="11.140625" customWidth="1"/>
    <col min="4617" max="4617" width="10.28515625" customWidth="1"/>
    <col min="4618" max="4618" width="14.85546875" customWidth="1"/>
    <col min="4619" max="4619" width="9.7109375" customWidth="1"/>
    <col min="4620" max="4620" width="10.42578125" customWidth="1"/>
    <col min="4621" max="4621" width="9.5703125" customWidth="1"/>
    <col min="4622" max="4622" width="8.28515625" customWidth="1"/>
    <col min="4623" max="4623" width="13.140625" customWidth="1"/>
    <col min="4865" max="4865" width="9.140625" customWidth="1"/>
    <col min="4866" max="4866" width="8.42578125" customWidth="1"/>
    <col min="4867" max="4867" width="4.28515625" customWidth="1"/>
    <col min="4868" max="4868" width="17.140625" customWidth="1"/>
    <col min="4869" max="4869" width="10.28515625" bestFit="1" customWidth="1"/>
    <col min="4870" max="4870" width="9.7109375" customWidth="1"/>
    <col min="4871" max="4871" width="11" customWidth="1"/>
    <col min="4872" max="4872" width="11.140625" customWidth="1"/>
    <col min="4873" max="4873" width="10.28515625" customWidth="1"/>
    <col min="4874" max="4874" width="14.85546875" customWidth="1"/>
    <col min="4875" max="4875" width="9.7109375" customWidth="1"/>
    <col min="4876" max="4876" width="10.42578125" customWidth="1"/>
    <col min="4877" max="4877" width="9.5703125" customWidth="1"/>
    <col min="4878" max="4878" width="8.28515625" customWidth="1"/>
    <col min="4879" max="4879" width="13.140625" customWidth="1"/>
    <col min="5121" max="5121" width="9.140625" customWidth="1"/>
    <col min="5122" max="5122" width="8.42578125" customWidth="1"/>
    <col min="5123" max="5123" width="4.28515625" customWidth="1"/>
    <col min="5124" max="5124" width="17.140625" customWidth="1"/>
    <col min="5125" max="5125" width="10.28515625" bestFit="1" customWidth="1"/>
    <col min="5126" max="5126" width="9.7109375" customWidth="1"/>
    <col min="5127" max="5127" width="11" customWidth="1"/>
    <col min="5128" max="5128" width="11.140625" customWidth="1"/>
    <col min="5129" max="5129" width="10.28515625" customWidth="1"/>
    <col min="5130" max="5130" width="14.85546875" customWidth="1"/>
    <col min="5131" max="5131" width="9.7109375" customWidth="1"/>
    <col min="5132" max="5132" width="10.42578125" customWidth="1"/>
    <col min="5133" max="5133" width="9.5703125" customWidth="1"/>
    <col min="5134" max="5134" width="8.28515625" customWidth="1"/>
    <col min="5135" max="5135" width="13.140625" customWidth="1"/>
    <col min="5377" max="5377" width="9.140625" customWidth="1"/>
    <col min="5378" max="5378" width="8.42578125" customWidth="1"/>
    <col min="5379" max="5379" width="4.28515625" customWidth="1"/>
    <col min="5380" max="5380" width="17.140625" customWidth="1"/>
    <col min="5381" max="5381" width="10.28515625" bestFit="1" customWidth="1"/>
    <col min="5382" max="5382" width="9.7109375" customWidth="1"/>
    <col min="5383" max="5383" width="11" customWidth="1"/>
    <col min="5384" max="5384" width="11.140625" customWidth="1"/>
    <col min="5385" max="5385" width="10.28515625" customWidth="1"/>
    <col min="5386" max="5386" width="14.85546875" customWidth="1"/>
    <col min="5387" max="5387" width="9.7109375" customWidth="1"/>
    <col min="5388" max="5388" width="10.42578125" customWidth="1"/>
    <col min="5389" max="5389" width="9.5703125" customWidth="1"/>
    <col min="5390" max="5390" width="8.28515625" customWidth="1"/>
    <col min="5391" max="5391" width="13.140625" customWidth="1"/>
    <col min="5633" max="5633" width="9.140625" customWidth="1"/>
    <col min="5634" max="5634" width="8.42578125" customWidth="1"/>
    <col min="5635" max="5635" width="4.28515625" customWidth="1"/>
    <col min="5636" max="5636" width="17.140625" customWidth="1"/>
    <col min="5637" max="5637" width="10.28515625" bestFit="1" customWidth="1"/>
    <col min="5638" max="5638" width="9.7109375" customWidth="1"/>
    <col min="5639" max="5639" width="11" customWidth="1"/>
    <col min="5640" max="5640" width="11.140625" customWidth="1"/>
    <col min="5641" max="5641" width="10.28515625" customWidth="1"/>
    <col min="5642" max="5642" width="14.85546875" customWidth="1"/>
    <col min="5643" max="5643" width="9.7109375" customWidth="1"/>
    <col min="5644" max="5644" width="10.42578125" customWidth="1"/>
    <col min="5645" max="5645" width="9.5703125" customWidth="1"/>
    <col min="5646" max="5646" width="8.28515625" customWidth="1"/>
    <col min="5647" max="5647" width="13.140625" customWidth="1"/>
    <col min="5889" max="5889" width="9.140625" customWidth="1"/>
    <col min="5890" max="5890" width="8.42578125" customWidth="1"/>
    <col min="5891" max="5891" width="4.28515625" customWidth="1"/>
    <col min="5892" max="5892" width="17.140625" customWidth="1"/>
    <col min="5893" max="5893" width="10.28515625" bestFit="1" customWidth="1"/>
    <col min="5894" max="5894" width="9.7109375" customWidth="1"/>
    <col min="5895" max="5895" width="11" customWidth="1"/>
    <col min="5896" max="5896" width="11.140625" customWidth="1"/>
    <col min="5897" max="5897" width="10.28515625" customWidth="1"/>
    <col min="5898" max="5898" width="14.85546875" customWidth="1"/>
    <col min="5899" max="5899" width="9.7109375" customWidth="1"/>
    <col min="5900" max="5900" width="10.42578125" customWidth="1"/>
    <col min="5901" max="5901" width="9.5703125" customWidth="1"/>
    <col min="5902" max="5902" width="8.28515625" customWidth="1"/>
    <col min="5903" max="5903" width="13.140625" customWidth="1"/>
    <col min="6145" max="6145" width="9.140625" customWidth="1"/>
    <col min="6146" max="6146" width="8.42578125" customWidth="1"/>
    <col min="6147" max="6147" width="4.28515625" customWidth="1"/>
    <col min="6148" max="6148" width="17.140625" customWidth="1"/>
    <col min="6149" max="6149" width="10.28515625" bestFit="1" customWidth="1"/>
    <col min="6150" max="6150" width="9.7109375" customWidth="1"/>
    <col min="6151" max="6151" width="11" customWidth="1"/>
    <col min="6152" max="6152" width="11.140625" customWidth="1"/>
    <col min="6153" max="6153" width="10.28515625" customWidth="1"/>
    <col min="6154" max="6154" width="14.85546875" customWidth="1"/>
    <col min="6155" max="6155" width="9.7109375" customWidth="1"/>
    <col min="6156" max="6156" width="10.42578125" customWidth="1"/>
    <col min="6157" max="6157" width="9.5703125" customWidth="1"/>
    <col min="6158" max="6158" width="8.28515625" customWidth="1"/>
    <col min="6159" max="6159" width="13.140625" customWidth="1"/>
    <col min="6401" max="6401" width="9.140625" customWidth="1"/>
    <col min="6402" max="6402" width="8.42578125" customWidth="1"/>
    <col min="6403" max="6403" width="4.28515625" customWidth="1"/>
    <col min="6404" max="6404" width="17.140625" customWidth="1"/>
    <col min="6405" max="6405" width="10.28515625" bestFit="1" customWidth="1"/>
    <col min="6406" max="6406" width="9.7109375" customWidth="1"/>
    <col min="6407" max="6407" width="11" customWidth="1"/>
    <col min="6408" max="6408" width="11.140625" customWidth="1"/>
    <col min="6409" max="6409" width="10.28515625" customWidth="1"/>
    <col min="6410" max="6410" width="14.85546875" customWidth="1"/>
    <col min="6411" max="6411" width="9.7109375" customWidth="1"/>
    <col min="6412" max="6412" width="10.42578125" customWidth="1"/>
    <col min="6413" max="6413" width="9.5703125" customWidth="1"/>
    <col min="6414" max="6414" width="8.28515625" customWidth="1"/>
    <col min="6415" max="6415" width="13.140625" customWidth="1"/>
    <col min="6657" max="6657" width="9.140625" customWidth="1"/>
    <col min="6658" max="6658" width="8.42578125" customWidth="1"/>
    <col min="6659" max="6659" width="4.28515625" customWidth="1"/>
    <col min="6660" max="6660" width="17.140625" customWidth="1"/>
    <col min="6661" max="6661" width="10.28515625" bestFit="1" customWidth="1"/>
    <col min="6662" max="6662" width="9.7109375" customWidth="1"/>
    <col min="6663" max="6663" width="11" customWidth="1"/>
    <col min="6664" max="6664" width="11.140625" customWidth="1"/>
    <col min="6665" max="6665" width="10.28515625" customWidth="1"/>
    <col min="6666" max="6666" width="14.85546875" customWidth="1"/>
    <col min="6667" max="6667" width="9.7109375" customWidth="1"/>
    <col min="6668" max="6668" width="10.42578125" customWidth="1"/>
    <col min="6669" max="6669" width="9.5703125" customWidth="1"/>
    <col min="6670" max="6670" width="8.28515625" customWidth="1"/>
    <col min="6671" max="6671" width="13.140625" customWidth="1"/>
    <col min="6913" max="6913" width="9.140625" customWidth="1"/>
    <col min="6914" max="6914" width="8.42578125" customWidth="1"/>
    <col min="6915" max="6915" width="4.28515625" customWidth="1"/>
    <col min="6916" max="6916" width="17.140625" customWidth="1"/>
    <col min="6917" max="6917" width="10.28515625" bestFit="1" customWidth="1"/>
    <col min="6918" max="6918" width="9.7109375" customWidth="1"/>
    <col min="6919" max="6919" width="11" customWidth="1"/>
    <col min="6920" max="6920" width="11.140625" customWidth="1"/>
    <col min="6921" max="6921" width="10.28515625" customWidth="1"/>
    <col min="6922" max="6922" width="14.85546875" customWidth="1"/>
    <col min="6923" max="6923" width="9.7109375" customWidth="1"/>
    <col min="6924" max="6924" width="10.42578125" customWidth="1"/>
    <col min="6925" max="6925" width="9.5703125" customWidth="1"/>
    <col min="6926" max="6926" width="8.28515625" customWidth="1"/>
    <col min="6927" max="6927" width="13.140625" customWidth="1"/>
    <col min="7169" max="7169" width="9.140625" customWidth="1"/>
    <col min="7170" max="7170" width="8.42578125" customWidth="1"/>
    <col min="7171" max="7171" width="4.28515625" customWidth="1"/>
    <col min="7172" max="7172" width="17.140625" customWidth="1"/>
    <col min="7173" max="7173" width="10.28515625" bestFit="1" customWidth="1"/>
    <col min="7174" max="7174" width="9.7109375" customWidth="1"/>
    <col min="7175" max="7175" width="11" customWidth="1"/>
    <col min="7176" max="7176" width="11.140625" customWidth="1"/>
    <col min="7177" max="7177" width="10.28515625" customWidth="1"/>
    <col min="7178" max="7178" width="14.85546875" customWidth="1"/>
    <col min="7179" max="7179" width="9.7109375" customWidth="1"/>
    <col min="7180" max="7180" width="10.42578125" customWidth="1"/>
    <col min="7181" max="7181" width="9.5703125" customWidth="1"/>
    <col min="7182" max="7182" width="8.28515625" customWidth="1"/>
    <col min="7183" max="7183" width="13.140625" customWidth="1"/>
    <col min="7425" max="7425" width="9.140625" customWidth="1"/>
    <col min="7426" max="7426" width="8.42578125" customWidth="1"/>
    <col min="7427" max="7427" width="4.28515625" customWidth="1"/>
    <col min="7428" max="7428" width="17.140625" customWidth="1"/>
    <col min="7429" max="7429" width="10.28515625" bestFit="1" customWidth="1"/>
    <col min="7430" max="7430" width="9.7109375" customWidth="1"/>
    <col min="7431" max="7431" width="11" customWidth="1"/>
    <col min="7432" max="7432" width="11.140625" customWidth="1"/>
    <col min="7433" max="7433" width="10.28515625" customWidth="1"/>
    <col min="7434" max="7434" width="14.85546875" customWidth="1"/>
    <col min="7435" max="7435" width="9.7109375" customWidth="1"/>
    <col min="7436" max="7436" width="10.42578125" customWidth="1"/>
    <col min="7437" max="7437" width="9.5703125" customWidth="1"/>
    <col min="7438" max="7438" width="8.28515625" customWidth="1"/>
    <col min="7439" max="7439" width="13.140625" customWidth="1"/>
    <col min="7681" max="7681" width="9.140625" customWidth="1"/>
    <col min="7682" max="7682" width="8.42578125" customWidth="1"/>
    <col min="7683" max="7683" width="4.28515625" customWidth="1"/>
    <col min="7684" max="7684" width="17.140625" customWidth="1"/>
    <col min="7685" max="7685" width="10.28515625" bestFit="1" customWidth="1"/>
    <col min="7686" max="7686" width="9.7109375" customWidth="1"/>
    <col min="7687" max="7687" width="11" customWidth="1"/>
    <col min="7688" max="7688" width="11.140625" customWidth="1"/>
    <col min="7689" max="7689" width="10.28515625" customWidth="1"/>
    <col min="7690" max="7690" width="14.85546875" customWidth="1"/>
    <col min="7691" max="7691" width="9.7109375" customWidth="1"/>
    <col min="7692" max="7692" width="10.42578125" customWidth="1"/>
    <col min="7693" max="7693" width="9.5703125" customWidth="1"/>
    <col min="7694" max="7694" width="8.28515625" customWidth="1"/>
    <col min="7695" max="7695" width="13.140625" customWidth="1"/>
    <col min="7937" max="7937" width="9.140625" customWidth="1"/>
    <col min="7938" max="7938" width="8.42578125" customWidth="1"/>
    <col min="7939" max="7939" width="4.28515625" customWidth="1"/>
    <col min="7940" max="7940" width="17.140625" customWidth="1"/>
    <col min="7941" max="7941" width="10.28515625" bestFit="1" customWidth="1"/>
    <col min="7942" max="7942" width="9.7109375" customWidth="1"/>
    <col min="7943" max="7943" width="11" customWidth="1"/>
    <col min="7944" max="7944" width="11.140625" customWidth="1"/>
    <col min="7945" max="7945" width="10.28515625" customWidth="1"/>
    <col min="7946" max="7946" width="14.85546875" customWidth="1"/>
    <col min="7947" max="7947" width="9.7109375" customWidth="1"/>
    <col min="7948" max="7948" width="10.42578125" customWidth="1"/>
    <col min="7949" max="7949" width="9.5703125" customWidth="1"/>
    <col min="7950" max="7950" width="8.28515625" customWidth="1"/>
    <col min="7951" max="7951" width="13.140625" customWidth="1"/>
    <col min="8193" max="8193" width="9.140625" customWidth="1"/>
    <col min="8194" max="8194" width="8.42578125" customWidth="1"/>
    <col min="8195" max="8195" width="4.28515625" customWidth="1"/>
    <col min="8196" max="8196" width="17.140625" customWidth="1"/>
    <col min="8197" max="8197" width="10.28515625" bestFit="1" customWidth="1"/>
    <col min="8198" max="8198" width="9.7109375" customWidth="1"/>
    <col min="8199" max="8199" width="11" customWidth="1"/>
    <col min="8200" max="8200" width="11.140625" customWidth="1"/>
    <col min="8201" max="8201" width="10.28515625" customWidth="1"/>
    <col min="8202" max="8202" width="14.85546875" customWidth="1"/>
    <col min="8203" max="8203" width="9.7109375" customWidth="1"/>
    <col min="8204" max="8204" width="10.42578125" customWidth="1"/>
    <col min="8205" max="8205" width="9.5703125" customWidth="1"/>
    <col min="8206" max="8206" width="8.28515625" customWidth="1"/>
    <col min="8207" max="8207" width="13.140625" customWidth="1"/>
    <col min="8449" max="8449" width="9.140625" customWidth="1"/>
    <col min="8450" max="8450" width="8.42578125" customWidth="1"/>
    <col min="8451" max="8451" width="4.28515625" customWidth="1"/>
    <col min="8452" max="8452" width="17.140625" customWidth="1"/>
    <col min="8453" max="8453" width="10.28515625" bestFit="1" customWidth="1"/>
    <col min="8454" max="8454" width="9.7109375" customWidth="1"/>
    <col min="8455" max="8455" width="11" customWidth="1"/>
    <col min="8456" max="8456" width="11.140625" customWidth="1"/>
    <col min="8457" max="8457" width="10.28515625" customWidth="1"/>
    <col min="8458" max="8458" width="14.85546875" customWidth="1"/>
    <col min="8459" max="8459" width="9.7109375" customWidth="1"/>
    <col min="8460" max="8460" width="10.42578125" customWidth="1"/>
    <col min="8461" max="8461" width="9.5703125" customWidth="1"/>
    <col min="8462" max="8462" width="8.28515625" customWidth="1"/>
    <col min="8463" max="8463" width="13.140625" customWidth="1"/>
    <col min="8705" max="8705" width="9.140625" customWidth="1"/>
    <col min="8706" max="8706" width="8.42578125" customWidth="1"/>
    <col min="8707" max="8707" width="4.28515625" customWidth="1"/>
    <col min="8708" max="8708" width="17.140625" customWidth="1"/>
    <col min="8709" max="8709" width="10.28515625" bestFit="1" customWidth="1"/>
    <col min="8710" max="8710" width="9.7109375" customWidth="1"/>
    <col min="8711" max="8711" width="11" customWidth="1"/>
    <col min="8712" max="8712" width="11.140625" customWidth="1"/>
    <col min="8713" max="8713" width="10.28515625" customWidth="1"/>
    <col min="8714" max="8714" width="14.85546875" customWidth="1"/>
    <col min="8715" max="8715" width="9.7109375" customWidth="1"/>
    <col min="8716" max="8716" width="10.42578125" customWidth="1"/>
    <col min="8717" max="8717" width="9.5703125" customWidth="1"/>
    <col min="8718" max="8718" width="8.28515625" customWidth="1"/>
    <col min="8719" max="8719" width="13.140625" customWidth="1"/>
    <col min="8961" max="8961" width="9.140625" customWidth="1"/>
    <col min="8962" max="8962" width="8.42578125" customWidth="1"/>
    <col min="8963" max="8963" width="4.28515625" customWidth="1"/>
    <col min="8964" max="8964" width="17.140625" customWidth="1"/>
    <col min="8965" max="8965" width="10.28515625" bestFit="1" customWidth="1"/>
    <col min="8966" max="8966" width="9.7109375" customWidth="1"/>
    <col min="8967" max="8967" width="11" customWidth="1"/>
    <col min="8968" max="8968" width="11.140625" customWidth="1"/>
    <col min="8969" max="8969" width="10.28515625" customWidth="1"/>
    <col min="8970" max="8970" width="14.85546875" customWidth="1"/>
    <col min="8971" max="8971" width="9.7109375" customWidth="1"/>
    <col min="8972" max="8972" width="10.42578125" customWidth="1"/>
    <col min="8973" max="8973" width="9.5703125" customWidth="1"/>
    <col min="8974" max="8974" width="8.28515625" customWidth="1"/>
    <col min="8975" max="8975" width="13.140625" customWidth="1"/>
    <col min="9217" max="9217" width="9.140625" customWidth="1"/>
    <col min="9218" max="9218" width="8.42578125" customWidth="1"/>
    <col min="9219" max="9219" width="4.28515625" customWidth="1"/>
    <col min="9220" max="9220" width="17.140625" customWidth="1"/>
    <col min="9221" max="9221" width="10.28515625" bestFit="1" customWidth="1"/>
    <col min="9222" max="9222" width="9.7109375" customWidth="1"/>
    <col min="9223" max="9223" width="11" customWidth="1"/>
    <col min="9224" max="9224" width="11.140625" customWidth="1"/>
    <col min="9225" max="9225" width="10.28515625" customWidth="1"/>
    <col min="9226" max="9226" width="14.85546875" customWidth="1"/>
    <col min="9227" max="9227" width="9.7109375" customWidth="1"/>
    <col min="9228" max="9228" width="10.42578125" customWidth="1"/>
    <col min="9229" max="9229" width="9.5703125" customWidth="1"/>
    <col min="9230" max="9230" width="8.28515625" customWidth="1"/>
    <col min="9231" max="9231" width="13.140625" customWidth="1"/>
    <col min="9473" max="9473" width="9.140625" customWidth="1"/>
    <col min="9474" max="9474" width="8.42578125" customWidth="1"/>
    <col min="9475" max="9475" width="4.28515625" customWidth="1"/>
    <col min="9476" max="9476" width="17.140625" customWidth="1"/>
    <col min="9477" max="9477" width="10.28515625" bestFit="1" customWidth="1"/>
    <col min="9478" max="9478" width="9.7109375" customWidth="1"/>
    <col min="9479" max="9479" width="11" customWidth="1"/>
    <col min="9480" max="9480" width="11.140625" customWidth="1"/>
    <col min="9481" max="9481" width="10.28515625" customWidth="1"/>
    <col min="9482" max="9482" width="14.85546875" customWidth="1"/>
    <col min="9483" max="9483" width="9.7109375" customWidth="1"/>
    <col min="9484" max="9484" width="10.42578125" customWidth="1"/>
    <col min="9485" max="9485" width="9.5703125" customWidth="1"/>
    <col min="9486" max="9486" width="8.28515625" customWidth="1"/>
    <col min="9487" max="9487" width="13.140625" customWidth="1"/>
    <col min="9729" max="9729" width="9.140625" customWidth="1"/>
    <col min="9730" max="9730" width="8.42578125" customWidth="1"/>
    <col min="9731" max="9731" width="4.28515625" customWidth="1"/>
    <col min="9732" max="9732" width="17.140625" customWidth="1"/>
    <col min="9733" max="9733" width="10.28515625" bestFit="1" customWidth="1"/>
    <col min="9734" max="9734" width="9.7109375" customWidth="1"/>
    <col min="9735" max="9735" width="11" customWidth="1"/>
    <col min="9736" max="9736" width="11.140625" customWidth="1"/>
    <col min="9737" max="9737" width="10.28515625" customWidth="1"/>
    <col min="9738" max="9738" width="14.85546875" customWidth="1"/>
    <col min="9739" max="9739" width="9.7109375" customWidth="1"/>
    <col min="9740" max="9740" width="10.42578125" customWidth="1"/>
    <col min="9741" max="9741" width="9.5703125" customWidth="1"/>
    <col min="9742" max="9742" width="8.28515625" customWidth="1"/>
    <col min="9743" max="9743" width="13.140625" customWidth="1"/>
    <col min="9985" max="9985" width="9.140625" customWidth="1"/>
    <col min="9986" max="9986" width="8.42578125" customWidth="1"/>
    <col min="9987" max="9987" width="4.28515625" customWidth="1"/>
    <col min="9988" max="9988" width="17.140625" customWidth="1"/>
    <col min="9989" max="9989" width="10.28515625" bestFit="1" customWidth="1"/>
    <col min="9990" max="9990" width="9.7109375" customWidth="1"/>
    <col min="9991" max="9991" width="11" customWidth="1"/>
    <col min="9992" max="9992" width="11.140625" customWidth="1"/>
    <col min="9993" max="9993" width="10.28515625" customWidth="1"/>
    <col min="9994" max="9994" width="14.85546875" customWidth="1"/>
    <col min="9995" max="9995" width="9.7109375" customWidth="1"/>
    <col min="9996" max="9996" width="10.42578125" customWidth="1"/>
    <col min="9997" max="9997" width="9.5703125" customWidth="1"/>
    <col min="9998" max="9998" width="8.28515625" customWidth="1"/>
    <col min="9999" max="9999" width="13.140625" customWidth="1"/>
    <col min="10241" max="10241" width="9.140625" customWidth="1"/>
    <col min="10242" max="10242" width="8.42578125" customWidth="1"/>
    <col min="10243" max="10243" width="4.28515625" customWidth="1"/>
    <col min="10244" max="10244" width="17.140625" customWidth="1"/>
    <col min="10245" max="10245" width="10.28515625" bestFit="1" customWidth="1"/>
    <col min="10246" max="10246" width="9.7109375" customWidth="1"/>
    <col min="10247" max="10247" width="11" customWidth="1"/>
    <col min="10248" max="10248" width="11.140625" customWidth="1"/>
    <col min="10249" max="10249" width="10.28515625" customWidth="1"/>
    <col min="10250" max="10250" width="14.85546875" customWidth="1"/>
    <col min="10251" max="10251" width="9.7109375" customWidth="1"/>
    <col min="10252" max="10252" width="10.42578125" customWidth="1"/>
    <col min="10253" max="10253" width="9.5703125" customWidth="1"/>
    <col min="10254" max="10254" width="8.28515625" customWidth="1"/>
    <col min="10255" max="10255" width="13.140625" customWidth="1"/>
    <col min="10497" max="10497" width="9.140625" customWidth="1"/>
    <col min="10498" max="10498" width="8.42578125" customWidth="1"/>
    <col min="10499" max="10499" width="4.28515625" customWidth="1"/>
    <col min="10500" max="10500" width="17.140625" customWidth="1"/>
    <col min="10501" max="10501" width="10.28515625" bestFit="1" customWidth="1"/>
    <col min="10502" max="10502" width="9.7109375" customWidth="1"/>
    <col min="10503" max="10503" width="11" customWidth="1"/>
    <col min="10504" max="10504" width="11.140625" customWidth="1"/>
    <col min="10505" max="10505" width="10.28515625" customWidth="1"/>
    <col min="10506" max="10506" width="14.85546875" customWidth="1"/>
    <col min="10507" max="10507" width="9.7109375" customWidth="1"/>
    <col min="10508" max="10508" width="10.42578125" customWidth="1"/>
    <col min="10509" max="10509" width="9.5703125" customWidth="1"/>
    <col min="10510" max="10510" width="8.28515625" customWidth="1"/>
    <col min="10511" max="10511" width="13.140625" customWidth="1"/>
    <col min="10753" max="10753" width="9.140625" customWidth="1"/>
    <col min="10754" max="10754" width="8.42578125" customWidth="1"/>
    <col min="10755" max="10755" width="4.28515625" customWidth="1"/>
    <col min="10756" max="10756" width="17.140625" customWidth="1"/>
    <col min="10757" max="10757" width="10.28515625" bestFit="1" customWidth="1"/>
    <col min="10758" max="10758" width="9.7109375" customWidth="1"/>
    <col min="10759" max="10759" width="11" customWidth="1"/>
    <col min="10760" max="10760" width="11.140625" customWidth="1"/>
    <col min="10761" max="10761" width="10.28515625" customWidth="1"/>
    <col min="10762" max="10762" width="14.85546875" customWidth="1"/>
    <col min="10763" max="10763" width="9.7109375" customWidth="1"/>
    <col min="10764" max="10764" width="10.42578125" customWidth="1"/>
    <col min="10765" max="10765" width="9.5703125" customWidth="1"/>
    <col min="10766" max="10766" width="8.28515625" customWidth="1"/>
    <col min="10767" max="10767" width="13.140625" customWidth="1"/>
    <col min="11009" max="11009" width="9.140625" customWidth="1"/>
    <col min="11010" max="11010" width="8.42578125" customWidth="1"/>
    <col min="11011" max="11011" width="4.28515625" customWidth="1"/>
    <col min="11012" max="11012" width="17.140625" customWidth="1"/>
    <col min="11013" max="11013" width="10.28515625" bestFit="1" customWidth="1"/>
    <col min="11014" max="11014" width="9.7109375" customWidth="1"/>
    <col min="11015" max="11015" width="11" customWidth="1"/>
    <col min="11016" max="11016" width="11.140625" customWidth="1"/>
    <col min="11017" max="11017" width="10.28515625" customWidth="1"/>
    <col min="11018" max="11018" width="14.85546875" customWidth="1"/>
    <col min="11019" max="11019" width="9.7109375" customWidth="1"/>
    <col min="11020" max="11020" width="10.42578125" customWidth="1"/>
    <col min="11021" max="11021" width="9.5703125" customWidth="1"/>
    <col min="11022" max="11022" width="8.28515625" customWidth="1"/>
    <col min="11023" max="11023" width="13.140625" customWidth="1"/>
    <col min="11265" max="11265" width="9.140625" customWidth="1"/>
    <col min="11266" max="11266" width="8.42578125" customWidth="1"/>
    <col min="11267" max="11267" width="4.28515625" customWidth="1"/>
    <col min="11268" max="11268" width="17.140625" customWidth="1"/>
    <col min="11269" max="11269" width="10.28515625" bestFit="1" customWidth="1"/>
    <col min="11270" max="11270" width="9.7109375" customWidth="1"/>
    <col min="11271" max="11271" width="11" customWidth="1"/>
    <col min="11272" max="11272" width="11.140625" customWidth="1"/>
    <col min="11273" max="11273" width="10.28515625" customWidth="1"/>
    <col min="11274" max="11274" width="14.85546875" customWidth="1"/>
    <col min="11275" max="11275" width="9.7109375" customWidth="1"/>
    <col min="11276" max="11276" width="10.42578125" customWidth="1"/>
    <col min="11277" max="11277" width="9.5703125" customWidth="1"/>
    <col min="11278" max="11278" width="8.28515625" customWidth="1"/>
    <col min="11279" max="11279" width="13.140625" customWidth="1"/>
    <col min="11521" max="11521" width="9.140625" customWidth="1"/>
    <col min="11522" max="11522" width="8.42578125" customWidth="1"/>
    <col min="11523" max="11523" width="4.28515625" customWidth="1"/>
    <col min="11524" max="11524" width="17.140625" customWidth="1"/>
    <col min="11525" max="11525" width="10.28515625" bestFit="1" customWidth="1"/>
    <col min="11526" max="11526" width="9.7109375" customWidth="1"/>
    <col min="11527" max="11527" width="11" customWidth="1"/>
    <col min="11528" max="11528" width="11.140625" customWidth="1"/>
    <col min="11529" max="11529" width="10.28515625" customWidth="1"/>
    <col min="11530" max="11530" width="14.85546875" customWidth="1"/>
    <col min="11531" max="11531" width="9.7109375" customWidth="1"/>
    <col min="11532" max="11532" width="10.42578125" customWidth="1"/>
    <col min="11533" max="11533" width="9.5703125" customWidth="1"/>
    <col min="11534" max="11534" width="8.28515625" customWidth="1"/>
    <col min="11535" max="11535" width="13.140625" customWidth="1"/>
    <col min="11777" max="11777" width="9.140625" customWidth="1"/>
    <col min="11778" max="11778" width="8.42578125" customWidth="1"/>
    <col min="11779" max="11779" width="4.28515625" customWidth="1"/>
    <col min="11780" max="11780" width="17.140625" customWidth="1"/>
    <col min="11781" max="11781" width="10.28515625" bestFit="1" customWidth="1"/>
    <col min="11782" max="11782" width="9.7109375" customWidth="1"/>
    <col min="11783" max="11783" width="11" customWidth="1"/>
    <col min="11784" max="11784" width="11.140625" customWidth="1"/>
    <col min="11785" max="11785" width="10.28515625" customWidth="1"/>
    <col min="11786" max="11786" width="14.85546875" customWidth="1"/>
    <col min="11787" max="11787" width="9.7109375" customWidth="1"/>
    <col min="11788" max="11788" width="10.42578125" customWidth="1"/>
    <col min="11789" max="11789" width="9.5703125" customWidth="1"/>
    <col min="11790" max="11790" width="8.28515625" customWidth="1"/>
    <col min="11791" max="11791" width="13.140625" customWidth="1"/>
    <col min="12033" max="12033" width="9.140625" customWidth="1"/>
    <col min="12034" max="12034" width="8.42578125" customWidth="1"/>
    <col min="12035" max="12035" width="4.28515625" customWidth="1"/>
    <col min="12036" max="12036" width="17.140625" customWidth="1"/>
    <col min="12037" max="12037" width="10.28515625" bestFit="1" customWidth="1"/>
    <col min="12038" max="12038" width="9.7109375" customWidth="1"/>
    <col min="12039" max="12039" width="11" customWidth="1"/>
    <col min="12040" max="12040" width="11.140625" customWidth="1"/>
    <col min="12041" max="12041" width="10.28515625" customWidth="1"/>
    <col min="12042" max="12042" width="14.85546875" customWidth="1"/>
    <col min="12043" max="12043" width="9.7109375" customWidth="1"/>
    <col min="12044" max="12044" width="10.42578125" customWidth="1"/>
    <col min="12045" max="12045" width="9.5703125" customWidth="1"/>
    <col min="12046" max="12046" width="8.28515625" customWidth="1"/>
    <col min="12047" max="12047" width="13.140625" customWidth="1"/>
    <col min="12289" max="12289" width="9.140625" customWidth="1"/>
    <col min="12290" max="12290" width="8.42578125" customWidth="1"/>
    <col min="12291" max="12291" width="4.28515625" customWidth="1"/>
    <col min="12292" max="12292" width="17.140625" customWidth="1"/>
    <col min="12293" max="12293" width="10.28515625" bestFit="1" customWidth="1"/>
    <col min="12294" max="12294" width="9.7109375" customWidth="1"/>
    <col min="12295" max="12295" width="11" customWidth="1"/>
    <col min="12296" max="12296" width="11.140625" customWidth="1"/>
    <col min="12297" max="12297" width="10.28515625" customWidth="1"/>
    <col min="12298" max="12298" width="14.85546875" customWidth="1"/>
    <col min="12299" max="12299" width="9.7109375" customWidth="1"/>
    <col min="12300" max="12300" width="10.42578125" customWidth="1"/>
    <col min="12301" max="12301" width="9.5703125" customWidth="1"/>
    <col min="12302" max="12302" width="8.28515625" customWidth="1"/>
    <col min="12303" max="12303" width="13.140625" customWidth="1"/>
    <col min="12545" max="12545" width="9.140625" customWidth="1"/>
    <col min="12546" max="12546" width="8.42578125" customWidth="1"/>
    <col min="12547" max="12547" width="4.28515625" customWidth="1"/>
    <col min="12548" max="12548" width="17.140625" customWidth="1"/>
    <col min="12549" max="12549" width="10.28515625" bestFit="1" customWidth="1"/>
    <col min="12550" max="12550" width="9.7109375" customWidth="1"/>
    <col min="12551" max="12551" width="11" customWidth="1"/>
    <col min="12552" max="12552" width="11.140625" customWidth="1"/>
    <col min="12553" max="12553" width="10.28515625" customWidth="1"/>
    <col min="12554" max="12554" width="14.85546875" customWidth="1"/>
    <col min="12555" max="12555" width="9.7109375" customWidth="1"/>
    <col min="12556" max="12556" width="10.42578125" customWidth="1"/>
    <col min="12557" max="12557" width="9.5703125" customWidth="1"/>
    <col min="12558" max="12558" width="8.28515625" customWidth="1"/>
    <col min="12559" max="12559" width="13.140625" customWidth="1"/>
    <col min="12801" max="12801" width="9.140625" customWidth="1"/>
    <col min="12802" max="12802" width="8.42578125" customWidth="1"/>
    <col min="12803" max="12803" width="4.28515625" customWidth="1"/>
    <col min="12804" max="12804" width="17.140625" customWidth="1"/>
    <col min="12805" max="12805" width="10.28515625" bestFit="1" customWidth="1"/>
    <col min="12806" max="12806" width="9.7109375" customWidth="1"/>
    <col min="12807" max="12807" width="11" customWidth="1"/>
    <col min="12808" max="12808" width="11.140625" customWidth="1"/>
    <col min="12809" max="12809" width="10.28515625" customWidth="1"/>
    <col min="12810" max="12810" width="14.85546875" customWidth="1"/>
    <col min="12811" max="12811" width="9.7109375" customWidth="1"/>
    <col min="12812" max="12812" width="10.42578125" customWidth="1"/>
    <col min="12813" max="12813" width="9.5703125" customWidth="1"/>
    <col min="12814" max="12814" width="8.28515625" customWidth="1"/>
    <col min="12815" max="12815" width="13.140625" customWidth="1"/>
    <col min="13057" max="13057" width="9.140625" customWidth="1"/>
    <col min="13058" max="13058" width="8.42578125" customWidth="1"/>
    <col min="13059" max="13059" width="4.28515625" customWidth="1"/>
    <col min="13060" max="13060" width="17.140625" customWidth="1"/>
    <col min="13061" max="13061" width="10.28515625" bestFit="1" customWidth="1"/>
    <col min="13062" max="13062" width="9.7109375" customWidth="1"/>
    <col min="13063" max="13063" width="11" customWidth="1"/>
    <col min="13064" max="13064" width="11.140625" customWidth="1"/>
    <col min="13065" max="13065" width="10.28515625" customWidth="1"/>
    <col min="13066" max="13066" width="14.85546875" customWidth="1"/>
    <col min="13067" max="13067" width="9.7109375" customWidth="1"/>
    <col min="13068" max="13068" width="10.42578125" customWidth="1"/>
    <col min="13069" max="13069" width="9.5703125" customWidth="1"/>
    <col min="13070" max="13070" width="8.28515625" customWidth="1"/>
    <col min="13071" max="13071" width="13.140625" customWidth="1"/>
    <col min="13313" max="13313" width="9.140625" customWidth="1"/>
    <col min="13314" max="13314" width="8.42578125" customWidth="1"/>
    <col min="13315" max="13315" width="4.28515625" customWidth="1"/>
    <col min="13316" max="13316" width="17.140625" customWidth="1"/>
    <col min="13317" max="13317" width="10.28515625" bestFit="1" customWidth="1"/>
    <col min="13318" max="13318" width="9.7109375" customWidth="1"/>
    <col min="13319" max="13319" width="11" customWidth="1"/>
    <col min="13320" max="13320" width="11.140625" customWidth="1"/>
    <col min="13321" max="13321" width="10.28515625" customWidth="1"/>
    <col min="13322" max="13322" width="14.85546875" customWidth="1"/>
    <col min="13323" max="13323" width="9.7109375" customWidth="1"/>
    <col min="13324" max="13324" width="10.42578125" customWidth="1"/>
    <col min="13325" max="13325" width="9.5703125" customWidth="1"/>
    <col min="13326" max="13326" width="8.28515625" customWidth="1"/>
    <col min="13327" max="13327" width="13.140625" customWidth="1"/>
    <col min="13569" max="13569" width="9.140625" customWidth="1"/>
    <col min="13570" max="13570" width="8.42578125" customWidth="1"/>
    <col min="13571" max="13571" width="4.28515625" customWidth="1"/>
    <col min="13572" max="13572" width="17.140625" customWidth="1"/>
    <col min="13573" max="13573" width="10.28515625" bestFit="1" customWidth="1"/>
    <col min="13574" max="13574" width="9.7109375" customWidth="1"/>
    <col min="13575" max="13575" width="11" customWidth="1"/>
    <col min="13576" max="13576" width="11.140625" customWidth="1"/>
    <col min="13577" max="13577" width="10.28515625" customWidth="1"/>
    <col min="13578" max="13578" width="14.85546875" customWidth="1"/>
    <col min="13579" max="13579" width="9.7109375" customWidth="1"/>
    <col min="13580" max="13580" width="10.42578125" customWidth="1"/>
    <col min="13581" max="13581" width="9.5703125" customWidth="1"/>
    <col min="13582" max="13582" width="8.28515625" customWidth="1"/>
    <col min="13583" max="13583" width="13.140625" customWidth="1"/>
    <col min="13825" max="13825" width="9.140625" customWidth="1"/>
    <col min="13826" max="13826" width="8.42578125" customWidth="1"/>
    <col min="13827" max="13827" width="4.28515625" customWidth="1"/>
    <col min="13828" max="13828" width="17.140625" customWidth="1"/>
    <col min="13829" max="13829" width="10.28515625" bestFit="1" customWidth="1"/>
    <col min="13830" max="13830" width="9.7109375" customWidth="1"/>
    <col min="13831" max="13831" width="11" customWidth="1"/>
    <col min="13832" max="13832" width="11.140625" customWidth="1"/>
    <col min="13833" max="13833" width="10.28515625" customWidth="1"/>
    <col min="13834" max="13834" width="14.85546875" customWidth="1"/>
    <col min="13835" max="13835" width="9.7109375" customWidth="1"/>
    <col min="13836" max="13836" width="10.42578125" customWidth="1"/>
    <col min="13837" max="13837" width="9.5703125" customWidth="1"/>
    <col min="13838" max="13838" width="8.28515625" customWidth="1"/>
    <col min="13839" max="13839" width="13.140625" customWidth="1"/>
    <col min="14081" max="14081" width="9.140625" customWidth="1"/>
    <col min="14082" max="14082" width="8.42578125" customWidth="1"/>
    <col min="14083" max="14083" width="4.28515625" customWidth="1"/>
    <col min="14084" max="14084" width="17.140625" customWidth="1"/>
    <col min="14085" max="14085" width="10.28515625" bestFit="1" customWidth="1"/>
    <col min="14086" max="14086" width="9.7109375" customWidth="1"/>
    <col min="14087" max="14087" width="11" customWidth="1"/>
    <col min="14088" max="14088" width="11.140625" customWidth="1"/>
    <col min="14089" max="14089" width="10.28515625" customWidth="1"/>
    <col min="14090" max="14090" width="14.85546875" customWidth="1"/>
    <col min="14091" max="14091" width="9.7109375" customWidth="1"/>
    <col min="14092" max="14092" width="10.42578125" customWidth="1"/>
    <col min="14093" max="14093" width="9.5703125" customWidth="1"/>
    <col min="14094" max="14094" width="8.28515625" customWidth="1"/>
    <col min="14095" max="14095" width="13.140625" customWidth="1"/>
    <col min="14337" max="14337" width="9.140625" customWidth="1"/>
    <col min="14338" max="14338" width="8.42578125" customWidth="1"/>
    <col min="14339" max="14339" width="4.28515625" customWidth="1"/>
    <col min="14340" max="14340" width="17.140625" customWidth="1"/>
    <col min="14341" max="14341" width="10.28515625" bestFit="1" customWidth="1"/>
    <col min="14342" max="14342" width="9.7109375" customWidth="1"/>
    <col min="14343" max="14343" width="11" customWidth="1"/>
    <col min="14344" max="14344" width="11.140625" customWidth="1"/>
    <col min="14345" max="14345" width="10.28515625" customWidth="1"/>
    <col min="14346" max="14346" width="14.85546875" customWidth="1"/>
    <col min="14347" max="14347" width="9.7109375" customWidth="1"/>
    <col min="14348" max="14348" width="10.42578125" customWidth="1"/>
    <col min="14349" max="14349" width="9.5703125" customWidth="1"/>
    <col min="14350" max="14350" width="8.28515625" customWidth="1"/>
    <col min="14351" max="14351" width="13.140625" customWidth="1"/>
    <col min="14593" max="14593" width="9.140625" customWidth="1"/>
    <col min="14594" max="14594" width="8.42578125" customWidth="1"/>
    <col min="14595" max="14595" width="4.28515625" customWidth="1"/>
    <col min="14596" max="14596" width="17.140625" customWidth="1"/>
    <col min="14597" max="14597" width="10.28515625" bestFit="1" customWidth="1"/>
    <col min="14598" max="14598" width="9.7109375" customWidth="1"/>
    <col min="14599" max="14599" width="11" customWidth="1"/>
    <col min="14600" max="14600" width="11.140625" customWidth="1"/>
    <col min="14601" max="14601" width="10.28515625" customWidth="1"/>
    <col min="14602" max="14602" width="14.85546875" customWidth="1"/>
    <col min="14603" max="14603" width="9.7109375" customWidth="1"/>
    <col min="14604" max="14604" width="10.42578125" customWidth="1"/>
    <col min="14605" max="14605" width="9.5703125" customWidth="1"/>
    <col min="14606" max="14606" width="8.28515625" customWidth="1"/>
    <col min="14607" max="14607" width="13.140625" customWidth="1"/>
    <col min="14849" max="14849" width="9.140625" customWidth="1"/>
    <col min="14850" max="14850" width="8.42578125" customWidth="1"/>
    <col min="14851" max="14851" width="4.28515625" customWidth="1"/>
    <col min="14852" max="14852" width="17.140625" customWidth="1"/>
    <col min="14853" max="14853" width="10.28515625" bestFit="1" customWidth="1"/>
    <col min="14854" max="14854" width="9.7109375" customWidth="1"/>
    <col min="14855" max="14855" width="11" customWidth="1"/>
    <col min="14856" max="14856" width="11.140625" customWidth="1"/>
    <col min="14857" max="14857" width="10.28515625" customWidth="1"/>
    <col min="14858" max="14858" width="14.85546875" customWidth="1"/>
    <col min="14859" max="14859" width="9.7109375" customWidth="1"/>
    <col min="14860" max="14860" width="10.42578125" customWidth="1"/>
    <col min="14861" max="14861" width="9.5703125" customWidth="1"/>
    <col min="14862" max="14862" width="8.28515625" customWidth="1"/>
    <col min="14863" max="14863" width="13.140625" customWidth="1"/>
    <col min="15105" max="15105" width="9.140625" customWidth="1"/>
    <col min="15106" max="15106" width="8.42578125" customWidth="1"/>
    <col min="15107" max="15107" width="4.28515625" customWidth="1"/>
    <col min="15108" max="15108" width="17.140625" customWidth="1"/>
    <col min="15109" max="15109" width="10.28515625" bestFit="1" customWidth="1"/>
    <col min="15110" max="15110" width="9.7109375" customWidth="1"/>
    <col min="15111" max="15111" width="11" customWidth="1"/>
    <col min="15112" max="15112" width="11.140625" customWidth="1"/>
    <col min="15113" max="15113" width="10.28515625" customWidth="1"/>
    <col min="15114" max="15114" width="14.85546875" customWidth="1"/>
    <col min="15115" max="15115" width="9.7109375" customWidth="1"/>
    <col min="15116" max="15116" width="10.42578125" customWidth="1"/>
    <col min="15117" max="15117" width="9.5703125" customWidth="1"/>
    <col min="15118" max="15118" width="8.28515625" customWidth="1"/>
    <col min="15119" max="15119" width="13.140625" customWidth="1"/>
    <col min="15361" max="15361" width="9.140625" customWidth="1"/>
    <col min="15362" max="15362" width="8.42578125" customWidth="1"/>
    <col min="15363" max="15363" width="4.28515625" customWidth="1"/>
    <col min="15364" max="15364" width="17.140625" customWidth="1"/>
    <col min="15365" max="15365" width="10.28515625" bestFit="1" customWidth="1"/>
    <col min="15366" max="15366" width="9.7109375" customWidth="1"/>
    <col min="15367" max="15367" width="11" customWidth="1"/>
    <col min="15368" max="15368" width="11.140625" customWidth="1"/>
    <col min="15369" max="15369" width="10.28515625" customWidth="1"/>
    <col min="15370" max="15370" width="14.85546875" customWidth="1"/>
    <col min="15371" max="15371" width="9.7109375" customWidth="1"/>
    <col min="15372" max="15372" width="10.42578125" customWidth="1"/>
    <col min="15373" max="15373" width="9.5703125" customWidth="1"/>
    <col min="15374" max="15374" width="8.28515625" customWidth="1"/>
    <col min="15375" max="15375" width="13.140625" customWidth="1"/>
    <col min="15617" max="15617" width="9.140625" customWidth="1"/>
    <col min="15618" max="15618" width="8.42578125" customWidth="1"/>
    <col min="15619" max="15619" width="4.28515625" customWidth="1"/>
    <col min="15620" max="15620" width="17.140625" customWidth="1"/>
    <col min="15621" max="15621" width="10.28515625" bestFit="1" customWidth="1"/>
    <col min="15622" max="15622" width="9.7109375" customWidth="1"/>
    <col min="15623" max="15623" width="11" customWidth="1"/>
    <col min="15624" max="15624" width="11.140625" customWidth="1"/>
    <col min="15625" max="15625" width="10.28515625" customWidth="1"/>
    <col min="15626" max="15626" width="14.85546875" customWidth="1"/>
    <col min="15627" max="15627" width="9.7109375" customWidth="1"/>
    <col min="15628" max="15628" width="10.42578125" customWidth="1"/>
    <col min="15629" max="15629" width="9.5703125" customWidth="1"/>
    <col min="15630" max="15630" width="8.28515625" customWidth="1"/>
    <col min="15631" max="15631" width="13.140625" customWidth="1"/>
    <col min="15873" max="15873" width="9.140625" customWidth="1"/>
    <col min="15874" max="15874" width="8.42578125" customWidth="1"/>
    <col min="15875" max="15875" width="4.28515625" customWidth="1"/>
    <col min="15876" max="15876" width="17.140625" customWidth="1"/>
    <col min="15877" max="15877" width="10.28515625" bestFit="1" customWidth="1"/>
    <col min="15878" max="15878" width="9.7109375" customWidth="1"/>
    <col min="15879" max="15879" width="11" customWidth="1"/>
    <col min="15880" max="15880" width="11.140625" customWidth="1"/>
    <col min="15881" max="15881" width="10.28515625" customWidth="1"/>
    <col min="15882" max="15882" width="14.85546875" customWidth="1"/>
    <col min="15883" max="15883" width="9.7109375" customWidth="1"/>
    <col min="15884" max="15884" width="10.42578125" customWidth="1"/>
    <col min="15885" max="15885" width="9.5703125" customWidth="1"/>
    <col min="15886" max="15886" width="8.28515625" customWidth="1"/>
    <col min="15887" max="15887" width="13.140625" customWidth="1"/>
    <col min="16129" max="16129" width="9.140625" customWidth="1"/>
    <col min="16130" max="16130" width="8.42578125" customWidth="1"/>
    <col min="16131" max="16131" width="4.28515625" customWidth="1"/>
    <col min="16132" max="16132" width="17.140625" customWidth="1"/>
    <col min="16133" max="16133" width="10.28515625" bestFit="1" customWidth="1"/>
    <col min="16134" max="16134" width="9.7109375" customWidth="1"/>
    <col min="16135" max="16135" width="11" customWidth="1"/>
    <col min="16136" max="16136" width="11.140625" customWidth="1"/>
    <col min="16137" max="16137" width="10.28515625" customWidth="1"/>
    <col min="16138" max="16138" width="14.85546875" customWidth="1"/>
    <col min="16139" max="16139" width="9.7109375" customWidth="1"/>
    <col min="16140" max="16140" width="10.42578125" customWidth="1"/>
    <col min="16141" max="16141" width="9.5703125" customWidth="1"/>
    <col min="16142" max="16142" width="8.28515625" customWidth="1"/>
    <col min="16143" max="16143" width="13.140625" customWidth="1"/>
  </cols>
  <sheetData>
    <row r="1" spans="4:15" ht="15.75" thickBot="1" x14ac:dyDescent="0.3"/>
    <row r="2" spans="4:15" x14ac:dyDescent="0.25">
      <c r="D2" s="783" t="s">
        <v>45</v>
      </c>
      <c r="E2" s="784"/>
      <c r="F2" s="784"/>
      <c r="G2" s="784"/>
      <c r="H2" s="784"/>
      <c r="I2" s="784"/>
      <c r="J2" s="784"/>
      <c r="K2" s="784"/>
      <c r="L2" s="784"/>
      <c r="M2" s="784"/>
      <c r="N2" s="784"/>
      <c r="O2" s="785"/>
    </row>
    <row r="3" spans="4:15" x14ac:dyDescent="0.25">
      <c r="D3" s="786"/>
      <c r="E3" s="787"/>
      <c r="F3" s="787"/>
      <c r="G3" s="787"/>
      <c r="H3" s="787"/>
      <c r="I3" s="787"/>
      <c r="J3" s="787"/>
      <c r="K3" s="787"/>
      <c r="L3" s="787"/>
      <c r="M3" s="787"/>
      <c r="N3" s="787"/>
      <c r="O3" s="788"/>
    </row>
    <row r="4" spans="4:15" ht="20.100000000000001" customHeight="1" x14ac:dyDescent="0.25">
      <c r="D4" s="789" t="s">
        <v>46</v>
      </c>
      <c r="E4" s="790"/>
      <c r="F4" s="790"/>
      <c r="G4" s="790"/>
      <c r="H4" s="790"/>
      <c r="I4" s="790"/>
      <c r="J4" s="790"/>
      <c r="K4" s="790"/>
      <c r="L4" s="790"/>
      <c r="M4" s="790"/>
      <c r="N4" s="790"/>
      <c r="O4" s="791"/>
    </row>
    <row r="5" spans="4:15" ht="20.100000000000001" customHeight="1" x14ac:dyDescent="0.25">
      <c r="D5" s="21" t="s">
        <v>47</v>
      </c>
      <c r="E5" s="22"/>
      <c r="F5" s="23"/>
      <c r="G5" s="22"/>
      <c r="H5" s="24"/>
      <c r="I5" s="22" t="s">
        <v>48</v>
      </c>
      <c r="J5" s="25">
        <v>44857</v>
      </c>
      <c r="K5" s="26"/>
      <c r="L5" s="27"/>
      <c r="M5" s="28" t="s">
        <v>49</v>
      </c>
      <c r="N5" s="22"/>
      <c r="O5" s="29"/>
    </row>
    <row r="6" spans="4:15" ht="20.100000000000001" customHeight="1" x14ac:dyDescent="0.25">
      <c r="D6" s="30" t="s">
        <v>50</v>
      </c>
      <c r="E6" s="31"/>
      <c r="F6" s="32"/>
      <c r="G6" s="33" t="s">
        <v>51</v>
      </c>
      <c r="H6" s="31"/>
      <c r="I6" s="34"/>
      <c r="J6" s="35"/>
      <c r="K6" s="36" t="s">
        <v>52</v>
      </c>
      <c r="L6" s="35"/>
      <c r="M6" s="34"/>
      <c r="N6" s="31"/>
      <c r="O6" s="37"/>
    </row>
    <row r="7" spans="4:15" ht="20.100000000000001" customHeight="1" x14ac:dyDescent="0.25">
      <c r="D7" s="789" t="s">
        <v>53</v>
      </c>
      <c r="E7" s="790"/>
      <c r="F7" s="790"/>
      <c r="G7" s="790"/>
      <c r="H7" s="790"/>
      <c r="I7" s="790"/>
      <c r="J7" s="790"/>
      <c r="K7" s="790"/>
      <c r="L7" s="790"/>
      <c r="M7" s="790"/>
      <c r="N7" s="790"/>
      <c r="O7" s="791"/>
    </row>
    <row r="8" spans="4:15" s="38" customFormat="1" ht="35.25" customHeight="1" x14ac:dyDescent="0.25">
      <c r="D8" s="39" t="s">
        <v>54</v>
      </c>
      <c r="E8" s="40" t="s">
        <v>55</v>
      </c>
      <c r="F8" s="41" t="s">
        <v>56</v>
      </c>
      <c r="G8" s="42" t="s">
        <v>57</v>
      </c>
      <c r="H8" s="43" t="s">
        <v>58</v>
      </c>
      <c r="I8" s="44" t="s">
        <v>59</v>
      </c>
      <c r="J8" s="45" t="s">
        <v>60</v>
      </c>
      <c r="K8" s="43" t="s">
        <v>61</v>
      </c>
      <c r="L8" s="46" t="s">
        <v>62</v>
      </c>
      <c r="M8" s="46" t="s">
        <v>63</v>
      </c>
      <c r="N8" s="43" t="s">
        <v>64</v>
      </c>
      <c r="O8" s="47" t="s">
        <v>65</v>
      </c>
    </row>
    <row r="9" spans="4:15" ht="20.100000000000001" customHeight="1" x14ac:dyDescent="0.25">
      <c r="D9" s="48">
        <v>35</v>
      </c>
      <c r="E9" s="49">
        <v>4</v>
      </c>
      <c r="F9" s="50">
        <v>35</v>
      </c>
      <c r="G9" s="51" t="s">
        <v>171</v>
      </c>
      <c r="H9" s="52">
        <v>205</v>
      </c>
      <c r="I9" s="51">
        <v>350</v>
      </c>
      <c r="J9" s="53">
        <f>SUM(H9/I9)</f>
        <v>0.58571428571428574</v>
      </c>
      <c r="K9" s="54">
        <v>0.46500000000000002</v>
      </c>
      <c r="L9" s="55">
        <v>0.03</v>
      </c>
      <c r="M9" s="56">
        <v>19.100000000000001</v>
      </c>
      <c r="N9" s="57">
        <v>28</v>
      </c>
      <c r="O9" s="58" t="s">
        <v>66</v>
      </c>
    </row>
    <row r="10" spans="4:15" ht="18.75" x14ac:dyDescent="0.25">
      <c r="D10" s="789" t="s">
        <v>67</v>
      </c>
      <c r="E10" s="790"/>
      <c r="F10" s="790"/>
      <c r="G10" s="790"/>
      <c r="H10" s="790"/>
      <c r="I10" s="790"/>
      <c r="J10" s="790"/>
      <c r="K10" s="790"/>
      <c r="L10" s="790"/>
      <c r="M10" s="790"/>
      <c r="N10" s="790"/>
      <c r="O10" s="791"/>
    </row>
    <row r="11" spans="4:15" s="38" customFormat="1" ht="25.5" x14ac:dyDescent="0.25">
      <c r="D11" s="792" t="s">
        <v>68</v>
      </c>
      <c r="E11" s="793"/>
      <c r="F11" s="794" t="s">
        <v>69</v>
      </c>
      <c r="G11" s="795"/>
      <c r="H11" s="794" t="s">
        <v>70</v>
      </c>
      <c r="I11" s="795"/>
      <c r="J11" s="59" t="s">
        <v>71</v>
      </c>
      <c r="K11" s="60" t="s">
        <v>72</v>
      </c>
      <c r="L11" s="61" t="s">
        <v>73</v>
      </c>
      <c r="M11" s="62"/>
      <c r="N11" s="61"/>
      <c r="O11" s="63"/>
    </row>
    <row r="12" spans="4:15" ht="15" customHeight="1" x14ac:dyDescent="0.25">
      <c r="D12" s="796" t="s">
        <v>74</v>
      </c>
      <c r="E12" s="797"/>
      <c r="F12" s="798" t="s">
        <v>75</v>
      </c>
      <c r="G12" s="799"/>
      <c r="H12" s="798" t="s">
        <v>76</v>
      </c>
      <c r="I12" s="799"/>
      <c r="J12" s="64" t="s">
        <v>77</v>
      </c>
      <c r="K12" s="65">
        <v>4.3499999999999996</v>
      </c>
      <c r="L12" s="66">
        <v>3</v>
      </c>
      <c r="M12" s="67"/>
      <c r="N12" s="68"/>
      <c r="O12" s="69"/>
    </row>
    <row r="13" spans="4:15" ht="15" customHeight="1" x14ac:dyDescent="0.25">
      <c r="D13" s="800" t="s">
        <v>78</v>
      </c>
      <c r="E13" s="801"/>
      <c r="F13" s="802" t="s">
        <v>79</v>
      </c>
      <c r="G13" s="803"/>
      <c r="H13" s="804" t="s">
        <v>79</v>
      </c>
      <c r="I13" s="803"/>
      <c r="J13" s="70" t="s">
        <v>79</v>
      </c>
      <c r="K13" s="71"/>
      <c r="L13" s="72">
        <v>1</v>
      </c>
      <c r="M13" s="73"/>
      <c r="N13" s="73"/>
      <c r="O13" s="74"/>
    </row>
    <row r="14" spans="4:15" ht="15" customHeight="1" x14ac:dyDescent="0.25">
      <c r="D14" s="805" t="s">
        <v>80</v>
      </c>
      <c r="E14" s="806"/>
      <c r="F14" s="802" t="s">
        <v>81</v>
      </c>
      <c r="G14" s="803"/>
      <c r="H14" s="802" t="s">
        <v>82</v>
      </c>
      <c r="I14" s="803"/>
      <c r="J14" s="75" t="s">
        <v>83</v>
      </c>
      <c r="K14" s="71"/>
      <c r="L14" s="72">
        <v>2.63</v>
      </c>
      <c r="M14" s="73"/>
      <c r="N14" s="76"/>
      <c r="O14" s="74"/>
    </row>
    <row r="15" spans="4:15" ht="15" customHeight="1" x14ac:dyDescent="0.25">
      <c r="D15" s="805" t="s">
        <v>84</v>
      </c>
      <c r="E15" s="806"/>
      <c r="F15" s="802" t="s">
        <v>81</v>
      </c>
      <c r="G15" s="803"/>
      <c r="H15" s="804" t="s">
        <v>85</v>
      </c>
      <c r="I15" s="803"/>
      <c r="J15" s="70" t="s">
        <v>86</v>
      </c>
      <c r="K15" s="71"/>
      <c r="L15" s="72">
        <v>2.7</v>
      </c>
      <c r="M15" s="73"/>
      <c r="N15" s="76"/>
      <c r="O15" s="74"/>
    </row>
    <row r="16" spans="4:15" ht="15" customHeight="1" x14ac:dyDescent="0.25">
      <c r="D16" s="805" t="s">
        <v>87</v>
      </c>
      <c r="E16" s="806"/>
      <c r="F16" s="807"/>
      <c r="G16" s="808"/>
      <c r="H16" s="807"/>
      <c r="I16" s="808"/>
      <c r="J16" s="75"/>
      <c r="K16" s="71"/>
      <c r="L16" s="72">
        <v>1</v>
      </c>
      <c r="M16" s="73"/>
      <c r="N16" s="76"/>
      <c r="O16" s="74"/>
    </row>
    <row r="17" spans="2:15" ht="15" customHeight="1" x14ac:dyDescent="0.25">
      <c r="D17" s="805" t="s">
        <v>88</v>
      </c>
      <c r="E17" s="806"/>
      <c r="F17" s="802" t="s">
        <v>89</v>
      </c>
      <c r="G17" s="803"/>
      <c r="H17" s="804" t="s">
        <v>90</v>
      </c>
      <c r="I17" s="803"/>
      <c r="J17" s="70" t="s">
        <v>91</v>
      </c>
      <c r="K17" s="71"/>
      <c r="L17" s="72">
        <v>2.69</v>
      </c>
      <c r="M17" s="73"/>
      <c r="N17" s="76"/>
      <c r="O17" s="74"/>
    </row>
    <row r="18" spans="2:15" ht="15" customHeight="1" x14ac:dyDescent="0.25">
      <c r="D18" s="805" t="s">
        <v>93</v>
      </c>
      <c r="E18" s="806"/>
      <c r="F18" s="802" t="s">
        <v>94</v>
      </c>
      <c r="G18" s="803"/>
      <c r="H18" s="802" t="s">
        <v>90</v>
      </c>
      <c r="I18" s="803"/>
      <c r="J18" s="75" t="s">
        <v>94</v>
      </c>
      <c r="K18" s="71"/>
      <c r="L18" s="72">
        <v>2.69</v>
      </c>
      <c r="M18" s="73"/>
      <c r="N18" s="76"/>
      <c r="O18" s="74"/>
    </row>
    <row r="19" spans="2:15" ht="15" customHeight="1" x14ac:dyDescent="0.25">
      <c r="D19" s="805" t="s">
        <v>95</v>
      </c>
      <c r="E19" s="806"/>
      <c r="F19" s="802"/>
      <c r="G19" s="803"/>
      <c r="H19" s="804"/>
      <c r="I19" s="803"/>
      <c r="J19" s="70"/>
      <c r="K19" s="71"/>
      <c r="L19" s="72">
        <v>1</v>
      </c>
      <c r="M19" s="73"/>
      <c r="N19" s="76"/>
      <c r="O19" s="74"/>
    </row>
    <row r="20" spans="2:15" ht="15" customHeight="1" x14ac:dyDescent="0.25">
      <c r="D20" s="800" t="s">
        <v>96</v>
      </c>
      <c r="E20" s="801"/>
      <c r="F20" s="802" t="s">
        <v>97</v>
      </c>
      <c r="G20" s="803"/>
      <c r="H20" s="802" t="s">
        <v>98</v>
      </c>
      <c r="I20" s="803"/>
      <c r="J20" s="75" t="s">
        <v>99</v>
      </c>
      <c r="K20" s="71"/>
      <c r="L20" s="72">
        <v>1.18</v>
      </c>
      <c r="M20" s="73"/>
      <c r="N20" s="76"/>
      <c r="O20" s="74"/>
    </row>
    <row r="21" spans="2:15" ht="15" customHeight="1" x14ac:dyDescent="0.25">
      <c r="D21" s="800" t="s">
        <v>100</v>
      </c>
      <c r="E21" s="801"/>
      <c r="F21" s="802" t="s">
        <v>101</v>
      </c>
      <c r="G21" s="803"/>
      <c r="H21" s="802" t="s">
        <v>98</v>
      </c>
      <c r="I21" s="803"/>
      <c r="J21" s="75" t="s">
        <v>102</v>
      </c>
      <c r="K21" s="71"/>
      <c r="L21" s="72">
        <v>1.1000000000000001</v>
      </c>
      <c r="M21" s="73"/>
      <c r="N21" s="76"/>
      <c r="O21" s="74"/>
    </row>
    <row r="22" spans="2:15" ht="15" customHeight="1" x14ac:dyDescent="0.25">
      <c r="D22" s="805" t="s">
        <v>103</v>
      </c>
      <c r="E22" s="806"/>
      <c r="F22" s="807"/>
      <c r="G22" s="808"/>
      <c r="H22" s="807"/>
      <c r="I22" s="808"/>
      <c r="J22" s="75"/>
      <c r="K22" s="71"/>
      <c r="L22" s="72">
        <v>1</v>
      </c>
      <c r="M22" s="73"/>
      <c r="N22" s="76"/>
      <c r="O22" s="74"/>
    </row>
    <row r="23" spans="2:15" ht="15" customHeight="1" x14ac:dyDescent="0.25">
      <c r="D23" s="800" t="s">
        <v>104</v>
      </c>
      <c r="E23" s="801"/>
      <c r="F23" s="802"/>
      <c r="G23" s="803"/>
      <c r="H23" s="804"/>
      <c r="I23" s="803"/>
      <c r="J23" s="70"/>
      <c r="K23" s="71"/>
      <c r="L23" s="72">
        <v>1</v>
      </c>
      <c r="M23" s="73"/>
      <c r="N23" s="76"/>
      <c r="O23" s="74"/>
    </row>
    <row r="24" spans="2:15" ht="15" customHeight="1" x14ac:dyDescent="0.25">
      <c r="D24" s="812" t="s">
        <v>105</v>
      </c>
      <c r="E24" s="813"/>
      <c r="F24" s="814"/>
      <c r="G24" s="815"/>
      <c r="H24" s="816"/>
      <c r="I24" s="815"/>
      <c r="J24" s="77"/>
      <c r="K24" s="78"/>
      <c r="L24" s="79">
        <v>1</v>
      </c>
      <c r="M24" s="80"/>
      <c r="N24" s="79"/>
      <c r="O24" s="81"/>
    </row>
    <row r="25" spans="2:15" ht="20.100000000000001" customHeight="1" x14ac:dyDescent="0.25">
      <c r="B25" s="82"/>
      <c r="C25" s="83"/>
      <c r="D25" s="789" t="s">
        <v>106</v>
      </c>
      <c r="E25" s="790"/>
      <c r="F25" s="790"/>
      <c r="G25" s="790"/>
      <c r="H25" s="790"/>
      <c r="I25" s="790"/>
      <c r="J25" s="790"/>
      <c r="K25" s="790"/>
      <c r="L25" s="790"/>
      <c r="M25" s="790"/>
      <c r="N25" s="790"/>
      <c r="O25" s="791"/>
    </row>
    <row r="26" spans="2:15" ht="16.5" x14ac:dyDescent="0.25">
      <c r="D26" s="817" t="s">
        <v>107</v>
      </c>
      <c r="E26" s="818"/>
      <c r="F26" s="818"/>
      <c r="G26" s="818"/>
      <c r="H26" s="818"/>
      <c r="I26" s="819"/>
      <c r="J26" s="820" t="s">
        <v>108</v>
      </c>
      <c r="K26" s="818"/>
      <c r="L26" s="818"/>
      <c r="M26" s="818"/>
      <c r="N26" s="84">
        <v>25</v>
      </c>
      <c r="O26" s="85" t="s">
        <v>109</v>
      </c>
    </row>
    <row r="27" spans="2:15" ht="25.5" x14ac:dyDescent="0.25">
      <c r="D27" s="821" t="s">
        <v>68</v>
      </c>
      <c r="E27" s="822"/>
      <c r="F27" s="86" t="s">
        <v>110</v>
      </c>
      <c r="G27" s="87" t="s">
        <v>111</v>
      </c>
      <c r="H27" s="86" t="s">
        <v>112</v>
      </c>
      <c r="I27" s="87" t="s">
        <v>113</v>
      </c>
      <c r="J27" s="823" t="s">
        <v>114</v>
      </c>
      <c r="K27" s="822"/>
      <c r="L27" s="86" t="s">
        <v>115</v>
      </c>
      <c r="M27" s="88" t="s">
        <v>116</v>
      </c>
      <c r="N27" s="86" t="s">
        <v>117</v>
      </c>
      <c r="O27" s="89" t="s">
        <v>118</v>
      </c>
    </row>
    <row r="28" spans="2:15" ht="18.95" customHeight="1" x14ac:dyDescent="0.25">
      <c r="D28" s="90" t="s">
        <v>119</v>
      </c>
      <c r="E28" s="91"/>
      <c r="F28" s="92">
        <f>I9</f>
        <v>350</v>
      </c>
      <c r="G28" s="824">
        <f>F28/I9</f>
        <v>1</v>
      </c>
      <c r="H28" s="826">
        <f>IF(H9=0," ",($L28+$O28)/($L$28+$O$28))</f>
        <v>1</v>
      </c>
      <c r="I28" s="93">
        <f>IF(H9=0," ",B25-I29)</f>
        <v>0</v>
      </c>
      <c r="J28" s="94" t="s">
        <v>119</v>
      </c>
      <c r="K28" s="95" t="str">
        <f>IF($J12=0," ",$J12)</f>
        <v>CPII E 40</v>
      </c>
      <c r="L28" s="96">
        <f>IF(H9=0," ",$F28*($N$26/1000))</f>
        <v>8.75</v>
      </c>
      <c r="M28" s="97"/>
      <c r="N28" s="98"/>
      <c r="O28" s="99"/>
    </row>
    <row r="29" spans="2:15" ht="18.95" customHeight="1" x14ac:dyDescent="0.25">
      <c r="D29" s="100" t="s">
        <v>120</v>
      </c>
      <c r="E29" s="196">
        <f>F29/F28</f>
        <v>4.2857142857142858E-2</v>
      </c>
      <c r="F29" s="102">
        <v>15</v>
      </c>
      <c r="G29" s="825"/>
      <c r="H29" s="827"/>
      <c r="I29" s="103">
        <f>IF(H9=0," ",B25*E29)</f>
        <v>0</v>
      </c>
      <c r="J29" s="104" t="s">
        <v>120</v>
      </c>
      <c r="K29" s="105" t="str">
        <f>IF($J13=0," ",$J13)</f>
        <v xml:space="preserve"> </v>
      </c>
      <c r="L29" s="106">
        <f>IF(H9=0," ",$F29*($N$26/1000))</f>
        <v>0.375</v>
      </c>
      <c r="M29" s="107"/>
      <c r="N29" s="108" t="s">
        <v>79</v>
      </c>
      <c r="O29" s="109"/>
    </row>
    <row r="30" spans="2:15" ht="18.95" customHeight="1" x14ac:dyDescent="0.25">
      <c r="D30" s="110" t="s">
        <v>121</v>
      </c>
      <c r="E30" s="197">
        <f>SUM($F$30/($F$30+$F$31+$F$32))</f>
        <v>0.67522658610271902</v>
      </c>
      <c r="F30" s="102">
        <v>447</v>
      </c>
      <c r="G30" s="111">
        <f>IF(H9=0," ",$F30/($F$28+$F$29))</f>
        <v>1.2246575342465753</v>
      </c>
      <c r="H30" s="111">
        <f>IF(H9=0," ",(($L30+($O30/(1+$M30)))/($L$28+$O$28+$L$29+$O$29)))</f>
        <v>1.2246575342465755</v>
      </c>
      <c r="I30" s="103">
        <f>IF(H9=0," ",$H30*$B$25)</f>
        <v>0</v>
      </c>
      <c r="J30" s="112" t="s">
        <v>121</v>
      </c>
      <c r="K30" s="105" t="str">
        <f>IF($J14=0," ",$J14)</f>
        <v>AQFINA</v>
      </c>
      <c r="L30" s="111">
        <f>IF(H9=0," ",$F30*($N$26/1000))</f>
        <v>11.175000000000001</v>
      </c>
      <c r="M30" s="113">
        <v>0</v>
      </c>
      <c r="N30" s="108">
        <f>IF($M30=" "," ",$L30*(1+$M30))</f>
        <v>11.175000000000001</v>
      </c>
      <c r="O30" s="114"/>
    </row>
    <row r="31" spans="2:15" ht="18.95" customHeight="1" x14ac:dyDescent="0.25">
      <c r="D31" s="110" t="s">
        <v>84</v>
      </c>
      <c r="E31" s="197">
        <f>SUM($F$31/($F$30+$F$31+$F$32))</f>
        <v>0.32477341389728098</v>
      </c>
      <c r="F31" s="102">
        <v>215</v>
      </c>
      <c r="G31" s="111">
        <f>IF(H9=0," ",$F31/($F$28+$F$29))</f>
        <v>0.58904109589041098</v>
      </c>
      <c r="H31" s="111">
        <f>IF(H9=0," ",(($L31+($O31/(1+$M31)))/($L$28+$O$28+$L$29+$O$29)))</f>
        <v>0.58904109589041098</v>
      </c>
      <c r="I31" s="103">
        <f>IF(H9=0," ",$H31*$B$25)</f>
        <v>0</v>
      </c>
      <c r="J31" s="112" t="s">
        <v>84</v>
      </c>
      <c r="K31" s="105" t="str">
        <f>IF($J15=0," ",$J15)</f>
        <v>AQGROSSA</v>
      </c>
      <c r="L31" s="111">
        <f>IF(H9=0," ",$F31*($N$26/1000))</f>
        <v>5.375</v>
      </c>
      <c r="M31" s="113">
        <v>0</v>
      </c>
      <c r="N31" s="108">
        <f>IF($M31=" "," ",$L31*(1+$M31))</f>
        <v>5.375</v>
      </c>
      <c r="O31" s="109"/>
    </row>
    <row r="32" spans="2:15" ht="18.95" customHeight="1" thickBot="1" x14ac:dyDescent="0.3">
      <c r="D32" s="110" t="s">
        <v>87</v>
      </c>
      <c r="E32" s="197">
        <f>SUM($F$32/($F$30+$F$31+$F$32))</f>
        <v>0</v>
      </c>
      <c r="F32" s="102">
        <v>0</v>
      </c>
      <c r="G32" s="111">
        <f>IF(H9=0," ",$F32/($F$28+$F$29))</f>
        <v>0</v>
      </c>
      <c r="H32" s="111">
        <f>IF(H9=0," ",(($L32+($O32/(1+$M32)))/($L$28+$O$28+$L$29+$O$29)))</f>
        <v>0</v>
      </c>
      <c r="I32" s="103">
        <f>IF(H9=0," ",$H32*$B$25)</f>
        <v>0</v>
      </c>
      <c r="J32" s="112" t="s">
        <v>87</v>
      </c>
      <c r="K32" s="105"/>
      <c r="L32" s="111">
        <f>IF(H9=0," ",$F32*($N$26/1000))</f>
        <v>0</v>
      </c>
      <c r="M32" s="107"/>
      <c r="N32" s="108" t="s">
        <v>79</v>
      </c>
      <c r="O32" s="109"/>
    </row>
    <row r="33" spans="4:23" ht="18.95" customHeight="1" x14ac:dyDescent="0.25">
      <c r="D33" s="110" t="s">
        <v>88</v>
      </c>
      <c r="E33" s="115"/>
      <c r="F33" s="102">
        <v>250</v>
      </c>
      <c r="G33" s="111">
        <f>IF(H9=0," ",$F33/($F$28+$F$29))</f>
        <v>0.68493150684931503</v>
      </c>
      <c r="H33" s="111">
        <f>IF(H9=0," ",(($L33+($O33/(1+$M33)))/($L$28+$O$28+$L$29+$O$29)))</f>
        <v>0.68493150684931503</v>
      </c>
      <c r="I33" s="103">
        <f>IF(H9=0," ",$H33*$B$25)</f>
        <v>0</v>
      </c>
      <c r="J33" s="112" t="s">
        <v>88</v>
      </c>
      <c r="K33" s="105" t="str">
        <f>IF($J17=0," ",$J17)</f>
        <v>Brita 0</v>
      </c>
      <c r="L33" s="111">
        <f>IF(H9=0," ",$F33*($N$26/1000))</f>
        <v>6.25</v>
      </c>
      <c r="M33" s="107"/>
      <c r="N33" s="108" t="s">
        <v>79</v>
      </c>
      <c r="O33" s="109"/>
      <c r="S33" s="828" t="s">
        <v>122</v>
      </c>
      <c r="T33" s="829"/>
      <c r="U33" s="829"/>
      <c r="V33" s="829"/>
      <c r="W33" s="830"/>
    </row>
    <row r="34" spans="4:23" ht="18.95" customHeight="1" x14ac:dyDescent="0.25">
      <c r="D34" s="110" t="s">
        <v>93</v>
      </c>
      <c r="E34" s="101"/>
      <c r="F34" s="102">
        <v>850</v>
      </c>
      <c r="G34" s="111">
        <f>IF(H9=0," ",$F34/($F$28+$F$29))</f>
        <v>2.3287671232876712</v>
      </c>
      <c r="H34" s="111">
        <f>IF(H9=0," ",(($L34+($O34/(1+$M34)))/($L$28+$O$28+$L$29+$O$29)))</f>
        <v>2.3287671232876712</v>
      </c>
      <c r="I34" s="103">
        <f>IF(H9=0," ",$H34*$B$25)</f>
        <v>0</v>
      </c>
      <c r="J34" s="112" t="s">
        <v>93</v>
      </c>
      <c r="K34" s="105" t="str">
        <f>IF($J18=0," ",$J18)</f>
        <v>Brita 1</v>
      </c>
      <c r="L34" s="111">
        <f>IF(H9=0," ",$F34*($N$26/1000))</f>
        <v>21.25</v>
      </c>
      <c r="M34" s="107"/>
      <c r="N34" s="108" t="s">
        <v>79</v>
      </c>
      <c r="O34" s="109"/>
      <c r="S34" s="809" t="s">
        <v>123</v>
      </c>
      <c r="T34" s="810"/>
      <c r="U34" s="810"/>
      <c r="V34" s="810"/>
      <c r="W34" s="811"/>
    </row>
    <row r="35" spans="4:23" ht="18.95" customHeight="1" x14ac:dyDescent="0.25">
      <c r="D35" s="110" t="s">
        <v>95</v>
      </c>
      <c r="E35" s="101"/>
      <c r="F35" s="102">
        <v>0</v>
      </c>
      <c r="G35" s="111">
        <f>IF(H9=0," ",$F35/($F$28+$F$29))</f>
        <v>0</v>
      </c>
      <c r="H35" s="111">
        <f>IF(H9=0," ",(($L35+($O35/(1+$M35)))/($L$28+$O$28+$L$29+$O$29)))</f>
        <v>0</v>
      </c>
      <c r="I35" s="103">
        <f>IF(H9=0," ",$H35*$B$25)</f>
        <v>0</v>
      </c>
      <c r="J35" s="112" t="s">
        <v>95</v>
      </c>
      <c r="K35" s="105" t="str">
        <f>IF($J19=0," ",$J19)</f>
        <v xml:space="preserve"> </v>
      </c>
      <c r="L35" s="111">
        <f>IF(H9=0," ",$F35*($N$26/1000))</f>
        <v>0</v>
      </c>
      <c r="M35" s="107"/>
      <c r="N35" s="108" t="s">
        <v>79</v>
      </c>
      <c r="O35" s="109"/>
      <c r="S35" s="831" t="s">
        <v>124</v>
      </c>
      <c r="T35" s="832"/>
      <c r="U35" s="832"/>
      <c r="V35" s="832"/>
      <c r="W35" s="833"/>
    </row>
    <row r="36" spans="4:23" ht="18.95" customHeight="1" x14ac:dyDescent="0.25">
      <c r="D36" s="100" t="s">
        <v>125</v>
      </c>
      <c r="E36" s="116"/>
      <c r="F36" s="117">
        <f>IF(H9=0," ",H9)</f>
        <v>205</v>
      </c>
      <c r="G36" s="111">
        <f>IF(H9=0," ",$F36/($F$28+$F$29))</f>
        <v>0.56164383561643838</v>
      </c>
      <c r="H36" s="111">
        <f>IF(H9=0," ",($L36+$O36+($O30-($O30/(1+$M30)))+($O31-($O31/(1+$M31)))+($O32-($O32/(1+$M32)))+($O33-($O33/(1+$M33)))+($O34-($O34/(1+$M34)))+($O35-($O35/(1+$M35)))+($O36-($O36/(1+$M36))))/($L$28+$O$28+L29+O29))</f>
        <v>0.56164383561643838</v>
      </c>
      <c r="I36" s="103">
        <f>IF(H9=0," ",$H36*$B$25)</f>
        <v>0</v>
      </c>
      <c r="J36" s="104" t="s">
        <v>125</v>
      </c>
      <c r="K36" s="105"/>
      <c r="L36" s="111">
        <f>IF(H9=0," ",$F36*($N$26/1000))</f>
        <v>5.125</v>
      </c>
      <c r="M36" s="118"/>
      <c r="N36" s="108">
        <f>L36-(N31-L31)-(N30-L30)</f>
        <v>5.125</v>
      </c>
      <c r="O36" s="119">
        <v>0</v>
      </c>
      <c r="S36" s="831" t="s">
        <v>126</v>
      </c>
      <c r="T36" s="832"/>
      <c r="U36" s="832"/>
      <c r="V36" s="832"/>
      <c r="W36" s="833"/>
    </row>
    <row r="37" spans="4:23" ht="18.95" customHeight="1" x14ac:dyDescent="0.25">
      <c r="D37" s="100" t="s">
        <v>127</v>
      </c>
      <c r="E37" s="101"/>
      <c r="F37" s="111">
        <v>1.65</v>
      </c>
      <c r="G37" s="102"/>
      <c r="H37" s="117"/>
      <c r="I37" s="120">
        <f>IF($H$9=0," ",$E37*($I$28+$I$29))</f>
        <v>0</v>
      </c>
      <c r="J37" s="104" t="s">
        <v>128</v>
      </c>
      <c r="K37" s="105" t="str">
        <f>IF($J20=0," ",$J20)</f>
        <v>TM828LF</v>
      </c>
      <c r="L37" s="121">
        <f>IF(H9=0," ",$F37*($N$26/1000)*1000)</f>
        <v>41.25</v>
      </c>
      <c r="M37" s="122"/>
      <c r="N37" s="123"/>
      <c r="O37" s="109"/>
      <c r="S37" s="124" t="s">
        <v>129</v>
      </c>
      <c r="T37" s="125"/>
      <c r="U37" s="125"/>
      <c r="V37" s="125"/>
      <c r="W37" s="126"/>
    </row>
    <row r="38" spans="4:23" ht="18.95" customHeight="1" x14ac:dyDescent="0.25">
      <c r="D38" s="100" t="s">
        <v>130</v>
      </c>
      <c r="E38" s="101"/>
      <c r="F38" s="111">
        <v>0</v>
      </c>
      <c r="G38" s="117"/>
      <c r="H38" s="117"/>
      <c r="I38" s="120">
        <f>IF($H$9=0," ",$E38*($I$28+$I$29))</f>
        <v>0</v>
      </c>
      <c r="J38" s="104" t="s">
        <v>131</v>
      </c>
      <c r="K38" s="105" t="str">
        <f>IF($J21=0," ",$J21)</f>
        <v>TF41N</v>
      </c>
      <c r="L38" s="121">
        <f>IF(H9=0," ",$F38*($N$26/1000)*1000)</f>
        <v>0</v>
      </c>
      <c r="M38" s="122"/>
      <c r="N38" s="123"/>
      <c r="O38" s="109"/>
      <c r="S38" s="124" t="s">
        <v>132</v>
      </c>
      <c r="T38" s="125"/>
      <c r="U38" s="125"/>
      <c r="V38" s="125"/>
      <c r="W38" s="126"/>
    </row>
    <row r="39" spans="4:23" ht="18.95" customHeight="1" x14ac:dyDescent="0.25">
      <c r="D39" s="100" t="s">
        <v>133</v>
      </c>
      <c r="E39" s="101"/>
      <c r="F39" s="111">
        <v>0</v>
      </c>
      <c r="G39" s="117"/>
      <c r="H39" s="117"/>
      <c r="I39" s="120">
        <f>IF($H$9=0," ",$E39*($I$28+$I$29))</f>
        <v>0</v>
      </c>
      <c r="J39" s="104" t="s">
        <v>134</v>
      </c>
      <c r="K39" s="105" t="str">
        <f>IF($J22=0," ",$J22)</f>
        <v xml:space="preserve"> </v>
      </c>
      <c r="L39" s="121">
        <f>IF(H9=0," ",$F39*($N$26/1000)*1000)</f>
        <v>0</v>
      </c>
      <c r="M39" s="122"/>
      <c r="N39" s="123"/>
      <c r="O39" s="109"/>
      <c r="S39" s="124" t="s">
        <v>135</v>
      </c>
      <c r="T39" s="125"/>
      <c r="U39" s="125"/>
      <c r="V39" s="125"/>
      <c r="W39" s="127"/>
    </row>
    <row r="40" spans="4:23" ht="18.95" customHeight="1" thickBot="1" x14ac:dyDescent="0.3">
      <c r="D40" s="100" t="s">
        <v>136</v>
      </c>
      <c r="E40" s="115"/>
      <c r="F40" s="111">
        <v>0</v>
      </c>
      <c r="G40" s="102">
        <f>SUM(F28:F39)</f>
        <v>2333.65</v>
      </c>
      <c r="H40" s="117"/>
      <c r="I40" s="120">
        <f>IF($H$9=0," ",$E40*($I$28+$I$29))</f>
        <v>0</v>
      </c>
      <c r="J40" s="104" t="s">
        <v>104</v>
      </c>
      <c r="K40" s="105" t="str">
        <f>IF($J23=0," ",$J23)</f>
        <v xml:space="preserve"> </v>
      </c>
      <c r="L40" s="106">
        <f>IF(H9=0," ",$F40*($N$26/1000))</f>
        <v>0</v>
      </c>
      <c r="M40" s="122"/>
      <c r="N40" s="122"/>
      <c r="O40" s="109"/>
      <c r="S40" s="834" t="s">
        <v>137</v>
      </c>
      <c r="T40" s="835"/>
      <c r="U40" s="835"/>
      <c r="V40" s="835"/>
      <c r="W40" s="836"/>
    </row>
    <row r="41" spans="4:23" ht="18.95" customHeight="1" x14ac:dyDescent="0.25">
      <c r="D41" s="128" t="s">
        <v>105</v>
      </c>
      <c r="E41" s="129"/>
      <c r="F41" s="130"/>
      <c r="G41" s="131"/>
      <c r="H41" s="132"/>
      <c r="I41" s="133">
        <f>IF($H$9=0," ",$E41*($I$28+$I$29))</f>
        <v>0</v>
      </c>
      <c r="J41" s="134" t="s">
        <v>105</v>
      </c>
      <c r="K41" s="135" t="str">
        <f>IF($J24=0," ",$J24)</f>
        <v xml:space="preserve"> </v>
      </c>
      <c r="L41" s="136">
        <f>IF(H9=0," ",$I41*($N$26/1000))</f>
        <v>0</v>
      </c>
      <c r="M41" s="137"/>
      <c r="N41" s="137"/>
      <c r="O41" s="138"/>
    </row>
    <row r="42" spans="4:23" ht="20.100000000000001" customHeight="1" x14ac:dyDescent="0.25">
      <c r="D42" s="789" t="s">
        <v>138</v>
      </c>
      <c r="E42" s="790"/>
      <c r="F42" s="790"/>
      <c r="G42" s="790"/>
      <c r="H42" s="790"/>
      <c r="I42" s="790"/>
      <c r="J42" s="790"/>
      <c r="K42" s="790"/>
      <c r="L42" s="790"/>
      <c r="M42" s="790"/>
      <c r="N42" s="790"/>
      <c r="O42" s="791"/>
    </row>
    <row r="43" spans="4:23" s="139" customFormat="1" ht="27" customHeight="1" x14ac:dyDescent="0.25">
      <c r="D43" s="837" t="s">
        <v>139</v>
      </c>
      <c r="E43" s="838"/>
      <c r="F43" s="140" t="s">
        <v>140</v>
      </c>
      <c r="G43" s="141" t="s">
        <v>141</v>
      </c>
      <c r="H43" s="142" t="s">
        <v>142</v>
      </c>
      <c r="I43" s="143"/>
      <c r="J43" s="144" t="s">
        <v>143</v>
      </c>
      <c r="K43" s="140" t="s">
        <v>144</v>
      </c>
      <c r="L43" s="140" t="s">
        <v>145</v>
      </c>
      <c r="M43" s="140" t="s">
        <v>146</v>
      </c>
      <c r="N43" s="841" t="s">
        <v>147</v>
      </c>
      <c r="O43" s="842"/>
    </row>
    <row r="44" spans="4:23" s="139" customFormat="1" ht="14.25" customHeight="1" x14ac:dyDescent="0.25">
      <c r="D44" s="839"/>
      <c r="E44" s="840"/>
      <c r="F44" s="145"/>
      <c r="G44" s="146"/>
      <c r="H44" s="147" t="s">
        <v>148</v>
      </c>
      <c r="I44" s="148" t="s">
        <v>149</v>
      </c>
      <c r="J44" s="147" t="s">
        <v>150</v>
      </c>
      <c r="K44" s="148" t="s">
        <v>151</v>
      </c>
      <c r="L44" s="148" t="s">
        <v>150</v>
      </c>
      <c r="M44" s="148" t="s">
        <v>152</v>
      </c>
      <c r="N44" s="843"/>
      <c r="O44" s="844"/>
    </row>
    <row r="45" spans="4:23" ht="15" customHeight="1" x14ac:dyDescent="0.25">
      <c r="D45" s="149" t="s">
        <v>153</v>
      </c>
      <c r="E45" s="150"/>
      <c r="F45" s="852">
        <v>0.64583333333333337</v>
      </c>
      <c r="G45" s="151">
        <v>0.65277777777777779</v>
      </c>
      <c r="H45" s="66">
        <v>240</v>
      </c>
      <c r="I45" s="152"/>
      <c r="J45" s="153"/>
      <c r="K45" s="152"/>
      <c r="L45" s="154"/>
      <c r="M45" s="154"/>
      <c r="N45" s="855"/>
      <c r="O45" s="856"/>
    </row>
    <row r="46" spans="4:23" ht="15" customHeight="1" x14ac:dyDescent="0.25">
      <c r="D46" s="155" t="s">
        <v>154</v>
      </c>
      <c r="E46" s="156"/>
      <c r="F46" s="853"/>
      <c r="G46" s="157"/>
      <c r="H46" s="158"/>
      <c r="I46" s="159"/>
      <c r="J46" s="160"/>
      <c r="K46" s="159"/>
      <c r="L46" s="161"/>
      <c r="M46" s="161"/>
      <c r="N46" s="857"/>
      <c r="O46" s="858"/>
    </row>
    <row r="47" spans="4:23" ht="15" customHeight="1" x14ac:dyDescent="0.25">
      <c r="D47" s="155" t="s">
        <v>155</v>
      </c>
      <c r="E47" s="156"/>
      <c r="F47" s="853"/>
      <c r="G47" s="157"/>
      <c r="H47" s="158"/>
      <c r="I47" s="159"/>
      <c r="J47" s="162"/>
      <c r="K47" s="159"/>
      <c r="L47" s="161"/>
      <c r="M47" s="161"/>
      <c r="N47" s="857"/>
      <c r="O47" s="858"/>
    </row>
    <row r="48" spans="4:23" ht="30" customHeight="1" x14ac:dyDescent="0.25">
      <c r="D48" s="163" t="s">
        <v>156</v>
      </c>
      <c r="E48" s="164"/>
      <c r="F48" s="854"/>
      <c r="G48" s="165"/>
      <c r="H48" s="166"/>
      <c r="I48" s="167"/>
      <c r="J48" s="168"/>
      <c r="K48" s="167"/>
      <c r="L48" s="169"/>
      <c r="M48" s="169"/>
      <c r="N48" s="859"/>
      <c r="O48" s="860"/>
    </row>
    <row r="49" spans="4:15" ht="20.100000000000001" customHeight="1" x14ac:dyDescent="0.25">
      <c r="D49" s="789" t="s">
        <v>157</v>
      </c>
      <c r="E49" s="790"/>
      <c r="F49" s="790"/>
      <c r="G49" s="790"/>
      <c r="H49" s="790"/>
      <c r="I49" s="790"/>
      <c r="J49" s="790"/>
      <c r="K49" s="790"/>
      <c r="L49" s="790"/>
      <c r="M49" s="790"/>
      <c r="N49" s="790"/>
      <c r="O49" s="791"/>
    </row>
    <row r="50" spans="4:15" ht="25.5" x14ac:dyDescent="0.25">
      <c r="D50" s="170" t="s">
        <v>158</v>
      </c>
      <c r="E50" s="171" t="s">
        <v>159</v>
      </c>
      <c r="F50" s="861" t="s">
        <v>160</v>
      </c>
      <c r="G50" s="862"/>
      <c r="H50" s="863"/>
      <c r="I50" s="864" t="s">
        <v>161</v>
      </c>
      <c r="J50" s="865"/>
      <c r="K50" s="865"/>
      <c r="L50" s="866"/>
      <c r="M50" s="861" t="s">
        <v>162</v>
      </c>
      <c r="N50" s="862"/>
      <c r="O50" s="867"/>
    </row>
    <row r="51" spans="4:15" ht="15" customHeight="1" x14ac:dyDescent="0.25">
      <c r="D51" s="172">
        <v>1</v>
      </c>
      <c r="E51" s="173">
        <f>$J$5+D51</f>
        <v>44858</v>
      </c>
      <c r="F51" s="174" t="s">
        <v>163</v>
      </c>
      <c r="G51" s="174" t="s">
        <v>164</v>
      </c>
      <c r="H51" s="175" t="s">
        <v>165</v>
      </c>
      <c r="I51" s="174" t="s">
        <v>163</v>
      </c>
      <c r="J51" s="174" t="s">
        <v>164</v>
      </c>
      <c r="K51" s="174" t="s">
        <v>166</v>
      </c>
      <c r="L51" s="175" t="s">
        <v>167</v>
      </c>
      <c r="M51" s="174" t="s">
        <v>163</v>
      </c>
      <c r="N51" s="174" t="s">
        <v>164</v>
      </c>
      <c r="O51" s="176" t="s">
        <v>165</v>
      </c>
    </row>
    <row r="52" spans="4:15" ht="15" customHeight="1" x14ac:dyDescent="0.25">
      <c r="D52" s="177">
        <v>3</v>
      </c>
      <c r="E52" s="178">
        <f>$J$5+D52</f>
        <v>44860</v>
      </c>
      <c r="F52" s="117"/>
      <c r="G52" s="117"/>
      <c r="H52" s="179"/>
      <c r="I52" s="117"/>
      <c r="J52" s="117"/>
      <c r="K52" s="117"/>
      <c r="L52" s="179"/>
      <c r="M52" s="117"/>
      <c r="N52" s="117"/>
      <c r="O52" s="180"/>
    </row>
    <row r="53" spans="4:15" ht="15" customHeight="1" x14ac:dyDescent="0.25">
      <c r="D53" s="177">
        <v>7</v>
      </c>
      <c r="E53" s="178">
        <f>$J$5+D53</f>
        <v>44864</v>
      </c>
      <c r="F53" s="117"/>
      <c r="G53" s="117"/>
      <c r="H53" s="179"/>
      <c r="I53" s="117"/>
      <c r="J53" s="117"/>
      <c r="K53" s="117"/>
      <c r="L53" s="179"/>
      <c r="M53" s="117"/>
      <c r="N53" s="117"/>
      <c r="O53" s="180"/>
    </row>
    <row r="54" spans="4:15" ht="15" customHeight="1" x14ac:dyDescent="0.25">
      <c r="D54" s="177">
        <v>14</v>
      </c>
      <c r="E54" s="178">
        <f>$J$5+D54</f>
        <v>44871</v>
      </c>
      <c r="F54" s="117"/>
      <c r="G54" s="117"/>
      <c r="H54" s="179"/>
      <c r="I54" s="117"/>
      <c r="J54" s="117"/>
      <c r="K54" s="117"/>
      <c r="L54" s="179"/>
      <c r="M54" s="117"/>
      <c r="N54" s="117"/>
      <c r="O54" s="180"/>
    </row>
    <row r="55" spans="4:15" ht="15" customHeight="1" x14ac:dyDescent="0.25">
      <c r="D55" s="181">
        <v>28</v>
      </c>
      <c r="E55" s="182">
        <f>$J$5+D55</f>
        <v>44885</v>
      </c>
      <c r="F55" s="131"/>
      <c r="G55" s="131"/>
      <c r="H55" s="183"/>
      <c r="I55" s="131"/>
      <c r="J55" s="131"/>
      <c r="K55" s="131"/>
      <c r="L55" s="183"/>
      <c r="M55" s="131"/>
      <c r="N55" s="131"/>
      <c r="O55" s="184"/>
    </row>
    <row r="56" spans="4:15" ht="10.5" customHeight="1" x14ac:dyDescent="0.25">
      <c r="D56" s="185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7"/>
    </row>
    <row r="57" spans="4:15" x14ac:dyDescent="0.25">
      <c r="D57" s="188" t="s">
        <v>168</v>
      </c>
      <c r="E57" s="189"/>
      <c r="F57" s="845" t="s">
        <v>169</v>
      </c>
      <c r="G57" s="845"/>
      <c r="H57" s="845"/>
      <c r="I57" s="845"/>
      <c r="J57" s="845"/>
      <c r="K57" s="845"/>
      <c r="L57" s="845"/>
      <c r="M57" s="846"/>
      <c r="N57" s="189" t="s">
        <v>170</v>
      </c>
      <c r="O57" s="190"/>
    </row>
    <row r="58" spans="4:15" x14ac:dyDescent="0.25">
      <c r="D58" s="847"/>
      <c r="E58" s="848"/>
      <c r="F58" s="848"/>
      <c r="G58" s="848"/>
      <c r="H58" s="848"/>
      <c r="I58" s="848"/>
      <c r="J58" s="848"/>
      <c r="K58" s="848"/>
      <c r="L58" s="848"/>
      <c r="M58" s="849"/>
      <c r="N58" s="850">
        <v>40389</v>
      </c>
      <c r="O58" s="851"/>
    </row>
    <row r="59" spans="4:15" ht="15.75" thickBot="1" x14ac:dyDescent="0.3">
      <c r="D59" s="191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3"/>
    </row>
    <row r="62" spans="4:15" ht="15.75" thickBot="1" x14ac:dyDescent="0.3"/>
    <row r="63" spans="4:15" ht="15.75" thickBot="1" x14ac:dyDescent="0.3">
      <c r="F63" s="194">
        <f>SUM(F28:F41)</f>
        <v>2333.65</v>
      </c>
      <c r="H63" s="195" t="e">
        <f>IF(H45=0," ",IF(H45&lt;G9,((G9-H45)*0.3+I36),IF(H45&gt;G9,((G9-H45)*0.3+I36),"OK")))</f>
        <v>#VALUE!</v>
      </c>
    </row>
  </sheetData>
  <mergeCells count="70">
    <mergeCell ref="F57:M57"/>
    <mergeCell ref="D58:M58"/>
    <mergeCell ref="N58:O58"/>
    <mergeCell ref="F45:F48"/>
    <mergeCell ref="N45:O48"/>
    <mergeCell ref="D49:O49"/>
    <mergeCell ref="F50:H50"/>
    <mergeCell ref="I50:L50"/>
    <mergeCell ref="M50:O50"/>
    <mergeCell ref="S35:W35"/>
    <mergeCell ref="S36:W36"/>
    <mergeCell ref="S40:W40"/>
    <mergeCell ref="D42:O42"/>
    <mergeCell ref="D43:E44"/>
    <mergeCell ref="N43:O44"/>
    <mergeCell ref="S34:W34"/>
    <mergeCell ref="D24:E24"/>
    <mergeCell ref="F24:G24"/>
    <mergeCell ref="H24:I24"/>
    <mergeCell ref="D25:O25"/>
    <mergeCell ref="D26:I26"/>
    <mergeCell ref="J26:M26"/>
    <mergeCell ref="D27:E27"/>
    <mergeCell ref="J27:K27"/>
    <mergeCell ref="G28:G29"/>
    <mergeCell ref="H28:H29"/>
    <mergeCell ref="S33:W33"/>
    <mergeCell ref="D22:E22"/>
    <mergeCell ref="F22:G22"/>
    <mergeCell ref="H22:I22"/>
    <mergeCell ref="D23:E23"/>
    <mergeCell ref="F23:G23"/>
    <mergeCell ref="H23:I23"/>
    <mergeCell ref="D20:E20"/>
    <mergeCell ref="F20:G20"/>
    <mergeCell ref="H20:I20"/>
    <mergeCell ref="D21:E21"/>
    <mergeCell ref="F21:G21"/>
    <mergeCell ref="H21:I21"/>
    <mergeCell ref="D18:E18"/>
    <mergeCell ref="F18:G18"/>
    <mergeCell ref="H18:I18"/>
    <mergeCell ref="D19:E19"/>
    <mergeCell ref="F19:G19"/>
    <mergeCell ref="H19:I19"/>
    <mergeCell ref="D16:E16"/>
    <mergeCell ref="F16:G16"/>
    <mergeCell ref="H16:I16"/>
    <mergeCell ref="D17:E17"/>
    <mergeCell ref="F17:G17"/>
    <mergeCell ref="H17:I17"/>
    <mergeCell ref="D14:E14"/>
    <mergeCell ref="F14:G14"/>
    <mergeCell ref="H14:I14"/>
    <mergeCell ref="D15:E15"/>
    <mergeCell ref="F15:G15"/>
    <mergeCell ref="H15:I15"/>
    <mergeCell ref="D12:E12"/>
    <mergeCell ref="F12:G12"/>
    <mergeCell ref="H12:I12"/>
    <mergeCell ref="D13:E13"/>
    <mergeCell ref="F13:G13"/>
    <mergeCell ref="H13:I13"/>
    <mergeCell ref="D2:O3"/>
    <mergeCell ref="D4:O4"/>
    <mergeCell ref="D7:O7"/>
    <mergeCell ref="D10:O10"/>
    <mergeCell ref="D11:E11"/>
    <mergeCell ref="F11:G11"/>
    <mergeCell ref="H11:I11"/>
  </mergeCells>
  <pageMargins left="0.511811024" right="0.511811024" top="0.78740157499999996" bottom="0.78740157499999996" header="0.31496062000000002" footer="0.31496062000000002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D9206-8B50-456B-B1E1-A02EDF39E115}">
  <dimension ref="B1:BB74"/>
  <sheetViews>
    <sheetView showGridLines="0" tabSelected="1" topLeftCell="E1" zoomScale="85" zoomScaleNormal="85" workbookViewId="0">
      <selection activeCell="V50" sqref="V50"/>
    </sheetView>
  </sheetViews>
  <sheetFormatPr defaultColWidth="11.7109375" defaultRowHeight="14.25" x14ac:dyDescent="0.2"/>
  <cols>
    <col min="1" max="1" width="3.85546875" style="664" customWidth="1"/>
    <col min="2" max="4" width="11.7109375" style="664" hidden="1" customWidth="1"/>
    <col min="5" max="5" width="13.7109375" style="664" customWidth="1"/>
    <col min="6" max="6" width="10.85546875" style="664" customWidth="1"/>
    <col min="7" max="7" width="10.42578125" style="664" customWidth="1"/>
    <col min="8" max="8" width="19.28515625" style="664" customWidth="1"/>
    <col min="9" max="9" width="13" style="664" customWidth="1"/>
    <col min="10" max="10" width="10.28515625" style="664" customWidth="1"/>
    <col min="11" max="11" width="10.7109375" style="664" customWidth="1"/>
    <col min="12" max="12" width="11.140625" style="664" customWidth="1"/>
    <col min="13" max="13" width="10.7109375" style="664" customWidth="1"/>
    <col min="14" max="15" width="11.28515625" style="664" customWidth="1"/>
    <col min="16" max="16" width="13.7109375" style="664" customWidth="1"/>
    <col min="17" max="17" width="11.7109375" style="664" customWidth="1"/>
    <col min="18" max="18" width="0.42578125" style="664" customWidth="1"/>
    <col min="19" max="19" width="0.28515625" style="664" customWidth="1"/>
    <col min="20" max="23" width="11.7109375" style="664" customWidth="1"/>
    <col min="24" max="35" width="11.7109375" style="664"/>
    <col min="36" max="45" width="11.7109375" style="664" customWidth="1"/>
    <col min="46" max="50" width="11.7109375" style="664"/>
    <col min="51" max="51" width="11.7109375" style="664" customWidth="1"/>
    <col min="52" max="16384" width="11.7109375" style="664"/>
  </cols>
  <sheetData>
    <row r="1" spans="5:16" ht="7.5" customHeight="1" x14ac:dyDescent="0.2"/>
    <row r="2" spans="5:16" x14ac:dyDescent="0.2">
      <c r="E2" s="868" t="s">
        <v>300</v>
      </c>
      <c r="F2" s="869"/>
      <c r="G2" s="869"/>
      <c r="H2" s="869"/>
      <c r="I2" s="869"/>
      <c r="J2" s="869"/>
      <c r="K2" s="869"/>
      <c r="L2" s="869"/>
      <c r="M2" s="869"/>
      <c r="N2" s="869"/>
      <c r="O2" s="869"/>
      <c r="P2" s="870"/>
    </row>
    <row r="3" spans="5:16" x14ac:dyDescent="0.2">
      <c r="E3" s="871"/>
      <c r="F3" s="872"/>
      <c r="G3" s="872"/>
      <c r="H3" s="872"/>
      <c r="I3" s="872"/>
      <c r="J3" s="872"/>
      <c r="K3" s="872"/>
      <c r="L3" s="872"/>
      <c r="M3" s="872"/>
      <c r="N3" s="872"/>
      <c r="O3" s="872"/>
      <c r="P3" s="873"/>
    </row>
    <row r="4" spans="5:16" ht="4.5" customHeight="1" x14ac:dyDescent="0.2">
      <c r="E4" s="874"/>
      <c r="F4" s="875"/>
      <c r="G4" s="875"/>
      <c r="H4" s="875"/>
      <c r="I4" s="875"/>
      <c r="J4" s="875"/>
      <c r="K4" s="875"/>
      <c r="L4" s="875"/>
      <c r="M4" s="875"/>
      <c r="N4" s="875"/>
      <c r="O4" s="875"/>
      <c r="P4" s="876"/>
    </row>
    <row r="5" spans="5:16" ht="20.100000000000001" customHeight="1" x14ac:dyDescent="0.2">
      <c r="E5" s="722" t="s">
        <v>47</v>
      </c>
      <c r="F5" s="723"/>
      <c r="G5" s="723"/>
      <c r="H5" s="723"/>
      <c r="I5" s="724"/>
      <c r="J5" s="665" t="s">
        <v>48</v>
      </c>
      <c r="K5" s="882"/>
      <c r="L5" s="882"/>
      <c r="M5" s="882"/>
      <c r="N5" s="725" t="s">
        <v>49</v>
      </c>
      <c r="O5" s="723"/>
      <c r="P5" s="726"/>
    </row>
    <row r="6" spans="5:16" ht="20.100000000000001" customHeight="1" x14ac:dyDescent="0.2">
      <c r="E6" s="722" t="s">
        <v>50</v>
      </c>
      <c r="F6" s="723"/>
      <c r="G6" s="724"/>
      <c r="H6" s="667" t="s">
        <v>51</v>
      </c>
      <c r="I6" s="666"/>
      <c r="J6" s="666"/>
      <c r="K6" s="668"/>
      <c r="L6" s="669" t="s">
        <v>52</v>
      </c>
      <c r="M6" s="670"/>
      <c r="N6" s="671" t="s">
        <v>79</v>
      </c>
      <c r="O6" s="671"/>
      <c r="P6" s="700"/>
    </row>
    <row r="7" spans="5:16" ht="22.5" customHeight="1" x14ac:dyDescent="0.2">
      <c r="E7" s="877" t="s">
        <v>265</v>
      </c>
      <c r="F7" s="878"/>
      <c r="G7" s="878"/>
      <c r="H7" s="878"/>
      <c r="I7" s="878"/>
      <c r="J7" s="878"/>
      <c r="K7" s="878"/>
      <c r="L7" s="878"/>
      <c r="M7" s="878"/>
      <c r="N7" s="878"/>
      <c r="O7" s="878"/>
      <c r="P7" s="879"/>
    </row>
    <row r="8" spans="5:16" s="673" customFormat="1" ht="30.75" customHeight="1" x14ac:dyDescent="0.25">
      <c r="E8" s="701" t="s">
        <v>54</v>
      </c>
      <c r="F8" s="672" t="s">
        <v>55</v>
      </c>
      <c r="G8" s="672" t="s">
        <v>56</v>
      </c>
      <c r="H8" s="672" t="s">
        <v>57</v>
      </c>
      <c r="I8" s="672" t="s">
        <v>263</v>
      </c>
      <c r="J8" s="672" t="s">
        <v>264</v>
      </c>
      <c r="K8" s="672" t="s">
        <v>60</v>
      </c>
      <c r="L8" s="672" t="s">
        <v>61</v>
      </c>
      <c r="M8" s="672" t="s">
        <v>62</v>
      </c>
      <c r="N8" s="672" t="s">
        <v>63</v>
      </c>
      <c r="O8" s="672" t="s">
        <v>271</v>
      </c>
      <c r="P8" s="702" t="s">
        <v>65</v>
      </c>
    </row>
    <row r="9" spans="5:16" ht="20.100000000000001" customHeight="1" x14ac:dyDescent="0.2">
      <c r="E9" s="770">
        <v>30</v>
      </c>
      <c r="F9" s="771">
        <v>5</v>
      </c>
      <c r="G9" s="772">
        <f>E9+(F9*1.65)</f>
        <v>38.25</v>
      </c>
      <c r="H9" s="772" t="s">
        <v>302</v>
      </c>
      <c r="I9" s="772">
        <v>189</v>
      </c>
      <c r="J9" s="772">
        <v>321</v>
      </c>
      <c r="K9" s="773">
        <f>SUM(I9/J9)</f>
        <v>0.58878504672897192</v>
      </c>
      <c r="L9" s="774">
        <v>0.48</v>
      </c>
      <c r="M9" s="775">
        <v>0.03</v>
      </c>
      <c r="N9" s="773">
        <v>19.100000000000001</v>
      </c>
      <c r="O9" s="776">
        <v>28</v>
      </c>
      <c r="P9" s="777" t="s">
        <v>66</v>
      </c>
    </row>
    <row r="10" spans="5:16" ht="3" customHeight="1" x14ac:dyDescent="0.2">
      <c r="E10" s="703"/>
      <c r="F10" s="704"/>
      <c r="G10" s="705"/>
      <c r="H10" s="705"/>
      <c r="I10" s="705"/>
      <c r="J10" s="705"/>
      <c r="K10" s="706"/>
      <c r="L10" s="707"/>
      <c r="M10" s="708"/>
      <c r="N10" s="706"/>
      <c r="O10" s="709"/>
      <c r="P10" s="710"/>
    </row>
    <row r="11" spans="5:16" ht="31.5" customHeight="1" x14ac:dyDescent="0.2">
      <c r="E11" s="880" t="s">
        <v>266</v>
      </c>
      <c r="F11" s="881"/>
      <c r="G11" s="881"/>
      <c r="H11" s="881"/>
      <c r="I11" s="881"/>
      <c r="J11" s="920" t="s">
        <v>309</v>
      </c>
      <c r="K11" s="881"/>
      <c r="L11" s="881"/>
      <c r="M11" s="881"/>
      <c r="N11" s="920" t="s">
        <v>310</v>
      </c>
      <c r="O11" s="920"/>
      <c r="P11" s="921"/>
    </row>
    <row r="12" spans="5:16" s="673" customFormat="1" ht="45" customHeight="1" x14ac:dyDescent="0.25">
      <c r="E12" s="918" t="s">
        <v>247</v>
      </c>
      <c r="F12" s="919"/>
      <c r="G12" s="919"/>
      <c r="H12" s="919"/>
      <c r="I12" s="676" t="s">
        <v>313</v>
      </c>
      <c r="J12" s="762" t="s">
        <v>296</v>
      </c>
      <c r="K12" s="762" t="str">
        <f>E15</f>
        <v>Ag.miúdo 1:</v>
      </c>
      <c r="L12" s="762" t="str">
        <f>E16</f>
        <v>Ag.miúdo 2:</v>
      </c>
      <c r="M12" s="762" t="str">
        <f>E17</f>
        <v>Ag.miúdo 3:</v>
      </c>
      <c r="N12" s="762" t="str">
        <f>E18</f>
        <v>Ag.graúdo 1:</v>
      </c>
      <c r="O12" s="762" t="str">
        <f>E19</f>
        <v>Ag.graúdo 2:</v>
      </c>
      <c r="P12" s="763" t="str">
        <f>E20</f>
        <v>Ag.graúdo 3:</v>
      </c>
    </row>
    <row r="13" spans="5:16" ht="20.100000000000001" customHeight="1" x14ac:dyDescent="0.2">
      <c r="E13" s="768" t="s">
        <v>272</v>
      </c>
      <c r="F13" s="902" t="s">
        <v>305</v>
      </c>
      <c r="G13" s="903"/>
      <c r="H13" s="903"/>
      <c r="I13" s="769">
        <v>3.05</v>
      </c>
      <c r="J13" s="764" t="s">
        <v>253</v>
      </c>
      <c r="K13" s="675">
        <v>0</v>
      </c>
      <c r="L13" s="675">
        <v>0</v>
      </c>
      <c r="M13" s="675">
        <v>0</v>
      </c>
      <c r="N13" s="675">
        <v>0</v>
      </c>
      <c r="O13" s="675">
        <v>0</v>
      </c>
      <c r="P13" s="711">
        <v>0</v>
      </c>
    </row>
    <row r="14" spans="5:16" ht="20.100000000000001" customHeight="1" x14ac:dyDescent="0.2">
      <c r="E14" s="768" t="s">
        <v>273</v>
      </c>
      <c r="F14" s="902" t="s">
        <v>306</v>
      </c>
      <c r="G14" s="903"/>
      <c r="H14" s="903"/>
      <c r="I14" s="769">
        <v>2.2000000000000002</v>
      </c>
      <c r="J14" s="765" t="s">
        <v>7</v>
      </c>
      <c r="K14" s="675">
        <v>0</v>
      </c>
      <c r="L14" s="675">
        <v>0</v>
      </c>
      <c r="M14" s="675">
        <v>0</v>
      </c>
      <c r="N14" s="675">
        <v>0</v>
      </c>
      <c r="O14" s="675">
        <v>0</v>
      </c>
      <c r="P14" s="711">
        <v>0</v>
      </c>
    </row>
    <row r="15" spans="5:16" ht="20.100000000000001" customHeight="1" x14ac:dyDescent="0.2">
      <c r="E15" s="768" t="s">
        <v>274</v>
      </c>
      <c r="F15" s="902" t="s">
        <v>303</v>
      </c>
      <c r="G15" s="903"/>
      <c r="H15" s="903"/>
      <c r="I15" s="769">
        <v>2.63</v>
      </c>
      <c r="J15" s="765" t="s">
        <v>8</v>
      </c>
      <c r="K15" s="675">
        <v>0</v>
      </c>
      <c r="L15" s="675">
        <v>0</v>
      </c>
      <c r="M15" s="675">
        <v>0</v>
      </c>
      <c r="N15" s="675">
        <v>0</v>
      </c>
      <c r="O15" s="675">
        <v>3</v>
      </c>
      <c r="P15" s="711">
        <v>0</v>
      </c>
    </row>
    <row r="16" spans="5:16" ht="20.100000000000001" customHeight="1" x14ac:dyDescent="0.2">
      <c r="E16" s="768" t="s">
        <v>275</v>
      </c>
      <c r="F16" s="902" t="s">
        <v>304</v>
      </c>
      <c r="G16" s="903"/>
      <c r="H16" s="903"/>
      <c r="I16" s="769">
        <v>2.68</v>
      </c>
      <c r="J16" s="765" t="s">
        <v>9</v>
      </c>
      <c r="K16" s="675">
        <v>0</v>
      </c>
      <c r="L16" s="675">
        <v>0</v>
      </c>
      <c r="M16" s="675">
        <v>0</v>
      </c>
      <c r="N16" s="675">
        <v>0</v>
      </c>
      <c r="O16" s="675">
        <v>69</v>
      </c>
      <c r="P16" s="711">
        <v>0</v>
      </c>
    </row>
    <row r="17" spans="2:54" ht="20.100000000000001" customHeight="1" x14ac:dyDescent="0.2">
      <c r="E17" s="768" t="s">
        <v>276</v>
      </c>
      <c r="F17" s="902" t="s">
        <v>251</v>
      </c>
      <c r="G17" s="903"/>
      <c r="H17" s="903"/>
      <c r="I17" s="769">
        <v>1</v>
      </c>
      <c r="J17" s="675" t="s">
        <v>191</v>
      </c>
      <c r="K17" s="677">
        <v>0</v>
      </c>
      <c r="L17" s="675">
        <v>0</v>
      </c>
      <c r="M17" s="675">
        <v>0</v>
      </c>
      <c r="N17" s="675">
        <v>6</v>
      </c>
      <c r="O17" s="675">
        <v>91</v>
      </c>
      <c r="P17" s="711">
        <v>0</v>
      </c>
    </row>
    <row r="18" spans="2:54" ht="20.100000000000001" customHeight="1" x14ac:dyDescent="0.2">
      <c r="E18" s="768" t="s">
        <v>277</v>
      </c>
      <c r="F18" s="902" t="s">
        <v>311</v>
      </c>
      <c r="G18" s="903"/>
      <c r="H18" s="903"/>
      <c r="I18" s="769">
        <v>2.69</v>
      </c>
      <c r="J18" s="764" t="s">
        <v>11</v>
      </c>
      <c r="K18" s="677">
        <v>0.4</v>
      </c>
      <c r="L18" s="677">
        <v>0</v>
      </c>
      <c r="M18" s="675">
        <v>0</v>
      </c>
      <c r="N18" s="675">
        <v>63</v>
      </c>
      <c r="O18" s="675">
        <v>99</v>
      </c>
      <c r="P18" s="711">
        <v>0</v>
      </c>
      <c r="U18" s="664" t="s">
        <v>92</v>
      </c>
    </row>
    <row r="19" spans="2:54" ht="20.100000000000001" customHeight="1" x14ac:dyDescent="0.2">
      <c r="E19" s="768" t="s">
        <v>278</v>
      </c>
      <c r="F19" s="902" t="s">
        <v>312</v>
      </c>
      <c r="G19" s="903"/>
      <c r="H19" s="903"/>
      <c r="I19" s="769">
        <v>2.69</v>
      </c>
      <c r="J19" s="675">
        <v>4</v>
      </c>
      <c r="K19" s="677">
        <v>0.7</v>
      </c>
      <c r="L19" s="677">
        <v>2.9</v>
      </c>
      <c r="M19" s="675">
        <v>0</v>
      </c>
      <c r="N19" s="675">
        <v>88</v>
      </c>
      <c r="O19" s="675">
        <v>100</v>
      </c>
      <c r="P19" s="711">
        <v>0</v>
      </c>
    </row>
    <row r="20" spans="2:54" ht="20.100000000000001" customHeight="1" x14ac:dyDescent="0.2">
      <c r="E20" s="768" t="s">
        <v>279</v>
      </c>
      <c r="F20" s="902" t="s">
        <v>250</v>
      </c>
      <c r="G20" s="903"/>
      <c r="H20" s="903"/>
      <c r="I20" s="769">
        <v>1</v>
      </c>
      <c r="J20" s="675">
        <v>8</v>
      </c>
      <c r="K20" s="677">
        <v>2</v>
      </c>
      <c r="L20" s="677">
        <v>16.600000000000001</v>
      </c>
      <c r="M20" s="675">
        <v>0</v>
      </c>
      <c r="N20" s="675">
        <v>95</v>
      </c>
      <c r="O20" s="675">
        <v>100</v>
      </c>
      <c r="P20" s="711">
        <v>0</v>
      </c>
    </row>
    <row r="21" spans="2:54" ht="20.100000000000001" customHeight="1" x14ac:dyDescent="0.2">
      <c r="E21" s="768" t="s">
        <v>280</v>
      </c>
      <c r="F21" s="902" t="s">
        <v>307</v>
      </c>
      <c r="G21" s="903"/>
      <c r="H21" s="903"/>
      <c r="I21" s="769">
        <v>1.08</v>
      </c>
      <c r="J21" s="675">
        <v>16</v>
      </c>
      <c r="K21" s="677">
        <v>8.3000000000000007</v>
      </c>
      <c r="L21" s="677">
        <v>14.1</v>
      </c>
      <c r="M21" s="675">
        <v>0</v>
      </c>
      <c r="N21" s="675">
        <v>96</v>
      </c>
      <c r="O21" s="675">
        <v>100</v>
      </c>
      <c r="P21" s="711">
        <v>0</v>
      </c>
    </row>
    <row r="22" spans="2:54" ht="20.100000000000001" customHeight="1" x14ac:dyDescent="0.2">
      <c r="E22" s="768" t="s">
        <v>281</v>
      </c>
      <c r="F22" s="902" t="s">
        <v>308</v>
      </c>
      <c r="G22" s="903"/>
      <c r="H22" s="903"/>
      <c r="I22" s="769">
        <v>1.1000000000000001</v>
      </c>
      <c r="J22" s="675">
        <v>30</v>
      </c>
      <c r="K22" s="677">
        <v>23.8</v>
      </c>
      <c r="L22" s="677">
        <v>17.8</v>
      </c>
      <c r="M22" s="675">
        <v>0</v>
      </c>
      <c r="N22" s="675">
        <v>97</v>
      </c>
      <c r="O22" s="675">
        <v>100</v>
      </c>
      <c r="P22" s="711">
        <v>0</v>
      </c>
    </row>
    <row r="23" spans="2:54" ht="20.100000000000001" customHeight="1" x14ac:dyDescent="0.2">
      <c r="E23" s="768" t="s">
        <v>282</v>
      </c>
      <c r="F23" s="902" t="s">
        <v>290</v>
      </c>
      <c r="G23" s="903"/>
      <c r="H23" s="903"/>
      <c r="I23" s="769">
        <v>1</v>
      </c>
      <c r="J23" s="675">
        <v>50</v>
      </c>
      <c r="K23" s="677">
        <v>30.7</v>
      </c>
      <c r="L23" s="677">
        <v>23.4</v>
      </c>
      <c r="M23" s="675">
        <v>0</v>
      </c>
      <c r="N23" s="675">
        <v>98</v>
      </c>
      <c r="O23" s="675">
        <v>100</v>
      </c>
      <c r="P23" s="711">
        <v>0</v>
      </c>
    </row>
    <row r="24" spans="2:54" ht="20.100000000000001" customHeight="1" x14ac:dyDescent="0.2">
      <c r="E24" s="768" t="s">
        <v>283</v>
      </c>
      <c r="F24" s="902" t="s">
        <v>291</v>
      </c>
      <c r="G24" s="903"/>
      <c r="H24" s="903"/>
      <c r="I24" s="769">
        <v>3</v>
      </c>
      <c r="J24" s="675">
        <v>100</v>
      </c>
      <c r="K24" s="677">
        <v>24.5</v>
      </c>
      <c r="L24" s="677">
        <v>14.5</v>
      </c>
      <c r="M24" s="675">
        <v>0</v>
      </c>
      <c r="N24" s="675">
        <v>98</v>
      </c>
      <c r="O24" s="675">
        <v>100</v>
      </c>
      <c r="P24" s="711">
        <v>0</v>
      </c>
    </row>
    <row r="25" spans="2:54" ht="20.100000000000001" customHeight="1" x14ac:dyDescent="0.2">
      <c r="E25" s="768" t="s">
        <v>284</v>
      </c>
      <c r="F25" s="902" t="s">
        <v>292</v>
      </c>
      <c r="G25" s="903"/>
      <c r="H25" s="903"/>
      <c r="I25" s="769">
        <v>1</v>
      </c>
      <c r="J25" s="675" t="s">
        <v>12</v>
      </c>
      <c r="K25" s="677">
        <v>9.5</v>
      </c>
      <c r="L25" s="677">
        <v>10.7</v>
      </c>
      <c r="M25" s="675">
        <v>0</v>
      </c>
      <c r="N25" s="675">
        <v>100</v>
      </c>
      <c r="O25" s="675">
        <v>100</v>
      </c>
      <c r="P25" s="711">
        <v>0</v>
      </c>
    </row>
    <row r="26" spans="2:54" ht="20.100000000000001" customHeight="1" x14ac:dyDescent="0.2">
      <c r="E26" s="768"/>
      <c r="F26" s="902"/>
      <c r="G26" s="903"/>
      <c r="H26" s="903"/>
      <c r="I26" s="769"/>
      <c r="J26" s="680" t="s">
        <v>192</v>
      </c>
      <c r="K26" s="679">
        <v>2.0699999999999998</v>
      </c>
      <c r="L26" s="679">
        <v>2.72</v>
      </c>
      <c r="M26" s="680">
        <f>SUM(M13:M25)</f>
        <v>0</v>
      </c>
      <c r="N26" s="675">
        <v>100</v>
      </c>
      <c r="O26" s="675">
        <v>100</v>
      </c>
      <c r="P26" s="711">
        <v>0</v>
      </c>
    </row>
    <row r="27" spans="2:54" ht="20.100000000000001" customHeight="1" x14ac:dyDescent="0.2">
      <c r="E27" s="768"/>
      <c r="F27" s="902"/>
      <c r="G27" s="903"/>
      <c r="H27" s="903"/>
      <c r="I27" s="678"/>
      <c r="J27" s="680" t="s">
        <v>252</v>
      </c>
      <c r="K27" s="680">
        <v>2.1</v>
      </c>
      <c r="L27" s="680">
        <v>2.7</v>
      </c>
      <c r="M27" s="680"/>
      <c r="N27" s="680">
        <v>5.77</v>
      </c>
      <c r="O27" s="680">
        <v>6.91</v>
      </c>
      <c r="P27" s="766"/>
    </row>
    <row r="28" spans="2:54" ht="21.75" customHeight="1" x14ac:dyDescent="0.2">
      <c r="C28" s="682">
        <f>(1000-(M9*1000))/(((AX31+AX32)/(B32))+(AX33/I15)+(AX34/I16)+(AX35/I17)+(AX36/I18)+(AX37/I19)+(AX38/I20)+AX39)</f>
        <v>320.99493626804133</v>
      </c>
      <c r="D28" s="683"/>
      <c r="E28" s="913" t="s">
        <v>298</v>
      </c>
      <c r="F28" s="914"/>
      <c r="G28" s="914"/>
      <c r="H28" s="914"/>
      <c r="I28" s="914"/>
      <c r="J28" s="914"/>
      <c r="K28" s="914"/>
      <c r="L28" s="914"/>
      <c r="M28" s="914"/>
      <c r="N28" s="914"/>
      <c r="O28" s="914"/>
      <c r="P28" s="915"/>
    </row>
    <row r="29" spans="2:54" ht="17.25" x14ac:dyDescent="0.25">
      <c r="E29" s="910" t="s">
        <v>288</v>
      </c>
      <c r="F29" s="911"/>
      <c r="G29" s="911"/>
      <c r="H29" s="912"/>
      <c r="I29" s="739" t="s">
        <v>289</v>
      </c>
      <c r="J29" s="739"/>
      <c r="K29" s="740"/>
      <c r="L29" s="730">
        <v>25</v>
      </c>
      <c r="M29" s="735"/>
      <c r="N29" s="728"/>
      <c r="O29" s="727"/>
      <c r="P29" s="729"/>
    </row>
    <row r="30" spans="2:54" ht="28.5" x14ac:dyDescent="0.2">
      <c r="B30" s="664">
        <f>(1-F32)*I13</f>
        <v>3.05</v>
      </c>
      <c r="E30" s="916" t="s">
        <v>68</v>
      </c>
      <c r="F30" s="917"/>
      <c r="G30" s="674" t="s">
        <v>297</v>
      </c>
      <c r="H30" s="674" t="s">
        <v>285</v>
      </c>
      <c r="I30" s="674" t="s">
        <v>286</v>
      </c>
      <c r="J30" s="674" t="s">
        <v>116</v>
      </c>
      <c r="K30" s="674" t="s">
        <v>117</v>
      </c>
      <c r="L30" s="731" t="s">
        <v>118</v>
      </c>
      <c r="M30" s="736"/>
      <c r="P30" s="741"/>
      <c r="R30" s="684">
        <f>SUM('Dosagem  0'!G31:G44)-G39</f>
        <v>2141.8506126229508</v>
      </c>
      <c r="AV30" s="751"/>
      <c r="AW30" s="752" t="s">
        <v>111</v>
      </c>
      <c r="AX30" s="752" t="s">
        <v>112</v>
      </c>
      <c r="AY30" s="751"/>
      <c r="AZ30" s="753" t="s">
        <v>114</v>
      </c>
      <c r="BA30" s="753"/>
      <c r="BB30" s="751"/>
    </row>
    <row r="31" spans="2:54" ht="20.100000000000001" customHeight="1" x14ac:dyDescent="0.2">
      <c r="B31" s="664">
        <f>F32*I14</f>
        <v>0</v>
      </c>
      <c r="C31" s="664">
        <f>IF(J9&lt;&gt;0,J9,(I9/K9))</f>
        <v>321</v>
      </c>
      <c r="E31" s="712" t="str">
        <f t="shared" ref="E31:E38" si="0">E13</f>
        <v>Cimento:</v>
      </c>
      <c r="F31" s="680"/>
      <c r="G31" s="718">
        <f>IF(I9=0," ",(C31-G32))</f>
        <v>321</v>
      </c>
      <c r="H31" s="685">
        <f>IF(I9=0," ",C28-H32)</f>
        <v>320.99493626804133</v>
      </c>
      <c r="I31" s="720">
        <f>IF(I9=0," ",$G31*($L$29/1000))</f>
        <v>8.0250000000000004</v>
      </c>
      <c r="J31" s="681" t="s">
        <v>250</v>
      </c>
      <c r="K31" s="681" t="s">
        <v>250</v>
      </c>
      <c r="L31" s="732"/>
      <c r="M31" s="736"/>
      <c r="P31" s="741"/>
      <c r="R31" s="686">
        <f>('Dosagem  0'!G31+G32)/$R$30</f>
        <v>0.1498703962396786</v>
      </c>
      <c r="S31" s="746">
        <f>G31</f>
        <v>321</v>
      </c>
      <c r="AV31" s="751"/>
      <c r="AW31" s="883">
        <v>1</v>
      </c>
      <c r="AX31" s="883">
        <f>IF(I9=0," ",($I31+$L31)/($I$31+$L$31))</f>
        <v>1</v>
      </c>
      <c r="AY31" s="751"/>
      <c r="AZ31" s="755" t="s">
        <v>119</v>
      </c>
      <c r="BA31" s="755" t="str">
        <f>IF($G13=0," ",$G13)</f>
        <v xml:space="preserve"> </v>
      </c>
      <c r="BB31" s="751"/>
    </row>
    <row r="32" spans="2:54" ht="20.100000000000001" customHeight="1" x14ac:dyDescent="0.2">
      <c r="B32" s="664">
        <f>B30+B31</f>
        <v>3.05</v>
      </c>
      <c r="E32" s="712" t="str">
        <f t="shared" si="0"/>
        <v>Aglom.2:</v>
      </c>
      <c r="F32" s="687">
        <v>0</v>
      </c>
      <c r="G32" s="718">
        <f>IF(I9=0," ",F32*C31)</f>
        <v>0</v>
      </c>
      <c r="H32" s="685">
        <f>IF(I9=0," ",C28*F32)</f>
        <v>0</v>
      </c>
      <c r="I32" s="720">
        <f>IF(I9=0," ",$G32*($L$29/1000))</f>
        <v>0</v>
      </c>
      <c r="J32" s="688" t="s">
        <v>250</v>
      </c>
      <c r="K32" s="689" t="s">
        <v>250</v>
      </c>
      <c r="L32" s="732"/>
      <c r="M32" s="736"/>
      <c r="P32" s="741"/>
      <c r="R32" s="686">
        <v>0</v>
      </c>
      <c r="S32" s="746">
        <f>G32</f>
        <v>0</v>
      </c>
      <c r="AV32" s="751"/>
      <c r="AW32" s="884"/>
      <c r="AX32" s="884"/>
      <c r="AY32" s="751"/>
      <c r="AZ32" s="755" t="s">
        <v>120</v>
      </c>
      <c r="BA32" s="755" t="str">
        <f>IF($G14=0," ",$G14)</f>
        <v xml:space="preserve"> </v>
      </c>
      <c r="BB32" s="751"/>
    </row>
    <row r="33" spans="2:54" ht="20.100000000000001" customHeight="1" x14ac:dyDescent="0.2">
      <c r="B33" s="664">
        <f>$I15*$F33</f>
        <v>0.52600000000000002</v>
      </c>
      <c r="E33" s="712" t="str">
        <f t="shared" si="0"/>
        <v>Ag.miúdo 1:</v>
      </c>
      <c r="F33" s="687">
        <v>0.2</v>
      </c>
      <c r="G33" s="718">
        <f>IF(I9=0," ",(((1000-($M$9*1000)-$I$9)*$L$9)-($G$31/$I$13)-($G$32/$I$14))*$B$36*$F33)</f>
        <v>143.98460852459016</v>
      </c>
      <c r="H33" s="685">
        <f>IF(I9=0," ",$AX33*$C$28)</f>
        <v>143.9823371866969</v>
      </c>
      <c r="I33" s="720">
        <f>IF(I9=0," ",$G33*($L$29/1000))</f>
        <v>3.5996152131147543</v>
      </c>
      <c r="J33" s="690">
        <v>0</v>
      </c>
      <c r="K33" s="689">
        <f>IF($J33=" "," ",$I33*(1+$J33))</f>
        <v>3.5996152131147543</v>
      </c>
      <c r="L33" s="733"/>
      <c r="M33" s="736"/>
      <c r="P33" s="741"/>
      <c r="R33" s="686">
        <f>'Dosagem  0'!G33/$R$30</f>
        <v>6.7224393557617862E-2</v>
      </c>
      <c r="S33" s="746">
        <f t="shared" ref="S33:S42" si="1">G33</f>
        <v>143.98460852459016</v>
      </c>
      <c r="AV33" s="751"/>
      <c r="AW33" s="754">
        <f>IF(I9=0," ",$G33/($G$31+$G$32))</f>
        <v>0.44855018231959548</v>
      </c>
      <c r="AX33" s="754">
        <f>IF(I9=0," ",(($I33+($L33/(1+$J33)))/($I$31+$L$31+$I$32+$L$32)))</f>
        <v>0.44855018231959554</v>
      </c>
      <c r="AY33" s="751"/>
      <c r="AZ33" s="755" t="s">
        <v>121</v>
      </c>
      <c r="BA33" s="755" t="str">
        <f>IF($G15=0," ",$G15)</f>
        <v xml:space="preserve"> </v>
      </c>
      <c r="BB33" s="751"/>
    </row>
    <row r="34" spans="2:54" ht="20.100000000000001" customHeight="1" x14ac:dyDescent="0.2">
      <c r="B34" s="664">
        <f>$I16*$F34</f>
        <v>2.1440000000000001</v>
      </c>
      <c r="E34" s="712" t="str">
        <f t="shared" si="0"/>
        <v>Ag.miúdo 2:</v>
      </c>
      <c r="F34" s="687">
        <v>0.8</v>
      </c>
      <c r="G34" s="718">
        <f>IF(I9=0," ",(((1000-($M$9*1000)-$I$9)*$L$9)-($G$31/$I$13)-($G$32/$I$14))*$B$36*$F34)</f>
        <v>575.93843409836063</v>
      </c>
      <c r="H34" s="685">
        <f>IF(I9=0," ",$AX34*$C$28)</f>
        <v>575.92934874678758</v>
      </c>
      <c r="I34" s="720">
        <f>IF(I9=0," ",$G34*($L$29/1000))</f>
        <v>14.398460852459017</v>
      </c>
      <c r="J34" s="690">
        <v>0</v>
      </c>
      <c r="K34" s="689">
        <f>IF($J34=" "," ",$I34*(1+$J34))</f>
        <v>14.398460852459017</v>
      </c>
      <c r="L34" s="732"/>
      <c r="M34" s="736"/>
      <c r="P34" s="741"/>
      <c r="R34" s="686">
        <f>'Dosagem  0'!G34/$R$30</f>
        <v>0.26889757423047145</v>
      </c>
      <c r="S34" s="746">
        <f t="shared" si="1"/>
        <v>575.93843409836063</v>
      </c>
      <c r="AV34" s="751"/>
      <c r="AW34" s="754">
        <f>IF(I9=0," ",$G34/($G$31+$G$32))</f>
        <v>1.7942007292783819</v>
      </c>
      <c r="AX34" s="754">
        <f>IF(I9=0," ",(($I34+($L34/(1+$J34)))/($I$31+$L$31+$I$32+$L$32)))</f>
        <v>1.7942007292783821</v>
      </c>
      <c r="AY34" s="751"/>
      <c r="AZ34" s="755" t="s">
        <v>84</v>
      </c>
      <c r="BA34" s="755" t="str">
        <f>IF($G16=0," ",$G16)</f>
        <v xml:space="preserve"> </v>
      </c>
      <c r="BB34" s="751"/>
    </row>
    <row r="35" spans="2:54" ht="20.100000000000001" customHeight="1" x14ac:dyDescent="0.2">
      <c r="B35" s="664">
        <f>$I17*$F35</f>
        <v>0</v>
      </c>
      <c r="E35" s="712" t="str">
        <f t="shared" si="0"/>
        <v>Ag.miúdo 3:</v>
      </c>
      <c r="F35" s="687">
        <v>0</v>
      </c>
      <c r="G35" s="718">
        <f>IF(I9=0," ",(((1000-($M$9*1000)-$I$9)*$L$9)-($G$31/$I$13)-($G$32/$I$14))*$B$36*$F35)</f>
        <v>0</v>
      </c>
      <c r="H35" s="685">
        <f>IF(I9=0," ",$AX35*$C$28)</f>
        <v>0</v>
      </c>
      <c r="I35" s="720">
        <f>IF(I9=0," ",$G35*($L$29/1000))</f>
        <v>0</v>
      </c>
      <c r="J35" s="688"/>
      <c r="K35" s="689" t="s">
        <v>79</v>
      </c>
      <c r="L35" s="732"/>
      <c r="M35" s="736"/>
      <c r="P35" s="741"/>
      <c r="R35" s="686">
        <f>'Dosagem  0'!G35/$R$30</f>
        <v>0</v>
      </c>
      <c r="S35" s="746">
        <f t="shared" si="1"/>
        <v>0</v>
      </c>
      <c r="AV35" s="751"/>
      <c r="AW35" s="754">
        <f>IF(I9=0," ",$G35/($G$31+$G$32))</f>
        <v>0</v>
      </c>
      <c r="AX35" s="754">
        <f>IF(I9=0," ",(($I35+($L35/(1+$J35)))/($I$31+$L$31+$I$32+$L$32)))</f>
        <v>0</v>
      </c>
      <c r="AY35" s="751"/>
      <c r="AZ35" s="755" t="s">
        <v>87</v>
      </c>
      <c r="BA35" s="755"/>
      <c r="BB35" s="751"/>
    </row>
    <row r="36" spans="2:54" ht="20.100000000000001" customHeight="1" x14ac:dyDescent="0.2">
      <c r="B36" s="664">
        <f>B33+B34+B35</f>
        <v>2.67</v>
      </c>
      <c r="C36" s="664">
        <f>$I18*$F36</f>
        <v>0.80699999999999994</v>
      </c>
      <c r="E36" s="712" t="str">
        <f t="shared" si="0"/>
        <v>Ag.graúdo 1:</v>
      </c>
      <c r="F36" s="687">
        <v>0.3</v>
      </c>
      <c r="G36" s="718">
        <f>IF(I9=0," ",((((1000-($M$9*1000)-$G$39))-((1000-($M$9*1000)-$G$39)*$L$9)))*$C$39*$F36)</f>
        <v>327.73883999999993</v>
      </c>
      <c r="H36" s="685">
        <f>IF(I9=0," ",$AX36*$C$28)</f>
        <v>327.73366996374386</v>
      </c>
      <c r="I36" s="720">
        <f>IF(I9=0," ",$G36*($L$29/1000))</f>
        <v>8.1934709999999988</v>
      </c>
      <c r="J36" s="688"/>
      <c r="K36" s="689" t="s">
        <v>79</v>
      </c>
      <c r="L36" s="732"/>
      <c r="M36" s="736"/>
      <c r="P36" s="741"/>
      <c r="R36" s="686">
        <f>'Dosagem  0'!G36/$R$30</f>
        <v>0.1530166660870175</v>
      </c>
      <c r="S36" s="746">
        <f t="shared" si="1"/>
        <v>327.73883999999993</v>
      </c>
      <c r="AV36" s="751"/>
      <c r="AW36" s="754">
        <f>IF(I9=0," ",$G36/($G$31+$G$32))</f>
        <v>1.0209932710280372</v>
      </c>
      <c r="AX36" s="754">
        <f>IF(I9=0," ",(($I36+($L36/(1+$J36)))/($I$31+$L$31+$I$32+$L$32)))</f>
        <v>1.0209932710280372</v>
      </c>
      <c r="AY36" s="751"/>
      <c r="AZ36" s="755" t="s">
        <v>88</v>
      </c>
      <c r="BA36" s="755" t="str">
        <f>IF($G18=0," ",$G18)</f>
        <v xml:space="preserve"> </v>
      </c>
      <c r="BB36" s="751"/>
    </row>
    <row r="37" spans="2:54" ht="20.100000000000001" customHeight="1" x14ac:dyDescent="0.2">
      <c r="C37" s="664">
        <f>$I19*$F37</f>
        <v>1.8829999999999998</v>
      </c>
      <c r="E37" s="712" t="str">
        <f t="shared" si="0"/>
        <v>Ag.graúdo 2:</v>
      </c>
      <c r="F37" s="687">
        <v>0.7</v>
      </c>
      <c r="G37" s="718">
        <f>IF(I9=0," ",((((1000-($M$9*1000)-$G$39))-((1000-($M$9*1000)-$G$39)*$L$9)))*$C$39*$F37)</f>
        <v>764.72395999999981</v>
      </c>
      <c r="H37" s="685">
        <f>IF(I9=0," ",$AX37*$C$28)</f>
        <v>764.7118965820689</v>
      </c>
      <c r="I37" s="720">
        <f>IF(I9=0," ",$G37*($L$29/1000))</f>
        <v>19.118098999999997</v>
      </c>
      <c r="J37" s="688"/>
      <c r="K37" s="689" t="s">
        <v>79</v>
      </c>
      <c r="L37" s="732"/>
      <c r="M37" s="736"/>
      <c r="P37" s="741"/>
      <c r="R37" s="686">
        <f>'Dosagem  0'!G37/$R$30</f>
        <v>0.35703888753637414</v>
      </c>
      <c r="S37" s="746">
        <f t="shared" si="1"/>
        <v>764.72395999999981</v>
      </c>
      <c r="AV37" s="751"/>
      <c r="AW37" s="754">
        <f>IF(I9=0," ",$G37/($G$31+$G$32))</f>
        <v>2.3823176323987534</v>
      </c>
      <c r="AX37" s="754">
        <f>IF(I9=0," ",(($I37+($L37/(1+$J37)))/($I$31+$L$31+$I$32+$L$32)))</f>
        <v>2.3823176323987534</v>
      </c>
      <c r="AY37" s="751"/>
      <c r="AZ37" s="755" t="s">
        <v>93</v>
      </c>
      <c r="BA37" s="755" t="str">
        <f>IF($G19=0," ",$G19)</f>
        <v xml:space="preserve"> </v>
      </c>
      <c r="BB37" s="751"/>
    </row>
    <row r="38" spans="2:54" ht="20.100000000000001" customHeight="1" x14ac:dyDescent="0.2">
      <c r="C38" s="664">
        <f>$I20*$F38</f>
        <v>0</v>
      </c>
      <c r="E38" s="712" t="str">
        <f t="shared" si="0"/>
        <v>Ag.graúdo 3:</v>
      </c>
      <c r="F38" s="687">
        <v>0</v>
      </c>
      <c r="G38" s="718">
        <f>IF(I9=0," ",((((1000-($M$9*1000)-$G$39))-((1000-($M$9*1000)-$G$39)*$L$9)))*$C$39*$F38)</f>
        <v>0</v>
      </c>
      <c r="H38" s="685">
        <f>IF(I9=0," ",$AX38*$C$28)</f>
        <v>0</v>
      </c>
      <c r="I38" s="720">
        <f>IF(I9=0," ",$G38*($L$29/1000))</f>
        <v>0</v>
      </c>
      <c r="J38" s="688"/>
      <c r="K38" s="689" t="s">
        <v>79</v>
      </c>
      <c r="L38" s="732"/>
      <c r="M38" s="736"/>
      <c r="P38" s="741"/>
      <c r="R38" s="686">
        <f>'Dosagem  0'!G38/$R$30</f>
        <v>0</v>
      </c>
      <c r="S38" s="746">
        <f t="shared" si="1"/>
        <v>0</v>
      </c>
      <c r="AV38" s="751"/>
      <c r="AW38" s="754">
        <f>IF(I9=0," ",$G38/($G$31+$G$32))</f>
        <v>0</v>
      </c>
      <c r="AX38" s="754">
        <f>IF(I9=0," ",(($I38+($L38/(1+$J38)))/($I$31+$L$31+$I$32+$L$32)))</f>
        <v>0</v>
      </c>
      <c r="AY38" s="751"/>
      <c r="AZ38" s="755" t="s">
        <v>95</v>
      </c>
      <c r="BA38" s="755" t="str">
        <f>IF($G20=0," ",$G20)</f>
        <v xml:space="preserve"> </v>
      </c>
      <c r="BB38" s="751"/>
    </row>
    <row r="39" spans="2:54" ht="20.100000000000001" customHeight="1" x14ac:dyDescent="0.2">
      <c r="C39" s="664">
        <f>C36+C37+C38</f>
        <v>2.6899999999999995</v>
      </c>
      <c r="E39" s="712" t="s">
        <v>125</v>
      </c>
      <c r="F39" s="680"/>
      <c r="G39" s="719">
        <f>IF(I9=0," ",I9)</f>
        <v>189</v>
      </c>
      <c r="H39" s="685">
        <f>IF(I9=0," ",$AX39*$C$28)</f>
        <v>188.99701855034212</v>
      </c>
      <c r="I39" s="720">
        <f>IF(I9=0," ",$G39*($L$29/1000))</f>
        <v>4.7250000000000005</v>
      </c>
      <c r="J39" s="681"/>
      <c r="K39" s="689">
        <f>I39-(K34-I34)-(K33-I33)</f>
        <v>4.7250000000000005</v>
      </c>
      <c r="L39" s="734">
        <v>0</v>
      </c>
      <c r="M39" s="736"/>
      <c r="P39" s="741"/>
      <c r="R39" s="686">
        <v>0</v>
      </c>
      <c r="S39" s="746">
        <f t="shared" si="1"/>
        <v>189</v>
      </c>
      <c r="AV39" s="751"/>
      <c r="AW39" s="754">
        <f>IF(I9=0," ",$G39/($G$31+$G$32))</f>
        <v>0.58878504672897192</v>
      </c>
      <c r="AX39" s="754">
        <f>IF(I9=0," ",($I39+$L39+($L33-($L33/(1+$J33)))+($L34-($L34/(1+$J34)))+($L35-($L35/(1+$J35)))+($L36-($L36/(1+$J36)))+($L37-($L37/(1+$J37)))+($L38-($L38/(1+$J38)))+($L39-($L39/(1+$J39))))/($I$31+$L$31+I32+L32))</f>
        <v>0.58878504672897203</v>
      </c>
      <c r="AY39" s="751"/>
      <c r="AZ39" s="755" t="s">
        <v>125</v>
      </c>
      <c r="BA39" s="755"/>
      <c r="BB39" s="751"/>
    </row>
    <row r="40" spans="2:54" ht="20.100000000000001" customHeight="1" x14ac:dyDescent="0.2">
      <c r="E40" s="712" t="str">
        <f>E21</f>
        <v>Aditivo 1:</v>
      </c>
      <c r="F40" s="687">
        <v>7.4999999999999997E-3</v>
      </c>
      <c r="G40" s="720">
        <f>IF(I9=0," ",$F40*($G$31+$G$32))</f>
        <v>2.4074999999999998</v>
      </c>
      <c r="H40" s="689">
        <f>IF($I$9=0," ",$F40*($H$31+$H$32))</f>
        <v>2.4074620220103098</v>
      </c>
      <c r="I40" s="720">
        <f>IF(I9=0," ",$G40*($L$29/1000))</f>
        <v>6.0187499999999998E-2</v>
      </c>
      <c r="J40" s="681"/>
      <c r="K40" s="681"/>
      <c r="L40" s="732"/>
      <c r="M40" s="736"/>
      <c r="P40" s="741"/>
      <c r="R40" s="686">
        <f>'Dosagem  0'!G40/$R$30</f>
        <v>1.1240279717975893E-3</v>
      </c>
      <c r="S40" s="745">
        <f t="shared" si="1"/>
        <v>2.4074999999999998</v>
      </c>
      <c r="AV40" s="751"/>
      <c r="AW40" s="756"/>
      <c r="AX40" s="755"/>
      <c r="AY40" s="751"/>
      <c r="AZ40" s="755" t="s">
        <v>128</v>
      </c>
      <c r="BA40" s="755" t="str">
        <f>IF($G21=0," ",$G21)</f>
        <v xml:space="preserve"> </v>
      </c>
      <c r="BB40" s="751"/>
    </row>
    <row r="41" spans="2:54" ht="20.100000000000001" customHeight="1" x14ac:dyDescent="0.2">
      <c r="E41" s="712" t="str">
        <f>E22</f>
        <v>Aditivo 2:</v>
      </c>
      <c r="F41" s="687">
        <v>4.0000000000000001E-3</v>
      </c>
      <c r="G41" s="720">
        <f>IF(I9=0," ",$F41*($G$31+$G$32))</f>
        <v>1.284</v>
      </c>
      <c r="H41" s="689">
        <f>IF($I$9=0," ",$F41*($H$31+$H$32))</f>
        <v>1.2839797450721653</v>
      </c>
      <c r="I41" s="720">
        <f>IF(I9=0," ",$G41*($L$29/1000))</f>
        <v>3.2100000000000004E-2</v>
      </c>
      <c r="J41" s="681"/>
      <c r="K41" s="681"/>
      <c r="L41" s="732"/>
      <c r="M41" s="736"/>
      <c r="P41" s="741"/>
      <c r="R41" s="686">
        <f>'Dosagem  0'!G41/$R$30</f>
        <v>5.994815849587144E-4</v>
      </c>
      <c r="S41" s="746">
        <f t="shared" si="1"/>
        <v>1.284</v>
      </c>
      <c r="AV41" s="751"/>
      <c r="AW41" s="755"/>
      <c r="AX41" s="755"/>
      <c r="AY41" s="751"/>
      <c r="AZ41" s="755" t="s">
        <v>131</v>
      </c>
      <c r="BA41" s="755" t="str">
        <f>IF($G22=0," ",$G22)</f>
        <v xml:space="preserve"> </v>
      </c>
      <c r="BB41" s="751"/>
    </row>
    <row r="42" spans="2:54" ht="20.100000000000001" customHeight="1" x14ac:dyDescent="0.2">
      <c r="E42" s="712" t="str">
        <f>E23</f>
        <v>Aditivo 3:</v>
      </c>
      <c r="F42" s="687">
        <v>3.0000000000000001E-3</v>
      </c>
      <c r="G42" s="720">
        <f>IF(I9=0," ",$F42*($G$31+$G$32))</f>
        <v>0.96299999999999997</v>
      </c>
      <c r="H42" s="689">
        <f>IF($I$9=0," ",$F42*($H$31+$H$32))</f>
        <v>0.96298480880412396</v>
      </c>
      <c r="I42" s="720">
        <f>IF(I9=0," ",$G42*($L$29/1000))</f>
        <v>2.4074999999999999E-2</v>
      </c>
      <c r="J42" s="681"/>
      <c r="K42" s="681"/>
      <c r="L42" s="732"/>
      <c r="M42" s="736"/>
      <c r="P42" s="741"/>
      <c r="R42" s="686">
        <f>'Dosagem  0'!G42/$R$30</f>
        <v>4.4961118871903578E-4</v>
      </c>
      <c r="S42" s="746">
        <f t="shared" si="1"/>
        <v>0.96299999999999997</v>
      </c>
      <c r="AV42" s="751"/>
      <c r="AW42" s="755"/>
      <c r="AX42" s="755"/>
      <c r="AY42" s="751"/>
      <c r="AZ42" s="755" t="s">
        <v>134</v>
      </c>
      <c r="BA42" s="755" t="str">
        <f>IF($G23=0," ",$G23)</f>
        <v xml:space="preserve"> </v>
      </c>
      <c r="BB42" s="751"/>
    </row>
    <row r="43" spans="2:54" ht="20.100000000000001" customHeight="1" x14ac:dyDescent="0.2">
      <c r="E43" s="712" t="str">
        <f>E24</f>
        <v>Adição 1:</v>
      </c>
      <c r="F43" s="687">
        <v>0.01</v>
      </c>
      <c r="G43" s="720">
        <f>IF(I9=0," ",$F43*($G$31+$G$32))</f>
        <v>3.21</v>
      </c>
      <c r="H43" s="689">
        <f>IF($I$9=0," ",$F43*($H$31+$H$32))</f>
        <v>3.2099493626804132</v>
      </c>
      <c r="I43" s="720">
        <f>IF(I9=0," ",$G43*($L$29/1000))</f>
        <v>8.0250000000000002E-2</v>
      </c>
      <c r="J43" s="681"/>
      <c r="K43" s="681"/>
      <c r="L43" s="732"/>
      <c r="M43" s="736"/>
      <c r="P43" s="741"/>
      <c r="R43" s="686">
        <f>'Dosagem  0'!G43/$R$30</f>
        <v>1.4987039623967861E-3</v>
      </c>
      <c r="S43" s="746">
        <f>G43</f>
        <v>3.21</v>
      </c>
      <c r="AV43" s="751"/>
      <c r="AW43" s="757"/>
      <c r="AX43" s="755"/>
      <c r="AY43" s="751"/>
      <c r="AZ43" s="755" t="s">
        <v>104</v>
      </c>
      <c r="BA43" s="755" t="str">
        <f>IF($G24=0," ",$G24)</f>
        <v xml:space="preserve"> </v>
      </c>
      <c r="BB43" s="751"/>
    </row>
    <row r="44" spans="2:54" ht="20.100000000000001" customHeight="1" x14ac:dyDescent="0.2">
      <c r="E44" s="712" t="str">
        <f>E25</f>
        <v>Adição 2:</v>
      </c>
      <c r="F44" s="750">
        <v>1.8699999999999999E-3</v>
      </c>
      <c r="G44" s="749">
        <f>IF(I9=0," ",$F44*($G$31+$G$32))</f>
        <v>0.60026999999999997</v>
      </c>
      <c r="H44" s="689">
        <f>IF($I$9=0," ",$F44*($H$31+$H$32))</f>
        <v>0.6002605308212372</v>
      </c>
      <c r="I44" s="720">
        <f>IF(I9=0," ",$H44*($L$29/1000))</f>
        <v>1.500651327053093E-2</v>
      </c>
      <c r="J44" s="681"/>
      <c r="K44" s="681"/>
      <c r="L44" s="732"/>
      <c r="M44" s="737"/>
      <c r="N44" s="738"/>
      <c r="O44" s="738"/>
      <c r="P44" s="742"/>
      <c r="R44" s="686">
        <f>'Dosagem  0'!G44/$R$30</f>
        <v>2.8025764096819899E-4</v>
      </c>
      <c r="S44" s="746">
        <f>G44</f>
        <v>0.60026999999999997</v>
      </c>
      <c r="AV44" s="751"/>
      <c r="AW44" s="755"/>
      <c r="AX44" s="755"/>
      <c r="AY44" s="751"/>
      <c r="AZ44" s="755" t="s">
        <v>105</v>
      </c>
      <c r="BA44" s="755" t="str">
        <f>IF($G27=0," ",$G27)</f>
        <v xml:space="preserve"> </v>
      </c>
      <c r="BB44" s="751"/>
    </row>
    <row r="45" spans="2:54" ht="2.25" customHeight="1" x14ac:dyDescent="0.2">
      <c r="E45" s="713"/>
      <c r="F45" s="743"/>
      <c r="G45" s="705"/>
      <c r="H45" s="709"/>
      <c r="I45" s="709"/>
      <c r="J45" s="744"/>
      <c r="K45" s="709"/>
      <c r="L45" s="709"/>
      <c r="M45" s="744"/>
      <c r="N45" s="709"/>
      <c r="O45" s="709"/>
      <c r="P45" s="710"/>
      <c r="R45" s="686"/>
      <c r="AV45" s="751"/>
      <c r="AW45" s="751"/>
      <c r="AX45" s="751"/>
      <c r="AY45" s="751"/>
      <c r="AZ45" s="751"/>
      <c r="BA45" s="751"/>
      <c r="BB45" s="751"/>
    </row>
    <row r="46" spans="2:54" ht="22.5" customHeight="1" x14ac:dyDescent="0.2">
      <c r="E46" s="877" t="s">
        <v>269</v>
      </c>
      <c r="F46" s="878"/>
      <c r="G46" s="878"/>
      <c r="H46" s="878"/>
      <c r="I46" s="878"/>
      <c r="J46" s="878"/>
      <c r="K46" s="878"/>
      <c r="L46" s="878"/>
      <c r="M46" s="878"/>
      <c r="N46" s="878"/>
      <c r="O46" s="878"/>
      <c r="P46" s="879"/>
      <c r="S46" s="761">
        <f>SUM(G31:G43)</f>
        <v>2330.2503426229509</v>
      </c>
      <c r="AV46" s="751"/>
      <c r="AW46" s="751"/>
      <c r="AX46" s="751"/>
      <c r="AY46" s="751"/>
      <c r="AZ46" s="751"/>
      <c r="BA46" s="751"/>
      <c r="BB46" s="751"/>
    </row>
    <row r="47" spans="2:54" s="691" customFormat="1" ht="27" customHeight="1" x14ac:dyDescent="0.2">
      <c r="E47" s="894" t="s">
        <v>287</v>
      </c>
      <c r="F47" s="900" t="s">
        <v>141</v>
      </c>
      <c r="G47" s="898" t="s">
        <v>142</v>
      </c>
      <c r="H47" s="899"/>
      <c r="I47" s="672" t="s">
        <v>254</v>
      </c>
      <c r="J47" s="672" t="s">
        <v>144</v>
      </c>
      <c r="K47" s="672" t="s">
        <v>257</v>
      </c>
      <c r="L47" s="672" t="s">
        <v>259</v>
      </c>
      <c r="M47" s="907" t="s">
        <v>260</v>
      </c>
      <c r="N47" s="907"/>
      <c r="O47" s="907"/>
      <c r="P47" s="908"/>
      <c r="R47" s="692">
        <f>SUM(R31:R44)</f>
        <v>0.99999999999999978</v>
      </c>
      <c r="AV47" s="758"/>
      <c r="AW47" s="758"/>
      <c r="AX47" s="758"/>
      <c r="AY47" s="758"/>
      <c r="AZ47" s="758"/>
      <c r="BA47" s="758"/>
      <c r="BB47" s="758"/>
    </row>
    <row r="48" spans="2:54" s="691" customFormat="1" ht="20.100000000000001" customHeight="1" x14ac:dyDescent="0.2">
      <c r="E48" s="895"/>
      <c r="F48" s="901"/>
      <c r="G48" s="672" t="s">
        <v>255</v>
      </c>
      <c r="H48" s="672" t="s">
        <v>256</v>
      </c>
      <c r="I48" s="672" t="s">
        <v>150</v>
      </c>
      <c r="J48" s="672" t="s">
        <v>151</v>
      </c>
      <c r="K48" s="672" t="s">
        <v>258</v>
      </c>
      <c r="L48" s="672" t="s">
        <v>258</v>
      </c>
      <c r="M48" s="907"/>
      <c r="N48" s="907"/>
      <c r="O48" s="907"/>
      <c r="P48" s="908"/>
      <c r="AV48" s="758"/>
      <c r="AW48" s="758"/>
      <c r="AX48" s="758"/>
      <c r="AY48" s="758"/>
      <c r="AZ48" s="758"/>
      <c r="BA48" s="758"/>
      <c r="BB48" s="758"/>
    </row>
    <row r="49" spans="5:54" ht="20.100000000000001" customHeight="1" x14ac:dyDescent="0.2">
      <c r="E49" s="714"/>
      <c r="F49" s="693"/>
      <c r="G49" s="694"/>
      <c r="H49" s="695"/>
      <c r="I49" s="696"/>
      <c r="J49" s="697"/>
      <c r="K49" s="721"/>
      <c r="L49" s="721"/>
      <c r="M49" s="907"/>
      <c r="N49" s="907"/>
      <c r="O49" s="907"/>
      <c r="P49" s="908"/>
      <c r="AV49" s="751" t="s">
        <v>294</v>
      </c>
      <c r="AW49" s="751"/>
      <c r="AX49" s="751"/>
      <c r="AY49" s="751" t="s">
        <v>293</v>
      </c>
      <c r="AZ49" s="751"/>
      <c r="BA49" s="751" t="s">
        <v>295</v>
      </c>
      <c r="BB49" s="751"/>
    </row>
    <row r="50" spans="5:54" ht="22.5" customHeight="1" x14ac:dyDescent="0.2">
      <c r="E50" s="877" t="s">
        <v>270</v>
      </c>
      <c r="F50" s="878"/>
      <c r="G50" s="878"/>
      <c r="H50" s="878"/>
      <c r="I50" s="878"/>
      <c r="J50" s="878"/>
      <c r="K50" s="878"/>
      <c r="L50" s="878"/>
      <c r="M50" s="878"/>
      <c r="N50" s="878"/>
      <c r="O50" s="878"/>
      <c r="P50" s="879"/>
      <c r="AV50" s="759">
        <f>$G$9*0.4</f>
        <v>15.3</v>
      </c>
      <c r="AW50" s="751"/>
      <c r="AX50" s="751"/>
      <c r="AY50" s="751"/>
      <c r="AZ50" s="751"/>
      <c r="BA50" s="759">
        <f>$G$9*0.5</f>
        <v>19.125</v>
      </c>
      <c r="BB50" s="751"/>
    </row>
    <row r="51" spans="5:54" ht="38.25" customHeight="1" x14ac:dyDescent="0.2">
      <c r="E51" s="894" t="s">
        <v>158</v>
      </c>
      <c r="F51" s="896" t="s">
        <v>159</v>
      </c>
      <c r="G51" s="906" t="s">
        <v>261</v>
      </c>
      <c r="H51" s="906"/>
      <c r="I51" s="906"/>
      <c r="J51" s="885"/>
      <c r="K51" s="886"/>
      <c r="L51" s="886"/>
      <c r="M51" s="886"/>
      <c r="N51" s="886"/>
      <c r="O51" s="886"/>
      <c r="P51" s="887"/>
      <c r="AV51" s="759">
        <f>$G$9*0.65</f>
        <v>24.862500000000001</v>
      </c>
      <c r="AW51" s="751"/>
      <c r="AX51" s="751"/>
      <c r="AY51" s="751"/>
      <c r="AZ51" s="751"/>
      <c r="BA51" s="759">
        <f>$G$9*0.8</f>
        <v>30.6</v>
      </c>
      <c r="BB51" s="751"/>
    </row>
    <row r="52" spans="5:54" ht="20.100000000000001" customHeight="1" x14ac:dyDescent="0.2">
      <c r="E52" s="895"/>
      <c r="F52" s="897"/>
      <c r="G52" s="665" t="s">
        <v>163</v>
      </c>
      <c r="H52" s="665" t="s">
        <v>164</v>
      </c>
      <c r="I52" s="665" t="s">
        <v>165</v>
      </c>
      <c r="J52" s="888"/>
      <c r="K52" s="889"/>
      <c r="L52" s="889"/>
      <c r="M52" s="889"/>
      <c r="N52" s="889"/>
      <c r="O52" s="889"/>
      <c r="P52" s="890"/>
      <c r="AV52" s="759">
        <f>$G$9*0.82</f>
        <v>31.364999999999998</v>
      </c>
      <c r="AW52" s="751"/>
      <c r="AX52" s="751"/>
      <c r="AY52" s="751"/>
      <c r="AZ52" s="751"/>
      <c r="BA52" s="759">
        <f>$G$9*0.9</f>
        <v>34.425000000000004</v>
      </c>
      <c r="BB52" s="751"/>
    </row>
    <row r="53" spans="5:54" ht="24.95" customHeight="1" x14ac:dyDescent="0.2">
      <c r="E53" s="699">
        <v>3</v>
      </c>
      <c r="F53" s="760">
        <f>$K$5+E53</f>
        <v>3</v>
      </c>
      <c r="G53" s="721"/>
      <c r="H53" s="721"/>
      <c r="I53" s="721">
        <f>MAX(G53:H53)</f>
        <v>0</v>
      </c>
      <c r="J53" s="888"/>
      <c r="K53" s="889"/>
      <c r="L53" s="889"/>
      <c r="M53" s="889"/>
      <c r="N53" s="889"/>
      <c r="O53" s="889"/>
      <c r="P53" s="890"/>
      <c r="AV53" s="759">
        <f>$G$9</f>
        <v>38.25</v>
      </c>
      <c r="AW53" s="751"/>
      <c r="AX53" s="751"/>
      <c r="AY53" s="751"/>
      <c r="AZ53" s="751"/>
      <c r="BA53" s="759">
        <f>$G$9</f>
        <v>38.25</v>
      </c>
      <c r="BB53" s="751"/>
    </row>
    <row r="54" spans="5:54" ht="24.95" customHeight="1" x14ac:dyDescent="0.2">
      <c r="E54" s="699">
        <v>7</v>
      </c>
      <c r="F54" s="760">
        <f t="shared" ref="F54:F56" si="2">$K$5+E54</f>
        <v>7</v>
      </c>
      <c r="G54" s="721"/>
      <c r="H54" s="721"/>
      <c r="I54" s="721">
        <f t="shared" ref="I54:I56" si="3">MAX(G54:H54)</f>
        <v>0</v>
      </c>
      <c r="J54" s="888"/>
      <c r="K54" s="889"/>
      <c r="L54" s="889"/>
      <c r="M54" s="889"/>
      <c r="N54" s="889"/>
      <c r="O54" s="889"/>
      <c r="P54" s="890"/>
    </row>
    <row r="55" spans="5:54" ht="24.95" customHeight="1" x14ac:dyDescent="0.2">
      <c r="E55" s="699">
        <v>14</v>
      </c>
      <c r="F55" s="760">
        <f t="shared" si="2"/>
        <v>14</v>
      </c>
      <c r="G55" s="721"/>
      <c r="H55" s="721"/>
      <c r="I55" s="721">
        <f t="shared" si="3"/>
        <v>0</v>
      </c>
      <c r="J55" s="888"/>
      <c r="K55" s="889"/>
      <c r="L55" s="889"/>
      <c r="M55" s="889"/>
      <c r="N55" s="889"/>
      <c r="O55" s="889"/>
      <c r="P55" s="890"/>
    </row>
    <row r="56" spans="5:54" ht="24.95" customHeight="1" x14ac:dyDescent="0.2">
      <c r="E56" s="699">
        <v>28</v>
      </c>
      <c r="F56" s="760">
        <f t="shared" si="2"/>
        <v>28</v>
      </c>
      <c r="G56" s="721"/>
      <c r="H56" s="721"/>
      <c r="I56" s="721">
        <f t="shared" si="3"/>
        <v>0</v>
      </c>
      <c r="J56" s="891"/>
      <c r="K56" s="892"/>
      <c r="L56" s="892"/>
      <c r="M56" s="892"/>
      <c r="N56" s="892"/>
      <c r="O56" s="892"/>
      <c r="P56" s="893"/>
    </row>
    <row r="57" spans="5:54" ht="5.25" customHeight="1" x14ac:dyDescent="0.2">
      <c r="E57" s="715"/>
      <c r="F57" s="716"/>
      <c r="G57" s="716"/>
      <c r="H57" s="716"/>
      <c r="I57" s="716"/>
      <c r="J57" s="716"/>
      <c r="K57" s="716"/>
      <c r="L57" s="716"/>
      <c r="M57" s="716"/>
      <c r="N57" s="716"/>
      <c r="O57" s="716"/>
      <c r="P57" s="717"/>
    </row>
    <row r="67" spans="10:14" x14ac:dyDescent="0.2">
      <c r="J67" s="909"/>
      <c r="K67" s="909"/>
      <c r="L67" s="909"/>
      <c r="M67" s="909"/>
      <c r="N67" s="909"/>
    </row>
    <row r="68" spans="10:14" x14ac:dyDescent="0.2">
      <c r="J68" s="905"/>
      <c r="K68" s="905"/>
      <c r="L68" s="905"/>
      <c r="M68" s="905"/>
      <c r="N68" s="905"/>
    </row>
    <row r="69" spans="10:14" x14ac:dyDescent="0.2">
      <c r="J69" s="904"/>
      <c r="K69" s="904"/>
      <c r="L69" s="904"/>
      <c r="M69" s="904"/>
      <c r="N69" s="904"/>
    </row>
    <row r="70" spans="10:14" x14ac:dyDescent="0.2">
      <c r="J70" s="904"/>
      <c r="K70" s="904"/>
      <c r="L70" s="904"/>
      <c r="M70" s="904"/>
      <c r="N70" s="904"/>
    </row>
    <row r="71" spans="10:14" x14ac:dyDescent="0.2">
      <c r="J71" s="698"/>
      <c r="K71" s="698"/>
      <c r="L71" s="698"/>
      <c r="M71" s="698"/>
      <c r="N71" s="698"/>
    </row>
    <row r="72" spans="10:14" x14ac:dyDescent="0.2">
      <c r="J72" s="698"/>
      <c r="K72" s="698"/>
      <c r="L72" s="698"/>
      <c r="M72" s="698"/>
      <c r="N72" s="698"/>
    </row>
    <row r="73" spans="10:14" x14ac:dyDescent="0.2">
      <c r="J73" s="698"/>
      <c r="K73" s="698"/>
      <c r="L73" s="698"/>
      <c r="M73" s="698"/>
      <c r="N73" s="698"/>
    </row>
    <row r="74" spans="10:14" x14ac:dyDescent="0.2">
      <c r="J74" s="905"/>
      <c r="K74" s="905"/>
      <c r="L74" s="905"/>
      <c r="M74" s="905"/>
      <c r="N74" s="905"/>
    </row>
  </sheetData>
  <mergeCells count="43">
    <mergeCell ref="J68:N68"/>
    <mergeCell ref="J69:N69"/>
    <mergeCell ref="J70:N70"/>
    <mergeCell ref="J74:N74"/>
    <mergeCell ref="E50:P50"/>
    <mergeCell ref="E51:E52"/>
    <mergeCell ref="F51:F52"/>
    <mergeCell ref="G51:I51"/>
    <mergeCell ref="J51:P56"/>
    <mergeCell ref="J67:N67"/>
    <mergeCell ref="E30:F30"/>
    <mergeCell ref="AW31:AW32"/>
    <mergeCell ref="AX31:AX32"/>
    <mergeCell ref="E46:P46"/>
    <mergeCell ref="E47:E48"/>
    <mergeCell ref="F47:F48"/>
    <mergeCell ref="G47:H47"/>
    <mergeCell ref="M47:P49"/>
    <mergeCell ref="F24:H24"/>
    <mergeCell ref="F25:H25"/>
    <mergeCell ref="F26:H26"/>
    <mergeCell ref="F27:H27"/>
    <mergeCell ref="E28:P28"/>
    <mergeCell ref="E29:H29"/>
    <mergeCell ref="F18:H18"/>
    <mergeCell ref="F19:H19"/>
    <mergeCell ref="F20:H20"/>
    <mergeCell ref="F21:H21"/>
    <mergeCell ref="F22:H22"/>
    <mergeCell ref="F23:H23"/>
    <mergeCell ref="E12:H12"/>
    <mergeCell ref="F13:H13"/>
    <mergeCell ref="F14:H14"/>
    <mergeCell ref="F15:H15"/>
    <mergeCell ref="F16:H16"/>
    <mergeCell ref="F17:H17"/>
    <mergeCell ref="E2:P3"/>
    <mergeCell ref="E4:P4"/>
    <mergeCell ref="K5:M5"/>
    <mergeCell ref="E7:P7"/>
    <mergeCell ref="E11:I11"/>
    <mergeCell ref="J11:M11"/>
    <mergeCell ref="N11:P11"/>
  </mergeCells>
  <printOptions horizontalCentered="1" verticalCentered="1"/>
  <pageMargins left="0.31496062992125984" right="0.31496062992125984" top="0.39370078740157483" bottom="0.39370078740157483" header="0" footer="0"/>
  <pageSetup paperSize="9" scale="69" orientation="portrait" r:id="rId1"/>
  <ignoredErrors>
    <ignoredError sqref="G9 K12:P12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B74"/>
  <sheetViews>
    <sheetView showGridLines="0" topLeftCell="E27" zoomScale="85" zoomScaleNormal="85" workbookViewId="0">
      <selection activeCell="L18" sqref="L18"/>
    </sheetView>
  </sheetViews>
  <sheetFormatPr defaultColWidth="11.7109375" defaultRowHeight="14.25" x14ac:dyDescent="0.2"/>
  <cols>
    <col min="1" max="1" width="3.85546875" style="664" customWidth="1"/>
    <col min="2" max="4" width="11.7109375" style="664" hidden="1" customWidth="1"/>
    <col min="5" max="5" width="13.7109375" style="664" customWidth="1"/>
    <col min="6" max="6" width="10.85546875" style="664" customWidth="1"/>
    <col min="7" max="7" width="10.42578125" style="664" customWidth="1"/>
    <col min="8" max="8" width="19.28515625" style="664" customWidth="1"/>
    <col min="9" max="9" width="13" style="664" customWidth="1"/>
    <col min="10" max="10" width="10.28515625" style="664" customWidth="1"/>
    <col min="11" max="11" width="12.7109375" style="664" customWidth="1"/>
    <col min="12" max="12" width="11.85546875" style="664" customWidth="1"/>
    <col min="13" max="13" width="10.7109375" style="664" customWidth="1"/>
    <col min="14" max="15" width="11.28515625" style="664" customWidth="1"/>
    <col min="16" max="16" width="13.7109375" style="664" customWidth="1"/>
    <col min="17" max="17" width="11.7109375" style="664" customWidth="1"/>
    <col min="18" max="18" width="0.42578125" style="664" customWidth="1"/>
    <col min="19" max="19" width="0.28515625" style="664" customWidth="1"/>
    <col min="20" max="23" width="11.7109375" style="664" customWidth="1"/>
    <col min="24" max="35" width="11.7109375" style="664"/>
    <col min="36" max="45" width="11.7109375" style="664" customWidth="1"/>
    <col min="46" max="50" width="11.7109375" style="664"/>
    <col min="51" max="51" width="11.7109375" style="664" customWidth="1"/>
    <col min="52" max="16384" width="11.7109375" style="664"/>
  </cols>
  <sheetData>
    <row r="1" spans="5:16" ht="7.5" customHeight="1" x14ac:dyDescent="0.2"/>
    <row r="2" spans="5:16" x14ac:dyDescent="0.2">
      <c r="E2" s="868" t="s">
        <v>300</v>
      </c>
      <c r="F2" s="869"/>
      <c r="G2" s="869"/>
      <c r="H2" s="869"/>
      <c r="I2" s="869"/>
      <c r="J2" s="869"/>
      <c r="K2" s="869"/>
      <c r="L2" s="869"/>
      <c r="M2" s="869"/>
      <c r="N2" s="869"/>
      <c r="O2" s="869"/>
      <c r="P2" s="870"/>
    </row>
    <row r="3" spans="5:16" x14ac:dyDescent="0.2">
      <c r="E3" s="871"/>
      <c r="F3" s="872"/>
      <c r="G3" s="872"/>
      <c r="H3" s="872"/>
      <c r="I3" s="872"/>
      <c r="J3" s="872"/>
      <c r="K3" s="872"/>
      <c r="L3" s="872"/>
      <c r="M3" s="872"/>
      <c r="N3" s="872"/>
      <c r="O3" s="872"/>
      <c r="P3" s="873"/>
    </row>
    <row r="4" spans="5:16" ht="4.5" customHeight="1" x14ac:dyDescent="0.2">
      <c r="E4" s="874"/>
      <c r="F4" s="875"/>
      <c r="G4" s="875"/>
      <c r="H4" s="875"/>
      <c r="I4" s="875"/>
      <c r="J4" s="875"/>
      <c r="K4" s="875"/>
      <c r="L4" s="875"/>
      <c r="M4" s="875"/>
      <c r="N4" s="875"/>
      <c r="O4" s="875"/>
      <c r="P4" s="876"/>
    </row>
    <row r="5" spans="5:16" ht="20.100000000000001" customHeight="1" x14ac:dyDescent="0.2">
      <c r="E5" s="722" t="s">
        <v>47</v>
      </c>
      <c r="F5" s="723"/>
      <c r="G5" s="723"/>
      <c r="H5" s="723"/>
      <c r="I5" s="724"/>
      <c r="J5" s="665" t="s">
        <v>48</v>
      </c>
      <c r="K5" s="882">
        <v>45405</v>
      </c>
      <c r="L5" s="882"/>
      <c r="M5" s="882"/>
      <c r="N5" s="725" t="s">
        <v>49</v>
      </c>
      <c r="O5" s="723"/>
      <c r="P5" s="726"/>
    </row>
    <row r="6" spans="5:16" ht="20.100000000000001" customHeight="1" x14ac:dyDescent="0.2">
      <c r="E6" s="722" t="s">
        <v>50</v>
      </c>
      <c r="F6" s="723"/>
      <c r="G6" s="724"/>
      <c r="H6" s="667" t="s">
        <v>51</v>
      </c>
      <c r="I6" s="666"/>
      <c r="J6" s="666"/>
      <c r="K6" s="668"/>
      <c r="L6" s="669" t="s">
        <v>52</v>
      </c>
      <c r="M6" s="670"/>
      <c r="N6" s="671" t="s">
        <v>79</v>
      </c>
      <c r="O6" s="671"/>
      <c r="P6" s="700"/>
    </row>
    <row r="7" spans="5:16" ht="22.5" customHeight="1" x14ac:dyDescent="0.2">
      <c r="E7" s="877" t="s">
        <v>265</v>
      </c>
      <c r="F7" s="878"/>
      <c r="G7" s="878"/>
      <c r="H7" s="878"/>
      <c r="I7" s="878"/>
      <c r="J7" s="878"/>
      <c r="K7" s="878"/>
      <c r="L7" s="878"/>
      <c r="M7" s="878"/>
      <c r="N7" s="878"/>
      <c r="O7" s="878"/>
      <c r="P7" s="879"/>
    </row>
    <row r="8" spans="5:16" s="673" customFormat="1" ht="30.75" customHeight="1" x14ac:dyDescent="0.25">
      <c r="E8" s="701" t="s">
        <v>54</v>
      </c>
      <c r="F8" s="672" t="s">
        <v>55</v>
      </c>
      <c r="G8" s="672" t="s">
        <v>56</v>
      </c>
      <c r="H8" s="672" t="s">
        <v>57</v>
      </c>
      <c r="I8" s="672" t="s">
        <v>263</v>
      </c>
      <c r="J8" s="672" t="s">
        <v>264</v>
      </c>
      <c r="K8" s="672" t="s">
        <v>60</v>
      </c>
      <c r="L8" s="672" t="s">
        <v>61</v>
      </c>
      <c r="M8" s="672" t="s">
        <v>62</v>
      </c>
      <c r="N8" s="672" t="s">
        <v>63</v>
      </c>
      <c r="O8" s="672" t="s">
        <v>271</v>
      </c>
      <c r="P8" s="702" t="s">
        <v>65</v>
      </c>
    </row>
    <row r="9" spans="5:16" ht="20.100000000000001" customHeight="1" x14ac:dyDescent="0.2">
      <c r="E9" s="770">
        <v>30</v>
      </c>
      <c r="F9" s="771">
        <v>5</v>
      </c>
      <c r="G9" s="772">
        <f>E9+(F9*1.65)</f>
        <v>38.25</v>
      </c>
      <c r="H9" s="772" t="s">
        <v>302</v>
      </c>
      <c r="I9" s="772">
        <v>189</v>
      </c>
      <c r="J9" s="772">
        <v>321</v>
      </c>
      <c r="K9" s="773">
        <f>SUM(I9/J9)</f>
        <v>0.58878504672897192</v>
      </c>
      <c r="L9" s="774">
        <v>0.48</v>
      </c>
      <c r="M9" s="775">
        <v>0.03</v>
      </c>
      <c r="N9" s="773">
        <v>19.100000000000001</v>
      </c>
      <c r="O9" s="776">
        <v>28</v>
      </c>
      <c r="P9" s="777" t="s">
        <v>66</v>
      </c>
    </row>
    <row r="10" spans="5:16" ht="3" customHeight="1" x14ac:dyDescent="0.2">
      <c r="E10" s="703"/>
      <c r="F10" s="704"/>
      <c r="G10" s="705"/>
      <c r="H10" s="705"/>
      <c r="I10" s="705"/>
      <c r="J10" s="705"/>
      <c r="K10" s="706"/>
      <c r="L10" s="707"/>
      <c r="M10" s="708"/>
      <c r="N10" s="706"/>
      <c r="O10" s="709"/>
      <c r="P10" s="710"/>
    </row>
    <row r="11" spans="5:16" ht="31.5" customHeight="1" x14ac:dyDescent="0.2">
      <c r="E11" s="880" t="s">
        <v>266</v>
      </c>
      <c r="F11" s="881"/>
      <c r="G11" s="881"/>
      <c r="H11" s="881"/>
      <c r="I11" s="881"/>
      <c r="J11" s="920" t="s">
        <v>267</v>
      </c>
      <c r="K11" s="881"/>
      <c r="L11" s="881"/>
      <c r="M11" s="881"/>
      <c r="N11" s="920" t="s">
        <v>268</v>
      </c>
      <c r="O11" s="920"/>
      <c r="P11" s="921"/>
    </row>
    <row r="12" spans="5:16" s="673" customFormat="1" ht="39.75" customHeight="1" x14ac:dyDescent="0.25">
      <c r="E12" s="918" t="s">
        <v>247</v>
      </c>
      <c r="F12" s="919"/>
      <c r="G12" s="919"/>
      <c r="H12" s="919"/>
      <c r="I12" s="676" t="s">
        <v>299</v>
      </c>
      <c r="J12" s="762" t="s">
        <v>296</v>
      </c>
      <c r="K12" s="762" t="str">
        <f>E15</f>
        <v>Ag.miúdo 1:</v>
      </c>
      <c r="L12" s="762" t="str">
        <f>E16</f>
        <v>Ag.miúdo 2:</v>
      </c>
      <c r="M12" s="762" t="str">
        <f>E17</f>
        <v>Ag.miúdo 3:</v>
      </c>
      <c r="N12" s="762" t="str">
        <f>E18</f>
        <v>Ag.graúdo 1:</v>
      </c>
      <c r="O12" s="762" t="str">
        <f>E19</f>
        <v>Ag.graúdo 2:</v>
      </c>
      <c r="P12" s="763" t="str">
        <f>E20</f>
        <v>Ag.graúdo 3:</v>
      </c>
    </row>
    <row r="13" spans="5:16" ht="20.100000000000001" customHeight="1" x14ac:dyDescent="0.2">
      <c r="E13" s="768" t="s">
        <v>272</v>
      </c>
      <c r="F13" s="902" t="s">
        <v>305</v>
      </c>
      <c r="G13" s="903"/>
      <c r="H13" s="903"/>
      <c r="I13" s="769">
        <v>3.05</v>
      </c>
      <c r="J13" s="764" t="s">
        <v>253</v>
      </c>
      <c r="K13" s="675">
        <v>0</v>
      </c>
      <c r="L13" s="675">
        <v>0</v>
      </c>
      <c r="M13" s="675">
        <v>0</v>
      </c>
      <c r="N13" s="675">
        <v>0</v>
      </c>
      <c r="O13" s="675">
        <v>0</v>
      </c>
      <c r="P13" s="711">
        <v>0</v>
      </c>
    </row>
    <row r="14" spans="5:16" ht="20.100000000000001" customHeight="1" x14ac:dyDescent="0.2">
      <c r="E14" s="768" t="s">
        <v>273</v>
      </c>
      <c r="F14" s="902" t="s">
        <v>306</v>
      </c>
      <c r="G14" s="903"/>
      <c r="H14" s="903"/>
      <c r="I14" s="769">
        <v>2.2000000000000002</v>
      </c>
      <c r="J14" s="765" t="s">
        <v>7</v>
      </c>
      <c r="K14" s="675">
        <v>0</v>
      </c>
      <c r="L14" s="675">
        <v>0</v>
      </c>
      <c r="M14" s="675">
        <v>0</v>
      </c>
      <c r="N14" s="675">
        <v>0</v>
      </c>
      <c r="O14" s="675">
        <v>0</v>
      </c>
      <c r="P14" s="711">
        <v>0</v>
      </c>
    </row>
    <row r="15" spans="5:16" ht="20.100000000000001" customHeight="1" x14ac:dyDescent="0.2">
      <c r="E15" s="768" t="s">
        <v>274</v>
      </c>
      <c r="F15" s="902" t="s">
        <v>303</v>
      </c>
      <c r="G15" s="903"/>
      <c r="H15" s="903"/>
      <c r="I15" s="769">
        <v>2.63</v>
      </c>
      <c r="J15" s="765" t="s">
        <v>8</v>
      </c>
      <c r="K15" s="675">
        <v>0</v>
      </c>
      <c r="L15" s="675">
        <v>0</v>
      </c>
      <c r="M15" s="675">
        <v>0</v>
      </c>
      <c r="N15" s="675">
        <v>0</v>
      </c>
      <c r="O15" s="675">
        <v>3</v>
      </c>
      <c r="P15" s="711">
        <v>0</v>
      </c>
    </row>
    <row r="16" spans="5:16" ht="20.100000000000001" customHeight="1" x14ac:dyDescent="0.2">
      <c r="E16" s="768" t="s">
        <v>275</v>
      </c>
      <c r="F16" s="902" t="s">
        <v>304</v>
      </c>
      <c r="G16" s="903"/>
      <c r="H16" s="903"/>
      <c r="I16" s="769">
        <v>2.68</v>
      </c>
      <c r="J16" s="765" t="s">
        <v>9</v>
      </c>
      <c r="K16" s="675">
        <v>0</v>
      </c>
      <c r="L16" s="675">
        <v>0</v>
      </c>
      <c r="M16" s="675">
        <v>0</v>
      </c>
      <c r="N16" s="675">
        <v>0</v>
      </c>
      <c r="O16" s="675">
        <v>69</v>
      </c>
      <c r="P16" s="711">
        <v>0</v>
      </c>
    </row>
    <row r="17" spans="2:54" ht="20.100000000000001" customHeight="1" x14ac:dyDescent="0.2">
      <c r="E17" s="768" t="s">
        <v>276</v>
      </c>
      <c r="F17" s="902" t="s">
        <v>251</v>
      </c>
      <c r="G17" s="903"/>
      <c r="H17" s="903"/>
      <c r="I17" s="769">
        <v>1</v>
      </c>
      <c r="J17" s="675" t="s">
        <v>191</v>
      </c>
      <c r="K17" s="677">
        <v>0</v>
      </c>
      <c r="L17" s="675">
        <v>0</v>
      </c>
      <c r="M17" s="675">
        <v>0</v>
      </c>
      <c r="N17" s="675">
        <v>6</v>
      </c>
      <c r="O17" s="675">
        <v>91</v>
      </c>
      <c r="P17" s="711">
        <v>0</v>
      </c>
    </row>
    <row r="18" spans="2:54" ht="20.100000000000001" customHeight="1" x14ac:dyDescent="0.2">
      <c r="E18" s="768" t="s">
        <v>277</v>
      </c>
      <c r="F18" s="902" t="s">
        <v>248</v>
      </c>
      <c r="G18" s="903"/>
      <c r="H18" s="903"/>
      <c r="I18" s="769">
        <v>2.69</v>
      </c>
      <c r="J18" s="764" t="s">
        <v>11</v>
      </c>
      <c r="K18" s="677">
        <v>0.4</v>
      </c>
      <c r="L18" s="677">
        <v>0</v>
      </c>
      <c r="M18" s="675">
        <v>0</v>
      </c>
      <c r="N18" s="675">
        <v>63</v>
      </c>
      <c r="O18" s="675">
        <v>99</v>
      </c>
      <c r="P18" s="711">
        <v>0</v>
      </c>
      <c r="U18" s="664" t="s">
        <v>92</v>
      </c>
    </row>
    <row r="19" spans="2:54" ht="20.100000000000001" customHeight="1" x14ac:dyDescent="0.2">
      <c r="E19" s="768" t="s">
        <v>278</v>
      </c>
      <c r="F19" s="902" t="s">
        <v>249</v>
      </c>
      <c r="G19" s="903"/>
      <c r="H19" s="903"/>
      <c r="I19" s="769">
        <v>2.69</v>
      </c>
      <c r="J19" s="675">
        <v>4</v>
      </c>
      <c r="K19" s="677">
        <v>0.7</v>
      </c>
      <c r="L19" s="677">
        <v>2.9</v>
      </c>
      <c r="M19" s="675">
        <v>0</v>
      </c>
      <c r="N19" s="675">
        <v>88</v>
      </c>
      <c r="O19" s="675">
        <v>100</v>
      </c>
      <c r="P19" s="711">
        <v>0</v>
      </c>
    </row>
    <row r="20" spans="2:54" ht="20.100000000000001" customHeight="1" x14ac:dyDescent="0.2">
      <c r="E20" s="768" t="s">
        <v>279</v>
      </c>
      <c r="F20" s="902" t="s">
        <v>250</v>
      </c>
      <c r="G20" s="903"/>
      <c r="H20" s="903"/>
      <c r="I20" s="769">
        <v>1</v>
      </c>
      <c r="J20" s="675">
        <v>8</v>
      </c>
      <c r="K20" s="677">
        <v>2</v>
      </c>
      <c r="L20" s="677">
        <v>16.600000000000001</v>
      </c>
      <c r="M20" s="675">
        <v>0</v>
      </c>
      <c r="N20" s="675">
        <v>95</v>
      </c>
      <c r="O20" s="675">
        <v>100</v>
      </c>
      <c r="P20" s="711">
        <v>0</v>
      </c>
    </row>
    <row r="21" spans="2:54" ht="20.100000000000001" customHeight="1" x14ac:dyDescent="0.2">
      <c r="E21" s="768" t="s">
        <v>280</v>
      </c>
      <c r="F21" s="902" t="s">
        <v>307</v>
      </c>
      <c r="G21" s="903"/>
      <c r="H21" s="903"/>
      <c r="I21" s="769">
        <v>1.08</v>
      </c>
      <c r="J21" s="675">
        <v>16</v>
      </c>
      <c r="K21" s="677">
        <v>8.3000000000000007</v>
      </c>
      <c r="L21" s="677">
        <v>14.1</v>
      </c>
      <c r="M21" s="675">
        <v>0</v>
      </c>
      <c r="N21" s="675">
        <v>96</v>
      </c>
      <c r="O21" s="675">
        <v>100</v>
      </c>
      <c r="P21" s="711">
        <v>0</v>
      </c>
    </row>
    <row r="22" spans="2:54" ht="20.100000000000001" customHeight="1" x14ac:dyDescent="0.2">
      <c r="E22" s="768" t="s">
        <v>281</v>
      </c>
      <c r="F22" s="902" t="s">
        <v>308</v>
      </c>
      <c r="G22" s="903"/>
      <c r="H22" s="903"/>
      <c r="I22" s="769">
        <v>1.1000000000000001</v>
      </c>
      <c r="J22" s="675">
        <v>30</v>
      </c>
      <c r="K22" s="677">
        <v>23.8</v>
      </c>
      <c r="L22" s="677">
        <v>17.8</v>
      </c>
      <c r="M22" s="675">
        <v>0</v>
      </c>
      <c r="N22" s="675">
        <v>97</v>
      </c>
      <c r="O22" s="675">
        <v>100</v>
      </c>
      <c r="P22" s="711">
        <v>0</v>
      </c>
    </row>
    <row r="23" spans="2:54" ht="20.100000000000001" customHeight="1" x14ac:dyDescent="0.2">
      <c r="E23" s="768" t="s">
        <v>282</v>
      </c>
      <c r="F23" s="902" t="s">
        <v>290</v>
      </c>
      <c r="G23" s="903"/>
      <c r="H23" s="903"/>
      <c r="I23" s="769">
        <v>1</v>
      </c>
      <c r="J23" s="675">
        <v>50</v>
      </c>
      <c r="K23" s="677">
        <v>30.7</v>
      </c>
      <c r="L23" s="677">
        <v>23.4</v>
      </c>
      <c r="M23" s="675">
        <v>0</v>
      </c>
      <c r="N23" s="675">
        <v>98</v>
      </c>
      <c r="O23" s="675">
        <v>100</v>
      </c>
      <c r="P23" s="711">
        <v>0</v>
      </c>
    </row>
    <row r="24" spans="2:54" ht="20.100000000000001" customHeight="1" x14ac:dyDescent="0.2">
      <c r="E24" s="768" t="s">
        <v>283</v>
      </c>
      <c r="F24" s="902" t="s">
        <v>291</v>
      </c>
      <c r="G24" s="903"/>
      <c r="H24" s="903"/>
      <c r="I24" s="769">
        <v>3</v>
      </c>
      <c r="J24" s="675">
        <v>100</v>
      </c>
      <c r="K24" s="677">
        <v>24.5</v>
      </c>
      <c r="L24" s="677">
        <v>14.5</v>
      </c>
      <c r="M24" s="675">
        <v>0</v>
      </c>
      <c r="N24" s="675">
        <v>98</v>
      </c>
      <c r="O24" s="675">
        <v>100</v>
      </c>
      <c r="P24" s="711">
        <v>0</v>
      </c>
    </row>
    <row r="25" spans="2:54" ht="20.100000000000001" customHeight="1" x14ac:dyDescent="0.2">
      <c r="E25" s="768" t="s">
        <v>284</v>
      </c>
      <c r="F25" s="902" t="s">
        <v>292</v>
      </c>
      <c r="G25" s="903"/>
      <c r="H25" s="903"/>
      <c r="I25" s="769">
        <v>1</v>
      </c>
      <c r="J25" s="675" t="s">
        <v>12</v>
      </c>
      <c r="K25" s="677">
        <v>9.5</v>
      </c>
      <c r="L25" s="677">
        <v>10.7</v>
      </c>
      <c r="M25" s="675">
        <v>0</v>
      </c>
      <c r="N25" s="675">
        <v>100</v>
      </c>
      <c r="O25" s="675">
        <v>100</v>
      </c>
      <c r="P25" s="711">
        <v>0</v>
      </c>
    </row>
    <row r="26" spans="2:54" ht="20.100000000000001" customHeight="1" x14ac:dyDescent="0.2">
      <c r="E26" s="768"/>
      <c r="F26" s="902"/>
      <c r="G26" s="903"/>
      <c r="H26" s="903"/>
      <c r="I26" s="769"/>
      <c r="J26" s="680" t="s">
        <v>192</v>
      </c>
      <c r="K26" s="679">
        <v>2.0699999999999998</v>
      </c>
      <c r="L26" s="679">
        <v>2.72</v>
      </c>
      <c r="M26" s="680">
        <f>SUM(M13:M25)</f>
        <v>0</v>
      </c>
      <c r="N26" s="675">
        <v>100</v>
      </c>
      <c r="O26" s="675">
        <v>100</v>
      </c>
      <c r="P26" s="711">
        <v>0</v>
      </c>
    </row>
    <row r="27" spans="2:54" ht="20.100000000000001" customHeight="1" x14ac:dyDescent="0.2">
      <c r="E27" s="768"/>
      <c r="F27" s="902"/>
      <c r="G27" s="903"/>
      <c r="H27" s="903"/>
      <c r="I27" s="678"/>
      <c r="J27" s="680" t="s">
        <v>252</v>
      </c>
      <c r="K27" s="680">
        <v>2.1</v>
      </c>
      <c r="L27" s="680">
        <v>2.7</v>
      </c>
      <c r="M27" s="680"/>
      <c r="N27" s="680">
        <v>5.77</v>
      </c>
      <c r="O27" s="680">
        <v>6.91</v>
      </c>
      <c r="P27" s="766"/>
    </row>
    <row r="28" spans="2:54" ht="21.75" customHeight="1" x14ac:dyDescent="0.2">
      <c r="C28" s="682">
        <f>(1000-(M9*1000))/(((AX31+AX32)/(B32))+(AX33/I15)+(AX34/I16)+(AX35/I17)+(AX36/I18)+(AX37/I19)+(AX38/I20)+AX39)</f>
        <v>320.99493626804133</v>
      </c>
      <c r="D28" s="683"/>
      <c r="E28" s="913" t="s">
        <v>298</v>
      </c>
      <c r="F28" s="914"/>
      <c r="G28" s="914"/>
      <c r="H28" s="914"/>
      <c r="I28" s="914"/>
      <c r="J28" s="914"/>
      <c r="K28" s="914"/>
      <c r="L28" s="914"/>
      <c r="M28" s="914"/>
      <c r="N28" s="914"/>
      <c r="O28" s="914"/>
      <c r="P28" s="915"/>
    </row>
    <row r="29" spans="2:54" ht="17.25" x14ac:dyDescent="0.25">
      <c r="E29" s="910" t="s">
        <v>288</v>
      </c>
      <c r="F29" s="911"/>
      <c r="G29" s="911"/>
      <c r="H29" s="912"/>
      <c r="I29" s="739" t="s">
        <v>289</v>
      </c>
      <c r="J29" s="739"/>
      <c r="K29" s="740"/>
      <c r="L29" s="730">
        <v>25</v>
      </c>
      <c r="M29" s="735"/>
      <c r="N29" s="728"/>
      <c r="O29" s="727"/>
      <c r="P29" s="729"/>
    </row>
    <row r="30" spans="2:54" ht="28.5" x14ac:dyDescent="0.2">
      <c r="B30" s="664">
        <f>(1-F32)*I13</f>
        <v>3.05</v>
      </c>
      <c r="E30" s="916" t="s">
        <v>68</v>
      </c>
      <c r="F30" s="917"/>
      <c r="G30" s="674" t="s">
        <v>297</v>
      </c>
      <c r="H30" s="674" t="s">
        <v>285</v>
      </c>
      <c r="I30" s="674" t="s">
        <v>286</v>
      </c>
      <c r="J30" s="674" t="s">
        <v>116</v>
      </c>
      <c r="K30" s="674" t="s">
        <v>117</v>
      </c>
      <c r="L30" s="731" t="s">
        <v>118</v>
      </c>
      <c r="M30" s="736"/>
      <c r="P30" s="741"/>
      <c r="R30" s="684">
        <f>SUM('Dosagem '!G31:G44)-G39</f>
        <v>2141.8506126229508</v>
      </c>
      <c r="AV30" s="751"/>
      <c r="AW30" s="752" t="s">
        <v>111</v>
      </c>
      <c r="AX30" s="752" t="s">
        <v>112</v>
      </c>
      <c r="AY30" s="751"/>
      <c r="AZ30" s="753" t="s">
        <v>114</v>
      </c>
      <c r="BA30" s="753"/>
      <c r="BB30" s="751"/>
    </row>
    <row r="31" spans="2:54" ht="20.100000000000001" customHeight="1" x14ac:dyDescent="0.2">
      <c r="B31" s="664">
        <f>F32*I14</f>
        <v>0</v>
      </c>
      <c r="C31" s="664">
        <f>IF(J9&lt;&gt;0,J9,(I9/K9))</f>
        <v>321</v>
      </c>
      <c r="E31" s="712" t="str">
        <f t="shared" ref="E31:E38" si="0">E13</f>
        <v>Cimento:</v>
      </c>
      <c r="F31" s="680"/>
      <c r="G31" s="718">
        <f>IF(I9=0," ",(C31-G32))</f>
        <v>321</v>
      </c>
      <c r="H31" s="685">
        <f>IF(I9=0," ",C28-H32)</f>
        <v>320.99493626804133</v>
      </c>
      <c r="I31" s="720">
        <f>IF(I9=0," ",$G31*($L$29/1000))</f>
        <v>8.0250000000000004</v>
      </c>
      <c r="J31" s="681" t="s">
        <v>250</v>
      </c>
      <c r="K31" s="681" t="s">
        <v>250</v>
      </c>
      <c r="L31" s="732"/>
      <c r="M31" s="736"/>
      <c r="P31" s="741"/>
      <c r="R31" s="686">
        <f>('Dosagem '!G31+G32)/$R$30</f>
        <v>0.1498703962396786</v>
      </c>
      <c r="S31" s="746">
        <f>G31</f>
        <v>321</v>
      </c>
      <c r="AV31" s="751"/>
      <c r="AW31" s="883">
        <v>1</v>
      </c>
      <c r="AX31" s="883">
        <f>IF(I9=0," ",($I31+$L31)/($I$31+$L$31))</f>
        <v>1</v>
      </c>
      <c r="AY31" s="751"/>
      <c r="AZ31" s="755" t="s">
        <v>119</v>
      </c>
      <c r="BA31" s="755" t="str">
        <f>IF($G13=0," ",$G13)</f>
        <v xml:space="preserve"> </v>
      </c>
      <c r="BB31" s="751"/>
    </row>
    <row r="32" spans="2:54" ht="20.100000000000001" customHeight="1" x14ac:dyDescent="0.2">
      <c r="B32" s="664">
        <f>B30+B31</f>
        <v>3.05</v>
      </c>
      <c r="E32" s="712" t="str">
        <f t="shared" si="0"/>
        <v>Aglom.2:</v>
      </c>
      <c r="F32" s="687">
        <v>0</v>
      </c>
      <c r="G32" s="718">
        <f>IF(I9=0," ",F32*C31)</f>
        <v>0</v>
      </c>
      <c r="H32" s="685">
        <f>IF(I9=0," ",C28*F32)</f>
        <v>0</v>
      </c>
      <c r="I32" s="720">
        <f>IF(I9=0," ",$G32*($L$29/1000))</f>
        <v>0</v>
      </c>
      <c r="J32" s="688" t="s">
        <v>250</v>
      </c>
      <c r="K32" s="689" t="s">
        <v>250</v>
      </c>
      <c r="L32" s="732"/>
      <c r="M32" s="736"/>
      <c r="P32" s="741"/>
      <c r="R32" s="686">
        <v>0</v>
      </c>
      <c r="S32" s="746">
        <f>G32</f>
        <v>0</v>
      </c>
      <c r="AV32" s="751"/>
      <c r="AW32" s="884"/>
      <c r="AX32" s="884"/>
      <c r="AY32" s="751"/>
      <c r="AZ32" s="755" t="s">
        <v>120</v>
      </c>
      <c r="BA32" s="755" t="str">
        <f>IF($G14=0," ",$G14)</f>
        <v xml:space="preserve"> </v>
      </c>
      <c r="BB32" s="751"/>
    </row>
    <row r="33" spans="2:54" ht="20.100000000000001" customHeight="1" x14ac:dyDescent="0.2">
      <c r="B33" s="664">
        <f>$I15*$F33</f>
        <v>0.52600000000000002</v>
      </c>
      <c r="E33" s="712" t="str">
        <f t="shared" si="0"/>
        <v>Ag.miúdo 1:</v>
      </c>
      <c r="F33" s="687">
        <v>0.2</v>
      </c>
      <c r="G33" s="718">
        <f>IF(I9=0," ",(((1000-($M$9*1000)-$I$9)*$L$9)-($G$31/$I$13)-($G$32/$I$14))*$B$36*$F33)</f>
        <v>143.98460852459016</v>
      </c>
      <c r="H33" s="685">
        <f>IF(I9=0," ",$AX33*$C$28)</f>
        <v>143.9823371866969</v>
      </c>
      <c r="I33" s="720">
        <f>IF(I9=0," ",$G33*($L$29/1000))</f>
        <v>3.5996152131147543</v>
      </c>
      <c r="J33" s="690">
        <v>0</v>
      </c>
      <c r="K33" s="689">
        <f>IF($J33=" "," ",$I33*(1+$J33))</f>
        <v>3.5996152131147543</v>
      </c>
      <c r="L33" s="733"/>
      <c r="M33" s="736"/>
      <c r="P33" s="741"/>
      <c r="R33" s="686">
        <f>'Dosagem '!G33/$R$30</f>
        <v>6.7224393557617862E-2</v>
      </c>
      <c r="S33" s="746">
        <f t="shared" ref="S33:S42" si="1">G33</f>
        <v>143.98460852459016</v>
      </c>
      <c r="AV33" s="751"/>
      <c r="AW33" s="754">
        <f>IF(I9=0," ",$G33/($G$31+$G$32))</f>
        <v>0.44855018231959548</v>
      </c>
      <c r="AX33" s="754">
        <f>IF(I9=0," ",(($I33+($L33/(1+$J33)))/($I$31+$L$31+$I$32+$L$32)))</f>
        <v>0.44855018231959554</v>
      </c>
      <c r="AY33" s="751"/>
      <c r="AZ33" s="755" t="s">
        <v>121</v>
      </c>
      <c r="BA33" s="755" t="str">
        <f>IF($G15=0," ",$G15)</f>
        <v xml:space="preserve"> </v>
      </c>
      <c r="BB33" s="751"/>
    </row>
    <row r="34" spans="2:54" ht="20.100000000000001" customHeight="1" x14ac:dyDescent="0.2">
      <c r="B34" s="664">
        <f>$I16*$F34</f>
        <v>2.1440000000000001</v>
      </c>
      <c r="E34" s="712" t="str">
        <f t="shared" si="0"/>
        <v>Ag.miúdo 2:</v>
      </c>
      <c r="F34" s="687">
        <v>0.8</v>
      </c>
      <c r="G34" s="718">
        <f>IF(I9=0," ",(((1000-($M$9*1000)-$I$9)*$L$9)-($G$31/$I$13)-($G$32/$I$14))*$B$36*$F34)</f>
        <v>575.93843409836063</v>
      </c>
      <c r="H34" s="685">
        <f>IF(I9=0," ",$AX34*$C$28)</f>
        <v>575.92934874678758</v>
      </c>
      <c r="I34" s="720">
        <f>IF(I9=0," ",$G34*($L$29/1000))</f>
        <v>14.398460852459017</v>
      </c>
      <c r="J34" s="690">
        <v>0</v>
      </c>
      <c r="K34" s="689">
        <f>IF($J34=" "," ",$I34*(1+$J34))</f>
        <v>14.398460852459017</v>
      </c>
      <c r="L34" s="732"/>
      <c r="M34" s="736"/>
      <c r="P34" s="741"/>
      <c r="R34" s="686">
        <f>'Dosagem '!G34/$R$30</f>
        <v>0.26889757423047145</v>
      </c>
      <c r="S34" s="746">
        <f t="shared" si="1"/>
        <v>575.93843409836063</v>
      </c>
      <c r="AV34" s="751"/>
      <c r="AW34" s="754">
        <f>IF(I9=0," ",$G34/($G$31+$G$32))</f>
        <v>1.7942007292783819</v>
      </c>
      <c r="AX34" s="754">
        <f>IF(I9=0," ",(($I34+($L34/(1+$J34)))/($I$31+$L$31+$I$32+$L$32)))</f>
        <v>1.7942007292783821</v>
      </c>
      <c r="AY34" s="751"/>
      <c r="AZ34" s="755" t="s">
        <v>84</v>
      </c>
      <c r="BA34" s="755" t="str">
        <f>IF($G16=0," ",$G16)</f>
        <v xml:space="preserve"> </v>
      </c>
      <c r="BB34" s="751"/>
    </row>
    <row r="35" spans="2:54" ht="20.100000000000001" customHeight="1" x14ac:dyDescent="0.2">
      <c r="B35" s="664">
        <f>$I17*$F35</f>
        <v>0</v>
      </c>
      <c r="E35" s="712" t="str">
        <f t="shared" si="0"/>
        <v>Ag.miúdo 3:</v>
      </c>
      <c r="F35" s="687">
        <v>0</v>
      </c>
      <c r="G35" s="718">
        <f>IF(I9=0," ",(((1000-($M$9*1000)-$I$9)*$L$9)-($G$31/$I$13)-($G$32/$I$14))*$B$36*$F35)</f>
        <v>0</v>
      </c>
      <c r="H35" s="685">
        <f>IF(I9=0," ",$AX35*$C$28)</f>
        <v>0</v>
      </c>
      <c r="I35" s="720">
        <f>IF(I9=0," ",$G35*($L$29/1000))</f>
        <v>0</v>
      </c>
      <c r="J35" s="688"/>
      <c r="K35" s="689" t="s">
        <v>79</v>
      </c>
      <c r="L35" s="732"/>
      <c r="M35" s="736"/>
      <c r="P35" s="741"/>
      <c r="R35" s="686">
        <f>'Dosagem '!G35/$R$30</f>
        <v>0</v>
      </c>
      <c r="S35" s="746">
        <f t="shared" si="1"/>
        <v>0</v>
      </c>
      <c r="AV35" s="751"/>
      <c r="AW35" s="754">
        <f>IF(I9=0," ",$G35/($G$31+$G$32))</f>
        <v>0</v>
      </c>
      <c r="AX35" s="754">
        <f>IF(I9=0," ",(($I35+($L35/(1+$J35)))/($I$31+$L$31+$I$32+$L$32)))</f>
        <v>0</v>
      </c>
      <c r="AY35" s="751"/>
      <c r="AZ35" s="755" t="s">
        <v>87</v>
      </c>
      <c r="BA35" s="755"/>
      <c r="BB35" s="751"/>
    </row>
    <row r="36" spans="2:54" ht="20.100000000000001" customHeight="1" x14ac:dyDescent="0.2">
      <c r="B36" s="664">
        <f>B33+B34+B35</f>
        <v>2.67</v>
      </c>
      <c r="C36" s="664">
        <f>$I18*$F36</f>
        <v>0.80699999999999994</v>
      </c>
      <c r="E36" s="712" t="str">
        <f t="shared" si="0"/>
        <v>Ag.graúdo 1:</v>
      </c>
      <c r="F36" s="687">
        <v>0.3</v>
      </c>
      <c r="G36" s="718">
        <f>IF(I9=0," ",((((1000-($M$9*1000)-$G$39))-((1000-($M$9*1000)-$G$39)*$L$9)))*$C$39*$F36)</f>
        <v>327.73883999999993</v>
      </c>
      <c r="H36" s="685">
        <f>IF(I9=0," ",$AX36*$C$28)</f>
        <v>327.73366996374386</v>
      </c>
      <c r="I36" s="720">
        <f>IF(I9=0," ",$G36*($L$29/1000))</f>
        <v>8.1934709999999988</v>
      </c>
      <c r="J36" s="688"/>
      <c r="K36" s="689" t="s">
        <v>79</v>
      </c>
      <c r="L36" s="732"/>
      <c r="M36" s="736"/>
      <c r="P36" s="741"/>
      <c r="R36" s="686">
        <f>'Dosagem '!G36/$R$30</f>
        <v>0.1530166660870175</v>
      </c>
      <c r="S36" s="746">
        <f t="shared" si="1"/>
        <v>327.73883999999993</v>
      </c>
      <c r="AV36" s="751"/>
      <c r="AW36" s="754">
        <f>IF(I9=0," ",$G36/($G$31+$G$32))</f>
        <v>1.0209932710280372</v>
      </c>
      <c r="AX36" s="754">
        <f>IF(I9=0," ",(($I36+($L36/(1+$J36)))/($I$31+$L$31+$I$32+$L$32)))</f>
        <v>1.0209932710280372</v>
      </c>
      <c r="AY36" s="751"/>
      <c r="AZ36" s="755" t="s">
        <v>88</v>
      </c>
      <c r="BA36" s="755" t="str">
        <f>IF($G18=0," ",$G18)</f>
        <v xml:space="preserve"> </v>
      </c>
      <c r="BB36" s="751"/>
    </row>
    <row r="37" spans="2:54" ht="20.100000000000001" customHeight="1" x14ac:dyDescent="0.2">
      <c r="C37" s="664">
        <f>$I19*$F37</f>
        <v>1.8829999999999998</v>
      </c>
      <c r="E37" s="712" t="str">
        <f t="shared" si="0"/>
        <v>Ag.graúdo 2:</v>
      </c>
      <c r="F37" s="687">
        <v>0.7</v>
      </c>
      <c r="G37" s="718">
        <f>IF(I9=0," ",((((1000-($M$9*1000)-$G$39))-((1000-($M$9*1000)-$G$39)*$L$9)))*$C$39*$F37)</f>
        <v>764.72395999999981</v>
      </c>
      <c r="H37" s="685">
        <f>IF(I9=0," ",$AX37*$C$28)</f>
        <v>764.7118965820689</v>
      </c>
      <c r="I37" s="720">
        <f>IF(I9=0," ",$G37*($L$29/1000))</f>
        <v>19.118098999999997</v>
      </c>
      <c r="J37" s="688"/>
      <c r="K37" s="689" t="s">
        <v>79</v>
      </c>
      <c r="L37" s="732"/>
      <c r="M37" s="736"/>
      <c r="P37" s="741"/>
      <c r="R37" s="686">
        <f>'Dosagem '!G37/$R$30</f>
        <v>0.35703888753637414</v>
      </c>
      <c r="S37" s="746">
        <f t="shared" si="1"/>
        <v>764.72395999999981</v>
      </c>
      <c r="AV37" s="751"/>
      <c r="AW37" s="754">
        <f>IF(I9=0," ",$G37/($G$31+$G$32))</f>
        <v>2.3823176323987534</v>
      </c>
      <c r="AX37" s="754">
        <f>IF(I9=0," ",(($I37+($L37/(1+$J37)))/($I$31+$L$31+$I$32+$L$32)))</f>
        <v>2.3823176323987534</v>
      </c>
      <c r="AY37" s="751"/>
      <c r="AZ37" s="755" t="s">
        <v>93</v>
      </c>
      <c r="BA37" s="755" t="str">
        <f>IF($G19=0," ",$G19)</f>
        <v xml:space="preserve"> </v>
      </c>
      <c r="BB37" s="751"/>
    </row>
    <row r="38" spans="2:54" ht="20.100000000000001" customHeight="1" x14ac:dyDescent="0.2">
      <c r="C38" s="664">
        <f>$I20*$F38</f>
        <v>0</v>
      </c>
      <c r="E38" s="712" t="str">
        <f t="shared" si="0"/>
        <v>Ag.graúdo 3:</v>
      </c>
      <c r="F38" s="687">
        <v>0</v>
      </c>
      <c r="G38" s="718">
        <f>IF(I9=0," ",((((1000-($M$9*1000)-$G$39))-((1000-($M$9*1000)-$G$39)*$L$9)))*$C$39*$F38)</f>
        <v>0</v>
      </c>
      <c r="H38" s="685">
        <f>IF(I9=0," ",$AX38*$C$28)</f>
        <v>0</v>
      </c>
      <c r="I38" s="720">
        <f>IF(I9=0," ",$G38*($L$29/1000))</f>
        <v>0</v>
      </c>
      <c r="J38" s="688"/>
      <c r="K38" s="689" t="s">
        <v>79</v>
      </c>
      <c r="L38" s="732"/>
      <c r="M38" s="736"/>
      <c r="P38" s="741"/>
      <c r="R38" s="686">
        <f>'Dosagem '!G38/$R$30</f>
        <v>0</v>
      </c>
      <c r="S38" s="746">
        <f t="shared" si="1"/>
        <v>0</v>
      </c>
      <c r="AV38" s="751"/>
      <c r="AW38" s="754">
        <f>IF(I9=0," ",$G38/($G$31+$G$32))</f>
        <v>0</v>
      </c>
      <c r="AX38" s="754">
        <f>IF(I9=0," ",(($I38+($L38/(1+$J38)))/($I$31+$L$31+$I$32+$L$32)))</f>
        <v>0</v>
      </c>
      <c r="AY38" s="751"/>
      <c r="AZ38" s="755" t="s">
        <v>95</v>
      </c>
      <c r="BA38" s="755" t="str">
        <f>IF($G20=0," ",$G20)</f>
        <v xml:space="preserve"> </v>
      </c>
      <c r="BB38" s="751"/>
    </row>
    <row r="39" spans="2:54" ht="20.100000000000001" customHeight="1" x14ac:dyDescent="0.2">
      <c r="C39" s="664">
        <f>C36+C37+C38</f>
        <v>2.6899999999999995</v>
      </c>
      <c r="E39" s="712" t="s">
        <v>125</v>
      </c>
      <c r="F39" s="680"/>
      <c r="G39" s="719">
        <f>IF(I9=0," ",I9)</f>
        <v>189</v>
      </c>
      <c r="H39" s="685">
        <f>IF(I9=0," ",$AX39*$C$28)</f>
        <v>188.99701855034212</v>
      </c>
      <c r="I39" s="720">
        <f>IF(I9=0," ",$G39*($L$29/1000))</f>
        <v>4.7250000000000005</v>
      </c>
      <c r="J39" s="681"/>
      <c r="K39" s="689">
        <f>I39-(K34-I34)-(K33-I33)</f>
        <v>4.7250000000000005</v>
      </c>
      <c r="L39" s="734">
        <v>0</v>
      </c>
      <c r="M39" s="736"/>
      <c r="P39" s="741"/>
      <c r="R39" s="686">
        <v>0</v>
      </c>
      <c r="S39" s="746">
        <f t="shared" si="1"/>
        <v>189</v>
      </c>
      <c r="AV39" s="751"/>
      <c r="AW39" s="754">
        <f>IF(I9=0," ",$G39/($G$31+$G$32))</f>
        <v>0.58878504672897192</v>
      </c>
      <c r="AX39" s="754">
        <f>IF(I9=0," ",($I39+$L39+($L33-($L33/(1+$J33)))+($L34-($L34/(1+$J34)))+($L35-($L35/(1+$J35)))+($L36-($L36/(1+$J36)))+($L37-($L37/(1+$J37)))+($L38-($L38/(1+$J38)))+($L39-($L39/(1+$J39))))/($I$31+$L$31+I32+L32))</f>
        <v>0.58878504672897203</v>
      </c>
      <c r="AY39" s="751"/>
      <c r="AZ39" s="755" t="s">
        <v>125</v>
      </c>
      <c r="BA39" s="755"/>
      <c r="BB39" s="751"/>
    </row>
    <row r="40" spans="2:54" ht="20.100000000000001" customHeight="1" x14ac:dyDescent="0.2">
      <c r="E40" s="712" t="str">
        <f>E21</f>
        <v>Aditivo 1:</v>
      </c>
      <c r="F40" s="687">
        <v>7.4999999999999997E-3</v>
      </c>
      <c r="G40" s="720">
        <f>IF(I9=0," ",$F40*($G$31+$G$32))</f>
        <v>2.4074999999999998</v>
      </c>
      <c r="H40" s="689">
        <f>IF($I$9=0," ",$F40*($H$31+$H$32))</f>
        <v>2.4074620220103098</v>
      </c>
      <c r="I40" s="720">
        <f>IF(I9=0," ",$G40*($L$29/1000))</f>
        <v>6.0187499999999998E-2</v>
      </c>
      <c r="J40" s="681"/>
      <c r="K40" s="681"/>
      <c r="L40" s="732"/>
      <c r="M40" s="736"/>
      <c r="P40" s="741"/>
      <c r="R40" s="686">
        <f>'Dosagem '!G40/$R$30</f>
        <v>1.1240279717975893E-3</v>
      </c>
      <c r="S40" s="745">
        <f t="shared" si="1"/>
        <v>2.4074999999999998</v>
      </c>
      <c r="AV40" s="751"/>
      <c r="AW40" s="756"/>
      <c r="AX40" s="755"/>
      <c r="AY40" s="751"/>
      <c r="AZ40" s="755" t="s">
        <v>128</v>
      </c>
      <c r="BA40" s="755" t="str">
        <f>IF($G21=0," ",$G21)</f>
        <v xml:space="preserve"> </v>
      </c>
      <c r="BB40" s="751"/>
    </row>
    <row r="41" spans="2:54" ht="20.100000000000001" customHeight="1" x14ac:dyDescent="0.2">
      <c r="E41" s="712" t="str">
        <f>E22</f>
        <v>Aditivo 2:</v>
      </c>
      <c r="F41" s="687">
        <v>4.0000000000000001E-3</v>
      </c>
      <c r="G41" s="720">
        <f>IF(I9=0," ",$F41*($G$31+$G$32))</f>
        <v>1.284</v>
      </c>
      <c r="H41" s="689">
        <f>IF($I$9=0," ",$F41*($H$31+$H$32))</f>
        <v>1.2839797450721653</v>
      </c>
      <c r="I41" s="720">
        <f>IF(I9=0," ",$G41*($L$29/1000))</f>
        <v>3.2100000000000004E-2</v>
      </c>
      <c r="J41" s="681"/>
      <c r="K41" s="681"/>
      <c r="L41" s="732"/>
      <c r="M41" s="736"/>
      <c r="P41" s="741"/>
      <c r="R41" s="686">
        <f>'Dosagem '!G41/$R$30</f>
        <v>5.994815849587144E-4</v>
      </c>
      <c r="S41" s="746">
        <f t="shared" si="1"/>
        <v>1.284</v>
      </c>
      <c r="AV41" s="751"/>
      <c r="AW41" s="755"/>
      <c r="AX41" s="755"/>
      <c r="AY41" s="751"/>
      <c r="AZ41" s="755" t="s">
        <v>131</v>
      </c>
      <c r="BA41" s="755" t="str">
        <f>IF($G22=0," ",$G22)</f>
        <v xml:space="preserve"> </v>
      </c>
      <c r="BB41" s="751"/>
    </row>
    <row r="42" spans="2:54" ht="20.100000000000001" customHeight="1" x14ac:dyDescent="0.2">
      <c r="E42" s="712" t="str">
        <f>E23</f>
        <v>Aditivo 3:</v>
      </c>
      <c r="F42" s="687">
        <v>3.0000000000000001E-3</v>
      </c>
      <c r="G42" s="720">
        <f>IF(I9=0," ",$F42*($G$31+$G$32))</f>
        <v>0.96299999999999997</v>
      </c>
      <c r="H42" s="689">
        <f>IF($I$9=0," ",$F42*($H$31+$H$32))</f>
        <v>0.96298480880412396</v>
      </c>
      <c r="I42" s="720">
        <f>IF(I9=0," ",$G42*($L$29/1000))</f>
        <v>2.4074999999999999E-2</v>
      </c>
      <c r="J42" s="681"/>
      <c r="K42" s="681"/>
      <c r="L42" s="732"/>
      <c r="M42" s="736"/>
      <c r="P42" s="741"/>
      <c r="R42" s="686">
        <f>'Dosagem '!G42/$R$30</f>
        <v>4.4961118871903578E-4</v>
      </c>
      <c r="S42" s="746">
        <f t="shared" si="1"/>
        <v>0.96299999999999997</v>
      </c>
      <c r="AV42" s="751"/>
      <c r="AW42" s="755"/>
      <c r="AX42" s="755"/>
      <c r="AY42" s="751"/>
      <c r="AZ42" s="755" t="s">
        <v>134</v>
      </c>
      <c r="BA42" s="755" t="str">
        <f>IF($G23=0," ",$G23)</f>
        <v xml:space="preserve"> </v>
      </c>
      <c r="BB42" s="751"/>
    </row>
    <row r="43" spans="2:54" ht="20.100000000000001" customHeight="1" x14ac:dyDescent="0.2">
      <c r="E43" s="712" t="str">
        <f>E24</f>
        <v>Adição 1:</v>
      </c>
      <c r="F43" s="687">
        <v>0.01</v>
      </c>
      <c r="G43" s="720">
        <f>IF(I9=0," ",$F43*($G$31+$G$32))</f>
        <v>3.21</v>
      </c>
      <c r="H43" s="689">
        <f>IF($I$9=0," ",$F43*($H$31+$H$32))</f>
        <v>3.2099493626804132</v>
      </c>
      <c r="I43" s="720">
        <f>IF(I9=0," ",$G43*($L$29/1000))</f>
        <v>8.0250000000000002E-2</v>
      </c>
      <c r="J43" s="681"/>
      <c r="K43" s="681"/>
      <c r="L43" s="732"/>
      <c r="M43" s="736"/>
      <c r="P43" s="741"/>
      <c r="R43" s="686">
        <f>'Dosagem '!G43/$R$30</f>
        <v>1.4987039623967861E-3</v>
      </c>
      <c r="S43" s="746">
        <f>G43</f>
        <v>3.21</v>
      </c>
      <c r="AV43" s="751"/>
      <c r="AW43" s="757"/>
      <c r="AX43" s="755"/>
      <c r="AY43" s="751"/>
      <c r="AZ43" s="755" t="s">
        <v>104</v>
      </c>
      <c r="BA43" s="755" t="str">
        <f>IF($G24=0," ",$G24)</f>
        <v xml:space="preserve"> </v>
      </c>
      <c r="BB43" s="751"/>
    </row>
    <row r="44" spans="2:54" ht="20.100000000000001" customHeight="1" x14ac:dyDescent="0.2">
      <c r="E44" s="712" t="str">
        <f>E25</f>
        <v>Adição 2:</v>
      </c>
      <c r="F44" s="750">
        <v>1.8699999999999999E-3</v>
      </c>
      <c r="G44" s="749">
        <f>IF(I9=0," ",$F44*($G$31+$G$32))</f>
        <v>0.60026999999999997</v>
      </c>
      <c r="H44" s="689">
        <f>IF($I$9=0," ",$F44*($H$31+$H$32))</f>
        <v>0.6002605308212372</v>
      </c>
      <c r="I44" s="720">
        <f>IF(I9=0," ",$H44*($L$29/1000))</f>
        <v>1.500651327053093E-2</v>
      </c>
      <c r="J44" s="681"/>
      <c r="K44" s="681"/>
      <c r="L44" s="732"/>
      <c r="M44" s="737"/>
      <c r="N44" s="738"/>
      <c r="O44" s="738"/>
      <c r="P44" s="742"/>
      <c r="R44" s="686">
        <f>'Dosagem '!G44/$R$30</f>
        <v>2.8025764096819899E-4</v>
      </c>
      <c r="S44" s="746">
        <f>G44</f>
        <v>0.60026999999999997</v>
      </c>
      <c r="AV44" s="751"/>
      <c r="AW44" s="755"/>
      <c r="AX44" s="755"/>
      <c r="AY44" s="751"/>
      <c r="AZ44" s="755" t="s">
        <v>105</v>
      </c>
      <c r="BA44" s="755" t="str">
        <f>IF($G27=0," ",$G27)</f>
        <v xml:space="preserve"> </v>
      </c>
      <c r="BB44" s="751"/>
    </row>
    <row r="45" spans="2:54" ht="2.25" customHeight="1" x14ac:dyDescent="0.2">
      <c r="E45" s="713"/>
      <c r="F45" s="743"/>
      <c r="G45" s="705"/>
      <c r="H45" s="709"/>
      <c r="I45" s="709"/>
      <c r="J45" s="744"/>
      <c r="K45" s="709"/>
      <c r="L45" s="709"/>
      <c r="M45" s="744"/>
      <c r="N45" s="709"/>
      <c r="O45" s="709"/>
      <c r="P45" s="710"/>
      <c r="R45" s="686"/>
      <c r="AV45" s="751"/>
      <c r="AW45" s="751"/>
      <c r="AX45" s="751"/>
      <c r="AY45" s="751"/>
      <c r="AZ45" s="751"/>
      <c r="BA45" s="751"/>
      <c r="BB45" s="751"/>
    </row>
    <row r="46" spans="2:54" ht="22.5" customHeight="1" x14ac:dyDescent="0.2">
      <c r="E46" s="877" t="s">
        <v>269</v>
      </c>
      <c r="F46" s="878"/>
      <c r="G46" s="878"/>
      <c r="H46" s="878"/>
      <c r="I46" s="878"/>
      <c r="J46" s="878"/>
      <c r="K46" s="878"/>
      <c r="L46" s="878"/>
      <c r="M46" s="878"/>
      <c r="N46" s="878"/>
      <c r="O46" s="878"/>
      <c r="P46" s="879"/>
      <c r="S46" s="761">
        <f>SUM(G31:G43)</f>
        <v>2330.2503426229509</v>
      </c>
      <c r="AV46" s="751"/>
      <c r="AW46" s="751"/>
      <c r="AX46" s="751"/>
      <c r="AY46" s="751"/>
      <c r="AZ46" s="751"/>
      <c r="BA46" s="751"/>
      <c r="BB46" s="751"/>
    </row>
    <row r="47" spans="2:54" s="691" customFormat="1" ht="27" customHeight="1" x14ac:dyDescent="0.2">
      <c r="E47" s="894" t="s">
        <v>287</v>
      </c>
      <c r="F47" s="900" t="s">
        <v>141</v>
      </c>
      <c r="G47" s="898" t="s">
        <v>142</v>
      </c>
      <c r="H47" s="899"/>
      <c r="I47" s="672" t="s">
        <v>254</v>
      </c>
      <c r="J47" s="672" t="s">
        <v>144</v>
      </c>
      <c r="K47" s="672" t="s">
        <v>257</v>
      </c>
      <c r="L47" s="672" t="s">
        <v>259</v>
      </c>
      <c r="M47" s="907" t="s">
        <v>260</v>
      </c>
      <c r="N47" s="907"/>
      <c r="O47" s="907"/>
      <c r="P47" s="908"/>
      <c r="R47" s="692">
        <f>SUM(R31:R44)</f>
        <v>0.99999999999999978</v>
      </c>
      <c r="AV47" s="758"/>
      <c r="AW47" s="758"/>
      <c r="AX47" s="758"/>
      <c r="AY47" s="758"/>
      <c r="AZ47" s="758"/>
      <c r="BA47" s="758"/>
      <c r="BB47" s="758"/>
    </row>
    <row r="48" spans="2:54" s="691" customFormat="1" ht="20.100000000000001" customHeight="1" x14ac:dyDescent="0.2">
      <c r="E48" s="895"/>
      <c r="F48" s="901"/>
      <c r="G48" s="672" t="s">
        <v>255</v>
      </c>
      <c r="H48" s="672" t="s">
        <v>256</v>
      </c>
      <c r="I48" s="672" t="s">
        <v>150</v>
      </c>
      <c r="J48" s="672" t="s">
        <v>151</v>
      </c>
      <c r="K48" s="672" t="s">
        <v>258</v>
      </c>
      <c r="L48" s="672" t="s">
        <v>258</v>
      </c>
      <c r="M48" s="907"/>
      <c r="N48" s="907"/>
      <c r="O48" s="907"/>
      <c r="P48" s="908"/>
      <c r="AV48" s="758"/>
      <c r="AW48" s="758"/>
      <c r="AX48" s="758"/>
      <c r="AY48" s="758"/>
      <c r="AZ48" s="758"/>
      <c r="BA48" s="758"/>
      <c r="BB48" s="758"/>
    </row>
    <row r="49" spans="5:54" ht="20.100000000000001" customHeight="1" x14ac:dyDescent="0.2">
      <c r="E49" s="714">
        <v>0.64583333333333337</v>
      </c>
      <c r="F49" s="693">
        <v>0.65277777777777779</v>
      </c>
      <c r="G49" s="694">
        <v>70</v>
      </c>
      <c r="H49" s="695">
        <v>220</v>
      </c>
      <c r="I49" s="696">
        <v>1.7999999999999999E-2</v>
      </c>
      <c r="J49" s="697">
        <v>2.31</v>
      </c>
      <c r="K49" s="721">
        <v>29</v>
      </c>
      <c r="L49" s="721">
        <v>28.2</v>
      </c>
      <c r="M49" s="907"/>
      <c r="N49" s="907"/>
      <c r="O49" s="907"/>
      <c r="P49" s="908"/>
      <c r="AV49" s="751" t="s">
        <v>294</v>
      </c>
      <c r="AW49" s="751"/>
      <c r="AX49" s="751"/>
      <c r="AY49" s="751" t="s">
        <v>293</v>
      </c>
      <c r="AZ49" s="751"/>
      <c r="BA49" s="751" t="s">
        <v>295</v>
      </c>
      <c r="BB49" s="751"/>
    </row>
    <row r="50" spans="5:54" ht="22.5" customHeight="1" x14ac:dyDescent="0.2">
      <c r="E50" s="877" t="s">
        <v>270</v>
      </c>
      <c r="F50" s="878"/>
      <c r="G50" s="878"/>
      <c r="H50" s="878"/>
      <c r="I50" s="878"/>
      <c r="J50" s="878"/>
      <c r="K50" s="878"/>
      <c r="L50" s="878"/>
      <c r="M50" s="878"/>
      <c r="N50" s="878"/>
      <c r="O50" s="878"/>
      <c r="P50" s="879"/>
      <c r="AV50" s="759">
        <f>$G$9*0.4</f>
        <v>15.3</v>
      </c>
      <c r="AW50" s="751"/>
      <c r="AX50" s="751"/>
      <c r="AY50" s="751"/>
      <c r="AZ50" s="751"/>
      <c r="BA50" s="759">
        <f>$G$9*0.5</f>
        <v>19.125</v>
      </c>
      <c r="BB50" s="751"/>
    </row>
    <row r="51" spans="5:54" ht="38.25" customHeight="1" x14ac:dyDescent="0.2">
      <c r="E51" s="894" t="s">
        <v>158</v>
      </c>
      <c r="F51" s="896" t="s">
        <v>159</v>
      </c>
      <c r="G51" s="906" t="s">
        <v>261</v>
      </c>
      <c r="H51" s="906"/>
      <c r="I51" s="906"/>
      <c r="J51" s="885"/>
      <c r="K51" s="886"/>
      <c r="L51" s="886"/>
      <c r="M51" s="886"/>
      <c r="N51" s="886"/>
      <c r="O51" s="886"/>
      <c r="P51" s="887"/>
      <c r="AV51" s="759">
        <f>$G$9*0.65</f>
        <v>24.862500000000001</v>
      </c>
      <c r="AW51" s="751"/>
      <c r="AX51" s="751"/>
      <c r="AY51" s="751"/>
      <c r="AZ51" s="751"/>
      <c r="BA51" s="759">
        <f>$G$9*0.8</f>
        <v>30.6</v>
      </c>
      <c r="BB51" s="751"/>
    </row>
    <row r="52" spans="5:54" ht="20.100000000000001" customHeight="1" x14ac:dyDescent="0.2">
      <c r="E52" s="895"/>
      <c r="F52" s="897"/>
      <c r="G52" s="665" t="s">
        <v>163</v>
      </c>
      <c r="H52" s="665" t="s">
        <v>164</v>
      </c>
      <c r="I52" s="665" t="s">
        <v>165</v>
      </c>
      <c r="J52" s="888"/>
      <c r="K52" s="889"/>
      <c r="L52" s="889"/>
      <c r="M52" s="889"/>
      <c r="N52" s="889"/>
      <c r="O52" s="889"/>
      <c r="P52" s="890"/>
      <c r="AV52" s="759">
        <f>$G$9*0.82</f>
        <v>31.364999999999998</v>
      </c>
      <c r="AW52" s="751"/>
      <c r="AX52" s="751"/>
      <c r="AY52" s="751"/>
      <c r="AZ52" s="751"/>
      <c r="BA52" s="759">
        <f>$G$9*0.9</f>
        <v>34.425000000000004</v>
      </c>
      <c r="BB52" s="751"/>
    </row>
    <row r="53" spans="5:54" ht="24.95" customHeight="1" x14ac:dyDescent="0.2">
      <c r="E53" s="699">
        <v>3</v>
      </c>
      <c r="F53" s="760">
        <f>$K$5+E53</f>
        <v>45408</v>
      </c>
      <c r="G53" s="721">
        <v>15</v>
      </c>
      <c r="H53" s="721">
        <v>14</v>
      </c>
      <c r="I53" s="721">
        <f>MAX(G53:H53)</f>
        <v>15</v>
      </c>
      <c r="J53" s="888"/>
      <c r="K53" s="889"/>
      <c r="L53" s="889"/>
      <c r="M53" s="889"/>
      <c r="N53" s="889"/>
      <c r="O53" s="889"/>
      <c r="P53" s="890"/>
      <c r="AV53" s="759">
        <f>$G$9</f>
        <v>38.25</v>
      </c>
      <c r="AW53" s="751"/>
      <c r="AX53" s="751"/>
      <c r="AY53" s="751"/>
      <c r="AZ53" s="751"/>
      <c r="BA53" s="759">
        <f>$G$9</f>
        <v>38.25</v>
      </c>
      <c r="BB53" s="751"/>
    </row>
    <row r="54" spans="5:54" ht="24.95" customHeight="1" x14ac:dyDescent="0.2">
      <c r="E54" s="699">
        <v>7</v>
      </c>
      <c r="F54" s="760">
        <f t="shared" ref="F54:F56" si="2">$K$5+E54</f>
        <v>45412</v>
      </c>
      <c r="G54" s="721">
        <v>28</v>
      </c>
      <c r="H54" s="721">
        <v>27</v>
      </c>
      <c r="I54" s="721">
        <f t="shared" ref="I54:I56" si="3">MAX(G54:H54)</f>
        <v>28</v>
      </c>
      <c r="J54" s="888"/>
      <c r="K54" s="889"/>
      <c r="L54" s="889"/>
      <c r="M54" s="889"/>
      <c r="N54" s="889"/>
      <c r="O54" s="889"/>
      <c r="P54" s="890"/>
    </row>
    <row r="55" spans="5:54" ht="24.95" customHeight="1" x14ac:dyDescent="0.2">
      <c r="E55" s="699">
        <v>14</v>
      </c>
      <c r="F55" s="760">
        <f t="shared" si="2"/>
        <v>45419</v>
      </c>
      <c r="G55" s="721">
        <v>36.1</v>
      </c>
      <c r="H55" s="721">
        <v>35.200000000000003</v>
      </c>
      <c r="I55" s="721">
        <f t="shared" si="3"/>
        <v>36.1</v>
      </c>
      <c r="J55" s="888"/>
      <c r="K55" s="889"/>
      <c r="L55" s="889"/>
      <c r="M55" s="889"/>
      <c r="N55" s="889"/>
      <c r="O55" s="889"/>
      <c r="P55" s="890"/>
    </row>
    <row r="56" spans="5:54" ht="24.95" customHeight="1" x14ac:dyDescent="0.2">
      <c r="E56" s="699">
        <v>28</v>
      </c>
      <c r="F56" s="760">
        <f t="shared" si="2"/>
        <v>45433</v>
      </c>
      <c r="G56" s="721">
        <v>42.8</v>
      </c>
      <c r="H56" s="721">
        <v>41</v>
      </c>
      <c r="I56" s="721">
        <f t="shared" si="3"/>
        <v>42.8</v>
      </c>
      <c r="J56" s="891"/>
      <c r="K56" s="892"/>
      <c r="L56" s="892"/>
      <c r="M56" s="892"/>
      <c r="N56" s="892"/>
      <c r="O56" s="892"/>
      <c r="P56" s="893"/>
    </row>
    <row r="57" spans="5:54" ht="5.25" customHeight="1" x14ac:dyDescent="0.2">
      <c r="E57" s="715"/>
      <c r="F57" s="716"/>
      <c r="G57" s="716"/>
      <c r="H57" s="716"/>
      <c r="I57" s="716"/>
      <c r="J57" s="716"/>
      <c r="K57" s="716"/>
      <c r="L57" s="716"/>
      <c r="M57" s="716"/>
      <c r="N57" s="716"/>
      <c r="O57" s="716"/>
      <c r="P57" s="717"/>
    </row>
    <row r="67" spans="10:14" x14ac:dyDescent="0.2">
      <c r="J67" s="909"/>
      <c r="K67" s="909"/>
      <c r="L67" s="909"/>
      <c r="M67" s="909"/>
      <c r="N67" s="909"/>
    </row>
    <row r="68" spans="10:14" x14ac:dyDescent="0.2">
      <c r="J68" s="905"/>
      <c r="K68" s="905"/>
      <c r="L68" s="905"/>
      <c r="M68" s="905"/>
      <c r="N68" s="905"/>
    </row>
    <row r="69" spans="10:14" x14ac:dyDescent="0.2">
      <c r="J69" s="904"/>
      <c r="K69" s="904"/>
      <c r="L69" s="904"/>
      <c r="M69" s="904"/>
      <c r="N69" s="904"/>
    </row>
    <row r="70" spans="10:14" x14ac:dyDescent="0.2">
      <c r="J70" s="904"/>
      <c r="K70" s="904"/>
      <c r="L70" s="904"/>
      <c r="M70" s="904"/>
      <c r="N70" s="904"/>
    </row>
    <row r="71" spans="10:14" x14ac:dyDescent="0.2">
      <c r="J71" s="698"/>
      <c r="K71" s="698"/>
      <c r="L71" s="698"/>
      <c r="M71" s="698"/>
      <c r="N71" s="698"/>
    </row>
    <row r="72" spans="10:14" x14ac:dyDescent="0.2">
      <c r="J72" s="698"/>
      <c r="K72" s="698"/>
      <c r="L72" s="698"/>
      <c r="M72" s="698"/>
      <c r="N72" s="698"/>
    </row>
    <row r="73" spans="10:14" x14ac:dyDescent="0.2">
      <c r="J73" s="698"/>
      <c r="K73" s="698"/>
      <c r="L73" s="698"/>
      <c r="M73" s="698"/>
      <c r="N73" s="698"/>
    </row>
    <row r="74" spans="10:14" x14ac:dyDescent="0.2">
      <c r="J74" s="905"/>
      <c r="K74" s="905"/>
      <c r="L74" s="905"/>
      <c r="M74" s="905"/>
      <c r="N74" s="905"/>
    </row>
  </sheetData>
  <mergeCells count="43">
    <mergeCell ref="E12:H12"/>
    <mergeCell ref="J11:M11"/>
    <mergeCell ref="N11:P11"/>
    <mergeCell ref="F23:H23"/>
    <mergeCell ref="F24:H24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5:H25"/>
    <mergeCell ref="F26:H26"/>
    <mergeCell ref="F27:H27"/>
    <mergeCell ref="J70:N70"/>
    <mergeCell ref="J74:N74"/>
    <mergeCell ref="E46:P46"/>
    <mergeCell ref="J68:N68"/>
    <mergeCell ref="E50:P50"/>
    <mergeCell ref="G51:I51"/>
    <mergeCell ref="M47:P49"/>
    <mergeCell ref="J67:N67"/>
    <mergeCell ref="E29:H29"/>
    <mergeCell ref="E28:P28"/>
    <mergeCell ref="J69:N69"/>
    <mergeCell ref="E30:F30"/>
    <mergeCell ref="AW31:AW32"/>
    <mergeCell ref="AX31:AX32"/>
    <mergeCell ref="J51:P56"/>
    <mergeCell ref="E51:E52"/>
    <mergeCell ref="F51:F52"/>
    <mergeCell ref="G47:H47"/>
    <mergeCell ref="F47:F48"/>
    <mergeCell ref="E47:E48"/>
    <mergeCell ref="E2:P3"/>
    <mergeCell ref="E4:P4"/>
    <mergeCell ref="E7:P7"/>
    <mergeCell ref="E11:I11"/>
    <mergeCell ref="K5:M5"/>
  </mergeCells>
  <printOptions horizontalCentered="1" verticalCentered="1"/>
  <pageMargins left="0.31496062992125984" right="0.31496062992125984" top="0.39370078740157483" bottom="0.39370078740157483" header="0" footer="0"/>
  <pageSetup paperSize="9" scale="69" orientation="portrait" r:id="rId1"/>
  <ignoredErrors>
    <ignoredError sqref="K12:P12 K9 G9" unlocked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1"/>
  <sheetViews>
    <sheetView showGridLines="0" topLeftCell="A16" zoomScaleNormal="100" workbookViewId="0">
      <selection activeCell="H21" sqref="H21"/>
    </sheetView>
  </sheetViews>
  <sheetFormatPr defaultRowHeight="18" customHeight="1" x14ac:dyDescent="0.25"/>
  <cols>
    <col min="1" max="1" width="0.5703125" style="553" customWidth="1"/>
    <col min="2" max="2" width="1.85546875" style="553" customWidth="1"/>
    <col min="3" max="3" width="21.28515625" style="553" customWidth="1"/>
    <col min="4" max="4" width="10.42578125" style="553" customWidth="1"/>
    <col min="5" max="5" width="17.42578125" style="553" customWidth="1"/>
    <col min="6" max="6" width="18" style="553" customWidth="1"/>
    <col min="7" max="7" width="14.140625" style="553" customWidth="1"/>
    <col min="8" max="8" width="17.85546875" style="553" customWidth="1"/>
    <col min="9" max="9" width="17.7109375" style="553" customWidth="1"/>
    <col min="10" max="10" width="17.5703125" style="553" customWidth="1"/>
    <col min="11" max="11" width="18" style="553" customWidth="1"/>
    <col min="12" max="12" width="17.5703125" style="553" customWidth="1"/>
    <col min="13" max="13" width="17.85546875" style="553" customWidth="1"/>
    <col min="14" max="14" width="17.7109375" style="553" customWidth="1"/>
    <col min="15" max="15" width="18.28515625" style="553" customWidth="1"/>
    <col min="16" max="16" width="21.85546875" style="553" customWidth="1"/>
    <col min="17" max="17" width="9.85546875" style="553" hidden="1" customWidth="1"/>
    <col min="18" max="18" width="7.85546875" style="553" hidden="1" customWidth="1"/>
    <col min="19" max="19" width="7.140625" style="553" customWidth="1"/>
    <col min="20" max="20" width="9.140625" style="553"/>
    <col min="21" max="21" width="9.28515625" style="553" customWidth="1"/>
    <col min="22" max="22" width="9.42578125" style="553" customWidth="1"/>
    <col min="23" max="25" width="9.28515625" style="553" customWidth="1"/>
    <col min="26" max="16384" width="9.140625" style="553"/>
  </cols>
  <sheetData>
    <row r="1" spans="3:24" ht="12.75" customHeight="1" x14ac:dyDescent="0.25">
      <c r="C1" s="923"/>
      <c r="D1" s="923"/>
      <c r="E1" s="923"/>
      <c r="F1" s="923"/>
      <c r="G1" s="923"/>
      <c r="H1" s="923"/>
      <c r="I1" s="923"/>
      <c r="J1" s="923"/>
      <c r="K1" s="923"/>
      <c r="L1" s="923"/>
      <c r="M1" s="923"/>
    </row>
    <row r="2" spans="3:24" ht="18" customHeight="1" x14ac:dyDescent="0.25">
      <c r="C2" s="924"/>
      <c r="D2" s="924"/>
      <c r="E2" s="924"/>
      <c r="F2" s="924"/>
      <c r="G2" s="924"/>
      <c r="H2" s="924"/>
      <c r="I2" s="924"/>
      <c r="J2" s="924"/>
      <c r="K2" s="924"/>
      <c r="L2" s="924"/>
      <c r="M2" s="924"/>
    </row>
    <row r="3" spans="3:24" ht="18" customHeight="1" x14ac:dyDescent="0.25">
      <c r="D3" s="554"/>
      <c r="E3" s="554" t="str">
        <f>CONCATENATE("CURVAS DE ABRAMS - ",[3]Abrams!AG31)</f>
        <v>CURVAS DE ABRAMS - 28 dias</v>
      </c>
      <c r="F3" s="554"/>
      <c r="G3" s="554"/>
      <c r="H3" s="554"/>
      <c r="I3" s="554"/>
      <c r="J3" s="554"/>
      <c r="K3" s="554"/>
      <c r="L3" s="554"/>
      <c r="M3" s="554"/>
    </row>
    <row r="5" spans="3:24" ht="18" customHeight="1" x14ac:dyDescent="0.25">
      <c r="D5" s="555" t="s">
        <v>237</v>
      </c>
      <c r="E5" s="556" t="s">
        <v>238</v>
      </c>
      <c r="F5" s="557" t="s">
        <v>239</v>
      </c>
    </row>
    <row r="6" spans="3:24" ht="20.100000000000001" customHeight="1" x14ac:dyDescent="0.25">
      <c r="C6" s="767"/>
      <c r="D6" s="558">
        <v>0.6</v>
      </c>
      <c r="E6" s="559">
        <v>195</v>
      </c>
      <c r="F6" s="560">
        <v>34</v>
      </c>
      <c r="H6" s="925" t="s">
        <v>240</v>
      </c>
      <c r="I6" s="925"/>
      <c r="J6" s="925"/>
      <c r="L6" s="594"/>
      <c r="M6" s="595"/>
      <c r="N6" s="596"/>
    </row>
    <row r="7" spans="3:24" ht="20.100000000000001" customHeight="1" x14ac:dyDescent="0.25">
      <c r="C7" s="926"/>
      <c r="D7" s="558">
        <v>0.55000000000000004</v>
      </c>
      <c r="E7" s="559">
        <v>195</v>
      </c>
      <c r="F7" s="560">
        <v>42.3</v>
      </c>
      <c r="I7" s="594" t="str">
        <f>[3]Abrams!AF7</f>
        <v>TX 1</v>
      </c>
      <c r="J7" s="597"/>
      <c r="N7" s="596"/>
    </row>
    <row r="8" spans="3:24" ht="20.100000000000001" customHeight="1" x14ac:dyDescent="0.25">
      <c r="C8" s="926"/>
      <c r="D8" s="558">
        <v>0.51</v>
      </c>
      <c r="E8" s="559">
        <v>195</v>
      </c>
      <c r="F8" s="560">
        <v>46.9</v>
      </c>
      <c r="H8" s="598" t="s">
        <v>241</v>
      </c>
      <c r="I8" s="599">
        <v>15.209</v>
      </c>
      <c r="J8" s="600"/>
      <c r="N8" s="601"/>
      <c r="X8" s="596"/>
    </row>
    <row r="9" spans="3:24" ht="20.100000000000001" customHeight="1" x14ac:dyDescent="0.25">
      <c r="C9" s="926"/>
      <c r="D9" s="558">
        <v>0.45</v>
      </c>
      <c r="E9" s="559">
        <v>195</v>
      </c>
      <c r="F9" s="560">
        <v>55.3</v>
      </c>
      <c r="H9" s="598" t="s">
        <v>242</v>
      </c>
      <c r="I9" s="599">
        <v>-1.645</v>
      </c>
      <c r="J9" s="600"/>
      <c r="N9" s="602"/>
      <c r="X9" s="596"/>
    </row>
    <row r="10" spans="3:24" ht="12" customHeight="1" x14ac:dyDescent="0.25">
      <c r="D10" s="558"/>
      <c r="E10" s="559"/>
      <c r="F10" s="560"/>
      <c r="N10" s="602"/>
      <c r="X10" s="596"/>
    </row>
    <row r="11" spans="3:24" ht="9" customHeight="1" x14ac:dyDescent="0.25">
      <c r="C11" s="561"/>
      <c r="D11" s="558"/>
      <c r="E11" s="559"/>
      <c r="F11" s="560"/>
      <c r="X11" s="603"/>
    </row>
    <row r="12" spans="3:24" ht="18" customHeight="1" x14ac:dyDescent="0.25">
      <c r="C12" s="562"/>
      <c r="D12" s="558"/>
      <c r="E12" s="559"/>
      <c r="F12" s="560"/>
      <c r="X12" s="603"/>
    </row>
    <row r="13" spans="3:24" ht="25.5" customHeight="1" x14ac:dyDescent="0.25">
      <c r="C13" s="563"/>
      <c r="D13" s="558"/>
      <c r="E13" s="559"/>
      <c r="F13" s="560"/>
      <c r="U13" s="592" t="s">
        <v>79</v>
      </c>
      <c r="V13" s="592"/>
      <c r="W13" s="592"/>
    </row>
    <row r="14" spans="3:24" ht="28.5" customHeight="1" x14ac:dyDescent="0.25">
      <c r="C14" s="563"/>
      <c r="D14" s="558"/>
      <c r="E14" s="559"/>
      <c r="F14" s="560"/>
      <c r="W14" s="596"/>
    </row>
    <row r="15" spans="3:24" ht="6.75" customHeight="1" x14ac:dyDescent="0.25">
      <c r="C15" s="563"/>
      <c r="D15" s="558"/>
      <c r="E15" s="559"/>
      <c r="F15" s="560"/>
      <c r="W15" s="603"/>
    </row>
    <row r="16" spans="3:24" ht="8.25" customHeight="1" x14ac:dyDescent="0.25">
      <c r="C16" s="563"/>
      <c r="D16" s="558"/>
      <c r="E16" s="559"/>
      <c r="F16" s="560"/>
      <c r="W16" s="603"/>
    </row>
    <row r="17" spans="3:26" ht="24.75" customHeight="1" x14ac:dyDescent="0.25">
      <c r="C17" s="564"/>
      <c r="D17" s="558"/>
      <c r="E17" s="559"/>
      <c r="F17" s="560"/>
    </row>
    <row r="18" spans="3:26" ht="25.5" customHeight="1" x14ac:dyDescent="0.25">
      <c r="C18" s="565"/>
      <c r="D18" s="558"/>
      <c r="E18" s="559"/>
      <c r="F18" s="560"/>
    </row>
    <row r="19" spans="3:26" ht="18" customHeight="1" x14ac:dyDescent="0.25">
      <c r="C19" s="561"/>
      <c r="D19" s="558"/>
      <c r="E19" s="559"/>
      <c r="F19" s="560"/>
    </row>
    <row r="20" spans="3:26" ht="18" customHeight="1" x14ac:dyDescent="0.25">
      <c r="C20" s="566"/>
      <c r="D20" s="558"/>
      <c r="E20" s="559"/>
      <c r="F20" s="560"/>
    </row>
    <row r="21" spans="3:26" ht="24.75" customHeight="1" x14ac:dyDescent="0.25">
      <c r="C21" s="567"/>
      <c r="D21" s="558"/>
      <c r="E21" s="559"/>
      <c r="F21" s="560"/>
    </row>
    <row r="22" spans="3:26" ht="18" customHeight="1" x14ac:dyDescent="0.25">
      <c r="U22" s="604"/>
      <c r="V22" s="604"/>
      <c r="W22" s="604"/>
      <c r="X22" s="604"/>
    </row>
    <row r="23" spans="3:26" ht="18" customHeight="1" x14ac:dyDescent="0.25">
      <c r="C23" s="590" t="s">
        <v>244</v>
      </c>
      <c r="D23" s="591" t="s">
        <v>245</v>
      </c>
      <c r="E23" s="568" t="s">
        <v>243</v>
      </c>
      <c r="F23" s="568" t="s">
        <v>238</v>
      </c>
      <c r="G23" s="568" t="s">
        <v>75</v>
      </c>
      <c r="H23" s="927"/>
      <c r="I23" s="927"/>
      <c r="J23" s="927"/>
      <c r="K23" s="927"/>
      <c r="L23" s="927"/>
      <c r="M23" s="927"/>
      <c r="N23" s="927"/>
      <c r="O23" s="927"/>
      <c r="P23" s="927"/>
      <c r="Q23" s="927"/>
      <c r="R23" s="927"/>
      <c r="S23" s="605"/>
      <c r="T23" s="606"/>
    </row>
    <row r="24" spans="3:26" ht="18" customHeight="1" x14ac:dyDescent="0.25">
      <c r="C24" s="569">
        <v>15</v>
      </c>
      <c r="D24" s="570">
        <f>C24+2*1.65</f>
        <v>18.3</v>
      </c>
      <c r="E24" s="622">
        <f>(D24/$I$8)^(1/$I$9)</f>
        <v>0.89362385558779722</v>
      </c>
      <c r="F24" s="780">
        <f>E6</f>
        <v>195</v>
      </c>
      <c r="G24" s="623">
        <f>ROUNDUP(F24/E24,0)</f>
        <v>219</v>
      </c>
      <c r="H24" s="606"/>
      <c r="I24" s="607"/>
      <c r="J24" s="607"/>
      <c r="K24" s="606"/>
      <c r="L24" s="608"/>
      <c r="M24" s="608"/>
      <c r="N24" s="609"/>
      <c r="O24" s="609"/>
      <c r="P24" s="610"/>
      <c r="Q24" s="609"/>
      <c r="R24" s="610"/>
      <c r="S24" s="611"/>
      <c r="T24" s="606"/>
      <c r="U24" s="570"/>
      <c r="V24" s="612"/>
      <c r="W24" s="570"/>
      <c r="X24" s="612"/>
      <c r="Y24" s="613"/>
      <c r="Z24" s="612"/>
    </row>
    <row r="25" spans="3:26" ht="18" customHeight="1" x14ac:dyDescent="0.25">
      <c r="C25" s="569">
        <v>20</v>
      </c>
      <c r="D25" s="570">
        <f>C25+2.5*1.65</f>
        <v>24.125</v>
      </c>
      <c r="E25" s="624">
        <f t="shared" ref="E25:E29" si="0">(D25/$I$8)^(1/$I$9)</f>
        <v>0.75543405331918567</v>
      </c>
      <c r="F25" s="781">
        <f>E6</f>
        <v>195</v>
      </c>
      <c r="G25" s="625">
        <f t="shared" ref="G25:G26" si="1">ROUNDUP(F25/E25,0)</f>
        <v>259</v>
      </c>
      <c r="H25" s="606"/>
      <c r="I25" s="607"/>
      <c r="J25" s="607"/>
      <c r="K25" s="606"/>
      <c r="L25" s="608"/>
      <c r="M25" s="608"/>
      <c r="N25" s="609"/>
      <c r="O25" s="609"/>
      <c r="P25" s="610"/>
      <c r="Q25" s="609"/>
      <c r="R25" s="610"/>
      <c r="S25" s="611"/>
      <c r="T25" s="606"/>
      <c r="U25" s="570"/>
      <c r="V25" s="612"/>
      <c r="W25" s="570"/>
      <c r="X25" s="612"/>
      <c r="Y25" s="613"/>
      <c r="Z25" s="612"/>
    </row>
    <row r="26" spans="3:26" ht="18" customHeight="1" x14ac:dyDescent="0.25">
      <c r="C26" s="569">
        <v>25</v>
      </c>
      <c r="D26" s="570">
        <f>C26+3.15*1.65</f>
        <v>30.197499999999998</v>
      </c>
      <c r="E26" s="624">
        <f t="shared" si="0"/>
        <v>0.65905826621265018</v>
      </c>
      <c r="F26" s="781">
        <f>E6</f>
        <v>195</v>
      </c>
      <c r="G26" s="625">
        <f t="shared" si="1"/>
        <v>296</v>
      </c>
      <c r="H26" s="606"/>
      <c r="I26" s="607"/>
      <c r="J26" s="607"/>
      <c r="K26" s="606"/>
      <c r="L26" s="608"/>
      <c r="M26" s="608"/>
      <c r="N26" s="609"/>
      <c r="O26" s="609"/>
      <c r="P26" s="610"/>
      <c r="Q26" s="609"/>
      <c r="R26" s="610"/>
      <c r="S26" s="611"/>
      <c r="T26" s="606"/>
      <c r="U26" s="570"/>
      <c r="V26" s="612"/>
      <c r="W26" s="570"/>
      <c r="X26" s="612"/>
      <c r="Y26" s="613"/>
      <c r="Z26" s="612"/>
    </row>
    <row r="27" spans="3:26" ht="18" customHeight="1" x14ac:dyDescent="0.25">
      <c r="C27" s="569">
        <v>30</v>
      </c>
      <c r="D27" s="570">
        <f>C27+4*1.65</f>
        <v>36.6</v>
      </c>
      <c r="E27" s="624">
        <f>(D27/$I$8)^(1/$I$9)</f>
        <v>0.58635116996239256</v>
      </c>
      <c r="F27" s="781">
        <f>E7</f>
        <v>195</v>
      </c>
      <c r="G27" s="625">
        <f>ROUNDUP(F27/E27,0)</f>
        <v>333</v>
      </c>
      <c r="H27" s="606"/>
      <c r="I27" s="607"/>
      <c r="J27" s="607"/>
      <c r="K27" s="606"/>
      <c r="L27" s="608"/>
      <c r="M27" s="608"/>
      <c r="N27" s="609"/>
      <c r="O27" s="609"/>
      <c r="P27" s="610"/>
      <c r="Q27" s="609"/>
      <c r="R27" s="610"/>
      <c r="S27" s="611"/>
      <c r="T27" s="606"/>
      <c r="U27" s="570"/>
      <c r="V27" s="612"/>
      <c r="W27" s="570"/>
      <c r="X27" s="612"/>
      <c r="Y27" s="613"/>
      <c r="Z27" s="612"/>
    </row>
    <row r="28" spans="3:26" ht="18" customHeight="1" x14ac:dyDescent="0.25">
      <c r="C28" s="569">
        <v>35</v>
      </c>
      <c r="D28" s="570">
        <f>C28+4*1.65</f>
        <v>41.6</v>
      </c>
      <c r="E28" s="624">
        <f>(D28/$I$8)^(1/$I$9)</f>
        <v>0.54243906667001485</v>
      </c>
      <c r="F28" s="781">
        <f>E8</f>
        <v>195</v>
      </c>
      <c r="G28" s="625">
        <f>ROUNDUP(F28/E28,0)</f>
        <v>360</v>
      </c>
      <c r="H28" s="606"/>
      <c r="I28" s="607"/>
      <c r="J28" s="614"/>
      <c r="K28" s="606"/>
      <c r="L28" s="608"/>
      <c r="M28" s="608"/>
      <c r="N28" s="609"/>
      <c r="O28" s="609"/>
      <c r="P28" s="610"/>
      <c r="Q28" s="609"/>
      <c r="R28" s="610"/>
      <c r="S28" s="611"/>
      <c r="T28" s="606"/>
      <c r="U28" s="570"/>
      <c r="V28" s="612"/>
      <c r="W28" s="570"/>
      <c r="X28" s="612"/>
      <c r="Y28" s="613"/>
      <c r="Z28" s="612"/>
    </row>
    <row r="29" spans="3:26" ht="18" customHeight="1" x14ac:dyDescent="0.25">
      <c r="C29" s="571">
        <v>40</v>
      </c>
      <c r="D29" s="570">
        <f>C29+5*1.65</f>
        <v>48.25</v>
      </c>
      <c r="E29" s="626">
        <f t="shared" si="0"/>
        <v>0.49567795020621835</v>
      </c>
      <c r="F29" s="782">
        <f>E9</f>
        <v>195</v>
      </c>
      <c r="G29" s="625">
        <f t="shared" ref="G29" si="2">ROUNDUP(F29/E29,0)</f>
        <v>394</v>
      </c>
      <c r="H29" s="748"/>
      <c r="I29" s="607"/>
      <c r="J29" s="607"/>
      <c r="K29" s="748"/>
      <c r="L29" s="608"/>
      <c r="M29" s="608"/>
      <c r="N29" s="609"/>
      <c r="O29" s="609"/>
      <c r="P29" s="610"/>
      <c r="Q29" s="609"/>
      <c r="R29" s="610"/>
      <c r="S29" s="611"/>
      <c r="T29" s="606"/>
      <c r="U29" s="570"/>
      <c r="V29" s="612"/>
      <c r="W29" s="570"/>
      <c r="X29" s="612"/>
      <c r="Y29" s="613"/>
      <c r="Z29" s="612"/>
    </row>
    <row r="30" spans="3:26" ht="18" customHeight="1" x14ac:dyDescent="0.25">
      <c r="C30" s="592"/>
      <c r="D30" s="592"/>
      <c r="E30" s="592"/>
      <c r="F30" s="592"/>
      <c r="G30" s="592"/>
      <c r="H30" s="748"/>
      <c r="I30" s="748"/>
      <c r="J30" s="748"/>
      <c r="K30" s="748"/>
      <c r="L30" s="748">
        <f>J28/12</f>
        <v>0</v>
      </c>
      <c r="M30" s="748"/>
      <c r="N30" s="748"/>
      <c r="O30" s="748"/>
      <c r="P30" s="615"/>
      <c r="Q30" s="748"/>
      <c r="R30" s="615"/>
      <c r="S30" s="616"/>
      <c r="T30" s="606"/>
      <c r="V30" s="617"/>
      <c r="X30" s="617"/>
    </row>
    <row r="31" spans="3:26" ht="13.5" customHeight="1" x14ac:dyDescent="0.25">
      <c r="C31" s="592"/>
      <c r="D31" s="592"/>
      <c r="E31" s="592"/>
      <c r="F31" s="592"/>
      <c r="G31" s="592"/>
      <c r="H31" s="592"/>
      <c r="I31" s="592"/>
      <c r="J31" s="592"/>
      <c r="K31" s="592"/>
      <c r="L31" s="592"/>
      <c r="M31" s="592"/>
      <c r="N31" s="592"/>
      <c r="O31" s="592"/>
      <c r="P31" s="592"/>
      <c r="Q31" s="592"/>
      <c r="R31" s="592"/>
      <c r="S31" s="592"/>
      <c r="Y31" s="618"/>
      <c r="Z31" s="619"/>
    </row>
    <row r="32" spans="3:26" ht="13.5" customHeight="1" x14ac:dyDescent="0.25">
      <c r="C32" s="593"/>
      <c r="D32" s="593"/>
      <c r="E32" s="593"/>
      <c r="F32" s="593"/>
      <c r="G32" s="593"/>
      <c r="H32" s="593"/>
      <c r="I32" s="593"/>
      <c r="J32" s="747"/>
      <c r="K32" s="593"/>
      <c r="L32" s="593"/>
      <c r="M32" s="593"/>
      <c r="N32" s="593"/>
      <c r="O32" s="593"/>
      <c r="P32" s="593"/>
      <c r="Q32" s="593"/>
      <c r="R32" s="593"/>
      <c r="S32" s="593"/>
    </row>
    <row r="33" spans="1:19" ht="13.5" customHeight="1" x14ac:dyDescent="0.25">
      <c r="C33" s="922"/>
      <c r="D33" s="922"/>
      <c r="E33" s="922"/>
      <c r="F33" s="922"/>
      <c r="G33" s="922"/>
      <c r="H33" s="922"/>
      <c r="I33" s="922"/>
      <c r="J33" s="922"/>
      <c r="K33" s="922"/>
      <c r="L33" s="922"/>
      <c r="M33" s="922"/>
      <c r="N33" s="922"/>
      <c r="O33" s="922"/>
      <c r="P33" s="922"/>
      <c r="Q33" s="922"/>
      <c r="R33" s="922"/>
      <c r="S33" s="922"/>
    </row>
    <row r="34" spans="1:19" ht="13.5" customHeight="1" x14ac:dyDescent="0.25">
      <c r="A34" s="620"/>
      <c r="B34" s="621"/>
      <c r="C34" s="922"/>
      <c r="D34" s="922"/>
      <c r="E34" s="922"/>
      <c r="F34" s="922"/>
      <c r="G34" s="922"/>
      <c r="H34" s="922"/>
      <c r="I34" s="922"/>
      <c r="J34" s="922"/>
      <c r="K34" s="922"/>
      <c r="L34" s="922"/>
      <c r="M34" s="922"/>
      <c r="N34" s="922"/>
      <c r="O34" s="922"/>
      <c r="P34" s="922"/>
      <c r="Q34" s="922"/>
      <c r="R34" s="922"/>
      <c r="S34" s="922"/>
    </row>
    <row r="37" spans="1:19" ht="12.75" x14ac:dyDescent="0.25"/>
    <row r="38" spans="1:19" ht="12.75" x14ac:dyDescent="0.25"/>
    <row r="39" spans="1:19" ht="12.75" x14ac:dyDescent="0.25"/>
    <row r="40" spans="1:19" ht="12.75" x14ac:dyDescent="0.25"/>
    <row r="41" spans="1:19" ht="12.75" x14ac:dyDescent="0.25"/>
  </sheetData>
  <mergeCells count="8">
    <mergeCell ref="C33:S33"/>
    <mergeCell ref="C34:S34"/>
    <mergeCell ref="C1:M2"/>
    <mergeCell ref="H6:J6"/>
    <mergeCell ref="C7:C9"/>
    <mergeCell ref="H23:J23"/>
    <mergeCell ref="K23:M23"/>
    <mergeCell ref="N23:R23"/>
  </mergeCells>
  <conditionalFormatting sqref="P24:P30">
    <cfRule type="cellIs" dxfId="5" priority="4" operator="lessThan">
      <formula>0</formula>
    </cfRule>
    <cfRule type="cellIs" dxfId="4" priority="5" operator="lessThan">
      <formula>0</formula>
    </cfRule>
    <cfRule type="cellIs" dxfId="3" priority="6" operator="greaterThan">
      <formula>0</formula>
    </cfRule>
  </conditionalFormatting>
  <conditionalFormatting sqref="R24:R30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scale="88" orientation="landscape" r:id="rId1"/>
  <colBreaks count="1" manualBreakCount="1">
    <brk id="19" max="1048575" man="1"/>
  </colBreaks>
  <ignoredErrors>
    <ignoredError sqref="E3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Pict="0" macro="[3]!ABRAMS">
                <anchor moveWithCells="1" sizeWithCells="1">
                  <from>
                    <xdr:col>19</xdr:col>
                    <xdr:colOff>600075</xdr:colOff>
                    <xdr:row>4</xdr:row>
                    <xdr:rowOff>66675</xdr:rowOff>
                  </from>
                  <to>
                    <xdr:col>22</xdr:col>
                    <xdr:colOff>523875</xdr:colOff>
                    <xdr:row>5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72"/>
  <sheetViews>
    <sheetView showGridLines="0" topLeftCell="A11" zoomScale="85" zoomScaleNormal="85" workbookViewId="0">
      <selection activeCell="R41" sqref="R41"/>
    </sheetView>
  </sheetViews>
  <sheetFormatPr defaultColWidth="8.85546875" defaultRowHeight="12.75" x14ac:dyDescent="0.2"/>
  <cols>
    <col min="1" max="1" width="1.7109375" style="198" customWidth="1"/>
    <col min="2" max="2" width="10.140625" style="198" customWidth="1"/>
    <col min="3" max="3" width="7.7109375" style="198" customWidth="1"/>
    <col min="4" max="4" width="11" style="198" customWidth="1"/>
    <col min="5" max="5" width="11.140625" style="198" customWidth="1"/>
    <col min="6" max="6" width="11.28515625" style="198" customWidth="1"/>
    <col min="7" max="18" width="7.7109375" style="198" customWidth="1"/>
    <col min="19" max="256" width="8.85546875" style="198"/>
    <col min="257" max="257" width="1.7109375" style="198" customWidth="1"/>
    <col min="258" max="258" width="10.140625" style="198" customWidth="1"/>
    <col min="259" max="259" width="7.7109375" style="198" customWidth="1"/>
    <col min="260" max="260" width="11" style="198" bestFit="1" customWidth="1"/>
    <col min="261" max="261" width="8.85546875" style="198" customWidth="1"/>
    <col min="262" max="274" width="7.7109375" style="198" customWidth="1"/>
    <col min="275" max="512" width="8.85546875" style="198"/>
    <col min="513" max="513" width="1.7109375" style="198" customWidth="1"/>
    <col min="514" max="514" width="10.140625" style="198" customWidth="1"/>
    <col min="515" max="515" width="7.7109375" style="198" customWidth="1"/>
    <col min="516" max="516" width="11" style="198" bestFit="1" customWidth="1"/>
    <col min="517" max="517" width="8.85546875" style="198" customWidth="1"/>
    <col min="518" max="530" width="7.7109375" style="198" customWidth="1"/>
    <col min="531" max="768" width="8.85546875" style="198"/>
    <col min="769" max="769" width="1.7109375" style="198" customWidth="1"/>
    <col min="770" max="770" width="10.140625" style="198" customWidth="1"/>
    <col min="771" max="771" width="7.7109375" style="198" customWidth="1"/>
    <col min="772" max="772" width="11" style="198" bestFit="1" customWidth="1"/>
    <col min="773" max="773" width="8.85546875" style="198" customWidth="1"/>
    <col min="774" max="786" width="7.7109375" style="198" customWidth="1"/>
    <col min="787" max="1024" width="8.85546875" style="198"/>
    <col min="1025" max="1025" width="1.7109375" style="198" customWidth="1"/>
    <col min="1026" max="1026" width="10.140625" style="198" customWidth="1"/>
    <col min="1027" max="1027" width="7.7109375" style="198" customWidth="1"/>
    <col min="1028" max="1028" width="11" style="198" bestFit="1" customWidth="1"/>
    <col min="1029" max="1029" width="8.85546875" style="198" customWidth="1"/>
    <col min="1030" max="1042" width="7.7109375" style="198" customWidth="1"/>
    <col min="1043" max="1280" width="8.85546875" style="198"/>
    <col min="1281" max="1281" width="1.7109375" style="198" customWidth="1"/>
    <col min="1282" max="1282" width="10.140625" style="198" customWidth="1"/>
    <col min="1283" max="1283" width="7.7109375" style="198" customWidth="1"/>
    <col min="1284" max="1284" width="11" style="198" bestFit="1" customWidth="1"/>
    <col min="1285" max="1285" width="8.85546875" style="198" customWidth="1"/>
    <col min="1286" max="1298" width="7.7109375" style="198" customWidth="1"/>
    <col min="1299" max="1536" width="8.85546875" style="198"/>
    <col min="1537" max="1537" width="1.7109375" style="198" customWidth="1"/>
    <col min="1538" max="1538" width="10.140625" style="198" customWidth="1"/>
    <col min="1539" max="1539" width="7.7109375" style="198" customWidth="1"/>
    <col min="1540" max="1540" width="11" style="198" bestFit="1" customWidth="1"/>
    <col min="1541" max="1541" width="8.85546875" style="198" customWidth="1"/>
    <col min="1542" max="1554" width="7.7109375" style="198" customWidth="1"/>
    <col min="1555" max="1792" width="8.85546875" style="198"/>
    <col min="1793" max="1793" width="1.7109375" style="198" customWidth="1"/>
    <col min="1794" max="1794" width="10.140625" style="198" customWidth="1"/>
    <col min="1795" max="1795" width="7.7109375" style="198" customWidth="1"/>
    <col min="1796" max="1796" width="11" style="198" bestFit="1" customWidth="1"/>
    <col min="1797" max="1797" width="8.85546875" style="198" customWidth="1"/>
    <col min="1798" max="1810" width="7.7109375" style="198" customWidth="1"/>
    <col min="1811" max="2048" width="8.85546875" style="198"/>
    <col min="2049" max="2049" width="1.7109375" style="198" customWidth="1"/>
    <col min="2050" max="2050" width="10.140625" style="198" customWidth="1"/>
    <col min="2051" max="2051" width="7.7109375" style="198" customWidth="1"/>
    <col min="2052" max="2052" width="11" style="198" bestFit="1" customWidth="1"/>
    <col min="2053" max="2053" width="8.85546875" style="198" customWidth="1"/>
    <col min="2054" max="2066" width="7.7109375" style="198" customWidth="1"/>
    <col min="2067" max="2304" width="8.85546875" style="198"/>
    <col min="2305" max="2305" width="1.7109375" style="198" customWidth="1"/>
    <col min="2306" max="2306" width="10.140625" style="198" customWidth="1"/>
    <col min="2307" max="2307" width="7.7109375" style="198" customWidth="1"/>
    <col min="2308" max="2308" width="11" style="198" bestFit="1" customWidth="1"/>
    <col min="2309" max="2309" width="8.85546875" style="198" customWidth="1"/>
    <col min="2310" max="2322" width="7.7109375" style="198" customWidth="1"/>
    <col min="2323" max="2560" width="8.85546875" style="198"/>
    <col min="2561" max="2561" width="1.7109375" style="198" customWidth="1"/>
    <col min="2562" max="2562" width="10.140625" style="198" customWidth="1"/>
    <col min="2563" max="2563" width="7.7109375" style="198" customWidth="1"/>
    <col min="2564" max="2564" width="11" style="198" bestFit="1" customWidth="1"/>
    <col min="2565" max="2565" width="8.85546875" style="198" customWidth="1"/>
    <col min="2566" max="2578" width="7.7109375" style="198" customWidth="1"/>
    <col min="2579" max="2816" width="8.85546875" style="198"/>
    <col min="2817" max="2817" width="1.7109375" style="198" customWidth="1"/>
    <col min="2818" max="2818" width="10.140625" style="198" customWidth="1"/>
    <col min="2819" max="2819" width="7.7109375" style="198" customWidth="1"/>
    <col min="2820" max="2820" width="11" style="198" bestFit="1" customWidth="1"/>
    <col min="2821" max="2821" width="8.85546875" style="198" customWidth="1"/>
    <col min="2822" max="2834" width="7.7109375" style="198" customWidth="1"/>
    <col min="2835" max="3072" width="8.85546875" style="198"/>
    <col min="3073" max="3073" width="1.7109375" style="198" customWidth="1"/>
    <col min="3074" max="3074" width="10.140625" style="198" customWidth="1"/>
    <col min="3075" max="3075" width="7.7109375" style="198" customWidth="1"/>
    <col min="3076" max="3076" width="11" style="198" bestFit="1" customWidth="1"/>
    <col min="3077" max="3077" width="8.85546875" style="198" customWidth="1"/>
    <col min="3078" max="3090" width="7.7109375" style="198" customWidth="1"/>
    <col min="3091" max="3328" width="8.85546875" style="198"/>
    <col min="3329" max="3329" width="1.7109375" style="198" customWidth="1"/>
    <col min="3330" max="3330" width="10.140625" style="198" customWidth="1"/>
    <col min="3331" max="3331" width="7.7109375" style="198" customWidth="1"/>
    <col min="3332" max="3332" width="11" style="198" bestFit="1" customWidth="1"/>
    <col min="3333" max="3333" width="8.85546875" style="198" customWidth="1"/>
    <col min="3334" max="3346" width="7.7109375" style="198" customWidth="1"/>
    <col min="3347" max="3584" width="8.85546875" style="198"/>
    <col min="3585" max="3585" width="1.7109375" style="198" customWidth="1"/>
    <col min="3586" max="3586" width="10.140625" style="198" customWidth="1"/>
    <col min="3587" max="3587" width="7.7109375" style="198" customWidth="1"/>
    <col min="3588" max="3588" width="11" style="198" bestFit="1" customWidth="1"/>
    <col min="3589" max="3589" width="8.85546875" style="198" customWidth="1"/>
    <col min="3590" max="3602" width="7.7109375" style="198" customWidth="1"/>
    <col min="3603" max="3840" width="8.85546875" style="198"/>
    <col min="3841" max="3841" width="1.7109375" style="198" customWidth="1"/>
    <col min="3842" max="3842" width="10.140625" style="198" customWidth="1"/>
    <col min="3843" max="3843" width="7.7109375" style="198" customWidth="1"/>
    <col min="3844" max="3844" width="11" style="198" bestFit="1" customWidth="1"/>
    <col min="3845" max="3845" width="8.85546875" style="198" customWidth="1"/>
    <col min="3846" max="3858" width="7.7109375" style="198" customWidth="1"/>
    <col min="3859" max="4096" width="8.85546875" style="198"/>
    <col min="4097" max="4097" width="1.7109375" style="198" customWidth="1"/>
    <col min="4098" max="4098" width="10.140625" style="198" customWidth="1"/>
    <col min="4099" max="4099" width="7.7109375" style="198" customWidth="1"/>
    <col min="4100" max="4100" width="11" style="198" bestFit="1" customWidth="1"/>
    <col min="4101" max="4101" width="8.85546875" style="198" customWidth="1"/>
    <col min="4102" max="4114" width="7.7109375" style="198" customWidth="1"/>
    <col min="4115" max="4352" width="8.85546875" style="198"/>
    <col min="4353" max="4353" width="1.7109375" style="198" customWidth="1"/>
    <col min="4354" max="4354" width="10.140625" style="198" customWidth="1"/>
    <col min="4355" max="4355" width="7.7109375" style="198" customWidth="1"/>
    <col min="4356" max="4356" width="11" style="198" bestFit="1" customWidth="1"/>
    <col min="4357" max="4357" width="8.85546875" style="198" customWidth="1"/>
    <col min="4358" max="4370" width="7.7109375" style="198" customWidth="1"/>
    <col min="4371" max="4608" width="8.85546875" style="198"/>
    <col min="4609" max="4609" width="1.7109375" style="198" customWidth="1"/>
    <col min="4610" max="4610" width="10.140625" style="198" customWidth="1"/>
    <col min="4611" max="4611" width="7.7109375" style="198" customWidth="1"/>
    <col min="4612" max="4612" width="11" style="198" bestFit="1" customWidth="1"/>
    <col min="4613" max="4613" width="8.85546875" style="198" customWidth="1"/>
    <col min="4614" max="4626" width="7.7109375" style="198" customWidth="1"/>
    <col min="4627" max="4864" width="8.85546875" style="198"/>
    <col min="4865" max="4865" width="1.7109375" style="198" customWidth="1"/>
    <col min="4866" max="4866" width="10.140625" style="198" customWidth="1"/>
    <col min="4867" max="4867" width="7.7109375" style="198" customWidth="1"/>
    <col min="4868" max="4868" width="11" style="198" bestFit="1" customWidth="1"/>
    <col min="4869" max="4869" width="8.85546875" style="198" customWidth="1"/>
    <col min="4870" max="4882" width="7.7109375" style="198" customWidth="1"/>
    <col min="4883" max="5120" width="8.85546875" style="198"/>
    <col min="5121" max="5121" width="1.7109375" style="198" customWidth="1"/>
    <col min="5122" max="5122" width="10.140625" style="198" customWidth="1"/>
    <col min="5123" max="5123" width="7.7109375" style="198" customWidth="1"/>
    <col min="5124" max="5124" width="11" style="198" bestFit="1" customWidth="1"/>
    <col min="5125" max="5125" width="8.85546875" style="198" customWidth="1"/>
    <col min="5126" max="5138" width="7.7109375" style="198" customWidth="1"/>
    <col min="5139" max="5376" width="8.85546875" style="198"/>
    <col min="5377" max="5377" width="1.7109375" style="198" customWidth="1"/>
    <col min="5378" max="5378" width="10.140625" style="198" customWidth="1"/>
    <col min="5379" max="5379" width="7.7109375" style="198" customWidth="1"/>
    <col min="5380" max="5380" width="11" style="198" bestFit="1" customWidth="1"/>
    <col min="5381" max="5381" width="8.85546875" style="198" customWidth="1"/>
    <col min="5382" max="5394" width="7.7109375" style="198" customWidth="1"/>
    <col min="5395" max="5632" width="8.85546875" style="198"/>
    <col min="5633" max="5633" width="1.7109375" style="198" customWidth="1"/>
    <col min="5634" max="5634" width="10.140625" style="198" customWidth="1"/>
    <col min="5635" max="5635" width="7.7109375" style="198" customWidth="1"/>
    <col min="5636" max="5636" width="11" style="198" bestFit="1" customWidth="1"/>
    <col min="5637" max="5637" width="8.85546875" style="198" customWidth="1"/>
    <col min="5638" max="5650" width="7.7109375" style="198" customWidth="1"/>
    <col min="5651" max="5888" width="8.85546875" style="198"/>
    <col min="5889" max="5889" width="1.7109375" style="198" customWidth="1"/>
    <col min="5890" max="5890" width="10.140625" style="198" customWidth="1"/>
    <col min="5891" max="5891" width="7.7109375" style="198" customWidth="1"/>
    <col min="5892" max="5892" width="11" style="198" bestFit="1" customWidth="1"/>
    <col min="5893" max="5893" width="8.85546875" style="198" customWidth="1"/>
    <col min="5894" max="5906" width="7.7109375" style="198" customWidth="1"/>
    <col min="5907" max="6144" width="8.85546875" style="198"/>
    <col min="6145" max="6145" width="1.7109375" style="198" customWidth="1"/>
    <col min="6146" max="6146" width="10.140625" style="198" customWidth="1"/>
    <col min="6147" max="6147" width="7.7109375" style="198" customWidth="1"/>
    <col min="6148" max="6148" width="11" style="198" bestFit="1" customWidth="1"/>
    <col min="6149" max="6149" width="8.85546875" style="198" customWidth="1"/>
    <col min="6150" max="6162" width="7.7109375" style="198" customWidth="1"/>
    <col min="6163" max="6400" width="8.85546875" style="198"/>
    <col min="6401" max="6401" width="1.7109375" style="198" customWidth="1"/>
    <col min="6402" max="6402" width="10.140625" style="198" customWidth="1"/>
    <col min="6403" max="6403" width="7.7109375" style="198" customWidth="1"/>
    <col min="6404" max="6404" width="11" style="198" bestFit="1" customWidth="1"/>
    <col min="6405" max="6405" width="8.85546875" style="198" customWidth="1"/>
    <col min="6406" max="6418" width="7.7109375" style="198" customWidth="1"/>
    <col min="6419" max="6656" width="8.85546875" style="198"/>
    <col min="6657" max="6657" width="1.7109375" style="198" customWidth="1"/>
    <col min="6658" max="6658" width="10.140625" style="198" customWidth="1"/>
    <col min="6659" max="6659" width="7.7109375" style="198" customWidth="1"/>
    <col min="6660" max="6660" width="11" style="198" bestFit="1" customWidth="1"/>
    <col min="6661" max="6661" width="8.85546875" style="198" customWidth="1"/>
    <col min="6662" max="6674" width="7.7109375" style="198" customWidth="1"/>
    <col min="6675" max="6912" width="8.85546875" style="198"/>
    <col min="6913" max="6913" width="1.7109375" style="198" customWidth="1"/>
    <col min="6914" max="6914" width="10.140625" style="198" customWidth="1"/>
    <col min="6915" max="6915" width="7.7109375" style="198" customWidth="1"/>
    <col min="6916" max="6916" width="11" style="198" bestFit="1" customWidth="1"/>
    <col min="6917" max="6917" width="8.85546875" style="198" customWidth="1"/>
    <col min="6918" max="6930" width="7.7109375" style="198" customWidth="1"/>
    <col min="6931" max="7168" width="8.85546875" style="198"/>
    <col min="7169" max="7169" width="1.7109375" style="198" customWidth="1"/>
    <col min="7170" max="7170" width="10.140625" style="198" customWidth="1"/>
    <col min="7171" max="7171" width="7.7109375" style="198" customWidth="1"/>
    <col min="7172" max="7172" width="11" style="198" bestFit="1" customWidth="1"/>
    <col min="7173" max="7173" width="8.85546875" style="198" customWidth="1"/>
    <col min="7174" max="7186" width="7.7109375" style="198" customWidth="1"/>
    <col min="7187" max="7424" width="8.85546875" style="198"/>
    <col min="7425" max="7425" width="1.7109375" style="198" customWidth="1"/>
    <col min="7426" max="7426" width="10.140625" style="198" customWidth="1"/>
    <col min="7427" max="7427" width="7.7109375" style="198" customWidth="1"/>
    <col min="7428" max="7428" width="11" style="198" bestFit="1" customWidth="1"/>
    <col min="7429" max="7429" width="8.85546875" style="198" customWidth="1"/>
    <col min="7430" max="7442" width="7.7109375" style="198" customWidth="1"/>
    <col min="7443" max="7680" width="8.85546875" style="198"/>
    <col min="7681" max="7681" width="1.7109375" style="198" customWidth="1"/>
    <col min="7682" max="7682" width="10.140625" style="198" customWidth="1"/>
    <col min="7683" max="7683" width="7.7109375" style="198" customWidth="1"/>
    <col min="7684" max="7684" width="11" style="198" bestFit="1" customWidth="1"/>
    <col min="7685" max="7685" width="8.85546875" style="198" customWidth="1"/>
    <col min="7686" max="7698" width="7.7109375" style="198" customWidth="1"/>
    <col min="7699" max="7936" width="8.85546875" style="198"/>
    <col min="7937" max="7937" width="1.7109375" style="198" customWidth="1"/>
    <col min="7938" max="7938" width="10.140625" style="198" customWidth="1"/>
    <col min="7939" max="7939" width="7.7109375" style="198" customWidth="1"/>
    <col min="7940" max="7940" width="11" style="198" bestFit="1" customWidth="1"/>
    <col min="7941" max="7941" width="8.85546875" style="198" customWidth="1"/>
    <col min="7942" max="7954" width="7.7109375" style="198" customWidth="1"/>
    <col min="7955" max="8192" width="8.85546875" style="198"/>
    <col min="8193" max="8193" width="1.7109375" style="198" customWidth="1"/>
    <col min="8194" max="8194" width="10.140625" style="198" customWidth="1"/>
    <col min="8195" max="8195" width="7.7109375" style="198" customWidth="1"/>
    <col min="8196" max="8196" width="11" style="198" bestFit="1" customWidth="1"/>
    <col min="8197" max="8197" width="8.85546875" style="198" customWidth="1"/>
    <col min="8198" max="8210" width="7.7109375" style="198" customWidth="1"/>
    <col min="8211" max="8448" width="8.85546875" style="198"/>
    <col min="8449" max="8449" width="1.7109375" style="198" customWidth="1"/>
    <col min="8450" max="8450" width="10.140625" style="198" customWidth="1"/>
    <col min="8451" max="8451" width="7.7109375" style="198" customWidth="1"/>
    <col min="8452" max="8452" width="11" style="198" bestFit="1" customWidth="1"/>
    <col min="8453" max="8453" width="8.85546875" style="198" customWidth="1"/>
    <col min="8454" max="8466" width="7.7109375" style="198" customWidth="1"/>
    <col min="8467" max="8704" width="8.85546875" style="198"/>
    <col min="8705" max="8705" width="1.7109375" style="198" customWidth="1"/>
    <col min="8706" max="8706" width="10.140625" style="198" customWidth="1"/>
    <col min="8707" max="8707" width="7.7109375" style="198" customWidth="1"/>
    <col min="8708" max="8708" width="11" style="198" bestFit="1" customWidth="1"/>
    <col min="8709" max="8709" width="8.85546875" style="198" customWidth="1"/>
    <col min="8710" max="8722" width="7.7109375" style="198" customWidth="1"/>
    <col min="8723" max="8960" width="8.85546875" style="198"/>
    <col min="8961" max="8961" width="1.7109375" style="198" customWidth="1"/>
    <col min="8962" max="8962" width="10.140625" style="198" customWidth="1"/>
    <col min="8963" max="8963" width="7.7109375" style="198" customWidth="1"/>
    <col min="8964" max="8964" width="11" style="198" bestFit="1" customWidth="1"/>
    <col min="8965" max="8965" width="8.85546875" style="198" customWidth="1"/>
    <col min="8966" max="8978" width="7.7109375" style="198" customWidth="1"/>
    <col min="8979" max="9216" width="8.85546875" style="198"/>
    <col min="9217" max="9217" width="1.7109375" style="198" customWidth="1"/>
    <col min="9218" max="9218" width="10.140625" style="198" customWidth="1"/>
    <col min="9219" max="9219" width="7.7109375" style="198" customWidth="1"/>
    <col min="9220" max="9220" width="11" style="198" bestFit="1" customWidth="1"/>
    <col min="9221" max="9221" width="8.85546875" style="198" customWidth="1"/>
    <col min="9222" max="9234" width="7.7109375" style="198" customWidth="1"/>
    <col min="9235" max="9472" width="8.85546875" style="198"/>
    <col min="9473" max="9473" width="1.7109375" style="198" customWidth="1"/>
    <col min="9474" max="9474" width="10.140625" style="198" customWidth="1"/>
    <col min="9475" max="9475" width="7.7109375" style="198" customWidth="1"/>
    <col min="9476" max="9476" width="11" style="198" bestFit="1" customWidth="1"/>
    <col min="9477" max="9477" width="8.85546875" style="198" customWidth="1"/>
    <col min="9478" max="9490" width="7.7109375" style="198" customWidth="1"/>
    <col min="9491" max="9728" width="8.85546875" style="198"/>
    <col min="9729" max="9729" width="1.7109375" style="198" customWidth="1"/>
    <col min="9730" max="9730" width="10.140625" style="198" customWidth="1"/>
    <col min="9731" max="9731" width="7.7109375" style="198" customWidth="1"/>
    <col min="9732" max="9732" width="11" style="198" bestFit="1" customWidth="1"/>
    <col min="9733" max="9733" width="8.85546875" style="198" customWidth="1"/>
    <col min="9734" max="9746" width="7.7109375" style="198" customWidth="1"/>
    <col min="9747" max="9984" width="8.85546875" style="198"/>
    <col min="9985" max="9985" width="1.7109375" style="198" customWidth="1"/>
    <col min="9986" max="9986" width="10.140625" style="198" customWidth="1"/>
    <col min="9987" max="9987" width="7.7109375" style="198" customWidth="1"/>
    <col min="9988" max="9988" width="11" style="198" bestFit="1" customWidth="1"/>
    <col min="9989" max="9989" width="8.85546875" style="198" customWidth="1"/>
    <col min="9990" max="10002" width="7.7109375" style="198" customWidth="1"/>
    <col min="10003" max="10240" width="8.85546875" style="198"/>
    <col min="10241" max="10241" width="1.7109375" style="198" customWidth="1"/>
    <col min="10242" max="10242" width="10.140625" style="198" customWidth="1"/>
    <col min="10243" max="10243" width="7.7109375" style="198" customWidth="1"/>
    <col min="10244" max="10244" width="11" style="198" bestFit="1" customWidth="1"/>
    <col min="10245" max="10245" width="8.85546875" style="198" customWidth="1"/>
    <col min="10246" max="10258" width="7.7109375" style="198" customWidth="1"/>
    <col min="10259" max="10496" width="8.85546875" style="198"/>
    <col min="10497" max="10497" width="1.7109375" style="198" customWidth="1"/>
    <col min="10498" max="10498" width="10.140625" style="198" customWidth="1"/>
    <col min="10499" max="10499" width="7.7109375" style="198" customWidth="1"/>
    <col min="10500" max="10500" width="11" style="198" bestFit="1" customWidth="1"/>
    <col min="10501" max="10501" width="8.85546875" style="198" customWidth="1"/>
    <col min="10502" max="10514" width="7.7109375" style="198" customWidth="1"/>
    <col min="10515" max="10752" width="8.85546875" style="198"/>
    <col min="10753" max="10753" width="1.7109375" style="198" customWidth="1"/>
    <col min="10754" max="10754" width="10.140625" style="198" customWidth="1"/>
    <col min="10755" max="10755" width="7.7109375" style="198" customWidth="1"/>
    <col min="10756" max="10756" width="11" style="198" bestFit="1" customWidth="1"/>
    <col min="10757" max="10757" width="8.85546875" style="198" customWidth="1"/>
    <col min="10758" max="10770" width="7.7109375" style="198" customWidth="1"/>
    <col min="10771" max="11008" width="8.85546875" style="198"/>
    <col min="11009" max="11009" width="1.7109375" style="198" customWidth="1"/>
    <col min="11010" max="11010" width="10.140625" style="198" customWidth="1"/>
    <col min="11011" max="11011" width="7.7109375" style="198" customWidth="1"/>
    <col min="11012" max="11012" width="11" style="198" bestFit="1" customWidth="1"/>
    <col min="11013" max="11013" width="8.85546875" style="198" customWidth="1"/>
    <col min="11014" max="11026" width="7.7109375" style="198" customWidth="1"/>
    <col min="11027" max="11264" width="8.85546875" style="198"/>
    <col min="11265" max="11265" width="1.7109375" style="198" customWidth="1"/>
    <col min="11266" max="11266" width="10.140625" style="198" customWidth="1"/>
    <col min="11267" max="11267" width="7.7109375" style="198" customWidth="1"/>
    <col min="11268" max="11268" width="11" style="198" bestFit="1" customWidth="1"/>
    <col min="11269" max="11269" width="8.85546875" style="198" customWidth="1"/>
    <col min="11270" max="11282" width="7.7109375" style="198" customWidth="1"/>
    <col min="11283" max="11520" width="8.85546875" style="198"/>
    <col min="11521" max="11521" width="1.7109375" style="198" customWidth="1"/>
    <col min="11522" max="11522" width="10.140625" style="198" customWidth="1"/>
    <col min="11523" max="11523" width="7.7109375" style="198" customWidth="1"/>
    <col min="11524" max="11524" width="11" style="198" bestFit="1" customWidth="1"/>
    <col min="11525" max="11525" width="8.85546875" style="198" customWidth="1"/>
    <col min="11526" max="11538" width="7.7109375" style="198" customWidth="1"/>
    <col min="11539" max="11776" width="8.85546875" style="198"/>
    <col min="11777" max="11777" width="1.7109375" style="198" customWidth="1"/>
    <col min="11778" max="11778" width="10.140625" style="198" customWidth="1"/>
    <col min="11779" max="11779" width="7.7109375" style="198" customWidth="1"/>
    <col min="11780" max="11780" width="11" style="198" bestFit="1" customWidth="1"/>
    <col min="11781" max="11781" width="8.85546875" style="198" customWidth="1"/>
    <col min="11782" max="11794" width="7.7109375" style="198" customWidth="1"/>
    <col min="11795" max="12032" width="8.85546875" style="198"/>
    <col min="12033" max="12033" width="1.7109375" style="198" customWidth="1"/>
    <col min="12034" max="12034" width="10.140625" style="198" customWidth="1"/>
    <col min="12035" max="12035" width="7.7109375" style="198" customWidth="1"/>
    <col min="12036" max="12036" width="11" style="198" bestFit="1" customWidth="1"/>
    <col min="12037" max="12037" width="8.85546875" style="198" customWidth="1"/>
    <col min="12038" max="12050" width="7.7109375" style="198" customWidth="1"/>
    <col min="12051" max="12288" width="8.85546875" style="198"/>
    <col min="12289" max="12289" width="1.7109375" style="198" customWidth="1"/>
    <col min="12290" max="12290" width="10.140625" style="198" customWidth="1"/>
    <col min="12291" max="12291" width="7.7109375" style="198" customWidth="1"/>
    <col min="12292" max="12292" width="11" style="198" bestFit="1" customWidth="1"/>
    <col min="12293" max="12293" width="8.85546875" style="198" customWidth="1"/>
    <col min="12294" max="12306" width="7.7109375" style="198" customWidth="1"/>
    <col min="12307" max="12544" width="8.85546875" style="198"/>
    <col min="12545" max="12545" width="1.7109375" style="198" customWidth="1"/>
    <col min="12546" max="12546" width="10.140625" style="198" customWidth="1"/>
    <col min="12547" max="12547" width="7.7109375" style="198" customWidth="1"/>
    <col min="12548" max="12548" width="11" style="198" bestFit="1" customWidth="1"/>
    <col min="12549" max="12549" width="8.85546875" style="198" customWidth="1"/>
    <col min="12550" max="12562" width="7.7109375" style="198" customWidth="1"/>
    <col min="12563" max="12800" width="8.85546875" style="198"/>
    <col min="12801" max="12801" width="1.7109375" style="198" customWidth="1"/>
    <col min="12802" max="12802" width="10.140625" style="198" customWidth="1"/>
    <col min="12803" max="12803" width="7.7109375" style="198" customWidth="1"/>
    <col min="12804" max="12804" width="11" style="198" bestFit="1" customWidth="1"/>
    <col min="12805" max="12805" width="8.85546875" style="198" customWidth="1"/>
    <col min="12806" max="12818" width="7.7109375" style="198" customWidth="1"/>
    <col min="12819" max="13056" width="8.85546875" style="198"/>
    <col min="13057" max="13057" width="1.7109375" style="198" customWidth="1"/>
    <col min="13058" max="13058" width="10.140625" style="198" customWidth="1"/>
    <col min="13059" max="13059" width="7.7109375" style="198" customWidth="1"/>
    <col min="13060" max="13060" width="11" style="198" bestFit="1" customWidth="1"/>
    <col min="13061" max="13061" width="8.85546875" style="198" customWidth="1"/>
    <col min="13062" max="13074" width="7.7109375" style="198" customWidth="1"/>
    <col min="13075" max="13312" width="8.85546875" style="198"/>
    <col min="13313" max="13313" width="1.7109375" style="198" customWidth="1"/>
    <col min="13314" max="13314" width="10.140625" style="198" customWidth="1"/>
    <col min="13315" max="13315" width="7.7109375" style="198" customWidth="1"/>
    <col min="13316" max="13316" width="11" style="198" bestFit="1" customWidth="1"/>
    <col min="13317" max="13317" width="8.85546875" style="198" customWidth="1"/>
    <col min="13318" max="13330" width="7.7109375" style="198" customWidth="1"/>
    <col min="13331" max="13568" width="8.85546875" style="198"/>
    <col min="13569" max="13569" width="1.7109375" style="198" customWidth="1"/>
    <col min="13570" max="13570" width="10.140625" style="198" customWidth="1"/>
    <col min="13571" max="13571" width="7.7109375" style="198" customWidth="1"/>
    <col min="13572" max="13572" width="11" style="198" bestFit="1" customWidth="1"/>
    <col min="13573" max="13573" width="8.85546875" style="198" customWidth="1"/>
    <col min="13574" max="13586" width="7.7109375" style="198" customWidth="1"/>
    <col min="13587" max="13824" width="8.85546875" style="198"/>
    <col min="13825" max="13825" width="1.7109375" style="198" customWidth="1"/>
    <col min="13826" max="13826" width="10.140625" style="198" customWidth="1"/>
    <col min="13827" max="13827" width="7.7109375" style="198" customWidth="1"/>
    <col min="13828" max="13828" width="11" style="198" bestFit="1" customWidth="1"/>
    <col min="13829" max="13829" width="8.85546875" style="198" customWidth="1"/>
    <col min="13830" max="13842" width="7.7109375" style="198" customWidth="1"/>
    <col min="13843" max="14080" width="8.85546875" style="198"/>
    <col min="14081" max="14081" width="1.7109375" style="198" customWidth="1"/>
    <col min="14082" max="14082" width="10.140625" style="198" customWidth="1"/>
    <col min="14083" max="14083" width="7.7109375" style="198" customWidth="1"/>
    <col min="14084" max="14084" width="11" style="198" bestFit="1" customWidth="1"/>
    <col min="14085" max="14085" width="8.85546875" style="198" customWidth="1"/>
    <col min="14086" max="14098" width="7.7109375" style="198" customWidth="1"/>
    <col min="14099" max="14336" width="8.85546875" style="198"/>
    <col min="14337" max="14337" width="1.7109375" style="198" customWidth="1"/>
    <col min="14338" max="14338" width="10.140625" style="198" customWidth="1"/>
    <col min="14339" max="14339" width="7.7109375" style="198" customWidth="1"/>
    <col min="14340" max="14340" width="11" style="198" bestFit="1" customWidth="1"/>
    <col min="14341" max="14341" width="8.85546875" style="198" customWidth="1"/>
    <col min="14342" max="14354" width="7.7109375" style="198" customWidth="1"/>
    <col min="14355" max="14592" width="8.85546875" style="198"/>
    <col min="14593" max="14593" width="1.7109375" style="198" customWidth="1"/>
    <col min="14594" max="14594" width="10.140625" style="198" customWidth="1"/>
    <col min="14595" max="14595" width="7.7109375" style="198" customWidth="1"/>
    <col min="14596" max="14596" width="11" style="198" bestFit="1" customWidth="1"/>
    <col min="14597" max="14597" width="8.85546875" style="198" customWidth="1"/>
    <col min="14598" max="14610" width="7.7109375" style="198" customWidth="1"/>
    <col min="14611" max="14848" width="8.85546875" style="198"/>
    <col min="14849" max="14849" width="1.7109375" style="198" customWidth="1"/>
    <col min="14850" max="14850" width="10.140625" style="198" customWidth="1"/>
    <col min="14851" max="14851" width="7.7109375" style="198" customWidth="1"/>
    <col min="14852" max="14852" width="11" style="198" bestFit="1" customWidth="1"/>
    <col min="14853" max="14853" width="8.85546875" style="198" customWidth="1"/>
    <col min="14854" max="14866" width="7.7109375" style="198" customWidth="1"/>
    <col min="14867" max="15104" width="8.85546875" style="198"/>
    <col min="15105" max="15105" width="1.7109375" style="198" customWidth="1"/>
    <col min="15106" max="15106" width="10.140625" style="198" customWidth="1"/>
    <col min="15107" max="15107" width="7.7109375" style="198" customWidth="1"/>
    <col min="15108" max="15108" width="11" style="198" bestFit="1" customWidth="1"/>
    <col min="15109" max="15109" width="8.85546875" style="198" customWidth="1"/>
    <col min="15110" max="15122" width="7.7109375" style="198" customWidth="1"/>
    <col min="15123" max="15360" width="8.85546875" style="198"/>
    <col min="15361" max="15361" width="1.7109375" style="198" customWidth="1"/>
    <col min="15362" max="15362" width="10.140625" style="198" customWidth="1"/>
    <col min="15363" max="15363" width="7.7109375" style="198" customWidth="1"/>
    <col min="15364" max="15364" width="11" style="198" bestFit="1" customWidth="1"/>
    <col min="15365" max="15365" width="8.85546875" style="198" customWidth="1"/>
    <col min="15366" max="15378" width="7.7109375" style="198" customWidth="1"/>
    <col min="15379" max="15616" width="8.85546875" style="198"/>
    <col min="15617" max="15617" width="1.7109375" style="198" customWidth="1"/>
    <col min="15618" max="15618" width="10.140625" style="198" customWidth="1"/>
    <col min="15619" max="15619" width="7.7109375" style="198" customWidth="1"/>
    <col min="15620" max="15620" width="11" style="198" bestFit="1" customWidth="1"/>
    <col min="15621" max="15621" width="8.85546875" style="198" customWidth="1"/>
    <col min="15622" max="15634" width="7.7109375" style="198" customWidth="1"/>
    <col min="15635" max="15872" width="8.85546875" style="198"/>
    <col min="15873" max="15873" width="1.7109375" style="198" customWidth="1"/>
    <col min="15874" max="15874" width="10.140625" style="198" customWidth="1"/>
    <col min="15875" max="15875" width="7.7109375" style="198" customWidth="1"/>
    <col min="15876" max="15876" width="11" style="198" bestFit="1" customWidth="1"/>
    <col min="15877" max="15877" width="8.85546875" style="198" customWidth="1"/>
    <col min="15878" max="15890" width="7.7109375" style="198" customWidth="1"/>
    <col min="15891" max="16128" width="8.85546875" style="198"/>
    <col min="16129" max="16129" width="1.7109375" style="198" customWidth="1"/>
    <col min="16130" max="16130" width="10.140625" style="198" customWidth="1"/>
    <col min="16131" max="16131" width="7.7109375" style="198" customWidth="1"/>
    <col min="16132" max="16132" width="11" style="198" bestFit="1" customWidth="1"/>
    <col min="16133" max="16133" width="8.85546875" style="198" customWidth="1"/>
    <col min="16134" max="16146" width="7.7109375" style="198" customWidth="1"/>
    <col min="16147" max="16384" width="8.85546875" style="198"/>
  </cols>
  <sheetData>
    <row r="1" spans="2:21" ht="13.5" thickBot="1" x14ac:dyDescent="0.25"/>
    <row r="2" spans="2:21" ht="15" customHeight="1" x14ac:dyDescent="0.2">
      <c r="B2" s="199"/>
      <c r="C2" s="200"/>
      <c r="D2" s="200"/>
      <c r="E2" s="200"/>
      <c r="F2" s="201"/>
      <c r="G2" s="928" t="s">
        <v>172</v>
      </c>
      <c r="H2" s="929"/>
      <c r="I2" s="929"/>
      <c r="J2" s="929"/>
      <c r="K2" s="930"/>
      <c r="L2" s="202"/>
      <c r="M2" s="203"/>
      <c r="N2" s="203"/>
      <c r="O2" s="203"/>
      <c r="P2" s="204"/>
    </row>
    <row r="3" spans="2:21" ht="15" customHeight="1" x14ac:dyDescent="0.25">
      <c r="B3" s="205"/>
      <c r="C3" s="206"/>
      <c r="D3" s="206"/>
      <c r="E3" s="206"/>
      <c r="F3" s="207"/>
      <c r="G3" s="931"/>
      <c r="H3" s="932"/>
      <c r="I3" s="932"/>
      <c r="J3" s="932"/>
      <c r="K3" s="933"/>
      <c r="L3" s="208"/>
      <c r="M3" s="209"/>
      <c r="N3" s="209"/>
      <c r="O3" s="209"/>
      <c r="P3" s="210"/>
      <c r="R3" s="937"/>
      <c r="S3" s="937"/>
    </row>
    <row r="4" spans="2:21" ht="15" customHeight="1" thickBot="1" x14ac:dyDescent="0.25">
      <c r="B4" s="211"/>
      <c r="C4" s="212"/>
      <c r="D4" s="212"/>
      <c r="E4" s="212"/>
      <c r="F4" s="213"/>
      <c r="G4" s="934"/>
      <c r="H4" s="935"/>
      <c r="I4" s="935"/>
      <c r="J4" s="935"/>
      <c r="K4" s="936"/>
      <c r="L4" s="214"/>
      <c r="M4" s="215"/>
      <c r="N4" s="215"/>
      <c r="O4" s="212"/>
      <c r="P4" s="213"/>
    </row>
    <row r="5" spans="2:21" ht="14.1" customHeight="1" thickBot="1" x14ac:dyDescent="0.25">
      <c r="B5" s="216" t="s">
        <v>173</v>
      </c>
      <c r="C5" s="217"/>
      <c r="D5" s="226" t="s">
        <v>174</v>
      </c>
      <c r="E5" s="635"/>
      <c r="F5" s="225"/>
      <c r="G5" s="226" t="s">
        <v>246</v>
      </c>
      <c r="H5" s="635"/>
      <c r="I5" s="225"/>
      <c r="J5" s="226" t="s">
        <v>176</v>
      </c>
      <c r="K5" s="635"/>
      <c r="L5" s="218" t="s">
        <v>177</v>
      </c>
      <c r="M5" s="220"/>
      <c r="N5" s="218" t="s">
        <v>178</v>
      </c>
      <c r="O5" s="219"/>
      <c r="P5" s="221"/>
      <c r="Q5" s="222"/>
    </row>
    <row r="6" spans="2:21" ht="14.1" customHeight="1" x14ac:dyDescent="0.2">
      <c r="B6" s="223" t="s">
        <v>179</v>
      </c>
      <c r="C6" s="224"/>
      <c r="D6" s="637" t="str">
        <f>'Dosagem '!E33</f>
        <v>Ag.miúdo 1:</v>
      </c>
      <c r="E6" s="638" t="str">
        <f>'Dosagem '!E34</f>
        <v>Ag.miúdo 2:</v>
      </c>
      <c r="F6" s="639" t="str">
        <f>'Dosagem '!E35</f>
        <v>Ag.miúdo 3:</v>
      </c>
      <c r="G6" s="637" t="s">
        <v>180</v>
      </c>
      <c r="H6" s="638" t="s">
        <v>167</v>
      </c>
      <c r="I6" s="641" t="s">
        <v>181</v>
      </c>
      <c r="J6" s="642" t="s">
        <v>182</v>
      </c>
      <c r="K6" s="643" t="s">
        <v>183</v>
      </c>
      <c r="L6" s="218" t="s">
        <v>175</v>
      </c>
      <c r="M6" s="220"/>
      <c r="N6" s="218" t="s">
        <v>184</v>
      </c>
      <c r="O6" s="219"/>
      <c r="P6" s="221"/>
      <c r="Q6" s="222"/>
    </row>
    <row r="7" spans="2:21" ht="14.1" customHeight="1" thickBot="1" x14ac:dyDescent="0.25">
      <c r="B7" s="227" t="s">
        <v>185</v>
      </c>
      <c r="C7" s="198" t="s">
        <v>186</v>
      </c>
      <c r="D7" s="228">
        <f>'Dosagem '!F33</f>
        <v>0.2</v>
      </c>
      <c r="E7" s="229">
        <f>'Dosagem '!F34</f>
        <v>0.8</v>
      </c>
      <c r="F7" s="640">
        <f>'Dosagem '!F35</f>
        <v>0</v>
      </c>
      <c r="G7" s="227"/>
      <c r="H7" s="230"/>
      <c r="I7" s="231"/>
      <c r="J7" s="227" t="s">
        <v>187</v>
      </c>
      <c r="K7" s="644" t="s">
        <v>187</v>
      </c>
      <c r="L7" s="232" t="s">
        <v>188</v>
      </c>
      <c r="M7" s="233" t="s">
        <v>189</v>
      </c>
      <c r="N7" s="232" t="s">
        <v>188</v>
      </c>
      <c r="O7" s="233" t="s">
        <v>190</v>
      </c>
      <c r="P7" s="234" t="s">
        <v>189</v>
      </c>
      <c r="Q7" s="235"/>
      <c r="U7" s="217"/>
    </row>
    <row r="8" spans="2:21" ht="14.1" customHeight="1" thickBot="1" x14ac:dyDescent="0.25">
      <c r="B8" s="647" t="str">
        <f>'Dosagem '!J18</f>
        <v>1/4"</v>
      </c>
      <c r="C8" s="236">
        <v>6.3</v>
      </c>
      <c r="D8" s="248">
        <f>'Dosagem '!K18</f>
        <v>0.4</v>
      </c>
      <c r="E8" s="237">
        <f>'Dosagem '!L18</f>
        <v>0</v>
      </c>
      <c r="F8" s="238">
        <f>'Dosagem '!M18</f>
        <v>0</v>
      </c>
      <c r="G8" s="249">
        <f>D8</f>
        <v>0.4</v>
      </c>
      <c r="H8" s="239">
        <f>E8</f>
        <v>0</v>
      </c>
      <c r="I8" s="240">
        <f>F8</f>
        <v>0</v>
      </c>
      <c r="J8" s="241">
        <f t="shared" ref="J8:J15" si="0">D$7*D8+E$7*E8+F$7*F8</f>
        <v>8.0000000000000016E-2</v>
      </c>
      <c r="K8" s="636">
        <f>J8</f>
        <v>8.0000000000000016E-2</v>
      </c>
      <c r="L8" s="242">
        <v>0</v>
      </c>
      <c r="M8" s="243">
        <v>0</v>
      </c>
      <c r="N8" s="242">
        <v>0</v>
      </c>
      <c r="O8" s="243">
        <v>0</v>
      </c>
      <c r="P8" s="244">
        <v>0</v>
      </c>
      <c r="Q8" s="235"/>
      <c r="R8" s="252"/>
      <c r="S8" s="252"/>
      <c r="T8" s="217"/>
      <c r="U8" s="253"/>
    </row>
    <row r="9" spans="2:21" ht="14.1" customHeight="1" thickBot="1" x14ac:dyDescent="0.25">
      <c r="B9" s="647">
        <f>'Dosagem '!J19</f>
        <v>4</v>
      </c>
      <c r="C9" s="245">
        <v>4.8</v>
      </c>
      <c r="D9" s="241">
        <f>'Dosagem '!K19</f>
        <v>0.7</v>
      </c>
      <c r="E9" s="246">
        <f>'Dosagem '!L19</f>
        <v>2.9</v>
      </c>
      <c r="F9" s="247">
        <f>'Dosagem '!M19</f>
        <v>0</v>
      </c>
      <c r="G9" s="249">
        <f>G8+D9</f>
        <v>1.1000000000000001</v>
      </c>
      <c r="H9" s="239">
        <f>H8+E9</f>
        <v>2.9</v>
      </c>
      <c r="I9" s="240">
        <f>I8+F9</f>
        <v>0</v>
      </c>
      <c r="J9" s="241">
        <f t="shared" si="0"/>
        <v>2.46</v>
      </c>
      <c r="K9" s="636">
        <f>K8+J9</f>
        <v>2.54</v>
      </c>
      <c r="L9" s="242">
        <v>0</v>
      </c>
      <c r="M9" s="243">
        <v>10</v>
      </c>
      <c r="N9" s="242">
        <v>5</v>
      </c>
      <c r="O9" s="243">
        <v>2</v>
      </c>
      <c r="P9" s="244">
        <v>0</v>
      </c>
      <c r="Q9" s="235"/>
      <c r="R9" s="252"/>
      <c r="S9" s="252"/>
      <c r="T9" s="252"/>
    </row>
    <row r="10" spans="2:21" ht="14.1" customHeight="1" thickBot="1" x14ac:dyDescent="0.25">
      <c r="B10" s="647">
        <f>'Dosagem '!J20</f>
        <v>8</v>
      </c>
      <c r="C10" s="245">
        <v>2.4</v>
      </c>
      <c r="D10" s="241">
        <f>'Dosagem '!K20</f>
        <v>2</v>
      </c>
      <c r="E10" s="246">
        <f>'Dosagem '!L20</f>
        <v>16.600000000000001</v>
      </c>
      <c r="F10" s="247">
        <f>'Dosagem '!M20</f>
        <v>0</v>
      </c>
      <c r="G10" s="249">
        <f t="shared" ref="G10:H15" si="1">G9+D10</f>
        <v>3.1</v>
      </c>
      <c r="H10" s="239">
        <f t="shared" si="1"/>
        <v>19.5</v>
      </c>
      <c r="I10" s="240">
        <f t="shared" ref="I10:I12" si="2">I9+F10</f>
        <v>0</v>
      </c>
      <c r="J10" s="241">
        <f t="shared" si="0"/>
        <v>13.680000000000001</v>
      </c>
      <c r="K10" s="636">
        <f>K9+J10</f>
        <v>16.220000000000002</v>
      </c>
      <c r="L10" s="242">
        <v>0</v>
      </c>
      <c r="M10" s="243">
        <v>20</v>
      </c>
      <c r="N10" s="242">
        <v>22</v>
      </c>
      <c r="O10" s="243">
        <v>12</v>
      </c>
      <c r="P10" s="244">
        <v>3</v>
      </c>
      <c r="Q10" s="235"/>
      <c r="R10" s="252"/>
      <c r="S10" s="252"/>
      <c r="T10" s="252"/>
    </row>
    <row r="11" spans="2:21" ht="14.1" customHeight="1" thickBot="1" x14ac:dyDescent="0.25">
      <c r="B11" s="647">
        <f>'Dosagem '!J21</f>
        <v>16</v>
      </c>
      <c r="C11" s="245">
        <v>1.2</v>
      </c>
      <c r="D11" s="241">
        <f>'Dosagem '!K21</f>
        <v>8.3000000000000007</v>
      </c>
      <c r="E11" s="246">
        <f>'Dosagem '!L21</f>
        <v>14.1</v>
      </c>
      <c r="F11" s="247">
        <f>'Dosagem '!M21</f>
        <v>0</v>
      </c>
      <c r="G11" s="249">
        <f t="shared" si="1"/>
        <v>11.4</v>
      </c>
      <c r="H11" s="239">
        <f t="shared" si="1"/>
        <v>33.6</v>
      </c>
      <c r="I11" s="240">
        <f>I10+F11</f>
        <v>0</v>
      </c>
      <c r="J11" s="241">
        <f t="shared" si="0"/>
        <v>12.940000000000001</v>
      </c>
      <c r="K11" s="636">
        <f>K10+J11</f>
        <v>29.160000000000004</v>
      </c>
      <c r="L11" s="242">
        <v>10</v>
      </c>
      <c r="M11" s="243">
        <v>50</v>
      </c>
      <c r="N11" s="242">
        <v>32</v>
      </c>
      <c r="O11" s="243">
        <v>21</v>
      </c>
      <c r="P11" s="244">
        <v>12</v>
      </c>
      <c r="Q11" s="235"/>
      <c r="R11" s="252"/>
      <c r="S11" s="252"/>
      <c r="T11" s="252"/>
    </row>
    <row r="12" spans="2:21" ht="14.1" customHeight="1" thickBot="1" x14ac:dyDescent="0.25">
      <c r="B12" s="647">
        <f>'Dosagem '!J22</f>
        <v>30</v>
      </c>
      <c r="C12" s="245">
        <v>0.6</v>
      </c>
      <c r="D12" s="241">
        <f>'Dosagem '!K22</f>
        <v>23.8</v>
      </c>
      <c r="E12" s="246">
        <f>'Dosagem '!L22</f>
        <v>17.8</v>
      </c>
      <c r="F12" s="247">
        <f>'Dosagem '!M22</f>
        <v>0</v>
      </c>
      <c r="G12" s="249">
        <f t="shared" si="1"/>
        <v>35.200000000000003</v>
      </c>
      <c r="H12" s="239">
        <f t="shared" si="1"/>
        <v>51.400000000000006</v>
      </c>
      <c r="I12" s="240">
        <f t="shared" si="2"/>
        <v>0</v>
      </c>
      <c r="J12" s="241">
        <f t="shared" si="0"/>
        <v>19.000000000000004</v>
      </c>
      <c r="K12" s="636">
        <f>K11+J12</f>
        <v>48.160000000000011</v>
      </c>
      <c r="L12" s="242">
        <v>35</v>
      </c>
      <c r="M12" s="243">
        <v>75</v>
      </c>
      <c r="N12" s="242">
        <v>33</v>
      </c>
      <c r="O12" s="243">
        <v>22</v>
      </c>
      <c r="P12" s="244">
        <v>13</v>
      </c>
      <c r="Q12" s="235"/>
      <c r="R12" s="252"/>
      <c r="S12" s="252"/>
      <c r="T12" s="252"/>
    </row>
    <row r="13" spans="2:21" ht="14.1" customHeight="1" thickBot="1" x14ac:dyDescent="0.25">
      <c r="B13" s="647">
        <f>'Dosagem '!J23</f>
        <v>50</v>
      </c>
      <c r="C13" s="245">
        <v>0.3</v>
      </c>
      <c r="D13" s="241">
        <f>'Dosagem '!K23</f>
        <v>30.7</v>
      </c>
      <c r="E13" s="246">
        <f>'Dosagem '!L23</f>
        <v>23.4</v>
      </c>
      <c r="F13" s="247">
        <f>'Dosagem '!M23</f>
        <v>0</v>
      </c>
      <c r="G13" s="249">
        <f t="shared" si="1"/>
        <v>65.900000000000006</v>
      </c>
      <c r="H13" s="239">
        <f t="shared" si="1"/>
        <v>74.800000000000011</v>
      </c>
      <c r="I13" s="240">
        <f>I12+F13</f>
        <v>0</v>
      </c>
      <c r="J13" s="241">
        <f t="shared" si="0"/>
        <v>24.86</v>
      </c>
      <c r="K13" s="636">
        <f t="shared" ref="K13" si="3">K12+J13</f>
        <v>73.02000000000001</v>
      </c>
      <c r="L13" s="242">
        <v>65</v>
      </c>
      <c r="M13" s="243">
        <v>90</v>
      </c>
      <c r="N13" s="242">
        <v>32</v>
      </c>
      <c r="O13" s="243">
        <v>21</v>
      </c>
      <c r="P13" s="244">
        <v>12</v>
      </c>
      <c r="Q13" s="235"/>
      <c r="R13" s="252"/>
      <c r="S13" s="252"/>
      <c r="T13" s="252"/>
    </row>
    <row r="14" spans="2:21" ht="14.1" customHeight="1" thickBot="1" x14ac:dyDescent="0.25">
      <c r="B14" s="647">
        <f>'Dosagem '!J24</f>
        <v>100</v>
      </c>
      <c r="C14" s="245">
        <v>0.15</v>
      </c>
      <c r="D14" s="241">
        <f>'Dosagem '!K24</f>
        <v>24.5</v>
      </c>
      <c r="E14" s="246">
        <f>'Dosagem '!L24</f>
        <v>14.5</v>
      </c>
      <c r="F14" s="247">
        <f>'Dosagem '!M24</f>
        <v>0</v>
      </c>
      <c r="G14" s="249">
        <f t="shared" si="1"/>
        <v>90.4</v>
      </c>
      <c r="H14" s="239">
        <f t="shared" si="1"/>
        <v>89.300000000000011</v>
      </c>
      <c r="I14" s="240">
        <f>I13+F14</f>
        <v>0</v>
      </c>
      <c r="J14" s="241">
        <f t="shared" si="0"/>
        <v>16.5</v>
      </c>
      <c r="K14" s="636">
        <f>K13+J14</f>
        <v>89.52000000000001</v>
      </c>
      <c r="L14" s="242">
        <v>90</v>
      </c>
      <c r="M14" s="243">
        <v>98</v>
      </c>
      <c r="N14" s="242">
        <v>24</v>
      </c>
      <c r="O14" s="243">
        <v>18</v>
      </c>
      <c r="P14" s="244">
        <v>9</v>
      </c>
      <c r="Q14" s="235"/>
      <c r="R14" s="252"/>
      <c r="S14" s="252"/>
      <c r="T14" s="252"/>
    </row>
    <row r="15" spans="2:21" ht="14.1" customHeight="1" x14ac:dyDescent="0.2">
      <c r="B15" s="647" t="str">
        <f>'Dosagem '!J25</f>
        <v>Fundo</v>
      </c>
      <c r="C15" s="645">
        <v>0</v>
      </c>
      <c r="D15" s="241">
        <f>'Dosagem '!K25</f>
        <v>9.5</v>
      </c>
      <c r="E15" s="246">
        <f>'Dosagem '!L25</f>
        <v>10.7</v>
      </c>
      <c r="F15" s="247">
        <f>'Dosagem '!M25</f>
        <v>0</v>
      </c>
      <c r="G15" s="648">
        <f t="shared" si="1"/>
        <v>99.9</v>
      </c>
      <c r="H15" s="649">
        <f t="shared" si="1"/>
        <v>100.00000000000001</v>
      </c>
      <c r="I15" s="650">
        <f>I14+F15</f>
        <v>0</v>
      </c>
      <c r="J15" s="651">
        <f t="shared" si="0"/>
        <v>10.46</v>
      </c>
      <c r="K15" s="652">
        <f>K14+J15</f>
        <v>99.980000000000018</v>
      </c>
      <c r="L15" s="653">
        <v>100</v>
      </c>
      <c r="M15" s="654">
        <v>100</v>
      </c>
      <c r="N15" s="653">
        <v>10</v>
      </c>
      <c r="O15" s="654">
        <v>4</v>
      </c>
      <c r="P15" s="655">
        <v>2</v>
      </c>
      <c r="Q15" s="235"/>
      <c r="R15" s="252"/>
      <c r="S15" s="252"/>
      <c r="T15" s="252"/>
    </row>
    <row r="16" spans="2:21" ht="14.1" customHeight="1" x14ac:dyDescent="0.2">
      <c r="B16" s="938" t="s">
        <v>192</v>
      </c>
      <c r="C16" s="939"/>
      <c r="D16" s="627">
        <f>SUM(D8:D15)</f>
        <v>99.9</v>
      </c>
      <c r="E16" s="246">
        <f>'Dosagem '!L26</f>
        <v>2.72</v>
      </c>
      <c r="F16" s="247">
        <f>'Dosagem '!M26</f>
        <v>0</v>
      </c>
      <c r="G16" s="628"/>
      <c r="H16" s="629"/>
      <c r="I16" s="627"/>
      <c r="J16" s="630">
        <f>SUM(J8:J15)</f>
        <v>99.980000000000018</v>
      </c>
      <c r="K16" s="627"/>
      <c r="L16" s="631"/>
      <c r="M16" s="632"/>
      <c r="N16" s="633"/>
      <c r="O16" s="632">
        <f>SUM(O8:O15)</f>
        <v>100</v>
      </c>
      <c r="P16" s="634"/>
      <c r="Q16" s="222"/>
    </row>
    <row r="17" spans="2:17" ht="14.1" customHeight="1" thickBot="1" x14ac:dyDescent="0.25">
      <c r="B17" s="940" t="s">
        <v>193</v>
      </c>
      <c r="C17" s="941"/>
      <c r="D17" s="646"/>
      <c r="E17" s="250"/>
      <c r="F17" s="250"/>
      <c r="G17" s="656" t="e">
        <f>#REF!/100</f>
        <v>#REF!</v>
      </c>
      <c r="H17" s="657"/>
      <c r="I17" s="658"/>
      <c r="J17" s="659"/>
      <c r="K17" s="660" t="e">
        <f>#REF!/100</f>
        <v>#REF!</v>
      </c>
      <c r="L17" s="661" t="e">
        <f>#REF!/100</f>
        <v>#REF!</v>
      </c>
      <c r="M17" s="658" t="e">
        <f>#REF!/100</f>
        <v>#REF!</v>
      </c>
      <c r="N17" s="659"/>
      <c r="O17" s="662"/>
      <c r="P17" s="663"/>
      <c r="Q17" s="222"/>
    </row>
    <row r="18" spans="2:17" x14ac:dyDescent="0.2">
      <c r="B18" s="251"/>
      <c r="C18" s="200"/>
      <c r="G18" s="200"/>
      <c r="H18" s="200"/>
      <c r="I18" s="200"/>
      <c r="J18" s="200"/>
      <c r="K18" s="200"/>
      <c r="L18" s="200"/>
      <c r="M18" s="200"/>
      <c r="N18" s="200"/>
      <c r="O18" s="200"/>
      <c r="P18" s="201"/>
    </row>
    <row r="19" spans="2:17" x14ac:dyDescent="0.2">
      <c r="B19" s="222"/>
      <c r="P19" s="207"/>
    </row>
    <row r="20" spans="2:17" x14ac:dyDescent="0.2">
      <c r="B20" s="222"/>
      <c r="P20" s="207"/>
    </row>
    <row r="21" spans="2:17" x14ac:dyDescent="0.2">
      <c r="B21" s="222"/>
      <c r="P21" s="207"/>
    </row>
    <row r="22" spans="2:17" x14ac:dyDescent="0.2">
      <c r="B22" s="222"/>
      <c r="P22" s="207"/>
    </row>
    <row r="23" spans="2:17" x14ac:dyDescent="0.2">
      <c r="B23" s="222"/>
      <c r="P23" s="207"/>
    </row>
    <row r="24" spans="2:17" x14ac:dyDescent="0.2">
      <c r="B24" s="222"/>
      <c r="P24" s="207"/>
    </row>
    <row r="25" spans="2:17" x14ac:dyDescent="0.2">
      <c r="B25" s="222"/>
      <c r="P25" s="207"/>
    </row>
    <row r="26" spans="2:17" x14ac:dyDescent="0.2">
      <c r="B26" s="222"/>
      <c r="P26" s="207"/>
    </row>
    <row r="27" spans="2:17" x14ac:dyDescent="0.2">
      <c r="B27" s="222"/>
      <c r="P27" s="207"/>
    </row>
    <row r="28" spans="2:17" x14ac:dyDescent="0.2">
      <c r="B28" s="222"/>
      <c r="P28" s="207"/>
    </row>
    <row r="29" spans="2:17" x14ac:dyDescent="0.2">
      <c r="B29" s="222"/>
      <c r="P29" s="207"/>
    </row>
    <row r="30" spans="2:17" x14ac:dyDescent="0.2">
      <c r="B30" s="222"/>
      <c r="P30" s="207"/>
    </row>
    <row r="31" spans="2:17" x14ac:dyDescent="0.2">
      <c r="B31" s="222"/>
      <c r="P31" s="207"/>
    </row>
    <row r="32" spans="2:17" x14ac:dyDescent="0.2">
      <c r="B32" s="222"/>
      <c r="P32" s="207"/>
    </row>
    <row r="33" spans="2:16" x14ac:dyDescent="0.2">
      <c r="B33" s="222"/>
      <c r="P33" s="207"/>
    </row>
    <row r="34" spans="2:16" x14ac:dyDescent="0.2">
      <c r="B34" s="222"/>
      <c r="P34" s="207"/>
    </row>
    <row r="35" spans="2:16" x14ac:dyDescent="0.2">
      <c r="B35" s="222"/>
      <c r="P35" s="207"/>
    </row>
    <row r="36" spans="2:16" x14ac:dyDescent="0.2">
      <c r="B36" s="222"/>
      <c r="P36" s="207"/>
    </row>
    <row r="37" spans="2:16" x14ac:dyDescent="0.2">
      <c r="B37" s="222"/>
      <c r="P37" s="207"/>
    </row>
    <row r="38" spans="2:16" x14ac:dyDescent="0.2">
      <c r="B38" s="222"/>
      <c r="P38" s="207"/>
    </row>
    <row r="39" spans="2:16" x14ac:dyDescent="0.2">
      <c r="B39" s="222"/>
      <c r="P39" s="207"/>
    </row>
    <row r="40" spans="2:16" x14ac:dyDescent="0.2">
      <c r="B40" s="222"/>
      <c r="P40" s="207"/>
    </row>
    <row r="41" spans="2:16" x14ac:dyDescent="0.2">
      <c r="B41" s="222"/>
      <c r="P41" s="207"/>
    </row>
    <row r="42" spans="2:16" x14ac:dyDescent="0.2">
      <c r="B42" s="222"/>
      <c r="P42" s="207"/>
    </row>
    <row r="43" spans="2:16" x14ac:dyDescent="0.2">
      <c r="B43" s="222"/>
      <c r="P43" s="207"/>
    </row>
    <row r="44" spans="2:16" x14ac:dyDescent="0.2">
      <c r="B44" s="222"/>
      <c r="P44" s="207"/>
    </row>
    <row r="45" spans="2:16" x14ac:dyDescent="0.2">
      <c r="B45" s="222"/>
      <c r="P45" s="207"/>
    </row>
    <row r="46" spans="2:16" x14ac:dyDescent="0.2">
      <c r="B46" s="222"/>
      <c r="P46" s="207"/>
    </row>
    <row r="47" spans="2:16" x14ac:dyDescent="0.2">
      <c r="B47" s="222"/>
      <c r="P47" s="207"/>
    </row>
    <row r="48" spans="2:16" x14ac:dyDescent="0.2">
      <c r="B48" s="222"/>
      <c r="P48" s="207"/>
    </row>
    <row r="49" spans="2:16" x14ac:dyDescent="0.2">
      <c r="B49" s="222"/>
      <c r="P49" s="207"/>
    </row>
    <row r="50" spans="2:16" x14ac:dyDescent="0.2">
      <c r="B50" s="222"/>
      <c r="P50" s="207"/>
    </row>
    <row r="51" spans="2:16" x14ac:dyDescent="0.2">
      <c r="B51" s="222"/>
      <c r="P51" s="207"/>
    </row>
    <row r="52" spans="2:16" x14ac:dyDescent="0.2">
      <c r="B52" s="222"/>
      <c r="P52" s="207"/>
    </row>
    <row r="53" spans="2:16" x14ac:dyDescent="0.2">
      <c r="B53" s="222"/>
      <c r="P53" s="207"/>
    </row>
    <row r="54" spans="2:16" x14ac:dyDescent="0.2">
      <c r="B54" s="222"/>
      <c r="P54" s="207"/>
    </row>
    <row r="55" spans="2:16" x14ac:dyDescent="0.2">
      <c r="B55" s="222"/>
      <c r="P55" s="207"/>
    </row>
    <row r="56" spans="2:16" x14ac:dyDescent="0.2">
      <c r="B56" s="222"/>
      <c r="P56" s="207"/>
    </row>
    <row r="57" spans="2:16" x14ac:dyDescent="0.2">
      <c r="B57" s="222"/>
      <c r="P57" s="207"/>
    </row>
    <row r="58" spans="2:16" x14ac:dyDescent="0.2">
      <c r="B58" s="222"/>
      <c r="P58" s="207"/>
    </row>
    <row r="59" spans="2:16" x14ac:dyDescent="0.2">
      <c r="B59" s="222"/>
      <c r="P59" s="207"/>
    </row>
    <row r="60" spans="2:16" x14ac:dyDescent="0.2">
      <c r="B60" s="222"/>
      <c r="P60" s="207"/>
    </row>
    <row r="61" spans="2:16" x14ac:dyDescent="0.2">
      <c r="B61" s="222"/>
      <c r="P61" s="207"/>
    </row>
    <row r="62" spans="2:16" x14ac:dyDescent="0.2">
      <c r="B62" s="222"/>
      <c r="P62" s="207"/>
    </row>
    <row r="63" spans="2:16" x14ac:dyDescent="0.2">
      <c r="B63" s="222"/>
      <c r="P63" s="207"/>
    </row>
    <row r="64" spans="2:16" x14ac:dyDescent="0.2">
      <c r="B64" s="222"/>
      <c r="P64" s="207"/>
    </row>
    <row r="65" spans="2:16" x14ac:dyDescent="0.2">
      <c r="B65" s="222"/>
      <c r="P65" s="207"/>
    </row>
    <row r="66" spans="2:16" x14ac:dyDescent="0.2">
      <c r="B66" s="222"/>
      <c r="P66" s="207"/>
    </row>
    <row r="67" spans="2:16" x14ac:dyDescent="0.2">
      <c r="B67" s="222"/>
      <c r="P67" s="207"/>
    </row>
    <row r="68" spans="2:16" x14ac:dyDescent="0.2">
      <c r="B68" s="222"/>
      <c r="P68" s="207"/>
    </row>
    <row r="69" spans="2:16" x14ac:dyDescent="0.2">
      <c r="B69" s="222"/>
      <c r="P69" s="207"/>
    </row>
    <row r="70" spans="2:16" x14ac:dyDescent="0.2">
      <c r="B70" s="222"/>
      <c r="P70" s="207"/>
    </row>
    <row r="71" spans="2:16" x14ac:dyDescent="0.2">
      <c r="B71" s="222"/>
      <c r="P71" s="207"/>
    </row>
    <row r="72" spans="2:16" ht="13.5" thickBot="1" x14ac:dyDescent="0.25">
      <c r="B72" s="211"/>
      <c r="C72" s="212"/>
      <c r="D72" s="212"/>
      <c r="E72" s="212"/>
      <c r="F72" s="212"/>
      <c r="G72" s="212"/>
      <c r="H72" s="212"/>
      <c r="I72" s="212"/>
      <c r="J72" s="212"/>
      <c r="K72" s="212"/>
      <c r="L72" s="212"/>
      <c r="M72" s="212"/>
      <c r="N72" s="212"/>
      <c r="O72" s="212"/>
      <c r="P72" s="213"/>
    </row>
  </sheetData>
  <mergeCells count="4">
    <mergeCell ref="G2:K4"/>
    <mergeCell ref="R3:S3"/>
    <mergeCell ref="B16:C16"/>
    <mergeCell ref="B17:C17"/>
  </mergeCells>
  <phoneticPr fontId="73" type="noConversion"/>
  <printOptions horizontalCentered="1" verticalCentered="1"/>
  <pageMargins left="0.39370078740157483" right="0" top="0.74803149606299213" bottom="0.19685039370078741" header="0" footer="0"/>
  <pageSetup paperSize="9" scale="75" orientation="portrait" horizontalDpi="360" verticalDpi="36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S165"/>
  <sheetViews>
    <sheetView showGridLines="0" topLeftCell="A3" zoomScale="85" zoomScaleNormal="85" workbookViewId="0">
      <selection activeCell="P19" sqref="P19"/>
    </sheetView>
  </sheetViews>
  <sheetFormatPr defaultRowHeight="15" x14ac:dyDescent="0.25"/>
  <cols>
    <col min="2" max="2" width="13" customWidth="1"/>
    <col min="3" max="3" width="14" customWidth="1"/>
  </cols>
  <sheetData>
    <row r="1" spans="2:19" ht="15.75" thickBot="1" x14ac:dyDescent="0.3"/>
    <row r="2" spans="2:19" ht="18" x14ac:dyDescent="0.25">
      <c r="B2" s="942" t="s">
        <v>0</v>
      </c>
      <c r="C2" s="943"/>
      <c r="D2" s="943"/>
      <c r="E2" s="943"/>
      <c r="F2" s="943"/>
      <c r="G2" s="943"/>
      <c r="H2" s="943"/>
      <c r="I2" s="943"/>
      <c r="J2" s="943"/>
      <c r="K2" s="943"/>
      <c r="L2" s="943"/>
      <c r="M2" s="944"/>
      <c r="N2" s="1"/>
      <c r="O2" s="2"/>
      <c r="P2" s="3"/>
      <c r="Q2" s="4">
        <v>0</v>
      </c>
      <c r="R2" s="4">
        <v>100</v>
      </c>
      <c r="S2" s="4">
        <v>100</v>
      </c>
    </row>
    <row r="3" spans="2:19" ht="15.75" x14ac:dyDescent="0.25">
      <c r="B3" s="254"/>
      <c r="C3" s="255"/>
      <c r="D3" s="255"/>
      <c r="E3" s="255"/>
      <c r="F3" s="945" t="s">
        <v>1</v>
      </c>
      <c r="G3" s="945"/>
      <c r="H3" s="946" t="str">
        <f ca="1">INDIRECT(C69)</f>
        <v>( 19  a  4,8 )</v>
      </c>
      <c r="I3" s="946"/>
      <c r="J3" s="256"/>
      <c r="K3" s="255"/>
      <c r="L3" s="255"/>
      <c r="M3" s="257"/>
      <c r="N3" s="1"/>
      <c r="O3" s="2"/>
      <c r="P3" s="5"/>
      <c r="Q3" s="6"/>
      <c r="R3" s="6"/>
      <c r="S3" s="7"/>
    </row>
    <row r="4" spans="2:19" ht="15.75" thickBot="1" x14ac:dyDescent="0.3">
      <c r="B4" s="258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60"/>
      <c r="N4" s="1"/>
      <c r="Q4" s="1"/>
      <c r="R4" s="1"/>
      <c r="S4" s="8"/>
    </row>
    <row r="5" spans="2:19" ht="15.75" thickBot="1" x14ac:dyDescent="0.3">
      <c r="B5" s="261" t="s">
        <v>2</v>
      </c>
      <c r="C5" s="262"/>
      <c r="D5" s="263" t="s">
        <v>3</v>
      </c>
      <c r="E5" s="264"/>
      <c r="F5" s="264"/>
      <c r="G5" s="264"/>
      <c r="H5" s="264"/>
      <c r="I5" s="264"/>
      <c r="J5" s="264"/>
      <c r="K5" s="264"/>
      <c r="L5" s="264"/>
      <c r="M5" s="265"/>
      <c r="N5" s="1"/>
      <c r="O5" s="2"/>
      <c r="P5" s="2"/>
      <c r="Q5" s="1"/>
      <c r="R5" s="1"/>
      <c r="S5" s="8"/>
    </row>
    <row r="6" spans="2:19" ht="30" x14ac:dyDescent="0.25">
      <c r="B6" s="266" t="s">
        <v>4</v>
      </c>
      <c r="C6" s="343" t="s">
        <v>194</v>
      </c>
      <c r="D6" s="267" t="s">
        <v>5</v>
      </c>
      <c r="E6" s="267" t="s">
        <v>6</v>
      </c>
      <c r="F6" s="268" t="s">
        <v>7</v>
      </c>
      <c r="G6" s="269" t="s">
        <v>8</v>
      </c>
      <c r="H6" s="269" t="s">
        <v>9</v>
      </c>
      <c r="I6" s="270" t="s">
        <v>10</v>
      </c>
      <c r="J6" s="271" t="s">
        <v>11</v>
      </c>
      <c r="K6" s="271">
        <v>4</v>
      </c>
      <c r="L6" s="271">
        <v>8</v>
      </c>
      <c r="M6" s="272" t="s">
        <v>12</v>
      </c>
      <c r="N6" s="1"/>
      <c r="O6" s="2"/>
      <c r="P6" s="2"/>
      <c r="Q6" s="1"/>
      <c r="R6" s="1"/>
      <c r="S6" s="8"/>
    </row>
    <row r="7" spans="2:19" ht="15.75" thickBot="1" x14ac:dyDescent="0.3">
      <c r="B7" s="273" t="s">
        <v>13</v>
      </c>
      <c r="C7" s="274" t="s">
        <v>195</v>
      </c>
      <c r="D7" s="275" t="s">
        <v>14</v>
      </c>
      <c r="E7" s="275" t="s">
        <v>15</v>
      </c>
      <c r="F7" s="276" t="s">
        <v>16</v>
      </c>
      <c r="G7" s="275" t="s">
        <v>17</v>
      </c>
      <c r="H7" s="275" t="s">
        <v>18</v>
      </c>
      <c r="I7" s="275" t="s">
        <v>19</v>
      </c>
      <c r="J7" s="277" t="s">
        <v>20</v>
      </c>
      <c r="K7" s="277" t="s">
        <v>21</v>
      </c>
      <c r="L7" s="277" t="s">
        <v>22</v>
      </c>
      <c r="M7" s="278" t="s">
        <v>23</v>
      </c>
      <c r="N7" s="1"/>
      <c r="O7" s="2"/>
      <c r="P7" s="2"/>
      <c r="Q7" s="1"/>
      <c r="R7" s="1"/>
      <c r="S7" s="8"/>
    </row>
    <row r="8" spans="2:19" x14ac:dyDescent="0.25">
      <c r="B8" s="266" t="s">
        <v>24</v>
      </c>
      <c r="C8" s="279">
        <f>'Dosagem '!F36</f>
        <v>0.3</v>
      </c>
      <c r="D8" s="280">
        <v>0</v>
      </c>
      <c r="E8" s="281">
        <v>0</v>
      </c>
      <c r="F8" s="281">
        <v>0</v>
      </c>
      <c r="G8" s="281">
        <f>'Dosagem '!N15</f>
        <v>0</v>
      </c>
      <c r="H8" s="281">
        <f>'Dosagem '!N16</f>
        <v>0</v>
      </c>
      <c r="I8" s="281">
        <f>'Dosagem '!N17</f>
        <v>6</v>
      </c>
      <c r="J8" s="281">
        <f>'Dosagem '!N18</f>
        <v>63</v>
      </c>
      <c r="K8" s="281">
        <f>'Dosagem '!N19</f>
        <v>88</v>
      </c>
      <c r="L8" s="281">
        <f>'Dosagem '!N20</f>
        <v>95</v>
      </c>
      <c r="M8" s="282">
        <f>'Dosagem '!N25</f>
        <v>100</v>
      </c>
      <c r="N8" s="9"/>
      <c r="O8" s="947"/>
      <c r="P8" s="947"/>
      <c r="Q8" s="1"/>
      <c r="R8" s="1"/>
      <c r="S8" s="8"/>
    </row>
    <row r="9" spans="2:19" x14ac:dyDescent="0.25">
      <c r="B9" s="283" t="s">
        <v>25</v>
      </c>
      <c r="C9" s="284">
        <f>'Dosagem '!F37</f>
        <v>0.7</v>
      </c>
      <c r="D9" s="285">
        <v>0</v>
      </c>
      <c r="E9" s="286">
        <v>0</v>
      </c>
      <c r="F9" s="286">
        <f>'Dosagem '!O14</f>
        <v>0</v>
      </c>
      <c r="G9" s="286">
        <f>'Dosagem '!O15</f>
        <v>3</v>
      </c>
      <c r="H9" s="286">
        <f>'Dosagem '!O16</f>
        <v>69</v>
      </c>
      <c r="I9" s="286">
        <f>'Dosagem '!O17</f>
        <v>91</v>
      </c>
      <c r="J9" s="286">
        <f>'Dosagem '!O18</f>
        <v>99</v>
      </c>
      <c r="K9" s="286">
        <f>'Dosagem '!O19</f>
        <v>100</v>
      </c>
      <c r="L9" s="286">
        <f>'Dosagem '!O20</f>
        <v>100</v>
      </c>
      <c r="M9" s="287">
        <f>'Dosagem '!O25</f>
        <v>100</v>
      </c>
      <c r="N9" s="10"/>
      <c r="O9" s="11"/>
      <c r="P9" s="10"/>
      <c r="Q9" s="1"/>
      <c r="R9" s="1"/>
      <c r="S9" s="8"/>
    </row>
    <row r="10" spans="2:19" x14ac:dyDescent="0.25">
      <c r="B10" s="283" t="s">
        <v>26</v>
      </c>
      <c r="C10" s="288">
        <f>'Dosagem '!F38</f>
        <v>0</v>
      </c>
      <c r="D10" s="289">
        <v>0</v>
      </c>
      <c r="E10" s="290">
        <v>0</v>
      </c>
      <c r="F10" s="290"/>
      <c r="G10" s="290"/>
      <c r="H10" s="290"/>
      <c r="I10" s="290"/>
      <c r="J10" s="290"/>
      <c r="K10" s="290"/>
      <c r="L10" s="290"/>
      <c r="M10" s="287">
        <v>100</v>
      </c>
      <c r="N10" s="10"/>
      <c r="O10" s="11"/>
      <c r="P10" s="10"/>
      <c r="Q10" s="1"/>
      <c r="R10" s="1"/>
      <c r="S10" s="8"/>
    </row>
    <row r="11" spans="2:19" ht="15.75" thickBot="1" x14ac:dyDescent="0.3">
      <c r="B11" s="283" t="s">
        <v>27</v>
      </c>
      <c r="C11" s="291"/>
      <c r="D11" s="290">
        <f t="shared" ref="D11:L11" si="0">D8*$C8+D9*$C9+D10*$C10</f>
        <v>0</v>
      </c>
      <c r="E11" s="290">
        <f t="shared" si="0"/>
        <v>0</v>
      </c>
      <c r="F11" s="290">
        <f t="shared" si="0"/>
        <v>0</v>
      </c>
      <c r="G11" s="290">
        <f t="shared" si="0"/>
        <v>2.0999999999999996</v>
      </c>
      <c r="H11" s="290">
        <f t="shared" si="0"/>
        <v>48.3</v>
      </c>
      <c r="I11" s="290">
        <f t="shared" si="0"/>
        <v>65.5</v>
      </c>
      <c r="J11" s="290">
        <f t="shared" si="0"/>
        <v>88.199999999999989</v>
      </c>
      <c r="K11" s="290">
        <f t="shared" si="0"/>
        <v>96.4</v>
      </c>
      <c r="L11" s="290">
        <f t="shared" si="0"/>
        <v>98.5</v>
      </c>
      <c r="M11" s="287">
        <v>100</v>
      </c>
      <c r="N11" s="10"/>
      <c r="O11" s="10"/>
      <c r="P11" s="10"/>
      <c r="Q11" s="1"/>
      <c r="R11" s="1"/>
      <c r="S11" s="8"/>
    </row>
    <row r="12" spans="2:19" x14ac:dyDescent="0.25">
      <c r="B12" s="292" t="s">
        <v>28</v>
      </c>
      <c r="C12" s="293"/>
      <c r="D12" s="294">
        <f t="shared" ref="D12:M13" ca="1" si="1">INDIRECT(D68)</f>
        <v>0</v>
      </c>
      <c r="E12" s="295">
        <f t="shared" ca="1" si="1"/>
        <v>0</v>
      </c>
      <c r="F12" s="295">
        <f t="shared" ca="1" si="1"/>
        <v>0</v>
      </c>
      <c r="G12" s="295">
        <f t="shared" ca="1" si="1"/>
        <v>0</v>
      </c>
      <c r="H12" s="295">
        <f t="shared" ca="1" si="1"/>
        <v>0</v>
      </c>
      <c r="I12" s="295">
        <f ca="1">INDIRECT(I68)</f>
        <v>20</v>
      </c>
      <c r="J12" s="295">
        <f t="shared" ca="1" si="1"/>
        <v>45</v>
      </c>
      <c r="K12" s="295">
        <f t="shared" ca="1" si="1"/>
        <v>72.8557129685272</v>
      </c>
      <c r="L12" s="296">
        <f t="shared" ca="1" si="1"/>
        <v>90</v>
      </c>
      <c r="M12" s="297">
        <f t="shared" ca="1" si="1"/>
        <v>95</v>
      </c>
      <c r="N12" s="12"/>
      <c r="O12" s="13"/>
      <c r="P12" s="13"/>
      <c r="Q12" s="1"/>
      <c r="R12" s="1"/>
      <c r="S12" s="8"/>
    </row>
    <row r="13" spans="2:19" ht="15.75" thickBot="1" x14ac:dyDescent="0.3">
      <c r="B13" s="298" t="s">
        <v>29</v>
      </c>
      <c r="C13" s="299"/>
      <c r="D13" s="300">
        <f t="shared" ca="1" si="1"/>
        <v>0</v>
      </c>
      <c r="E13" s="301">
        <f t="shared" ca="1" si="1"/>
        <v>0</v>
      </c>
      <c r="F13" s="301">
        <f t="shared" ca="1" si="1"/>
        <v>0</v>
      </c>
      <c r="G13" s="301">
        <f t="shared" ca="1" si="1"/>
        <v>0</v>
      </c>
      <c r="H13" s="301">
        <f t="shared" ca="1" si="1"/>
        <v>10</v>
      </c>
      <c r="I13" s="301">
        <f t="shared" ca="1" si="1"/>
        <v>45</v>
      </c>
      <c r="J13" s="301">
        <f t="shared" ca="1" si="1"/>
        <v>80</v>
      </c>
      <c r="K13" s="301">
        <f t="shared" ca="1" si="1"/>
        <v>92.380316874900984</v>
      </c>
      <c r="L13" s="302">
        <f t="shared" ca="1" si="1"/>
        <v>100</v>
      </c>
      <c r="M13" s="303">
        <f t="shared" ca="1" si="1"/>
        <v>100</v>
      </c>
      <c r="N13" s="12"/>
      <c r="O13" s="13"/>
      <c r="P13" s="13"/>
      <c r="Q13" s="1"/>
      <c r="R13" s="1"/>
      <c r="S13" s="8"/>
    </row>
    <row r="14" spans="2:19" x14ac:dyDescent="0.25">
      <c r="B14" s="304"/>
      <c r="C14" s="305"/>
      <c r="D14" s="305"/>
      <c r="E14" s="305"/>
      <c r="F14" s="305"/>
      <c r="G14" s="305"/>
      <c r="H14" s="305"/>
      <c r="I14" s="305"/>
      <c r="J14" s="305"/>
      <c r="K14" s="305"/>
      <c r="L14" s="305"/>
      <c r="M14" s="306"/>
      <c r="N14" s="14"/>
      <c r="O14" s="15"/>
      <c r="P14" s="15"/>
      <c r="Q14" s="1"/>
      <c r="R14" s="1"/>
      <c r="S14" s="8"/>
    </row>
    <row r="15" spans="2:19" x14ac:dyDescent="0.25">
      <c r="B15" s="307"/>
      <c r="C15" s="256"/>
      <c r="D15" s="256"/>
      <c r="E15" s="256"/>
      <c r="F15" s="256"/>
      <c r="G15" s="256"/>
      <c r="H15" s="256"/>
      <c r="I15" s="256"/>
      <c r="J15" s="256"/>
      <c r="K15" s="256"/>
      <c r="L15" s="256"/>
      <c r="M15" s="308"/>
      <c r="N15" s="1"/>
      <c r="Q15" s="1"/>
      <c r="R15" s="1"/>
      <c r="S15" s="8"/>
    </row>
    <row r="16" spans="2:19" x14ac:dyDescent="0.25">
      <c r="B16" s="307"/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308"/>
      <c r="N16" s="1"/>
      <c r="Q16" s="1"/>
      <c r="R16" s="8"/>
      <c r="S16" s="8"/>
    </row>
    <row r="17" spans="2:19" x14ac:dyDescent="0.25">
      <c r="B17" s="307"/>
      <c r="C17" s="256"/>
      <c r="D17" s="256"/>
      <c r="E17" s="256"/>
      <c r="F17" s="256"/>
      <c r="G17" s="256"/>
      <c r="H17" s="256"/>
      <c r="I17" s="256"/>
      <c r="J17" s="256"/>
      <c r="K17" s="256"/>
      <c r="L17" s="256"/>
      <c r="M17" s="308"/>
      <c r="N17" s="1"/>
      <c r="Q17" s="1"/>
      <c r="R17" s="8"/>
      <c r="S17" s="8"/>
    </row>
    <row r="18" spans="2:19" x14ac:dyDescent="0.25">
      <c r="B18" s="307"/>
      <c r="C18" s="256"/>
      <c r="D18" s="256"/>
      <c r="E18" s="256"/>
      <c r="F18" s="256"/>
      <c r="G18" s="256"/>
      <c r="H18" s="256"/>
      <c r="I18" s="256"/>
      <c r="J18" s="256"/>
      <c r="K18" s="256"/>
      <c r="L18" s="256"/>
      <c r="M18" s="308"/>
      <c r="N18" s="1"/>
      <c r="Q18" s="1"/>
      <c r="R18" s="8"/>
      <c r="S18" s="8"/>
    </row>
    <row r="19" spans="2:19" x14ac:dyDescent="0.25">
      <c r="B19" s="307"/>
      <c r="C19" s="256"/>
      <c r="D19" s="256"/>
      <c r="E19" s="256"/>
      <c r="F19" s="256"/>
      <c r="G19" s="256"/>
      <c r="H19" s="256"/>
      <c r="I19" s="256"/>
      <c r="J19" s="256"/>
      <c r="K19" s="256"/>
      <c r="L19" s="256"/>
      <c r="M19" s="308"/>
      <c r="N19" s="1"/>
      <c r="Q19" s="1"/>
      <c r="R19" s="8"/>
      <c r="S19" s="8"/>
    </row>
    <row r="20" spans="2:19" x14ac:dyDescent="0.25">
      <c r="B20" s="307"/>
      <c r="C20" s="256"/>
      <c r="D20" s="256"/>
      <c r="E20" s="256"/>
      <c r="F20" s="256"/>
      <c r="G20" s="256"/>
      <c r="H20" s="256"/>
      <c r="I20" s="256"/>
      <c r="J20" s="256"/>
      <c r="K20" s="256"/>
      <c r="L20" s="256"/>
      <c r="M20" s="308"/>
      <c r="N20" s="1"/>
      <c r="Q20" s="1"/>
      <c r="R20" s="8"/>
      <c r="S20" s="8"/>
    </row>
    <row r="21" spans="2:19" x14ac:dyDescent="0.25">
      <c r="B21" s="307"/>
      <c r="C21" s="256"/>
      <c r="D21" s="256"/>
      <c r="E21" s="256"/>
      <c r="F21" s="256"/>
      <c r="G21" s="256"/>
      <c r="H21" s="256"/>
      <c r="I21" s="256"/>
      <c r="J21" s="256"/>
      <c r="K21" s="256"/>
      <c r="L21" s="256"/>
      <c r="M21" s="308"/>
      <c r="N21" s="1"/>
      <c r="Q21" s="1"/>
      <c r="R21" s="8"/>
      <c r="S21" s="8"/>
    </row>
    <row r="22" spans="2:19" x14ac:dyDescent="0.25">
      <c r="B22" s="307"/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308"/>
      <c r="N22" s="1"/>
      <c r="Q22" s="1"/>
      <c r="R22" s="8"/>
      <c r="S22" s="8"/>
    </row>
    <row r="23" spans="2:19" x14ac:dyDescent="0.25">
      <c r="B23" s="307"/>
      <c r="C23" s="256"/>
      <c r="D23" s="256"/>
      <c r="E23" s="256"/>
      <c r="F23" s="256"/>
      <c r="G23" s="256"/>
      <c r="H23" s="256"/>
      <c r="I23" s="256"/>
      <c r="J23" s="256"/>
      <c r="K23" s="256"/>
      <c r="L23" s="256"/>
      <c r="M23" s="308"/>
      <c r="N23" s="1"/>
      <c r="Q23" s="1"/>
      <c r="R23" s="8"/>
      <c r="S23" s="8"/>
    </row>
    <row r="24" spans="2:19" x14ac:dyDescent="0.25">
      <c r="B24" s="307"/>
      <c r="C24" s="256"/>
      <c r="D24" s="256"/>
      <c r="E24" s="256"/>
      <c r="F24" s="256"/>
      <c r="G24" s="256"/>
      <c r="H24" s="256"/>
      <c r="I24" s="256"/>
      <c r="J24" s="256"/>
      <c r="K24" s="256"/>
      <c r="L24" s="256"/>
      <c r="M24" s="308"/>
      <c r="N24" s="1"/>
      <c r="Q24" s="1"/>
      <c r="R24" s="8"/>
      <c r="S24" s="8"/>
    </row>
    <row r="25" spans="2:19" x14ac:dyDescent="0.25">
      <c r="B25" s="307"/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308"/>
      <c r="N25" s="1"/>
      <c r="Q25" s="1"/>
      <c r="R25" s="8"/>
      <c r="S25" s="8"/>
    </row>
    <row r="26" spans="2:19" x14ac:dyDescent="0.25">
      <c r="B26" s="307"/>
      <c r="C26" s="256"/>
      <c r="D26" s="256"/>
      <c r="E26" s="256"/>
      <c r="F26" s="256"/>
      <c r="G26" s="256"/>
      <c r="H26" s="256"/>
      <c r="I26" s="256"/>
      <c r="J26" s="256"/>
      <c r="K26" s="256"/>
      <c r="L26" s="256"/>
      <c r="M26" s="308"/>
      <c r="N26" s="1"/>
      <c r="Q26" s="1"/>
      <c r="R26" s="8"/>
      <c r="S26" s="9"/>
    </row>
    <row r="27" spans="2:19" x14ac:dyDescent="0.25">
      <c r="B27" s="307"/>
      <c r="C27" s="256"/>
      <c r="D27" s="256"/>
      <c r="E27" s="256"/>
      <c r="F27" s="256"/>
      <c r="G27" s="256"/>
      <c r="H27" s="256"/>
      <c r="I27" s="256"/>
      <c r="J27" s="256"/>
      <c r="K27" s="256"/>
      <c r="L27" s="256"/>
      <c r="M27" s="308"/>
      <c r="N27" s="1"/>
      <c r="Q27" s="1"/>
      <c r="R27" s="1"/>
      <c r="S27" s="1"/>
    </row>
    <row r="28" spans="2:19" x14ac:dyDescent="0.25">
      <c r="B28" s="307"/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308"/>
      <c r="N28" s="1"/>
      <c r="Q28" s="1"/>
      <c r="R28" s="1"/>
      <c r="S28" s="1"/>
    </row>
    <row r="29" spans="2:19" x14ac:dyDescent="0.25">
      <c r="B29" s="307"/>
      <c r="C29" s="256"/>
      <c r="D29" s="256"/>
      <c r="E29" s="256"/>
      <c r="F29" s="256"/>
      <c r="G29" s="256"/>
      <c r="H29" s="256"/>
      <c r="I29" s="256"/>
      <c r="J29" s="256"/>
      <c r="K29" s="256"/>
      <c r="L29" s="256"/>
      <c r="M29" s="308"/>
      <c r="N29" s="1"/>
      <c r="Q29" s="1"/>
      <c r="R29" s="1"/>
      <c r="S29" s="1"/>
    </row>
    <row r="30" spans="2:19" x14ac:dyDescent="0.25">
      <c r="B30" s="307"/>
      <c r="C30" s="256"/>
      <c r="D30" s="256"/>
      <c r="E30" s="256"/>
      <c r="F30" s="256"/>
      <c r="G30" s="256"/>
      <c r="H30" s="256"/>
      <c r="I30" s="256"/>
      <c r="J30" s="256"/>
      <c r="K30" s="256"/>
      <c r="L30" s="256"/>
      <c r="M30" s="308"/>
      <c r="N30" s="1"/>
      <c r="Q30" s="1"/>
      <c r="R30" s="1"/>
      <c r="S30" s="1"/>
    </row>
    <row r="31" spans="2:19" x14ac:dyDescent="0.25">
      <c r="B31" s="307"/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308"/>
      <c r="N31" s="1"/>
      <c r="Q31" s="1"/>
      <c r="R31" s="1"/>
      <c r="S31" s="1"/>
    </row>
    <row r="32" spans="2:19" x14ac:dyDescent="0.25">
      <c r="B32" s="307"/>
      <c r="C32" s="256"/>
      <c r="D32" s="256"/>
      <c r="E32" s="256"/>
      <c r="F32" s="256"/>
      <c r="G32" s="256"/>
      <c r="H32" s="256"/>
      <c r="I32" s="256"/>
      <c r="J32" s="256"/>
      <c r="K32" s="256"/>
      <c r="L32" s="256"/>
      <c r="M32" s="308"/>
      <c r="N32" s="1"/>
      <c r="Q32" s="1"/>
      <c r="R32" s="1"/>
      <c r="S32" s="1"/>
    </row>
    <row r="33" spans="2:19" x14ac:dyDescent="0.25">
      <c r="B33" s="307"/>
      <c r="C33" s="256"/>
      <c r="D33" s="256"/>
      <c r="E33" s="256"/>
      <c r="F33" s="256"/>
      <c r="G33" s="256"/>
      <c r="H33" s="256"/>
      <c r="I33" s="256"/>
      <c r="J33" s="256"/>
      <c r="K33" s="256"/>
      <c r="L33" s="256"/>
      <c r="M33" s="308"/>
      <c r="N33" s="1"/>
      <c r="Q33" s="1"/>
      <c r="R33" s="1"/>
      <c r="S33" s="1"/>
    </row>
    <row r="34" spans="2:19" ht="15.75" thickBot="1" x14ac:dyDescent="0.3">
      <c r="B34" s="307"/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308"/>
      <c r="N34" s="1"/>
      <c r="Q34" s="1"/>
      <c r="R34" s="1"/>
      <c r="S34" s="1"/>
    </row>
    <row r="35" spans="2:19" x14ac:dyDescent="0.25">
      <c r="B35" s="309" t="s">
        <v>30</v>
      </c>
      <c r="C35" s="310"/>
      <c r="D35" s="310"/>
      <c r="E35" s="310"/>
      <c r="F35" s="310"/>
      <c r="G35" s="310"/>
      <c r="H35" s="310"/>
      <c r="I35" s="310"/>
      <c r="J35" s="310"/>
      <c r="K35" s="310"/>
      <c r="L35" s="310"/>
      <c r="M35" s="311"/>
      <c r="N35" s="1"/>
      <c r="Q35" s="1"/>
      <c r="R35" s="1"/>
      <c r="S35" s="1"/>
    </row>
    <row r="36" spans="2:19" ht="15.75" thickBot="1" x14ac:dyDescent="0.3">
      <c r="B36" s="258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60"/>
      <c r="N36" s="1"/>
      <c r="Q36" s="1"/>
      <c r="R36" s="1"/>
      <c r="S36" s="1"/>
    </row>
    <row r="37" spans="2:19" x14ac:dyDescent="0.25">
      <c r="B37" s="312" t="s">
        <v>31</v>
      </c>
      <c r="C37" s="311"/>
      <c r="D37" s="313" t="s">
        <v>5</v>
      </c>
      <c r="E37" s="314" t="s">
        <v>32</v>
      </c>
      <c r="F37" s="315" t="s">
        <v>7</v>
      </c>
      <c r="G37" s="316" t="s">
        <v>8</v>
      </c>
      <c r="H37" s="316" t="s">
        <v>9</v>
      </c>
      <c r="I37" s="317" t="s">
        <v>10</v>
      </c>
      <c r="J37" s="318" t="s">
        <v>11</v>
      </c>
      <c r="K37" s="318">
        <v>4</v>
      </c>
      <c r="L37" s="318">
        <v>8</v>
      </c>
      <c r="M37" s="319" t="s">
        <v>12</v>
      </c>
      <c r="N37" s="1"/>
      <c r="Q37" s="1"/>
      <c r="R37" s="1"/>
      <c r="S37" s="1"/>
    </row>
    <row r="38" spans="2:19" ht="15.75" thickBot="1" x14ac:dyDescent="0.3">
      <c r="B38" s="298" t="s">
        <v>33</v>
      </c>
      <c r="C38" s="299"/>
      <c r="D38" s="302" t="s">
        <v>14</v>
      </c>
      <c r="E38" s="302" t="s">
        <v>15</v>
      </c>
      <c r="F38" s="276" t="s">
        <v>16</v>
      </c>
      <c r="G38" s="275" t="s">
        <v>17</v>
      </c>
      <c r="H38" s="275" t="s">
        <v>18</v>
      </c>
      <c r="I38" s="275" t="s">
        <v>19</v>
      </c>
      <c r="J38" s="320" t="s">
        <v>20</v>
      </c>
      <c r="K38" s="277" t="s">
        <v>21</v>
      </c>
      <c r="L38" s="277" t="s">
        <v>22</v>
      </c>
      <c r="M38" s="321" t="s">
        <v>23</v>
      </c>
      <c r="N38" s="1"/>
      <c r="Q38" s="1"/>
      <c r="R38" s="1"/>
      <c r="S38" s="1"/>
    </row>
    <row r="39" spans="2:19" x14ac:dyDescent="0.25">
      <c r="B39" s="312"/>
      <c r="C39" s="311"/>
      <c r="D39" s="322"/>
      <c r="E39" s="322"/>
      <c r="F39" s="322"/>
      <c r="G39" s="322"/>
      <c r="H39" s="322">
        <v>0</v>
      </c>
      <c r="I39" s="322">
        <v>0</v>
      </c>
      <c r="J39" s="323">
        <f>(LOG(9.8)-LOG(6.3))/(LOG(9.8)-LOG(4.8))*(K39-I39)+I39</f>
        <v>37.140950624702938</v>
      </c>
      <c r="K39" s="324">
        <v>60</v>
      </c>
      <c r="L39" s="322">
        <v>90</v>
      </c>
      <c r="M39" s="325">
        <v>100</v>
      </c>
      <c r="N39" s="1"/>
      <c r="Q39" s="1"/>
      <c r="R39" s="1"/>
      <c r="S39" s="1"/>
    </row>
    <row r="40" spans="2:19" x14ac:dyDescent="0.25">
      <c r="B40" s="326" t="s">
        <v>34</v>
      </c>
      <c r="C40" s="327"/>
      <c r="D40" s="328"/>
      <c r="E40" s="328"/>
      <c r="F40" s="328"/>
      <c r="G40" s="328"/>
      <c r="H40" s="328">
        <v>0</v>
      </c>
      <c r="I40" s="328">
        <v>15</v>
      </c>
      <c r="J40" s="329">
        <f t="shared" ref="J40:J52" si="2">(LOG(9.8)-LOG(6.3))/(LOG(9.8)-LOG(4.8))*(K40-I40)+I40</f>
        <v>67.616346718329169</v>
      </c>
      <c r="K40" s="328">
        <v>100</v>
      </c>
      <c r="L40" s="328">
        <v>100</v>
      </c>
      <c r="M40" s="330">
        <v>100</v>
      </c>
      <c r="N40" s="1"/>
      <c r="Q40" s="1"/>
      <c r="R40" s="1"/>
      <c r="S40" s="1"/>
    </row>
    <row r="41" spans="2:19" x14ac:dyDescent="0.25">
      <c r="B41" s="254"/>
      <c r="C41" s="257"/>
      <c r="D41" s="331"/>
      <c r="E41" s="331"/>
      <c r="F41" s="331"/>
      <c r="G41" s="331">
        <v>0</v>
      </c>
      <c r="H41" s="331">
        <v>0</v>
      </c>
      <c r="I41" s="332">
        <v>30</v>
      </c>
      <c r="J41" s="333">
        <f t="shared" si="2"/>
        <v>64.045871405977692</v>
      </c>
      <c r="K41" s="331">
        <v>85</v>
      </c>
      <c r="L41" s="331">
        <v>95</v>
      </c>
      <c r="M41" s="325">
        <v>100</v>
      </c>
      <c r="N41" s="1"/>
      <c r="Q41" s="1"/>
      <c r="R41" s="1"/>
      <c r="S41" s="1"/>
    </row>
    <row r="42" spans="2:19" x14ac:dyDescent="0.25">
      <c r="B42" s="326" t="s">
        <v>35</v>
      </c>
      <c r="C42" s="327"/>
      <c r="D42" s="328"/>
      <c r="E42" s="328"/>
      <c r="F42" s="328"/>
      <c r="G42" s="328">
        <v>0</v>
      </c>
      <c r="H42" s="334">
        <v>10</v>
      </c>
      <c r="I42" s="328">
        <v>60</v>
      </c>
      <c r="J42" s="329">
        <f t="shared" si="2"/>
        <v>84.760633749801954</v>
      </c>
      <c r="K42" s="328">
        <v>100</v>
      </c>
      <c r="L42" s="328">
        <v>100</v>
      </c>
      <c r="M42" s="330">
        <v>100</v>
      </c>
      <c r="N42" s="1"/>
      <c r="Q42" s="1"/>
      <c r="R42" s="1"/>
      <c r="S42" s="1"/>
    </row>
    <row r="43" spans="2:19" x14ac:dyDescent="0.25">
      <c r="B43" s="254"/>
      <c r="C43" s="257"/>
      <c r="D43" s="331"/>
      <c r="E43" s="331"/>
      <c r="F43" s="331">
        <v>0</v>
      </c>
      <c r="G43" s="331">
        <v>0</v>
      </c>
      <c r="H43" s="335">
        <v>20</v>
      </c>
      <c r="I43" s="331">
        <v>45</v>
      </c>
      <c r="J43" s="333">
        <f t="shared" si="2"/>
        <v>72.8557129685272</v>
      </c>
      <c r="K43" s="331">
        <v>90</v>
      </c>
      <c r="L43" s="331">
        <v>95</v>
      </c>
      <c r="M43" s="325">
        <v>100</v>
      </c>
      <c r="N43" s="1"/>
      <c r="Q43" s="1"/>
      <c r="R43" s="1"/>
      <c r="S43" s="1"/>
    </row>
    <row r="44" spans="2:19" x14ac:dyDescent="0.25">
      <c r="B44" s="326" t="s">
        <v>36</v>
      </c>
      <c r="C44" s="327"/>
      <c r="D44" s="328"/>
      <c r="E44" s="328"/>
      <c r="F44" s="328">
        <v>0</v>
      </c>
      <c r="G44" s="328">
        <v>10</v>
      </c>
      <c r="H44" s="334">
        <v>45</v>
      </c>
      <c r="I44" s="328">
        <v>80</v>
      </c>
      <c r="J44" s="329">
        <f t="shared" si="2"/>
        <v>92.380316874900984</v>
      </c>
      <c r="K44" s="328">
        <v>100</v>
      </c>
      <c r="L44" s="328">
        <v>100</v>
      </c>
      <c r="M44" s="330">
        <v>100</v>
      </c>
      <c r="N44" s="1"/>
      <c r="Q44" s="1"/>
      <c r="R44" s="1"/>
      <c r="S44" s="1"/>
    </row>
    <row r="45" spans="2:19" x14ac:dyDescent="0.25">
      <c r="B45" s="254"/>
      <c r="C45" s="257"/>
      <c r="D45" s="331"/>
      <c r="E45" s="331">
        <v>0</v>
      </c>
      <c r="F45" s="331">
        <v>0</v>
      </c>
      <c r="G45" s="331">
        <v>10</v>
      </c>
      <c r="H45" s="335">
        <v>30</v>
      </c>
      <c r="I45" s="331">
        <v>50</v>
      </c>
      <c r="J45" s="333">
        <f t="shared" si="2"/>
        <v>74.760633749801954</v>
      </c>
      <c r="K45" s="331">
        <v>90</v>
      </c>
      <c r="L45" s="331">
        <v>95</v>
      </c>
      <c r="M45" s="325">
        <v>100</v>
      </c>
      <c r="N45" s="1"/>
      <c r="Q45" s="1"/>
      <c r="R45" s="1"/>
      <c r="S45" s="1"/>
    </row>
    <row r="46" spans="2:19" x14ac:dyDescent="0.25">
      <c r="B46" s="326" t="s">
        <v>37</v>
      </c>
      <c r="C46" s="327"/>
      <c r="D46" s="336"/>
      <c r="E46" s="328">
        <v>0</v>
      </c>
      <c r="F46" s="328">
        <v>5</v>
      </c>
      <c r="G46" s="328">
        <v>40</v>
      </c>
      <c r="H46" s="334">
        <v>70</v>
      </c>
      <c r="I46" s="328">
        <v>80</v>
      </c>
      <c r="J46" s="329">
        <f t="shared" si="2"/>
        <v>92.380316874900984</v>
      </c>
      <c r="K46" s="328">
        <v>100</v>
      </c>
      <c r="L46" s="328">
        <v>100</v>
      </c>
      <c r="M46" s="330">
        <v>100</v>
      </c>
      <c r="N46" s="1"/>
      <c r="Q46" s="1"/>
      <c r="R46" s="1"/>
      <c r="S46" s="1"/>
    </row>
    <row r="47" spans="2:19" x14ac:dyDescent="0.25">
      <c r="B47" s="254"/>
      <c r="C47" s="257"/>
      <c r="D47" s="331">
        <v>0</v>
      </c>
      <c r="E47" s="335">
        <v>0</v>
      </c>
      <c r="F47" s="333">
        <f>(LOG(32)-LOG(25))/(LOG(32)-LOG(19))*(G47-E47)+E47</f>
        <v>11.838746151184983</v>
      </c>
      <c r="G47" s="331">
        <v>25</v>
      </c>
      <c r="H47" s="333">
        <f t="shared" ref="H47:H52" si="3">(LOG(19)-LOG(12.7))/(LOG(19)-LOG(9.5))*(I47-G47)+G47</f>
        <v>48.246836862351273</v>
      </c>
      <c r="I47" s="331">
        <v>65</v>
      </c>
      <c r="J47" s="333">
        <f t="shared" si="2"/>
        <v>83.570475312351476</v>
      </c>
      <c r="K47" s="331">
        <v>95</v>
      </c>
      <c r="L47" s="331">
        <v>100</v>
      </c>
      <c r="M47" s="325">
        <v>100</v>
      </c>
      <c r="N47" s="1"/>
      <c r="Q47" s="1"/>
      <c r="R47" s="1"/>
      <c r="S47" s="1"/>
    </row>
    <row r="48" spans="2:19" x14ac:dyDescent="0.25">
      <c r="B48" s="326" t="s">
        <v>38</v>
      </c>
      <c r="C48" s="327"/>
      <c r="D48" s="328">
        <v>0</v>
      </c>
      <c r="E48" s="337">
        <v>5</v>
      </c>
      <c r="F48" s="329">
        <f>(LOG(32)-LOG(25))/(LOG(32)-LOG(19))*(G48-E48)+E48</f>
        <v>31.045241532606966</v>
      </c>
      <c r="G48" s="328">
        <v>60</v>
      </c>
      <c r="H48" s="338">
        <f t="shared" si="3"/>
        <v>77.435127646763462</v>
      </c>
      <c r="I48" s="328">
        <v>90</v>
      </c>
      <c r="J48" s="329">
        <f t="shared" si="2"/>
        <v>96.190158437450492</v>
      </c>
      <c r="K48" s="328">
        <v>100</v>
      </c>
      <c r="L48" s="328">
        <v>100</v>
      </c>
      <c r="M48" s="330">
        <v>100</v>
      </c>
      <c r="N48" s="1"/>
      <c r="Q48" s="1"/>
      <c r="R48" s="1"/>
      <c r="S48" s="1"/>
    </row>
    <row r="49" spans="2:19" x14ac:dyDescent="0.25">
      <c r="B49" s="254"/>
      <c r="C49" s="257"/>
      <c r="D49" s="331">
        <v>0</v>
      </c>
      <c r="E49" s="333">
        <f>(LOG(38)-LOG(32))/(LOG(38)-LOG(19))*(G49-D49)+D49</f>
        <v>7.4378254033075519</v>
      </c>
      <c r="F49" s="333">
        <f>(LOG(38)-LOG(25))/(LOG(38)-LOG(19))*(G49-D49)+D49</f>
        <v>18.122139710065806</v>
      </c>
      <c r="G49" s="331">
        <v>30</v>
      </c>
      <c r="H49" s="333">
        <f t="shared" si="3"/>
        <v>53.246836862351273</v>
      </c>
      <c r="I49" s="331">
        <v>70</v>
      </c>
      <c r="J49" s="333">
        <f t="shared" si="2"/>
        <v>85.475396093626216</v>
      </c>
      <c r="K49" s="331">
        <v>95</v>
      </c>
      <c r="L49" s="331">
        <v>100</v>
      </c>
      <c r="M49" s="325">
        <v>100</v>
      </c>
      <c r="N49" s="1"/>
      <c r="Q49" s="1"/>
      <c r="R49" s="1"/>
      <c r="S49" s="1"/>
    </row>
    <row r="50" spans="2:19" x14ac:dyDescent="0.25">
      <c r="B50" s="326" t="s">
        <v>39</v>
      </c>
      <c r="C50" s="327"/>
      <c r="D50" s="328">
        <v>5</v>
      </c>
      <c r="E50" s="329">
        <f>(LOG(38)-LOG(32))/(LOG(38)-LOG(19))*(G50-D50)+D50</f>
        <v>19.875650806615106</v>
      </c>
      <c r="F50" s="329">
        <f>(LOG(38)-LOG(25))/(LOG(38)-LOG(19))*(G50-D50)+D50</f>
        <v>41.244279420131612</v>
      </c>
      <c r="G50" s="328">
        <v>65</v>
      </c>
      <c r="H50" s="338">
        <f t="shared" si="3"/>
        <v>79.529273038969549</v>
      </c>
      <c r="I50" s="328">
        <v>90</v>
      </c>
      <c r="J50" s="329">
        <f t="shared" si="2"/>
        <v>96.190158437450492</v>
      </c>
      <c r="K50" s="328">
        <v>100</v>
      </c>
      <c r="L50" s="328">
        <v>100</v>
      </c>
      <c r="M50" s="330">
        <v>100</v>
      </c>
      <c r="N50" s="1"/>
      <c r="Q50" s="1"/>
      <c r="R50" s="1"/>
      <c r="S50" s="1"/>
    </row>
    <row r="51" spans="2:19" x14ac:dyDescent="0.25">
      <c r="B51" s="254"/>
      <c r="C51" s="257"/>
      <c r="D51" s="331">
        <v>0</v>
      </c>
      <c r="E51" s="333">
        <f>(LOG(38)-LOG(32))/(LOG(38)-LOG(19))*(F51-D51)+D51</f>
        <v>11.156738104961327</v>
      </c>
      <c r="F51" s="331">
        <v>45</v>
      </c>
      <c r="G51" s="335">
        <v>85</v>
      </c>
      <c r="H51" s="333">
        <f t="shared" si="3"/>
        <v>90.811709215587825</v>
      </c>
      <c r="I51" s="335">
        <v>95</v>
      </c>
      <c r="J51" s="333">
        <f t="shared" si="2"/>
        <v>98.095079218725246</v>
      </c>
      <c r="K51" s="335">
        <v>100</v>
      </c>
      <c r="L51" s="331">
        <v>100</v>
      </c>
      <c r="M51" s="325">
        <v>100</v>
      </c>
      <c r="N51" s="1"/>
      <c r="Q51" s="1"/>
      <c r="R51" s="1"/>
      <c r="S51" s="1"/>
    </row>
    <row r="52" spans="2:19" ht="15.75" thickBot="1" x14ac:dyDescent="0.3">
      <c r="B52" s="298" t="s">
        <v>40</v>
      </c>
      <c r="C52" s="299"/>
      <c r="D52" s="302">
        <v>10</v>
      </c>
      <c r="E52" s="339">
        <f>(LOG(38)-LOG(32))/(LOG(38)-LOG(19))*(F52-D52)+D52</f>
        <v>27.354925941050954</v>
      </c>
      <c r="F52" s="302">
        <v>80</v>
      </c>
      <c r="G52" s="340">
        <v>100</v>
      </c>
      <c r="H52" s="339">
        <f t="shared" si="3"/>
        <v>100</v>
      </c>
      <c r="I52" s="340">
        <v>100</v>
      </c>
      <c r="J52" s="339">
        <f t="shared" si="2"/>
        <v>100</v>
      </c>
      <c r="K52" s="340">
        <v>100</v>
      </c>
      <c r="L52" s="302">
        <v>100</v>
      </c>
      <c r="M52" s="303">
        <v>100</v>
      </c>
      <c r="N52" s="1"/>
      <c r="Q52" s="1"/>
      <c r="R52" s="1"/>
      <c r="S52" s="1"/>
    </row>
    <row r="53" spans="2:19" x14ac:dyDescent="0.25">
      <c r="B53" s="256"/>
      <c r="C53" s="256" t="s">
        <v>41</v>
      </c>
      <c r="D53" s="341" t="s">
        <v>42</v>
      </c>
      <c r="E53" s="341"/>
      <c r="F53" s="256" t="s">
        <v>43</v>
      </c>
      <c r="G53" s="256"/>
      <c r="H53" s="256"/>
      <c r="I53" s="256"/>
      <c r="J53" s="256"/>
      <c r="K53" s="256"/>
      <c r="L53" s="256"/>
      <c r="M53" s="256"/>
      <c r="N53" s="1"/>
      <c r="Q53" s="1"/>
      <c r="R53" s="1"/>
      <c r="S53" s="1"/>
    </row>
    <row r="54" spans="2:19" x14ac:dyDescent="0.25">
      <c r="D54" s="16"/>
      <c r="E54" s="16"/>
      <c r="N54" s="1"/>
      <c r="Q54" s="1"/>
      <c r="R54" s="1"/>
      <c r="S54" s="1"/>
    </row>
    <row r="55" spans="2:19" x14ac:dyDescent="0.25">
      <c r="D55" s="16"/>
      <c r="E55" s="16"/>
      <c r="N55" s="1"/>
      <c r="Q55" s="1"/>
      <c r="R55" s="1"/>
      <c r="S55" s="1"/>
    </row>
    <row r="56" spans="2:19" x14ac:dyDescent="0.25">
      <c r="D56" s="16"/>
      <c r="E56" s="16"/>
      <c r="N56" s="1"/>
      <c r="Q56" s="1"/>
      <c r="R56" s="1"/>
      <c r="S56" s="1"/>
    </row>
    <row r="57" spans="2:19" x14ac:dyDescent="0.25">
      <c r="D57" s="16"/>
      <c r="E57" s="16"/>
      <c r="N57" s="1"/>
      <c r="Q57" s="1"/>
      <c r="R57" s="1"/>
      <c r="S57" s="1"/>
    </row>
    <row r="58" spans="2:19" x14ac:dyDescent="0.25">
      <c r="D58" s="16"/>
      <c r="E58" s="16"/>
      <c r="N58" s="1"/>
      <c r="Q58" s="1"/>
      <c r="R58" s="1"/>
      <c r="S58" s="1"/>
    </row>
    <row r="59" spans="2:19" x14ac:dyDescent="0.25">
      <c r="D59" s="16"/>
      <c r="E59" s="16"/>
      <c r="N59" s="1"/>
      <c r="Q59" s="1"/>
      <c r="R59" s="1"/>
      <c r="S59" s="1"/>
    </row>
    <row r="60" spans="2:19" x14ac:dyDescent="0.25">
      <c r="D60" s="16"/>
      <c r="E60" s="16"/>
      <c r="N60" s="1"/>
      <c r="Q60" s="1"/>
      <c r="R60" s="1"/>
      <c r="S60" s="1"/>
    </row>
    <row r="61" spans="2:19" x14ac:dyDescent="0.25">
      <c r="D61" s="16"/>
      <c r="E61" s="16"/>
      <c r="N61" s="1"/>
      <c r="Q61" s="1"/>
      <c r="R61" s="1"/>
      <c r="S61" s="1"/>
    </row>
    <row r="62" spans="2:19" x14ac:dyDescent="0.25">
      <c r="D62" s="16"/>
      <c r="E62" s="16"/>
      <c r="N62" s="1"/>
      <c r="Q62" s="1"/>
      <c r="R62" s="1"/>
      <c r="S62" s="1"/>
    </row>
    <row r="63" spans="2:19" x14ac:dyDescent="0.25">
      <c r="D63" s="16"/>
      <c r="E63" s="16"/>
      <c r="N63" s="1"/>
      <c r="Q63" s="1"/>
      <c r="R63" s="1"/>
      <c r="S63" s="1"/>
    </row>
    <row r="64" spans="2:19" x14ac:dyDescent="0.25">
      <c r="D64" s="16"/>
      <c r="E64" s="16"/>
      <c r="N64" s="1"/>
      <c r="Q64" s="1"/>
      <c r="R64" s="1"/>
      <c r="S64" s="1"/>
    </row>
    <row r="65" spans="2:19" x14ac:dyDescent="0.25">
      <c r="N65" s="1"/>
      <c r="Q65" s="1"/>
      <c r="R65" s="1"/>
      <c r="S65" s="1"/>
    </row>
    <row r="66" spans="2:19" ht="18" x14ac:dyDescent="0.25">
      <c r="F66" s="948" t="s">
        <v>44</v>
      </c>
      <c r="G66" s="948"/>
      <c r="H66" s="948"/>
      <c r="I66" s="948"/>
      <c r="J66" s="948"/>
      <c r="K66" s="948"/>
      <c r="N66" s="1"/>
      <c r="P66" s="17"/>
      <c r="Q66" s="1"/>
      <c r="R66" s="1"/>
      <c r="S66" s="1"/>
    </row>
    <row r="67" spans="2:19" x14ac:dyDescent="0.25">
      <c r="N67" s="1"/>
      <c r="P67" s="17"/>
      <c r="Q67" s="1"/>
      <c r="R67" s="1"/>
      <c r="S67" s="1"/>
    </row>
    <row r="68" spans="2:19" x14ac:dyDescent="0.25">
      <c r="B68" s="18">
        <f>'[2]Pedra 0+1 riomix'!C1*2+39</f>
        <v>43</v>
      </c>
      <c r="C68" s="19"/>
      <c r="D68" s="19" t="str">
        <f>ADDRESS($B68,3,4,TRUE)</f>
        <v>C43</v>
      </c>
      <c r="E68" s="19" t="str">
        <f>ADDRESS($B68,4,4,TRUE)</f>
        <v>D43</v>
      </c>
      <c r="F68" s="19" t="str">
        <f>ADDRESS($B68,5,4,TRUE)</f>
        <v>E43</v>
      </c>
      <c r="G68" s="19" t="str">
        <f>ADDRESS($B68,6,4,TRUE)</f>
        <v>F43</v>
      </c>
      <c r="H68" s="19" t="str">
        <f>ADDRESS($B68,7,4,TRUE)</f>
        <v>G43</v>
      </c>
      <c r="I68" s="19" t="str">
        <f>ADDRESS($B68,8,4,TRUE)</f>
        <v>H43</v>
      </c>
      <c r="J68" s="19" t="str">
        <f>ADDRESS($B68,9,4,TRUE)</f>
        <v>I43</v>
      </c>
      <c r="K68" s="19" t="str">
        <f>ADDRESS($B68,10,4,TRUE)</f>
        <v>J43</v>
      </c>
      <c r="L68" s="19" t="str">
        <f>ADDRESS($B68,11,4,TRUE)</f>
        <v>K43</v>
      </c>
      <c r="M68" s="19" t="str">
        <f>ADDRESS($B68,12,4,TRUE)</f>
        <v>L43</v>
      </c>
      <c r="N68" s="1"/>
      <c r="P68" s="17"/>
      <c r="Q68" s="1"/>
      <c r="R68" s="1"/>
      <c r="S68" s="1"/>
    </row>
    <row r="69" spans="2:19" x14ac:dyDescent="0.25">
      <c r="B69" s="18">
        <f>B68+1</f>
        <v>44</v>
      </c>
      <c r="C69" s="19" t="str">
        <f>ADDRESS($B69,2,4,TRUE)</f>
        <v>B44</v>
      </c>
      <c r="D69" s="19" t="str">
        <f>ADDRESS($B69,3,4,TRUE)</f>
        <v>C44</v>
      </c>
      <c r="E69" s="19" t="str">
        <f>ADDRESS($B69,4,4,TRUE)</f>
        <v>D44</v>
      </c>
      <c r="F69" s="19" t="str">
        <f>ADDRESS($B69,5,4,TRUE)</f>
        <v>E44</v>
      </c>
      <c r="G69" s="19" t="str">
        <f>ADDRESS($B69,6,4,TRUE)</f>
        <v>F44</v>
      </c>
      <c r="H69" s="19" t="str">
        <f>ADDRESS($B69,7,4,TRUE)</f>
        <v>G44</v>
      </c>
      <c r="I69" s="19" t="str">
        <f>ADDRESS($B69,8,4,TRUE)</f>
        <v>H44</v>
      </c>
      <c r="J69" s="19" t="str">
        <f>ADDRESS($B69,9,4,TRUE)</f>
        <v>I44</v>
      </c>
      <c r="K69" s="19" t="str">
        <f>ADDRESS($B69,10,4,TRUE)</f>
        <v>J44</v>
      </c>
      <c r="L69" s="19" t="str">
        <f>ADDRESS($B69,11,4,TRUE)</f>
        <v>K44</v>
      </c>
      <c r="M69" s="19" t="str">
        <f>ADDRESS($B69,12,4,TRUE)</f>
        <v>L44</v>
      </c>
      <c r="N69" s="1"/>
      <c r="P69" s="17"/>
      <c r="Q69" s="1"/>
      <c r="R69" s="1"/>
      <c r="S69" s="1"/>
    </row>
    <row r="70" spans="2:19" x14ac:dyDescent="0.25">
      <c r="N70" s="1"/>
      <c r="P70" s="17"/>
      <c r="Q70" s="1"/>
      <c r="R70" s="1"/>
      <c r="S70" s="1"/>
    </row>
    <row r="71" spans="2:19" x14ac:dyDescent="0.25">
      <c r="N71" s="1"/>
      <c r="P71" s="17"/>
      <c r="Q71" s="1"/>
      <c r="R71" s="1"/>
      <c r="S71" s="1"/>
    </row>
    <row r="72" spans="2:19" x14ac:dyDescent="0.25">
      <c r="N72" s="1"/>
      <c r="P72" s="17"/>
      <c r="Q72" s="1"/>
      <c r="R72" s="1"/>
      <c r="S72" s="1"/>
    </row>
    <row r="73" spans="2:19" x14ac:dyDescent="0.25">
      <c r="N73" s="1"/>
      <c r="P73" s="17"/>
      <c r="Q73" s="1"/>
      <c r="R73" s="1"/>
      <c r="S73" s="1"/>
    </row>
    <row r="74" spans="2:19" x14ac:dyDescent="0.25">
      <c r="N74" s="1"/>
      <c r="Q74" s="1"/>
      <c r="R74" s="1"/>
      <c r="S74" s="1"/>
    </row>
    <row r="75" spans="2:19" x14ac:dyDescent="0.25">
      <c r="N75" s="1"/>
      <c r="Q75" s="1"/>
      <c r="R75" s="1"/>
      <c r="S75" s="1"/>
    </row>
    <row r="76" spans="2:19" x14ac:dyDescent="0.25">
      <c r="N76" s="1"/>
      <c r="Q76" s="1"/>
      <c r="R76" s="1"/>
      <c r="S76" s="1"/>
    </row>
    <row r="77" spans="2:19" x14ac:dyDescent="0.25">
      <c r="N77" s="1"/>
      <c r="Q77" s="1"/>
      <c r="R77" s="1"/>
      <c r="S77" s="1"/>
    </row>
    <row r="78" spans="2:19" x14ac:dyDescent="0.25">
      <c r="N78" s="1"/>
      <c r="Q78" s="1"/>
      <c r="R78" s="1"/>
      <c r="S78" s="1"/>
    </row>
    <row r="79" spans="2:19" x14ac:dyDescent="0.25">
      <c r="N79" s="1"/>
      <c r="Q79" s="1"/>
      <c r="R79" s="1"/>
      <c r="S79" s="1"/>
    </row>
    <row r="80" spans="2:19" x14ac:dyDescent="0.25">
      <c r="N80" s="1"/>
      <c r="Q80" s="1"/>
      <c r="R80" s="1"/>
      <c r="S80" s="1"/>
    </row>
    <row r="81" spans="14:19" x14ac:dyDescent="0.25">
      <c r="N81" s="1"/>
      <c r="Q81" s="1"/>
      <c r="R81" s="1"/>
      <c r="S81" s="1"/>
    </row>
    <row r="82" spans="14:19" x14ac:dyDescent="0.25">
      <c r="N82" s="1"/>
      <c r="Q82" s="1"/>
      <c r="R82" s="1"/>
      <c r="S82" s="1"/>
    </row>
    <row r="83" spans="14:19" x14ac:dyDescent="0.25">
      <c r="N83" s="1"/>
      <c r="Q83" s="1"/>
      <c r="R83" s="1"/>
      <c r="S83" s="1"/>
    </row>
    <row r="84" spans="14:19" x14ac:dyDescent="0.25">
      <c r="N84" s="1"/>
      <c r="Q84" s="1"/>
      <c r="R84" s="1"/>
      <c r="S84" s="1"/>
    </row>
    <row r="85" spans="14:19" x14ac:dyDescent="0.25">
      <c r="N85" s="1"/>
      <c r="Q85" s="1"/>
      <c r="R85" s="1"/>
      <c r="S85" s="1"/>
    </row>
    <row r="86" spans="14:19" x14ac:dyDescent="0.25">
      <c r="N86" s="1"/>
      <c r="Q86" s="1"/>
      <c r="R86" s="1"/>
      <c r="S86" s="1"/>
    </row>
    <row r="87" spans="14:19" x14ac:dyDescent="0.25">
      <c r="N87" s="1"/>
      <c r="Q87" s="1"/>
      <c r="R87" s="1"/>
      <c r="S87" s="1"/>
    </row>
    <row r="88" spans="14:19" x14ac:dyDescent="0.25">
      <c r="N88" s="1"/>
      <c r="Q88" s="1"/>
      <c r="R88" s="1"/>
      <c r="S88" s="1"/>
    </row>
    <row r="89" spans="14:19" x14ac:dyDescent="0.25">
      <c r="N89" s="1"/>
      <c r="Q89" s="1"/>
      <c r="R89" s="1"/>
      <c r="S89" s="1"/>
    </row>
    <row r="90" spans="14:19" x14ac:dyDescent="0.25">
      <c r="N90" s="1"/>
      <c r="Q90" s="1"/>
      <c r="R90" s="1"/>
      <c r="S90" s="1"/>
    </row>
    <row r="91" spans="14:19" x14ac:dyDescent="0.25">
      <c r="N91" s="1"/>
      <c r="Q91" s="1"/>
      <c r="R91" s="1"/>
      <c r="S91" s="1"/>
    </row>
    <row r="92" spans="14:19" x14ac:dyDescent="0.25">
      <c r="N92" s="1"/>
      <c r="Q92" s="1"/>
      <c r="R92" s="1"/>
      <c r="S92" s="1"/>
    </row>
    <row r="93" spans="14:19" x14ac:dyDescent="0.25">
      <c r="N93" s="1"/>
      <c r="Q93" s="1"/>
      <c r="R93" s="1"/>
      <c r="S93" s="1"/>
    </row>
    <row r="94" spans="14:19" x14ac:dyDescent="0.25">
      <c r="N94" s="1"/>
      <c r="Q94" s="1"/>
      <c r="R94" s="1"/>
      <c r="S94" s="1"/>
    </row>
    <row r="95" spans="14:19" x14ac:dyDescent="0.25">
      <c r="N95" s="1"/>
      <c r="Q95" s="1"/>
      <c r="R95" s="1"/>
      <c r="S95" s="1"/>
    </row>
    <row r="96" spans="14:19" x14ac:dyDescent="0.25">
      <c r="N96" s="1"/>
      <c r="Q96" s="1"/>
      <c r="R96" s="1"/>
      <c r="S96" s="1"/>
    </row>
    <row r="97" spans="14:19" x14ac:dyDescent="0.25">
      <c r="N97" s="1"/>
      <c r="Q97" s="1"/>
      <c r="R97" s="1"/>
      <c r="S97" s="1"/>
    </row>
    <row r="98" spans="14:19" x14ac:dyDescent="0.25">
      <c r="N98" s="1"/>
      <c r="Q98" s="1"/>
      <c r="R98" s="1"/>
      <c r="S98" s="1"/>
    </row>
    <row r="99" spans="14:19" x14ac:dyDescent="0.25">
      <c r="N99" s="1"/>
      <c r="Q99" s="1"/>
      <c r="R99" s="1"/>
      <c r="S99" s="1"/>
    </row>
    <row r="100" spans="14:19" x14ac:dyDescent="0.25">
      <c r="N100" s="1"/>
      <c r="Q100" s="1"/>
      <c r="R100" s="1"/>
      <c r="S100" s="1"/>
    </row>
    <row r="101" spans="14:19" x14ac:dyDescent="0.25">
      <c r="N101" s="1"/>
      <c r="Q101" s="1"/>
      <c r="R101" s="1"/>
      <c r="S101" s="1"/>
    </row>
    <row r="102" spans="14:19" x14ac:dyDescent="0.25">
      <c r="N102" s="1"/>
      <c r="Q102" s="1"/>
      <c r="R102" s="1"/>
      <c r="S102" s="1"/>
    </row>
    <row r="103" spans="14:19" x14ac:dyDescent="0.25">
      <c r="N103" s="1"/>
      <c r="Q103" s="1"/>
      <c r="R103" s="1"/>
      <c r="S103" s="1"/>
    </row>
    <row r="104" spans="14:19" x14ac:dyDescent="0.25">
      <c r="N104" s="1"/>
      <c r="Q104" s="1"/>
      <c r="R104" s="1"/>
      <c r="S104" s="1"/>
    </row>
    <row r="105" spans="14:19" x14ac:dyDescent="0.25">
      <c r="N105" s="1"/>
      <c r="Q105" s="1"/>
      <c r="R105" s="1"/>
      <c r="S105" s="1"/>
    </row>
    <row r="106" spans="14:19" x14ac:dyDescent="0.25">
      <c r="N106" s="1"/>
      <c r="Q106" s="1"/>
      <c r="R106" s="1"/>
      <c r="S106" s="1"/>
    </row>
    <row r="107" spans="14:19" x14ac:dyDescent="0.25">
      <c r="N107" s="1"/>
      <c r="Q107" s="1"/>
      <c r="R107" s="1"/>
      <c r="S107" s="1"/>
    </row>
    <row r="108" spans="14:19" x14ac:dyDescent="0.25">
      <c r="N108" s="1"/>
      <c r="Q108" s="1"/>
      <c r="R108" s="1"/>
      <c r="S108" s="1"/>
    </row>
    <row r="109" spans="14:19" x14ac:dyDescent="0.25">
      <c r="N109" s="1"/>
      <c r="Q109" s="1"/>
      <c r="R109" s="1"/>
      <c r="S109" s="1"/>
    </row>
    <row r="110" spans="14:19" x14ac:dyDescent="0.25">
      <c r="N110" s="1"/>
      <c r="Q110" s="1"/>
      <c r="R110" s="1"/>
      <c r="S110" s="1"/>
    </row>
    <row r="111" spans="14:19" x14ac:dyDescent="0.25">
      <c r="N111" s="1"/>
      <c r="Q111" s="1"/>
      <c r="R111" s="1"/>
      <c r="S111" s="1"/>
    </row>
    <row r="112" spans="14:19" x14ac:dyDescent="0.25">
      <c r="N112" s="1"/>
      <c r="Q112" s="1"/>
      <c r="R112" s="1"/>
      <c r="S112" s="1"/>
    </row>
    <row r="113" spans="14:19" x14ac:dyDescent="0.25">
      <c r="N113" s="1"/>
      <c r="Q113" s="1"/>
      <c r="R113" s="1"/>
      <c r="S113" s="1"/>
    </row>
    <row r="114" spans="14:19" x14ac:dyDescent="0.25">
      <c r="N114" s="1"/>
      <c r="Q114" s="1"/>
      <c r="R114" s="1"/>
      <c r="S114" s="1"/>
    </row>
    <row r="115" spans="14:19" x14ac:dyDescent="0.25">
      <c r="N115" s="1"/>
      <c r="Q115" s="1"/>
      <c r="R115" s="1"/>
      <c r="S115" s="1"/>
    </row>
    <row r="116" spans="14:19" x14ac:dyDescent="0.25">
      <c r="N116" s="1"/>
      <c r="Q116" s="1"/>
      <c r="R116" s="1"/>
      <c r="S116" s="1"/>
    </row>
    <row r="117" spans="14:19" x14ac:dyDescent="0.25">
      <c r="N117" s="1"/>
      <c r="Q117" s="1"/>
      <c r="R117" s="1"/>
      <c r="S117" s="1"/>
    </row>
    <row r="118" spans="14:19" x14ac:dyDescent="0.25">
      <c r="N118" s="1"/>
      <c r="Q118" s="1"/>
      <c r="R118" s="1"/>
      <c r="S118" s="1"/>
    </row>
    <row r="119" spans="14:19" x14ac:dyDescent="0.25">
      <c r="N119" s="1"/>
      <c r="Q119" s="1"/>
      <c r="R119" s="1"/>
      <c r="S119" s="1"/>
    </row>
    <row r="120" spans="14:19" x14ac:dyDescent="0.25">
      <c r="N120" s="1"/>
      <c r="Q120" s="1"/>
      <c r="R120" s="1"/>
      <c r="S120" s="1"/>
    </row>
    <row r="121" spans="14:19" x14ac:dyDescent="0.25">
      <c r="N121" s="1"/>
      <c r="Q121" s="1"/>
      <c r="R121" s="1"/>
      <c r="S121" s="1"/>
    </row>
    <row r="122" spans="14:19" x14ac:dyDescent="0.25">
      <c r="N122" s="1"/>
      <c r="Q122" s="1"/>
      <c r="R122" s="1"/>
      <c r="S122" s="1"/>
    </row>
    <row r="123" spans="14:19" x14ac:dyDescent="0.25">
      <c r="N123" s="1"/>
      <c r="Q123" s="1"/>
      <c r="R123" s="1"/>
      <c r="S123" s="1"/>
    </row>
    <row r="124" spans="14:19" x14ac:dyDescent="0.25">
      <c r="N124" s="1"/>
      <c r="Q124" s="1"/>
      <c r="R124" s="1"/>
      <c r="S124" s="1"/>
    </row>
    <row r="125" spans="14:19" x14ac:dyDescent="0.25">
      <c r="N125" s="1"/>
      <c r="Q125" s="1"/>
      <c r="R125" s="1"/>
      <c r="S125" s="1"/>
    </row>
    <row r="126" spans="14:19" x14ac:dyDescent="0.25">
      <c r="N126" s="1"/>
      <c r="Q126" s="1"/>
      <c r="R126" s="1"/>
      <c r="S126" s="1"/>
    </row>
    <row r="127" spans="14:19" x14ac:dyDescent="0.25">
      <c r="N127" s="1"/>
      <c r="Q127" s="1"/>
      <c r="R127" s="1"/>
      <c r="S127" s="1"/>
    </row>
    <row r="128" spans="14:19" x14ac:dyDescent="0.25">
      <c r="N128" s="1"/>
      <c r="Q128" s="1"/>
      <c r="R128" s="1"/>
      <c r="S128" s="1"/>
    </row>
    <row r="129" spans="14:19" x14ac:dyDescent="0.25">
      <c r="N129" s="1"/>
      <c r="Q129" s="1"/>
      <c r="R129" s="1"/>
      <c r="S129" s="1"/>
    </row>
    <row r="130" spans="14:19" x14ac:dyDescent="0.25">
      <c r="N130" s="1"/>
      <c r="Q130" s="1"/>
      <c r="R130" s="1"/>
      <c r="S130" s="1"/>
    </row>
    <row r="131" spans="14:19" x14ac:dyDescent="0.25">
      <c r="N131" s="1"/>
      <c r="Q131" s="1"/>
      <c r="R131" s="1"/>
      <c r="S131" s="1"/>
    </row>
    <row r="132" spans="14:19" x14ac:dyDescent="0.25">
      <c r="N132" s="1"/>
      <c r="Q132" s="1"/>
      <c r="R132" s="1"/>
      <c r="S132" s="1"/>
    </row>
    <row r="133" spans="14:19" x14ac:dyDescent="0.25">
      <c r="N133" s="1"/>
      <c r="Q133" s="1"/>
      <c r="R133" s="1"/>
      <c r="S133" s="1"/>
    </row>
    <row r="134" spans="14:19" x14ac:dyDescent="0.25">
      <c r="N134" s="1"/>
      <c r="Q134" s="1"/>
      <c r="R134" s="1"/>
      <c r="S134" s="1"/>
    </row>
    <row r="135" spans="14:19" x14ac:dyDescent="0.25">
      <c r="N135" s="1"/>
      <c r="Q135" s="1"/>
      <c r="R135" s="1"/>
      <c r="S135" s="1"/>
    </row>
    <row r="136" spans="14:19" x14ac:dyDescent="0.25">
      <c r="N136" s="1"/>
      <c r="Q136" s="1"/>
      <c r="R136" s="1"/>
      <c r="S136" s="1"/>
    </row>
    <row r="137" spans="14:19" x14ac:dyDescent="0.25">
      <c r="N137" s="1"/>
      <c r="Q137" s="1"/>
      <c r="R137" s="1"/>
      <c r="S137" s="1"/>
    </row>
    <row r="138" spans="14:19" x14ac:dyDescent="0.25">
      <c r="N138" s="1"/>
      <c r="Q138" s="1"/>
      <c r="R138" s="1"/>
      <c r="S138" s="1"/>
    </row>
    <row r="139" spans="14:19" x14ac:dyDescent="0.25">
      <c r="N139" s="1"/>
      <c r="Q139" s="1"/>
      <c r="R139" s="1"/>
      <c r="S139" s="1"/>
    </row>
    <row r="140" spans="14:19" x14ac:dyDescent="0.25">
      <c r="N140" s="1"/>
      <c r="Q140" s="1"/>
      <c r="R140" s="1"/>
      <c r="S140" s="1"/>
    </row>
    <row r="141" spans="14:19" x14ac:dyDescent="0.25">
      <c r="N141" s="1"/>
      <c r="Q141" s="1"/>
      <c r="R141" s="1"/>
      <c r="S141" s="1"/>
    </row>
    <row r="142" spans="14:19" x14ac:dyDescent="0.25">
      <c r="N142" s="1"/>
      <c r="Q142" s="1"/>
      <c r="R142" s="1"/>
      <c r="S142" s="1"/>
    </row>
    <row r="143" spans="14:19" x14ac:dyDescent="0.25">
      <c r="N143" s="1"/>
      <c r="Q143" s="1"/>
      <c r="R143" s="1"/>
      <c r="S143" s="1"/>
    </row>
    <row r="144" spans="14:19" x14ac:dyDescent="0.25">
      <c r="N144" s="1"/>
      <c r="Q144" s="1"/>
      <c r="R144" s="1"/>
      <c r="S144" s="1"/>
    </row>
    <row r="145" spans="14:19" x14ac:dyDescent="0.25">
      <c r="N145" s="1"/>
      <c r="Q145" s="1"/>
      <c r="R145" s="1"/>
      <c r="S145" s="1"/>
    </row>
    <row r="146" spans="14:19" x14ac:dyDescent="0.25">
      <c r="N146" s="1"/>
      <c r="Q146" s="1"/>
      <c r="R146" s="1"/>
      <c r="S146" s="1"/>
    </row>
    <row r="147" spans="14:19" x14ac:dyDescent="0.25">
      <c r="N147" s="1"/>
      <c r="Q147" s="1"/>
      <c r="R147" s="1"/>
      <c r="S147" s="1"/>
    </row>
    <row r="148" spans="14:19" x14ac:dyDescent="0.25">
      <c r="N148" s="1"/>
      <c r="Q148" s="1"/>
      <c r="R148" s="1"/>
      <c r="S148" s="1"/>
    </row>
    <row r="149" spans="14:19" x14ac:dyDescent="0.25">
      <c r="N149" s="1"/>
      <c r="Q149" s="1"/>
      <c r="R149" s="1"/>
      <c r="S149" s="1"/>
    </row>
    <row r="150" spans="14:19" x14ac:dyDescent="0.25">
      <c r="N150" s="1"/>
      <c r="Q150" s="1"/>
      <c r="R150" s="1"/>
      <c r="S150" s="1"/>
    </row>
    <row r="151" spans="14:19" x14ac:dyDescent="0.25">
      <c r="N151" s="1"/>
      <c r="Q151" s="1"/>
      <c r="R151" s="1"/>
      <c r="S151" s="1"/>
    </row>
    <row r="152" spans="14:19" x14ac:dyDescent="0.25">
      <c r="N152" s="1"/>
      <c r="Q152" s="1"/>
      <c r="R152" s="1"/>
      <c r="S152" s="1"/>
    </row>
    <row r="153" spans="14:19" x14ac:dyDescent="0.25">
      <c r="N153" s="1"/>
      <c r="Q153" s="1"/>
      <c r="R153" s="1"/>
      <c r="S153" s="1"/>
    </row>
    <row r="154" spans="14:19" x14ac:dyDescent="0.25">
      <c r="N154" s="1"/>
      <c r="Q154" s="1"/>
      <c r="R154" s="1"/>
      <c r="S154" s="1"/>
    </row>
    <row r="155" spans="14:19" x14ac:dyDescent="0.25">
      <c r="N155" s="1"/>
      <c r="Q155" s="1"/>
      <c r="R155" s="1"/>
      <c r="S155" s="1"/>
    </row>
    <row r="156" spans="14:19" x14ac:dyDescent="0.25">
      <c r="N156" s="1"/>
      <c r="Q156" s="1"/>
      <c r="R156" s="1"/>
      <c r="S156" s="1"/>
    </row>
    <row r="157" spans="14:19" x14ac:dyDescent="0.25">
      <c r="N157" s="1"/>
      <c r="Q157" s="1"/>
      <c r="R157" s="1"/>
      <c r="S157" s="1"/>
    </row>
    <row r="158" spans="14:19" x14ac:dyDescent="0.25">
      <c r="N158" s="1"/>
      <c r="Q158" s="1"/>
      <c r="R158" s="1"/>
      <c r="S158" s="1"/>
    </row>
    <row r="159" spans="14:19" x14ac:dyDescent="0.25">
      <c r="N159" s="1"/>
      <c r="Q159" s="1"/>
      <c r="R159" s="1"/>
      <c r="S159" s="1"/>
    </row>
    <row r="160" spans="14:19" x14ac:dyDescent="0.25">
      <c r="N160" s="1"/>
      <c r="Q160" s="1"/>
      <c r="R160" s="1"/>
      <c r="S160" s="1"/>
    </row>
    <row r="161" spans="14:19" x14ac:dyDescent="0.25">
      <c r="N161" s="1"/>
      <c r="Q161" s="1"/>
      <c r="R161" s="1"/>
      <c r="S161" s="1"/>
    </row>
    <row r="162" spans="14:19" x14ac:dyDescent="0.25">
      <c r="N162" s="1"/>
      <c r="Q162" s="1"/>
      <c r="R162" s="1"/>
      <c r="S162" s="1"/>
    </row>
    <row r="163" spans="14:19" x14ac:dyDescent="0.25">
      <c r="N163" s="1"/>
      <c r="Q163" s="1"/>
      <c r="R163" s="1"/>
      <c r="S163" s="1"/>
    </row>
    <row r="164" spans="14:19" x14ac:dyDescent="0.25">
      <c r="N164" s="1"/>
      <c r="Q164" s="1"/>
      <c r="R164" s="1"/>
      <c r="S164" s="1"/>
    </row>
    <row r="165" spans="14:19" x14ac:dyDescent="0.25">
      <c r="N165" s="1"/>
      <c r="Q165" s="1"/>
      <c r="R165" s="1"/>
      <c r="S165" s="1"/>
    </row>
  </sheetData>
  <mergeCells count="5">
    <mergeCell ref="B2:M2"/>
    <mergeCell ref="F3:G3"/>
    <mergeCell ref="H3:I3"/>
    <mergeCell ref="O8:P8"/>
    <mergeCell ref="F66:K66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S24"/>
  <sheetViews>
    <sheetView showGridLines="0" zoomScale="85" zoomScaleNormal="85" workbookViewId="0">
      <selection activeCell="J18" sqref="J18"/>
    </sheetView>
  </sheetViews>
  <sheetFormatPr defaultRowHeight="15" x14ac:dyDescent="0.25"/>
  <cols>
    <col min="1" max="2" width="9.140625" style="348"/>
    <col min="3" max="3" width="9.140625" style="344"/>
    <col min="4" max="4" width="11.42578125" style="344" customWidth="1"/>
    <col min="5" max="5" width="10.7109375" style="344" customWidth="1"/>
    <col min="6" max="6" width="9.140625" style="344"/>
    <col min="7" max="7" width="5.28515625" style="344" customWidth="1"/>
    <col min="8" max="8" width="5" style="344" customWidth="1"/>
    <col min="9" max="9" width="9.140625" style="344"/>
    <col min="10" max="10" width="13.140625" style="344" customWidth="1"/>
    <col min="11" max="11" width="11.140625" style="344" customWidth="1"/>
    <col min="12" max="12" width="10.85546875" style="344" customWidth="1"/>
    <col min="13" max="14" width="9.140625" style="344"/>
    <col min="15" max="16" width="9.140625" style="348"/>
    <col min="17" max="17" width="15.7109375" style="348" customWidth="1"/>
    <col min="18" max="16384" width="9.140625" style="348"/>
  </cols>
  <sheetData>
    <row r="2" spans="3:19" x14ac:dyDescent="0.25">
      <c r="J2" s="345"/>
      <c r="K2" s="346"/>
      <c r="L2" s="347" t="s">
        <v>196</v>
      </c>
      <c r="Q2" s="349">
        <f>SUM(I4:O4)</f>
        <v>0.99604791765115952</v>
      </c>
    </row>
    <row r="3" spans="3:19" ht="33.75" x14ac:dyDescent="0.25">
      <c r="C3" s="350" t="s">
        <v>197</v>
      </c>
      <c r="D3" s="345" t="str">
        <f>'Analise Granul.. - Ag Miúdo'!$J$5</f>
        <v>Areia mista</v>
      </c>
      <c r="E3" s="351" t="str">
        <f>'Pedra 0+1'!$C$6</f>
        <v xml:space="preserve"> % de mistuta graúdo</v>
      </c>
      <c r="F3" s="345" t="s">
        <v>119</v>
      </c>
      <c r="I3" s="347" t="str">
        <f>'Dosagem '!$E$31</f>
        <v>Cimento:</v>
      </c>
      <c r="J3" s="352" t="str">
        <f>'Analise Granul.. - Ag Miúdo'!$D$6</f>
        <v>Ag.miúdo 1:</v>
      </c>
      <c r="K3" s="347" t="str">
        <f>'Analise Granul.. - Ag Miúdo'!$E$6</f>
        <v>Ag.miúdo 2:</v>
      </c>
      <c r="L3" s="347" t="str">
        <f>'Analise Granul.. - Ag Miúdo'!$F$6</f>
        <v>Ag.miúdo 3:</v>
      </c>
      <c r="M3" s="352" t="str">
        <f>'Dosagem '!$E$36</f>
        <v>Ag.graúdo 1:</v>
      </c>
      <c r="N3" s="347" t="str">
        <f>'Dosagem '!$E$37</f>
        <v>Ag.graúdo 2:</v>
      </c>
      <c r="O3" s="347" t="str">
        <f>'Dosagem '!$E$38</f>
        <v>Ag.graúdo 3:</v>
      </c>
      <c r="Q3" s="353" t="s">
        <v>198</v>
      </c>
    </row>
    <row r="4" spans="3:19" x14ac:dyDescent="0.25">
      <c r="C4" s="350" t="s">
        <v>199</v>
      </c>
      <c r="D4" s="345" t="s">
        <v>195</v>
      </c>
      <c r="E4" s="354" t="str">
        <f>'Pedra 0+1'!$C$7</f>
        <v>Acumulado</v>
      </c>
      <c r="F4" s="345"/>
      <c r="I4" s="355">
        <f>'Dosagem '!$R$31</f>
        <v>0.1498703962396786</v>
      </c>
      <c r="J4" s="356">
        <f>'Dosagem '!$R$33</f>
        <v>6.7224393557617862E-2</v>
      </c>
      <c r="K4" s="355">
        <f>'Dosagem '!$R$34</f>
        <v>0.26889757423047145</v>
      </c>
      <c r="L4" s="355">
        <f>'Dosagem '!$R$35</f>
        <v>0</v>
      </c>
      <c r="M4" s="356">
        <f>'Dosagem '!$R$36</f>
        <v>0.1530166660870175</v>
      </c>
      <c r="N4" s="355">
        <f>'Dosagem '!$R$37</f>
        <v>0.35703888753637414</v>
      </c>
      <c r="O4" s="357">
        <f>'Dosagem '!$R$38</f>
        <v>0</v>
      </c>
      <c r="Q4" s="358" t="s">
        <v>200</v>
      </c>
      <c r="S4" s="359"/>
    </row>
    <row r="5" spans="3:19" x14ac:dyDescent="0.25">
      <c r="C5" s="360"/>
      <c r="D5" s="361" t="str">
        <f>'Analise Granul.. - Ag Miúdo'!$J$7</f>
        <v>( % )</v>
      </c>
      <c r="E5" s="362" t="s">
        <v>150</v>
      </c>
      <c r="F5" s="361" t="s">
        <v>150</v>
      </c>
      <c r="I5" s="363"/>
      <c r="J5" s="364"/>
      <c r="K5" s="363"/>
      <c r="L5" s="363"/>
      <c r="M5" s="364"/>
      <c r="N5" s="363"/>
      <c r="O5" s="365"/>
      <c r="Q5" s="366"/>
      <c r="S5" s="359"/>
    </row>
    <row r="6" spans="3:19" x14ac:dyDescent="0.25">
      <c r="C6" s="350">
        <v>76</v>
      </c>
      <c r="D6" s="345"/>
      <c r="E6" s="354"/>
      <c r="F6" s="345"/>
      <c r="I6" s="345"/>
      <c r="J6" s="367"/>
      <c r="K6" s="345"/>
      <c r="L6" s="345"/>
      <c r="M6" s="367"/>
      <c r="N6" s="345"/>
      <c r="O6" s="368"/>
      <c r="Q6" s="369"/>
      <c r="S6" s="359">
        <f t="shared" ref="S6:S21" si="0">100-Q6</f>
        <v>100</v>
      </c>
    </row>
    <row r="7" spans="3:19" x14ac:dyDescent="0.25">
      <c r="C7" s="350">
        <v>64</v>
      </c>
      <c r="D7" s="345"/>
      <c r="E7" s="354"/>
      <c r="F7" s="345"/>
      <c r="I7" s="345"/>
      <c r="J7" s="367"/>
      <c r="K7" s="345"/>
      <c r="L7" s="345"/>
      <c r="M7" s="367"/>
      <c r="N7" s="345"/>
      <c r="O7" s="368"/>
      <c r="Q7" s="370">
        <f>SUM(I7:O7)</f>
        <v>0</v>
      </c>
      <c r="S7" s="359">
        <f t="shared" si="0"/>
        <v>100</v>
      </c>
    </row>
    <row r="8" spans="3:19" x14ac:dyDescent="0.25">
      <c r="C8" s="350">
        <v>50</v>
      </c>
      <c r="D8" s="345"/>
      <c r="E8" s="354">
        <v>0</v>
      </c>
      <c r="F8" s="345"/>
      <c r="I8" s="345"/>
      <c r="J8" s="367"/>
      <c r="K8" s="345"/>
      <c r="L8" s="345"/>
      <c r="M8" s="371">
        <f>$M$4*E8</f>
        <v>0</v>
      </c>
      <c r="N8" s="372">
        <f>$N$4*E8</f>
        <v>0</v>
      </c>
      <c r="O8" s="372">
        <f>$O$4*E8</f>
        <v>0</v>
      </c>
      <c r="Q8" s="370">
        <f t="shared" ref="Q8:Q20" si="1">SUM(I8:O8)</f>
        <v>0</v>
      </c>
      <c r="S8" s="359">
        <f t="shared" si="0"/>
        <v>100</v>
      </c>
    </row>
    <row r="9" spans="3:19" x14ac:dyDescent="0.25">
      <c r="C9" s="350">
        <v>38</v>
      </c>
      <c r="D9" s="345"/>
      <c r="E9" s="354">
        <f>'Pedra 0+1'!$D$11</f>
        <v>0</v>
      </c>
      <c r="F9" s="345"/>
      <c r="I9" s="345"/>
      <c r="J9" s="367"/>
      <c r="K9" s="345"/>
      <c r="L9" s="345"/>
      <c r="M9" s="371">
        <f t="shared" ref="M9:M21" si="2">$M$4*E9</f>
        <v>0</v>
      </c>
      <c r="N9" s="372">
        <f t="shared" ref="N9:N21" si="3">$N$4*E9</f>
        <v>0</v>
      </c>
      <c r="O9" s="372">
        <f t="shared" ref="O9:O23" si="4">$O$4*E9</f>
        <v>0</v>
      </c>
      <c r="Q9" s="370">
        <f t="shared" si="1"/>
        <v>0</v>
      </c>
      <c r="S9" s="359">
        <f t="shared" si="0"/>
        <v>100</v>
      </c>
    </row>
    <row r="10" spans="3:19" x14ac:dyDescent="0.25">
      <c r="C10" s="350">
        <v>32</v>
      </c>
      <c r="D10" s="345"/>
      <c r="E10" s="354">
        <f>'Pedra 0+1'!$E$11</f>
        <v>0</v>
      </c>
      <c r="F10" s="345"/>
      <c r="I10" s="345"/>
      <c r="J10" s="367"/>
      <c r="K10" s="345"/>
      <c r="L10" s="345"/>
      <c r="M10" s="371">
        <f t="shared" si="2"/>
        <v>0</v>
      </c>
      <c r="N10" s="372">
        <f t="shared" si="3"/>
        <v>0</v>
      </c>
      <c r="O10" s="372">
        <f t="shared" si="4"/>
        <v>0</v>
      </c>
      <c r="Q10" s="370">
        <f t="shared" si="1"/>
        <v>0</v>
      </c>
      <c r="S10" s="359">
        <f t="shared" si="0"/>
        <v>100</v>
      </c>
    </row>
    <row r="11" spans="3:19" x14ac:dyDescent="0.25">
      <c r="C11" s="350">
        <v>25</v>
      </c>
      <c r="D11" s="345"/>
      <c r="E11" s="354">
        <f>'Pedra 0+1'!$F$11</f>
        <v>0</v>
      </c>
      <c r="F11" s="345"/>
      <c r="I11" s="345"/>
      <c r="J11" s="367"/>
      <c r="K11" s="345"/>
      <c r="L11" s="345"/>
      <c r="M11" s="371">
        <f t="shared" si="2"/>
        <v>0</v>
      </c>
      <c r="N11" s="372">
        <f t="shared" si="3"/>
        <v>0</v>
      </c>
      <c r="O11" s="372">
        <f t="shared" si="4"/>
        <v>0</v>
      </c>
      <c r="Q11" s="370">
        <f t="shared" si="1"/>
        <v>0</v>
      </c>
      <c r="S11" s="359">
        <f t="shared" si="0"/>
        <v>100</v>
      </c>
    </row>
    <row r="12" spans="3:19" ht="30" customHeight="1" x14ac:dyDescent="0.25">
      <c r="C12" s="350">
        <v>19</v>
      </c>
      <c r="D12" s="373"/>
      <c r="E12" s="354">
        <f>'Pedra 0+1'!$G$11</f>
        <v>2.0999999999999996</v>
      </c>
      <c r="F12" s="345"/>
      <c r="I12" s="345"/>
      <c r="J12" s="367"/>
      <c r="K12" s="345"/>
      <c r="L12" s="345"/>
      <c r="M12" s="371">
        <f t="shared" si="2"/>
        <v>0.32133499878273669</v>
      </c>
      <c r="N12" s="372">
        <f t="shared" si="3"/>
        <v>0.74978166382638556</v>
      </c>
      <c r="O12" s="372">
        <f t="shared" si="4"/>
        <v>0</v>
      </c>
      <c r="Q12" s="370">
        <f t="shared" si="1"/>
        <v>1.0711166626091222</v>
      </c>
      <c r="S12" s="359">
        <f>100-Q12</f>
        <v>98.928883337390872</v>
      </c>
    </row>
    <row r="13" spans="3:19" x14ac:dyDescent="0.25">
      <c r="C13" s="350">
        <v>12.5</v>
      </c>
      <c r="D13" s="345"/>
      <c r="E13" s="354">
        <f>'Pedra 0+1'!$H$11</f>
        <v>48.3</v>
      </c>
      <c r="F13" s="345"/>
      <c r="I13" s="345"/>
      <c r="J13" s="367"/>
      <c r="K13" s="345"/>
      <c r="L13" s="373"/>
      <c r="M13" s="371">
        <f t="shared" si="2"/>
        <v>7.3907049720029452</v>
      </c>
      <c r="N13" s="372">
        <f t="shared" si="3"/>
        <v>17.244978268006872</v>
      </c>
      <c r="O13" s="372">
        <f t="shared" si="4"/>
        <v>0</v>
      </c>
      <c r="Q13" s="370">
        <f t="shared" si="1"/>
        <v>24.635683240009818</v>
      </c>
      <c r="S13" s="359">
        <f t="shared" si="0"/>
        <v>75.364316759990174</v>
      </c>
    </row>
    <row r="14" spans="3:19" x14ac:dyDescent="0.25">
      <c r="C14" s="350">
        <v>9.5</v>
      </c>
      <c r="D14" s="374"/>
      <c r="E14" s="354">
        <f>'Pedra 0+1'!$I$11</f>
        <v>65.5</v>
      </c>
      <c r="F14" s="345"/>
      <c r="I14" s="345"/>
      <c r="J14" s="367"/>
      <c r="K14" s="345"/>
      <c r="L14" s="345"/>
      <c r="M14" s="371">
        <f t="shared" si="2"/>
        <v>10.022591628699645</v>
      </c>
      <c r="N14" s="372">
        <f t="shared" si="3"/>
        <v>23.386047133632506</v>
      </c>
      <c r="O14" s="372">
        <f t="shared" si="4"/>
        <v>0</v>
      </c>
      <c r="Q14" s="370">
        <f t="shared" si="1"/>
        <v>33.408638762332153</v>
      </c>
      <c r="S14" s="359">
        <f t="shared" si="0"/>
        <v>66.591361237667854</v>
      </c>
    </row>
    <row r="15" spans="3:19" x14ac:dyDescent="0.25">
      <c r="C15" s="350">
        <v>6.3</v>
      </c>
      <c r="D15" s="374"/>
      <c r="E15" s="354">
        <f>'Pedra 0+1'!$J$11</f>
        <v>88.199999999999989</v>
      </c>
      <c r="F15" s="345"/>
      <c r="I15" s="345"/>
      <c r="J15" s="367"/>
      <c r="K15" s="345"/>
      <c r="L15" s="345"/>
      <c r="M15" s="371">
        <f t="shared" si="2"/>
        <v>13.496069948874942</v>
      </c>
      <c r="N15" s="372">
        <f t="shared" si="3"/>
        <v>31.490829880708194</v>
      </c>
      <c r="O15" s="372">
        <f t="shared" si="4"/>
        <v>0</v>
      </c>
      <c r="Q15" s="370">
        <f t="shared" si="1"/>
        <v>44.986899829583137</v>
      </c>
      <c r="S15" s="359">
        <f t="shared" si="0"/>
        <v>55.013100170416863</v>
      </c>
    </row>
    <row r="16" spans="3:19" x14ac:dyDescent="0.25">
      <c r="C16" s="350">
        <v>4.8</v>
      </c>
      <c r="D16" s="374">
        <f>'Analise Granul.. - Ag Miúdo'!$K$9</f>
        <v>2.54</v>
      </c>
      <c r="E16" s="354">
        <f>'Pedra 0+1'!$K$11</f>
        <v>96.4</v>
      </c>
      <c r="F16" s="345"/>
      <c r="I16" s="375"/>
      <c r="J16" s="371">
        <f t="shared" ref="J16:J23" si="5">$J$4*D16</f>
        <v>0.17074995963634937</v>
      </c>
      <c r="K16" s="372">
        <f>$K$4*D16</f>
        <v>0.68299983854539748</v>
      </c>
      <c r="L16" s="372">
        <f>$L$4*D16</f>
        <v>0</v>
      </c>
      <c r="M16" s="371">
        <f t="shared" si="2"/>
        <v>14.750806610788487</v>
      </c>
      <c r="N16" s="372">
        <f t="shared" si="3"/>
        <v>34.418548758506468</v>
      </c>
      <c r="O16" s="372">
        <f t="shared" si="4"/>
        <v>0</v>
      </c>
      <c r="Q16" s="370">
        <f t="shared" si="1"/>
        <v>50.0231051674767</v>
      </c>
      <c r="S16" s="359">
        <f t="shared" si="0"/>
        <v>49.9768948325233</v>
      </c>
    </row>
    <row r="17" spans="3:19" x14ac:dyDescent="0.25">
      <c r="C17" s="350">
        <v>2.4</v>
      </c>
      <c r="D17" s="374">
        <f>'Analise Granul.. - Ag Miúdo'!$K$10</f>
        <v>16.220000000000002</v>
      </c>
      <c r="E17" s="354">
        <f>'Pedra 0+1'!$L$11</f>
        <v>98.5</v>
      </c>
      <c r="F17" s="345"/>
      <c r="I17" s="345"/>
      <c r="J17" s="376">
        <f>$J$4*D17</f>
        <v>1.0903796635045619</v>
      </c>
      <c r="K17" s="372">
        <f t="shared" ref="K17:K21" si="6">$K$4*D17</f>
        <v>4.3615186540182478</v>
      </c>
      <c r="L17" s="372">
        <f t="shared" ref="L17:L21" si="7">$L$4*D17</f>
        <v>0</v>
      </c>
      <c r="M17" s="371">
        <f t="shared" si="2"/>
        <v>15.072141609571224</v>
      </c>
      <c r="N17" s="372">
        <f t="shared" si="3"/>
        <v>35.168330422332851</v>
      </c>
      <c r="O17" s="372">
        <f t="shared" si="4"/>
        <v>0</v>
      </c>
      <c r="Q17" s="370">
        <f t="shared" si="1"/>
        <v>55.692370349426881</v>
      </c>
      <c r="S17" s="359">
        <f t="shared" si="0"/>
        <v>44.307629650573119</v>
      </c>
    </row>
    <row r="18" spans="3:19" x14ac:dyDescent="0.25">
      <c r="C18" s="350">
        <v>1.2</v>
      </c>
      <c r="D18" s="374">
        <f>'Analise Granul.. - Ag Miúdo'!$K$11</f>
        <v>29.160000000000004</v>
      </c>
      <c r="E18" s="354">
        <v>100</v>
      </c>
      <c r="F18" s="345"/>
      <c r="I18" s="345"/>
      <c r="J18" s="371">
        <f t="shared" si="5"/>
        <v>1.960263316140137</v>
      </c>
      <c r="K18" s="372">
        <f>$K$4*D18</f>
        <v>7.8410532645605482</v>
      </c>
      <c r="L18" s="372">
        <f t="shared" si="7"/>
        <v>0</v>
      </c>
      <c r="M18" s="371">
        <f t="shared" si="2"/>
        <v>15.301666608701749</v>
      </c>
      <c r="N18" s="372">
        <f t="shared" si="3"/>
        <v>35.703888753637415</v>
      </c>
      <c r="O18" s="372">
        <f t="shared" si="4"/>
        <v>0</v>
      </c>
      <c r="Q18" s="370">
        <f t="shared" si="1"/>
        <v>60.806871943039852</v>
      </c>
      <c r="S18" s="359">
        <f t="shared" si="0"/>
        <v>39.193128056960148</v>
      </c>
    </row>
    <row r="19" spans="3:19" x14ac:dyDescent="0.25">
      <c r="C19" s="350">
        <v>0.6</v>
      </c>
      <c r="D19" s="374">
        <f>'Analise Granul.. - Ag Miúdo'!$K$12</f>
        <v>48.160000000000011</v>
      </c>
      <c r="E19" s="354">
        <v>100</v>
      </c>
      <c r="F19" s="345"/>
      <c r="I19" s="345"/>
      <c r="J19" s="371">
        <f t="shared" si="5"/>
        <v>3.2375267937348768</v>
      </c>
      <c r="K19" s="372">
        <f t="shared" si="6"/>
        <v>12.950107174939507</v>
      </c>
      <c r="L19" s="372">
        <f t="shared" si="7"/>
        <v>0</v>
      </c>
      <c r="M19" s="371">
        <f t="shared" si="2"/>
        <v>15.301666608701749</v>
      </c>
      <c r="N19" s="372">
        <f t="shared" si="3"/>
        <v>35.703888753637415</v>
      </c>
      <c r="O19" s="372">
        <f t="shared" si="4"/>
        <v>0</v>
      </c>
      <c r="Q19" s="370">
        <f t="shared" si="1"/>
        <v>67.193189331013542</v>
      </c>
      <c r="S19" s="359">
        <f>100-Q19</f>
        <v>32.806810668986458</v>
      </c>
    </row>
    <row r="20" spans="3:19" x14ac:dyDescent="0.25">
      <c r="C20" s="350">
        <v>0.3</v>
      </c>
      <c r="D20" s="374">
        <f>'Analise Granul.. - Ag Miúdo'!$K$13</f>
        <v>73.02000000000001</v>
      </c>
      <c r="E20" s="354">
        <v>100</v>
      </c>
      <c r="F20" s="345"/>
      <c r="I20" s="345"/>
      <c r="J20" s="371">
        <f t="shared" si="5"/>
        <v>4.9087252175772571</v>
      </c>
      <c r="K20" s="372">
        <f t="shared" si="6"/>
        <v>19.634900870309028</v>
      </c>
      <c r="L20" s="372">
        <f t="shared" si="7"/>
        <v>0</v>
      </c>
      <c r="M20" s="371">
        <f t="shared" si="2"/>
        <v>15.301666608701749</v>
      </c>
      <c r="N20" s="372">
        <f t="shared" si="3"/>
        <v>35.703888753637415</v>
      </c>
      <c r="O20" s="372">
        <f t="shared" si="4"/>
        <v>0</v>
      </c>
      <c r="Q20" s="370">
        <f t="shared" si="1"/>
        <v>75.549181450225447</v>
      </c>
      <c r="S20" s="359">
        <f t="shared" si="0"/>
        <v>24.450818549774553</v>
      </c>
    </row>
    <row r="21" spans="3:19" x14ac:dyDescent="0.25">
      <c r="C21" s="350">
        <v>0.15</v>
      </c>
      <c r="D21" s="374">
        <f>'Analise Granul.. - Ag Miúdo'!$K$14</f>
        <v>89.52000000000001</v>
      </c>
      <c r="E21" s="354">
        <v>100</v>
      </c>
      <c r="F21" s="345"/>
      <c r="I21" s="345"/>
      <c r="J21" s="371">
        <f t="shared" si="5"/>
        <v>6.0179277112779515</v>
      </c>
      <c r="K21" s="372">
        <f t="shared" si="6"/>
        <v>24.071710845111806</v>
      </c>
      <c r="L21" s="372">
        <f t="shared" si="7"/>
        <v>0</v>
      </c>
      <c r="M21" s="371">
        <f t="shared" si="2"/>
        <v>15.301666608701749</v>
      </c>
      <c r="N21" s="372">
        <f t="shared" si="3"/>
        <v>35.703888753637415</v>
      </c>
      <c r="O21" s="372">
        <f t="shared" si="4"/>
        <v>0</v>
      </c>
      <c r="Q21" s="370">
        <f>SUM(I21:O21)</f>
        <v>81.095193918728924</v>
      </c>
      <c r="S21" s="359">
        <f t="shared" si="0"/>
        <v>18.904806081271076</v>
      </c>
    </row>
    <row r="22" spans="3:19" x14ac:dyDescent="0.25">
      <c r="C22" s="350">
        <v>7.4999999999999997E-2</v>
      </c>
      <c r="D22" s="374">
        <v>100</v>
      </c>
      <c r="E22" s="354">
        <v>100</v>
      </c>
      <c r="F22" s="345">
        <v>0.55000000000000004</v>
      </c>
      <c r="I22" s="374">
        <f>I4*F22</f>
        <v>8.2428717931823242E-2</v>
      </c>
      <c r="J22" s="371">
        <f>$J$4*D22</f>
        <v>6.7224393557617859</v>
      </c>
      <c r="K22" s="372">
        <f>$K$4*D22</f>
        <v>26.889757423047143</v>
      </c>
      <c r="L22" s="372">
        <f>$L$4*D22</f>
        <v>0</v>
      </c>
      <c r="M22" s="371">
        <f>$M$4*E22</f>
        <v>15.301666608701749</v>
      </c>
      <c r="N22" s="372">
        <f>$N$4*E22</f>
        <v>35.703888753637415</v>
      </c>
      <c r="O22" s="372">
        <f>$O$4*E22</f>
        <v>0</v>
      </c>
      <c r="Q22" s="370">
        <f>SUM(I22:O22)</f>
        <v>84.700180859079921</v>
      </c>
      <c r="S22" s="359">
        <f>100-Q22</f>
        <v>15.299819140920079</v>
      </c>
    </row>
    <row r="23" spans="3:19" x14ac:dyDescent="0.25">
      <c r="C23" s="377" t="s">
        <v>201</v>
      </c>
      <c r="D23" s="378">
        <f>'Analise Granul.. - Ag Miúdo'!$K$15</f>
        <v>99.980000000000018</v>
      </c>
      <c r="E23" s="379">
        <f>'Pedra 0+1'!$M$11</f>
        <v>100</v>
      </c>
      <c r="F23" s="380">
        <v>100</v>
      </c>
      <c r="G23" s="381"/>
      <c r="H23" s="381"/>
      <c r="I23" s="380"/>
      <c r="J23" s="382">
        <f t="shared" si="5"/>
        <v>6.7210948678906348</v>
      </c>
      <c r="K23" s="383">
        <f>$K$4*D23</f>
        <v>26.884379471562539</v>
      </c>
      <c r="L23" s="383">
        <f>$L$4*D23</f>
        <v>0</v>
      </c>
      <c r="M23" s="382">
        <f>$M$4*E23</f>
        <v>15.301666608701749</v>
      </c>
      <c r="N23" s="383">
        <f>$N$4*E23</f>
        <v>35.703888753637415</v>
      </c>
      <c r="O23" s="383">
        <f t="shared" si="4"/>
        <v>0</v>
      </c>
      <c r="P23" s="384"/>
      <c r="Q23" s="385">
        <f>SUM(I23:O23)</f>
        <v>84.611029701792347</v>
      </c>
    </row>
    <row r="24" spans="3:19" x14ac:dyDescent="0.25">
      <c r="C24" s="350" t="s">
        <v>202</v>
      </c>
      <c r="D24" s="345"/>
      <c r="E24" s="345"/>
      <c r="F24" s="34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N83"/>
  <sheetViews>
    <sheetView showGridLines="0" view="pageBreakPreview" topLeftCell="S7" zoomScale="85" zoomScaleNormal="55" zoomScaleSheetLayoutView="85" workbookViewId="0">
      <selection activeCell="AL20" sqref="AL20"/>
    </sheetView>
  </sheetViews>
  <sheetFormatPr defaultRowHeight="15" x14ac:dyDescent="0.25"/>
  <cols>
    <col min="1" max="1" width="0" hidden="1" customWidth="1"/>
    <col min="2" max="2" width="9.140625" hidden="1" customWidth="1"/>
    <col min="3" max="3" width="8.42578125" hidden="1" customWidth="1"/>
    <col min="4" max="4" width="4.28515625" hidden="1" customWidth="1"/>
    <col min="5" max="5" width="17.140625" style="20" hidden="1" customWidth="1"/>
    <col min="6" max="6" width="10.5703125" style="20" hidden="1" customWidth="1"/>
    <col min="7" max="7" width="9.85546875" style="20" hidden="1" customWidth="1"/>
    <col min="8" max="8" width="11.42578125" style="20" hidden="1" customWidth="1"/>
    <col min="9" max="9" width="8" style="20" hidden="1" customWidth="1"/>
    <col min="10" max="10" width="10.28515625" style="20" hidden="1" customWidth="1"/>
    <col min="11" max="11" width="14.85546875" style="20" hidden="1" customWidth="1"/>
    <col min="12" max="12" width="9.7109375" style="20" hidden="1" customWidth="1"/>
    <col min="13" max="13" width="10.42578125" style="20" hidden="1" customWidth="1"/>
    <col min="14" max="14" width="10.5703125" style="20" hidden="1" customWidth="1"/>
    <col min="15" max="15" width="8.28515625" style="20" hidden="1" customWidth="1"/>
    <col min="16" max="16" width="13.140625" style="20" hidden="1" customWidth="1"/>
    <col min="17" max="17" width="0" hidden="1" customWidth="1"/>
    <col min="18" max="18" width="11" hidden="1" customWidth="1"/>
    <col min="19" max="19" width="2.42578125" customWidth="1"/>
    <col min="20" max="21" width="6.42578125" style="348" customWidth="1"/>
    <col min="22" max="22" width="14.140625" style="348" customWidth="1"/>
    <col min="23" max="23" width="16.140625" style="348" customWidth="1"/>
    <col min="24" max="24" width="11" style="348" customWidth="1"/>
    <col min="25" max="25" width="13.28515625" style="348" customWidth="1"/>
    <col min="26" max="26" width="6.42578125" style="348" customWidth="1"/>
    <col min="27" max="27" width="10.5703125" style="348" customWidth="1"/>
    <col min="28" max="29" width="12.85546875" style="348" customWidth="1"/>
    <col min="30" max="30" width="9.42578125" style="348" customWidth="1"/>
    <col min="31" max="31" width="7.42578125" style="348" customWidth="1"/>
    <col min="32" max="32" width="19.42578125" style="348" customWidth="1"/>
    <col min="33" max="33" width="9.140625" style="348"/>
    <col min="35" max="35" width="13.85546875" customWidth="1"/>
    <col min="36" max="36" width="3.42578125" customWidth="1"/>
    <col min="37" max="37" width="13.7109375" customWidth="1"/>
    <col min="38" max="38" width="11" customWidth="1"/>
    <col min="259" max="259" width="9.140625" customWidth="1"/>
    <col min="260" max="260" width="0" hidden="1" customWidth="1"/>
    <col min="261" max="261" width="4.28515625" customWidth="1"/>
    <col min="262" max="262" width="17.140625" customWidth="1"/>
    <col min="263" max="263" width="10.28515625" bestFit="1" customWidth="1"/>
    <col min="264" max="264" width="9.7109375" customWidth="1"/>
    <col min="265" max="265" width="11" customWidth="1"/>
    <col min="266" max="266" width="11.140625" customWidth="1"/>
    <col min="267" max="267" width="10.28515625" customWidth="1"/>
    <col min="268" max="268" width="14.85546875" customWidth="1"/>
    <col min="269" max="269" width="9.7109375" customWidth="1"/>
    <col min="270" max="270" width="10.42578125" customWidth="1"/>
    <col min="271" max="271" width="9.5703125" customWidth="1"/>
    <col min="272" max="272" width="8.28515625" customWidth="1"/>
    <col min="273" max="273" width="13.140625" customWidth="1"/>
    <col min="515" max="515" width="9.140625" customWidth="1"/>
    <col min="516" max="516" width="0" hidden="1" customWidth="1"/>
    <col min="517" max="517" width="4.28515625" customWidth="1"/>
    <col min="518" max="518" width="17.140625" customWidth="1"/>
    <col min="519" max="519" width="10.28515625" bestFit="1" customWidth="1"/>
    <col min="520" max="520" width="9.7109375" customWidth="1"/>
    <col min="521" max="521" width="11" customWidth="1"/>
    <col min="522" max="522" width="11.140625" customWidth="1"/>
    <col min="523" max="523" width="10.28515625" customWidth="1"/>
    <col min="524" max="524" width="14.85546875" customWidth="1"/>
    <col min="525" max="525" width="9.7109375" customWidth="1"/>
    <col min="526" max="526" width="10.42578125" customWidth="1"/>
    <col min="527" max="527" width="9.5703125" customWidth="1"/>
    <col min="528" max="528" width="8.28515625" customWidth="1"/>
    <col min="529" max="529" width="13.140625" customWidth="1"/>
    <col min="771" max="771" width="9.140625" customWidth="1"/>
    <col min="772" max="772" width="0" hidden="1" customWidth="1"/>
    <col min="773" max="773" width="4.28515625" customWidth="1"/>
    <col min="774" max="774" width="17.140625" customWidth="1"/>
    <col min="775" max="775" width="10.28515625" bestFit="1" customWidth="1"/>
    <col min="776" max="776" width="9.7109375" customWidth="1"/>
    <col min="777" max="777" width="11" customWidth="1"/>
    <col min="778" max="778" width="11.140625" customWidth="1"/>
    <col min="779" max="779" width="10.28515625" customWidth="1"/>
    <col min="780" max="780" width="14.85546875" customWidth="1"/>
    <col min="781" max="781" width="9.7109375" customWidth="1"/>
    <col min="782" max="782" width="10.42578125" customWidth="1"/>
    <col min="783" max="783" width="9.5703125" customWidth="1"/>
    <col min="784" max="784" width="8.28515625" customWidth="1"/>
    <col min="785" max="785" width="13.140625" customWidth="1"/>
    <col min="1027" max="1027" width="9.140625" customWidth="1"/>
    <col min="1028" max="1028" width="0" hidden="1" customWidth="1"/>
    <col min="1029" max="1029" width="4.28515625" customWidth="1"/>
    <col min="1030" max="1030" width="17.140625" customWidth="1"/>
    <col min="1031" max="1031" width="10.28515625" bestFit="1" customWidth="1"/>
    <col min="1032" max="1032" width="9.7109375" customWidth="1"/>
    <col min="1033" max="1033" width="11" customWidth="1"/>
    <col min="1034" max="1034" width="11.140625" customWidth="1"/>
    <col min="1035" max="1035" width="10.28515625" customWidth="1"/>
    <col min="1036" max="1036" width="14.85546875" customWidth="1"/>
    <col min="1037" max="1037" width="9.7109375" customWidth="1"/>
    <col min="1038" max="1038" width="10.42578125" customWidth="1"/>
    <col min="1039" max="1039" width="9.5703125" customWidth="1"/>
    <col min="1040" max="1040" width="8.28515625" customWidth="1"/>
    <col min="1041" max="1041" width="13.140625" customWidth="1"/>
    <col min="1283" max="1283" width="9.140625" customWidth="1"/>
    <col min="1284" max="1284" width="0" hidden="1" customWidth="1"/>
    <col min="1285" max="1285" width="4.28515625" customWidth="1"/>
    <col min="1286" max="1286" width="17.140625" customWidth="1"/>
    <col min="1287" max="1287" width="10.28515625" bestFit="1" customWidth="1"/>
    <col min="1288" max="1288" width="9.7109375" customWidth="1"/>
    <col min="1289" max="1289" width="11" customWidth="1"/>
    <col min="1290" max="1290" width="11.140625" customWidth="1"/>
    <col min="1291" max="1291" width="10.28515625" customWidth="1"/>
    <col min="1292" max="1292" width="14.85546875" customWidth="1"/>
    <col min="1293" max="1293" width="9.7109375" customWidth="1"/>
    <col min="1294" max="1294" width="10.42578125" customWidth="1"/>
    <col min="1295" max="1295" width="9.5703125" customWidth="1"/>
    <col min="1296" max="1296" width="8.28515625" customWidth="1"/>
    <col min="1297" max="1297" width="13.140625" customWidth="1"/>
    <col min="1539" max="1539" width="9.140625" customWidth="1"/>
    <col min="1540" max="1540" width="0" hidden="1" customWidth="1"/>
    <col min="1541" max="1541" width="4.28515625" customWidth="1"/>
    <col min="1542" max="1542" width="17.140625" customWidth="1"/>
    <col min="1543" max="1543" width="10.28515625" bestFit="1" customWidth="1"/>
    <col min="1544" max="1544" width="9.7109375" customWidth="1"/>
    <col min="1545" max="1545" width="11" customWidth="1"/>
    <col min="1546" max="1546" width="11.140625" customWidth="1"/>
    <col min="1547" max="1547" width="10.28515625" customWidth="1"/>
    <col min="1548" max="1548" width="14.85546875" customWidth="1"/>
    <col min="1549" max="1549" width="9.7109375" customWidth="1"/>
    <col min="1550" max="1550" width="10.42578125" customWidth="1"/>
    <col min="1551" max="1551" width="9.5703125" customWidth="1"/>
    <col min="1552" max="1552" width="8.28515625" customWidth="1"/>
    <col min="1553" max="1553" width="13.140625" customWidth="1"/>
    <col min="1795" max="1795" width="9.140625" customWidth="1"/>
    <col min="1796" max="1796" width="0" hidden="1" customWidth="1"/>
    <col min="1797" max="1797" width="4.28515625" customWidth="1"/>
    <col min="1798" max="1798" width="17.140625" customWidth="1"/>
    <col min="1799" max="1799" width="10.28515625" bestFit="1" customWidth="1"/>
    <col min="1800" max="1800" width="9.7109375" customWidth="1"/>
    <col min="1801" max="1801" width="11" customWidth="1"/>
    <col min="1802" max="1802" width="11.140625" customWidth="1"/>
    <col min="1803" max="1803" width="10.28515625" customWidth="1"/>
    <col min="1804" max="1804" width="14.85546875" customWidth="1"/>
    <col min="1805" max="1805" width="9.7109375" customWidth="1"/>
    <col min="1806" max="1806" width="10.42578125" customWidth="1"/>
    <col min="1807" max="1807" width="9.5703125" customWidth="1"/>
    <col min="1808" max="1808" width="8.28515625" customWidth="1"/>
    <col min="1809" max="1809" width="13.140625" customWidth="1"/>
    <col min="2051" max="2051" width="9.140625" customWidth="1"/>
    <col min="2052" max="2052" width="0" hidden="1" customWidth="1"/>
    <col min="2053" max="2053" width="4.28515625" customWidth="1"/>
    <col min="2054" max="2054" width="17.140625" customWidth="1"/>
    <col min="2055" max="2055" width="10.28515625" bestFit="1" customWidth="1"/>
    <col min="2056" max="2056" width="9.7109375" customWidth="1"/>
    <col min="2057" max="2057" width="11" customWidth="1"/>
    <col min="2058" max="2058" width="11.140625" customWidth="1"/>
    <col min="2059" max="2059" width="10.28515625" customWidth="1"/>
    <col min="2060" max="2060" width="14.85546875" customWidth="1"/>
    <col min="2061" max="2061" width="9.7109375" customWidth="1"/>
    <col min="2062" max="2062" width="10.42578125" customWidth="1"/>
    <col min="2063" max="2063" width="9.5703125" customWidth="1"/>
    <col min="2064" max="2064" width="8.28515625" customWidth="1"/>
    <col min="2065" max="2065" width="13.140625" customWidth="1"/>
    <col min="2307" max="2307" width="9.140625" customWidth="1"/>
    <col min="2308" max="2308" width="0" hidden="1" customWidth="1"/>
    <col min="2309" max="2309" width="4.28515625" customWidth="1"/>
    <col min="2310" max="2310" width="17.140625" customWidth="1"/>
    <col min="2311" max="2311" width="10.28515625" bestFit="1" customWidth="1"/>
    <col min="2312" max="2312" width="9.7109375" customWidth="1"/>
    <col min="2313" max="2313" width="11" customWidth="1"/>
    <col min="2314" max="2314" width="11.140625" customWidth="1"/>
    <col min="2315" max="2315" width="10.28515625" customWidth="1"/>
    <col min="2316" max="2316" width="14.85546875" customWidth="1"/>
    <col min="2317" max="2317" width="9.7109375" customWidth="1"/>
    <col min="2318" max="2318" width="10.42578125" customWidth="1"/>
    <col min="2319" max="2319" width="9.5703125" customWidth="1"/>
    <col min="2320" max="2320" width="8.28515625" customWidth="1"/>
    <col min="2321" max="2321" width="13.140625" customWidth="1"/>
    <col min="2563" max="2563" width="9.140625" customWidth="1"/>
    <col min="2564" max="2564" width="0" hidden="1" customWidth="1"/>
    <col min="2565" max="2565" width="4.28515625" customWidth="1"/>
    <col min="2566" max="2566" width="17.140625" customWidth="1"/>
    <col min="2567" max="2567" width="10.28515625" bestFit="1" customWidth="1"/>
    <col min="2568" max="2568" width="9.7109375" customWidth="1"/>
    <col min="2569" max="2569" width="11" customWidth="1"/>
    <col min="2570" max="2570" width="11.140625" customWidth="1"/>
    <col min="2571" max="2571" width="10.28515625" customWidth="1"/>
    <col min="2572" max="2572" width="14.85546875" customWidth="1"/>
    <col min="2573" max="2573" width="9.7109375" customWidth="1"/>
    <col min="2574" max="2574" width="10.42578125" customWidth="1"/>
    <col min="2575" max="2575" width="9.5703125" customWidth="1"/>
    <col min="2576" max="2576" width="8.28515625" customWidth="1"/>
    <col min="2577" max="2577" width="13.140625" customWidth="1"/>
    <col min="2819" max="2819" width="9.140625" customWidth="1"/>
    <col min="2820" max="2820" width="0" hidden="1" customWidth="1"/>
    <col min="2821" max="2821" width="4.28515625" customWidth="1"/>
    <col min="2822" max="2822" width="17.140625" customWidth="1"/>
    <col min="2823" max="2823" width="10.28515625" bestFit="1" customWidth="1"/>
    <col min="2824" max="2824" width="9.7109375" customWidth="1"/>
    <col min="2825" max="2825" width="11" customWidth="1"/>
    <col min="2826" max="2826" width="11.140625" customWidth="1"/>
    <col min="2827" max="2827" width="10.28515625" customWidth="1"/>
    <col min="2828" max="2828" width="14.85546875" customWidth="1"/>
    <col min="2829" max="2829" width="9.7109375" customWidth="1"/>
    <col min="2830" max="2830" width="10.42578125" customWidth="1"/>
    <col min="2831" max="2831" width="9.5703125" customWidth="1"/>
    <col min="2832" max="2832" width="8.28515625" customWidth="1"/>
    <col min="2833" max="2833" width="13.140625" customWidth="1"/>
    <col min="3075" max="3075" width="9.140625" customWidth="1"/>
    <col min="3076" max="3076" width="0" hidden="1" customWidth="1"/>
    <col min="3077" max="3077" width="4.28515625" customWidth="1"/>
    <col min="3078" max="3078" width="17.140625" customWidth="1"/>
    <col min="3079" max="3079" width="10.28515625" bestFit="1" customWidth="1"/>
    <col min="3080" max="3080" width="9.7109375" customWidth="1"/>
    <col min="3081" max="3081" width="11" customWidth="1"/>
    <col min="3082" max="3082" width="11.140625" customWidth="1"/>
    <col min="3083" max="3083" width="10.28515625" customWidth="1"/>
    <col min="3084" max="3084" width="14.85546875" customWidth="1"/>
    <col min="3085" max="3085" width="9.7109375" customWidth="1"/>
    <col min="3086" max="3086" width="10.42578125" customWidth="1"/>
    <col min="3087" max="3087" width="9.5703125" customWidth="1"/>
    <col min="3088" max="3088" width="8.28515625" customWidth="1"/>
    <col min="3089" max="3089" width="13.140625" customWidth="1"/>
    <col min="3331" max="3331" width="9.140625" customWidth="1"/>
    <col min="3332" max="3332" width="0" hidden="1" customWidth="1"/>
    <col min="3333" max="3333" width="4.28515625" customWidth="1"/>
    <col min="3334" max="3334" width="17.140625" customWidth="1"/>
    <col min="3335" max="3335" width="10.28515625" bestFit="1" customWidth="1"/>
    <col min="3336" max="3336" width="9.7109375" customWidth="1"/>
    <col min="3337" max="3337" width="11" customWidth="1"/>
    <col min="3338" max="3338" width="11.140625" customWidth="1"/>
    <col min="3339" max="3339" width="10.28515625" customWidth="1"/>
    <col min="3340" max="3340" width="14.85546875" customWidth="1"/>
    <col min="3341" max="3341" width="9.7109375" customWidth="1"/>
    <col min="3342" max="3342" width="10.42578125" customWidth="1"/>
    <col min="3343" max="3343" width="9.5703125" customWidth="1"/>
    <col min="3344" max="3344" width="8.28515625" customWidth="1"/>
    <col min="3345" max="3345" width="13.140625" customWidth="1"/>
    <col min="3587" max="3587" width="9.140625" customWidth="1"/>
    <col min="3588" max="3588" width="0" hidden="1" customWidth="1"/>
    <col min="3589" max="3589" width="4.28515625" customWidth="1"/>
    <col min="3590" max="3590" width="17.140625" customWidth="1"/>
    <col min="3591" max="3591" width="10.28515625" bestFit="1" customWidth="1"/>
    <col min="3592" max="3592" width="9.7109375" customWidth="1"/>
    <col min="3593" max="3593" width="11" customWidth="1"/>
    <col min="3594" max="3594" width="11.140625" customWidth="1"/>
    <col min="3595" max="3595" width="10.28515625" customWidth="1"/>
    <col min="3596" max="3596" width="14.85546875" customWidth="1"/>
    <col min="3597" max="3597" width="9.7109375" customWidth="1"/>
    <col min="3598" max="3598" width="10.42578125" customWidth="1"/>
    <col min="3599" max="3599" width="9.5703125" customWidth="1"/>
    <col min="3600" max="3600" width="8.28515625" customWidth="1"/>
    <col min="3601" max="3601" width="13.140625" customWidth="1"/>
    <col min="3843" max="3843" width="9.140625" customWidth="1"/>
    <col min="3844" max="3844" width="0" hidden="1" customWidth="1"/>
    <col min="3845" max="3845" width="4.28515625" customWidth="1"/>
    <col min="3846" max="3846" width="17.140625" customWidth="1"/>
    <col min="3847" max="3847" width="10.28515625" bestFit="1" customWidth="1"/>
    <col min="3848" max="3848" width="9.7109375" customWidth="1"/>
    <col min="3849" max="3849" width="11" customWidth="1"/>
    <col min="3850" max="3850" width="11.140625" customWidth="1"/>
    <col min="3851" max="3851" width="10.28515625" customWidth="1"/>
    <col min="3852" max="3852" width="14.85546875" customWidth="1"/>
    <col min="3853" max="3853" width="9.7109375" customWidth="1"/>
    <col min="3854" max="3854" width="10.42578125" customWidth="1"/>
    <col min="3855" max="3855" width="9.5703125" customWidth="1"/>
    <col min="3856" max="3856" width="8.28515625" customWidth="1"/>
    <col min="3857" max="3857" width="13.140625" customWidth="1"/>
    <col min="4099" max="4099" width="9.140625" customWidth="1"/>
    <col min="4100" max="4100" width="0" hidden="1" customWidth="1"/>
    <col min="4101" max="4101" width="4.28515625" customWidth="1"/>
    <col min="4102" max="4102" width="17.140625" customWidth="1"/>
    <col min="4103" max="4103" width="10.28515625" bestFit="1" customWidth="1"/>
    <col min="4104" max="4104" width="9.7109375" customWidth="1"/>
    <col min="4105" max="4105" width="11" customWidth="1"/>
    <col min="4106" max="4106" width="11.140625" customWidth="1"/>
    <col min="4107" max="4107" width="10.28515625" customWidth="1"/>
    <col min="4108" max="4108" width="14.85546875" customWidth="1"/>
    <col min="4109" max="4109" width="9.7109375" customWidth="1"/>
    <col min="4110" max="4110" width="10.42578125" customWidth="1"/>
    <col min="4111" max="4111" width="9.5703125" customWidth="1"/>
    <col min="4112" max="4112" width="8.28515625" customWidth="1"/>
    <col min="4113" max="4113" width="13.140625" customWidth="1"/>
    <col min="4355" max="4355" width="9.140625" customWidth="1"/>
    <col min="4356" max="4356" width="0" hidden="1" customWidth="1"/>
    <col min="4357" max="4357" width="4.28515625" customWidth="1"/>
    <col min="4358" max="4358" width="17.140625" customWidth="1"/>
    <col min="4359" max="4359" width="10.28515625" bestFit="1" customWidth="1"/>
    <col min="4360" max="4360" width="9.7109375" customWidth="1"/>
    <col min="4361" max="4361" width="11" customWidth="1"/>
    <col min="4362" max="4362" width="11.140625" customWidth="1"/>
    <col min="4363" max="4363" width="10.28515625" customWidth="1"/>
    <col min="4364" max="4364" width="14.85546875" customWidth="1"/>
    <col min="4365" max="4365" width="9.7109375" customWidth="1"/>
    <col min="4366" max="4366" width="10.42578125" customWidth="1"/>
    <col min="4367" max="4367" width="9.5703125" customWidth="1"/>
    <col min="4368" max="4368" width="8.28515625" customWidth="1"/>
    <col min="4369" max="4369" width="13.140625" customWidth="1"/>
    <col min="4611" max="4611" width="9.140625" customWidth="1"/>
    <col min="4612" max="4612" width="0" hidden="1" customWidth="1"/>
    <col min="4613" max="4613" width="4.28515625" customWidth="1"/>
    <col min="4614" max="4614" width="17.140625" customWidth="1"/>
    <col min="4615" max="4615" width="10.28515625" bestFit="1" customWidth="1"/>
    <col min="4616" max="4616" width="9.7109375" customWidth="1"/>
    <col min="4617" max="4617" width="11" customWidth="1"/>
    <col min="4618" max="4618" width="11.140625" customWidth="1"/>
    <col min="4619" max="4619" width="10.28515625" customWidth="1"/>
    <col min="4620" max="4620" width="14.85546875" customWidth="1"/>
    <col min="4621" max="4621" width="9.7109375" customWidth="1"/>
    <col min="4622" max="4622" width="10.42578125" customWidth="1"/>
    <col min="4623" max="4623" width="9.5703125" customWidth="1"/>
    <col min="4624" max="4624" width="8.28515625" customWidth="1"/>
    <col min="4625" max="4625" width="13.140625" customWidth="1"/>
    <col min="4867" max="4867" width="9.140625" customWidth="1"/>
    <col min="4868" max="4868" width="0" hidden="1" customWidth="1"/>
    <col min="4869" max="4869" width="4.28515625" customWidth="1"/>
    <col min="4870" max="4870" width="17.140625" customWidth="1"/>
    <col min="4871" max="4871" width="10.28515625" bestFit="1" customWidth="1"/>
    <col min="4872" max="4872" width="9.7109375" customWidth="1"/>
    <col min="4873" max="4873" width="11" customWidth="1"/>
    <col min="4874" max="4874" width="11.140625" customWidth="1"/>
    <col min="4875" max="4875" width="10.28515625" customWidth="1"/>
    <col min="4876" max="4876" width="14.85546875" customWidth="1"/>
    <col min="4877" max="4877" width="9.7109375" customWidth="1"/>
    <col min="4878" max="4878" width="10.42578125" customWidth="1"/>
    <col min="4879" max="4879" width="9.5703125" customWidth="1"/>
    <col min="4880" max="4880" width="8.28515625" customWidth="1"/>
    <col min="4881" max="4881" width="13.140625" customWidth="1"/>
    <col min="5123" max="5123" width="9.140625" customWidth="1"/>
    <col min="5124" max="5124" width="0" hidden="1" customWidth="1"/>
    <col min="5125" max="5125" width="4.28515625" customWidth="1"/>
    <col min="5126" max="5126" width="17.140625" customWidth="1"/>
    <col min="5127" max="5127" width="10.28515625" bestFit="1" customWidth="1"/>
    <col min="5128" max="5128" width="9.7109375" customWidth="1"/>
    <col min="5129" max="5129" width="11" customWidth="1"/>
    <col min="5130" max="5130" width="11.140625" customWidth="1"/>
    <col min="5131" max="5131" width="10.28515625" customWidth="1"/>
    <col min="5132" max="5132" width="14.85546875" customWidth="1"/>
    <col min="5133" max="5133" width="9.7109375" customWidth="1"/>
    <col min="5134" max="5134" width="10.42578125" customWidth="1"/>
    <col min="5135" max="5135" width="9.5703125" customWidth="1"/>
    <col min="5136" max="5136" width="8.28515625" customWidth="1"/>
    <col min="5137" max="5137" width="13.140625" customWidth="1"/>
    <col min="5379" max="5379" width="9.140625" customWidth="1"/>
    <col min="5380" max="5380" width="0" hidden="1" customWidth="1"/>
    <col min="5381" max="5381" width="4.28515625" customWidth="1"/>
    <col min="5382" max="5382" width="17.140625" customWidth="1"/>
    <col min="5383" max="5383" width="10.28515625" bestFit="1" customWidth="1"/>
    <col min="5384" max="5384" width="9.7109375" customWidth="1"/>
    <col min="5385" max="5385" width="11" customWidth="1"/>
    <col min="5386" max="5386" width="11.140625" customWidth="1"/>
    <col min="5387" max="5387" width="10.28515625" customWidth="1"/>
    <col min="5388" max="5388" width="14.85546875" customWidth="1"/>
    <col min="5389" max="5389" width="9.7109375" customWidth="1"/>
    <col min="5390" max="5390" width="10.42578125" customWidth="1"/>
    <col min="5391" max="5391" width="9.5703125" customWidth="1"/>
    <col min="5392" max="5392" width="8.28515625" customWidth="1"/>
    <col min="5393" max="5393" width="13.140625" customWidth="1"/>
    <col min="5635" max="5635" width="9.140625" customWidth="1"/>
    <col min="5636" max="5636" width="0" hidden="1" customWidth="1"/>
    <col min="5637" max="5637" width="4.28515625" customWidth="1"/>
    <col min="5638" max="5638" width="17.140625" customWidth="1"/>
    <col min="5639" max="5639" width="10.28515625" bestFit="1" customWidth="1"/>
    <col min="5640" max="5640" width="9.7109375" customWidth="1"/>
    <col min="5641" max="5641" width="11" customWidth="1"/>
    <col min="5642" max="5642" width="11.140625" customWidth="1"/>
    <col min="5643" max="5643" width="10.28515625" customWidth="1"/>
    <col min="5644" max="5644" width="14.85546875" customWidth="1"/>
    <col min="5645" max="5645" width="9.7109375" customWidth="1"/>
    <col min="5646" max="5646" width="10.42578125" customWidth="1"/>
    <col min="5647" max="5647" width="9.5703125" customWidth="1"/>
    <col min="5648" max="5648" width="8.28515625" customWidth="1"/>
    <col min="5649" max="5649" width="13.140625" customWidth="1"/>
    <col min="5891" max="5891" width="9.140625" customWidth="1"/>
    <col min="5892" max="5892" width="0" hidden="1" customWidth="1"/>
    <col min="5893" max="5893" width="4.28515625" customWidth="1"/>
    <col min="5894" max="5894" width="17.140625" customWidth="1"/>
    <col min="5895" max="5895" width="10.28515625" bestFit="1" customWidth="1"/>
    <col min="5896" max="5896" width="9.7109375" customWidth="1"/>
    <col min="5897" max="5897" width="11" customWidth="1"/>
    <col min="5898" max="5898" width="11.140625" customWidth="1"/>
    <col min="5899" max="5899" width="10.28515625" customWidth="1"/>
    <col min="5900" max="5900" width="14.85546875" customWidth="1"/>
    <col min="5901" max="5901" width="9.7109375" customWidth="1"/>
    <col min="5902" max="5902" width="10.42578125" customWidth="1"/>
    <col min="5903" max="5903" width="9.5703125" customWidth="1"/>
    <col min="5904" max="5904" width="8.28515625" customWidth="1"/>
    <col min="5905" max="5905" width="13.140625" customWidth="1"/>
    <col min="6147" max="6147" width="9.140625" customWidth="1"/>
    <col min="6148" max="6148" width="0" hidden="1" customWidth="1"/>
    <col min="6149" max="6149" width="4.28515625" customWidth="1"/>
    <col min="6150" max="6150" width="17.140625" customWidth="1"/>
    <col min="6151" max="6151" width="10.28515625" bestFit="1" customWidth="1"/>
    <col min="6152" max="6152" width="9.7109375" customWidth="1"/>
    <col min="6153" max="6153" width="11" customWidth="1"/>
    <col min="6154" max="6154" width="11.140625" customWidth="1"/>
    <col min="6155" max="6155" width="10.28515625" customWidth="1"/>
    <col min="6156" max="6156" width="14.85546875" customWidth="1"/>
    <col min="6157" max="6157" width="9.7109375" customWidth="1"/>
    <col min="6158" max="6158" width="10.42578125" customWidth="1"/>
    <col min="6159" max="6159" width="9.5703125" customWidth="1"/>
    <col min="6160" max="6160" width="8.28515625" customWidth="1"/>
    <col min="6161" max="6161" width="13.140625" customWidth="1"/>
    <col min="6403" max="6403" width="9.140625" customWidth="1"/>
    <col min="6404" max="6404" width="0" hidden="1" customWidth="1"/>
    <col min="6405" max="6405" width="4.28515625" customWidth="1"/>
    <col min="6406" max="6406" width="17.140625" customWidth="1"/>
    <col min="6407" max="6407" width="10.28515625" bestFit="1" customWidth="1"/>
    <col min="6408" max="6408" width="9.7109375" customWidth="1"/>
    <col min="6409" max="6409" width="11" customWidth="1"/>
    <col min="6410" max="6410" width="11.140625" customWidth="1"/>
    <col min="6411" max="6411" width="10.28515625" customWidth="1"/>
    <col min="6412" max="6412" width="14.85546875" customWidth="1"/>
    <col min="6413" max="6413" width="9.7109375" customWidth="1"/>
    <col min="6414" max="6414" width="10.42578125" customWidth="1"/>
    <col min="6415" max="6415" width="9.5703125" customWidth="1"/>
    <col min="6416" max="6416" width="8.28515625" customWidth="1"/>
    <col min="6417" max="6417" width="13.140625" customWidth="1"/>
    <col min="6659" max="6659" width="9.140625" customWidth="1"/>
    <col min="6660" max="6660" width="0" hidden="1" customWidth="1"/>
    <col min="6661" max="6661" width="4.28515625" customWidth="1"/>
    <col min="6662" max="6662" width="17.140625" customWidth="1"/>
    <col min="6663" max="6663" width="10.28515625" bestFit="1" customWidth="1"/>
    <col min="6664" max="6664" width="9.7109375" customWidth="1"/>
    <col min="6665" max="6665" width="11" customWidth="1"/>
    <col min="6666" max="6666" width="11.140625" customWidth="1"/>
    <col min="6667" max="6667" width="10.28515625" customWidth="1"/>
    <col min="6668" max="6668" width="14.85546875" customWidth="1"/>
    <col min="6669" max="6669" width="9.7109375" customWidth="1"/>
    <col min="6670" max="6670" width="10.42578125" customWidth="1"/>
    <col min="6671" max="6671" width="9.5703125" customWidth="1"/>
    <col min="6672" max="6672" width="8.28515625" customWidth="1"/>
    <col min="6673" max="6673" width="13.140625" customWidth="1"/>
    <col min="6915" max="6915" width="9.140625" customWidth="1"/>
    <col min="6916" max="6916" width="0" hidden="1" customWidth="1"/>
    <col min="6917" max="6917" width="4.28515625" customWidth="1"/>
    <col min="6918" max="6918" width="17.140625" customWidth="1"/>
    <col min="6919" max="6919" width="10.28515625" bestFit="1" customWidth="1"/>
    <col min="6920" max="6920" width="9.7109375" customWidth="1"/>
    <col min="6921" max="6921" width="11" customWidth="1"/>
    <col min="6922" max="6922" width="11.140625" customWidth="1"/>
    <col min="6923" max="6923" width="10.28515625" customWidth="1"/>
    <col min="6924" max="6924" width="14.85546875" customWidth="1"/>
    <col min="6925" max="6925" width="9.7109375" customWidth="1"/>
    <col min="6926" max="6926" width="10.42578125" customWidth="1"/>
    <col min="6927" max="6927" width="9.5703125" customWidth="1"/>
    <col min="6928" max="6928" width="8.28515625" customWidth="1"/>
    <col min="6929" max="6929" width="13.140625" customWidth="1"/>
    <col min="7171" max="7171" width="9.140625" customWidth="1"/>
    <col min="7172" max="7172" width="0" hidden="1" customWidth="1"/>
    <col min="7173" max="7173" width="4.28515625" customWidth="1"/>
    <col min="7174" max="7174" width="17.140625" customWidth="1"/>
    <col min="7175" max="7175" width="10.28515625" bestFit="1" customWidth="1"/>
    <col min="7176" max="7176" width="9.7109375" customWidth="1"/>
    <col min="7177" max="7177" width="11" customWidth="1"/>
    <col min="7178" max="7178" width="11.140625" customWidth="1"/>
    <col min="7179" max="7179" width="10.28515625" customWidth="1"/>
    <col min="7180" max="7180" width="14.85546875" customWidth="1"/>
    <col min="7181" max="7181" width="9.7109375" customWidth="1"/>
    <col min="7182" max="7182" width="10.42578125" customWidth="1"/>
    <col min="7183" max="7183" width="9.5703125" customWidth="1"/>
    <col min="7184" max="7184" width="8.28515625" customWidth="1"/>
    <col min="7185" max="7185" width="13.140625" customWidth="1"/>
    <col min="7427" max="7427" width="9.140625" customWidth="1"/>
    <col min="7428" max="7428" width="0" hidden="1" customWidth="1"/>
    <col min="7429" max="7429" width="4.28515625" customWidth="1"/>
    <col min="7430" max="7430" width="17.140625" customWidth="1"/>
    <col min="7431" max="7431" width="10.28515625" bestFit="1" customWidth="1"/>
    <col min="7432" max="7432" width="9.7109375" customWidth="1"/>
    <col min="7433" max="7433" width="11" customWidth="1"/>
    <col min="7434" max="7434" width="11.140625" customWidth="1"/>
    <col min="7435" max="7435" width="10.28515625" customWidth="1"/>
    <col min="7436" max="7436" width="14.85546875" customWidth="1"/>
    <col min="7437" max="7437" width="9.7109375" customWidth="1"/>
    <col min="7438" max="7438" width="10.42578125" customWidth="1"/>
    <col min="7439" max="7439" width="9.5703125" customWidth="1"/>
    <col min="7440" max="7440" width="8.28515625" customWidth="1"/>
    <col min="7441" max="7441" width="13.140625" customWidth="1"/>
    <col min="7683" max="7683" width="9.140625" customWidth="1"/>
    <col min="7684" max="7684" width="0" hidden="1" customWidth="1"/>
    <col min="7685" max="7685" width="4.28515625" customWidth="1"/>
    <col min="7686" max="7686" width="17.140625" customWidth="1"/>
    <col min="7687" max="7687" width="10.28515625" bestFit="1" customWidth="1"/>
    <col min="7688" max="7688" width="9.7109375" customWidth="1"/>
    <col min="7689" max="7689" width="11" customWidth="1"/>
    <col min="7690" max="7690" width="11.140625" customWidth="1"/>
    <col min="7691" max="7691" width="10.28515625" customWidth="1"/>
    <col min="7692" max="7692" width="14.85546875" customWidth="1"/>
    <col min="7693" max="7693" width="9.7109375" customWidth="1"/>
    <col min="7694" max="7694" width="10.42578125" customWidth="1"/>
    <col min="7695" max="7695" width="9.5703125" customWidth="1"/>
    <col min="7696" max="7696" width="8.28515625" customWidth="1"/>
    <col min="7697" max="7697" width="13.140625" customWidth="1"/>
    <col min="7939" max="7939" width="9.140625" customWidth="1"/>
    <col min="7940" max="7940" width="0" hidden="1" customWidth="1"/>
    <col min="7941" max="7941" width="4.28515625" customWidth="1"/>
    <col min="7942" max="7942" width="17.140625" customWidth="1"/>
    <col min="7943" max="7943" width="10.28515625" bestFit="1" customWidth="1"/>
    <col min="7944" max="7944" width="9.7109375" customWidth="1"/>
    <col min="7945" max="7945" width="11" customWidth="1"/>
    <col min="7946" max="7946" width="11.140625" customWidth="1"/>
    <col min="7947" max="7947" width="10.28515625" customWidth="1"/>
    <col min="7948" max="7948" width="14.85546875" customWidth="1"/>
    <col min="7949" max="7949" width="9.7109375" customWidth="1"/>
    <col min="7950" max="7950" width="10.42578125" customWidth="1"/>
    <col min="7951" max="7951" width="9.5703125" customWidth="1"/>
    <col min="7952" max="7952" width="8.28515625" customWidth="1"/>
    <col min="7953" max="7953" width="13.140625" customWidth="1"/>
    <col min="8195" max="8195" width="9.140625" customWidth="1"/>
    <col min="8196" max="8196" width="0" hidden="1" customWidth="1"/>
    <col min="8197" max="8197" width="4.28515625" customWidth="1"/>
    <col min="8198" max="8198" width="17.140625" customWidth="1"/>
    <col min="8199" max="8199" width="10.28515625" bestFit="1" customWidth="1"/>
    <col min="8200" max="8200" width="9.7109375" customWidth="1"/>
    <col min="8201" max="8201" width="11" customWidth="1"/>
    <col min="8202" max="8202" width="11.140625" customWidth="1"/>
    <col min="8203" max="8203" width="10.28515625" customWidth="1"/>
    <col min="8204" max="8204" width="14.85546875" customWidth="1"/>
    <col min="8205" max="8205" width="9.7109375" customWidth="1"/>
    <col min="8206" max="8206" width="10.42578125" customWidth="1"/>
    <col min="8207" max="8207" width="9.5703125" customWidth="1"/>
    <col min="8208" max="8208" width="8.28515625" customWidth="1"/>
    <col min="8209" max="8209" width="13.140625" customWidth="1"/>
    <col min="8451" max="8451" width="9.140625" customWidth="1"/>
    <col min="8452" max="8452" width="0" hidden="1" customWidth="1"/>
    <col min="8453" max="8453" width="4.28515625" customWidth="1"/>
    <col min="8454" max="8454" width="17.140625" customWidth="1"/>
    <col min="8455" max="8455" width="10.28515625" bestFit="1" customWidth="1"/>
    <col min="8456" max="8456" width="9.7109375" customWidth="1"/>
    <col min="8457" max="8457" width="11" customWidth="1"/>
    <col min="8458" max="8458" width="11.140625" customWidth="1"/>
    <col min="8459" max="8459" width="10.28515625" customWidth="1"/>
    <col min="8460" max="8460" width="14.85546875" customWidth="1"/>
    <col min="8461" max="8461" width="9.7109375" customWidth="1"/>
    <col min="8462" max="8462" width="10.42578125" customWidth="1"/>
    <col min="8463" max="8463" width="9.5703125" customWidth="1"/>
    <col min="8464" max="8464" width="8.28515625" customWidth="1"/>
    <col min="8465" max="8465" width="13.140625" customWidth="1"/>
    <col min="8707" max="8707" width="9.140625" customWidth="1"/>
    <col min="8708" max="8708" width="0" hidden="1" customWidth="1"/>
    <col min="8709" max="8709" width="4.28515625" customWidth="1"/>
    <col min="8710" max="8710" width="17.140625" customWidth="1"/>
    <col min="8711" max="8711" width="10.28515625" bestFit="1" customWidth="1"/>
    <col min="8712" max="8712" width="9.7109375" customWidth="1"/>
    <col min="8713" max="8713" width="11" customWidth="1"/>
    <col min="8714" max="8714" width="11.140625" customWidth="1"/>
    <col min="8715" max="8715" width="10.28515625" customWidth="1"/>
    <col min="8716" max="8716" width="14.85546875" customWidth="1"/>
    <col min="8717" max="8717" width="9.7109375" customWidth="1"/>
    <col min="8718" max="8718" width="10.42578125" customWidth="1"/>
    <col min="8719" max="8719" width="9.5703125" customWidth="1"/>
    <col min="8720" max="8720" width="8.28515625" customWidth="1"/>
    <col min="8721" max="8721" width="13.140625" customWidth="1"/>
    <col min="8963" max="8963" width="9.140625" customWidth="1"/>
    <col min="8964" max="8964" width="0" hidden="1" customWidth="1"/>
    <col min="8965" max="8965" width="4.28515625" customWidth="1"/>
    <col min="8966" max="8966" width="17.140625" customWidth="1"/>
    <col min="8967" max="8967" width="10.28515625" bestFit="1" customWidth="1"/>
    <col min="8968" max="8968" width="9.7109375" customWidth="1"/>
    <col min="8969" max="8969" width="11" customWidth="1"/>
    <col min="8970" max="8970" width="11.140625" customWidth="1"/>
    <col min="8971" max="8971" width="10.28515625" customWidth="1"/>
    <col min="8972" max="8972" width="14.85546875" customWidth="1"/>
    <col min="8973" max="8973" width="9.7109375" customWidth="1"/>
    <col min="8974" max="8974" width="10.42578125" customWidth="1"/>
    <col min="8975" max="8975" width="9.5703125" customWidth="1"/>
    <col min="8976" max="8976" width="8.28515625" customWidth="1"/>
    <col min="8977" max="8977" width="13.140625" customWidth="1"/>
    <col min="9219" max="9219" width="9.140625" customWidth="1"/>
    <col min="9220" max="9220" width="0" hidden="1" customWidth="1"/>
    <col min="9221" max="9221" width="4.28515625" customWidth="1"/>
    <col min="9222" max="9222" width="17.140625" customWidth="1"/>
    <col min="9223" max="9223" width="10.28515625" bestFit="1" customWidth="1"/>
    <col min="9224" max="9224" width="9.7109375" customWidth="1"/>
    <col min="9225" max="9225" width="11" customWidth="1"/>
    <col min="9226" max="9226" width="11.140625" customWidth="1"/>
    <col min="9227" max="9227" width="10.28515625" customWidth="1"/>
    <col min="9228" max="9228" width="14.85546875" customWidth="1"/>
    <col min="9229" max="9229" width="9.7109375" customWidth="1"/>
    <col min="9230" max="9230" width="10.42578125" customWidth="1"/>
    <col min="9231" max="9231" width="9.5703125" customWidth="1"/>
    <col min="9232" max="9232" width="8.28515625" customWidth="1"/>
    <col min="9233" max="9233" width="13.140625" customWidth="1"/>
    <col min="9475" max="9475" width="9.140625" customWidth="1"/>
    <col min="9476" max="9476" width="0" hidden="1" customWidth="1"/>
    <col min="9477" max="9477" width="4.28515625" customWidth="1"/>
    <col min="9478" max="9478" width="17.140625" customWidth="1"/>
    <col min="9479" max="9479" width="10.28515625" bestFit="1" customWidth="1"/>
    <col min="9480" max="9480" width="9.7109375" customWidth="1"/>
    <col min="9481" max="9481" width="11" customWidth="1"/>
    <col min="9482" max="9482" width="11.140625" customWidth="1"/>
    <col min="9483" max="9483" width="10.28515625" customWidth="1"/>
    <col min="9484" max="9484" width="14.85546875" customWidth="1"/>
    <col min="9485" max="9485" width="9.7109375" customWidth="1"/>
    <col min="9486" max="9486" width="10.42578125" customWidth="1"/>
    <col min="9487" max="9487" width="9.5703125" customWidth="1"/>
    <col min="9488" max="9488" width="8.28515625" customWidth="1"/>
    <col min="9489" max="9489" width="13.140625" customWidth="1"/>
    <col min="9731" max="9731" width="9.140625" customWidth="1"/>
    <col min="9732" max="9732" width="0" hidden="1" customWidth="1"/>
    <col min="9733" max="9733" width="4.28515625" customWidth="1"/>
    <col min="9734" max="9734" width="17.140625" customWidth="1"/>
    <col min="9735" max="9735" width="10.28515625" bestFit="1" customWidth="1"/>
    <col min="9736" max="9736" width="9.7109375" customWidth="1"/>
    <col min="9737" max="9737" width="11" customWidth="1"/>
    <col min="9738" max="9738" width="11.140625" customWidth="1"/>
    <col min="9739" max="9739" width="10.28515625" customWidth="1"/>
    <col min="9740" max="9740" width="14.85546875" customWidth="1"/>
    <col min="9741" max="9741" width="9.7109375" customWidth="1"/>
    <col min="9742" max="9742" width="10.42578125" customWidth="1"/>
    <col min="9743" max="9743" width="9.5703125" customWidth="1"/>
    <col min="9744" max="9744" width="8.28515625" customWidth="1"/>
    <col min="9745" max="9745" width="13.140625" customWidth="1"/>
    <col min="9987" max="9987" width="9.140625" customWidth="1"/>
    <col min="9988" max="9988" width="0" hidden="1" customWidth="1"/>
    <col min="9989" max="9989" width="4.28515625" customWidth="1"/>
    <col min="9990" max="9990" width="17.140625" customWidth="1"/>
    <col min="9991" max="9991" width="10.28515625" bestFit="1" customWidth="1"/>
    <col min="9992" max="9992" width="9.7109375" customWidth="1"/>
    <col min="9993" max="9993" width="11" customWidth="1"/>
    <col min="9994" max="9994" width="11.140625" customWidth="1"/>
    <col min="9995" max="9995" width="10.28515625" customWidth="1"/>
    <col min="9996" max="9996" width="14.85546875" customWidth="1"/>
    <col min="9997" max="9997" width="9.7109375" customWidth="1"/>
    <col min="9998" max="9998" width="10.42578125" customWidth="1"/>
    <col min="9999" max="9999" width="9.5703125" customWidth="1"/>
    <col min="10000" max="10000" width="8.28515625" customWidth="1"/>
    <col min="10001" max="10001" width="13.140625" customWidth="1"/>
    <col min="10243" max="10243" width="9.140625" customWidth="1"/>
    <col min="10244" max="10244" width="0" hidden="1" customWidth="1"/>
    <col min="10245" max="10245" width="4.28515625" customWidth="1"/>
    <col min="10246" max="10246" width="17.140625" customWidth="1"/>
    <col min="10247" max="10247" width="10.28515625" bestFit="1" customWidth="1"/>
    <col min="10248" max="10248" width="9.7109375" customWidth="1"/>
    <col min="10249" max="10249" width="11" customWidth="1"/>
    <col min="10250" max="10250" width="11.140625" customWidth="1"/>
    <col min="10251" max="10251" width="10.28515625" customWidth="1"/>
    <col min="10252" max="10252" width="14.85546875" customWidth="1"/>
    <col min="10253" max="10253" width="9.7109375" customWidth="1"/>
    <col min="10254" max="10254" width="10.42578125" customWidth="1"/>
    <col min="10255" max="10255" width="9.5703125" customWidth="1"/>
    <col min="10256" max="10256" width="8.28515625" customWidth="1"/>
    <col min="10257" max="10257" width="13.140625" customWidth="1"/>
    <col min="10499" max="10499" width="9.140625" customWidth="1"/>
    <col min="10500" max="10500" width="0" hidden="1" customWidth="1"/>
    <col min="10501" max="10501" width="4.28515625" customWidth="1"/>
    <col min="10502" max="10502" width="17.140625" customWidth="1"/>
    <col min="10503" max="10503" width="10.28515625" bestFit="1" customWidth="1"/>
    <col min="10504" max="10504" width="9.7109375" customWidth="1"/>
    <col min="10505" max="10505" width="11" customWidth="1"/>
    <col min="10506" max="10506" width="11.140625" customWidth="1"/>
    <col min="10507" max="10507" width="10.28515625" customWidth="1"/>
    <col min="10508" max="10508" width="14.85546875" customWidth="1"/>
    <col min="10509" max="10509" width="9.7109375" customWidth="1"/>
    <col min="10510" max="10510" width="10.42578125" customWidth="1"/>
    <col min="10511" max="10511" width="9.5703125" customWidth="1"/>
    <col min="10512" max="10512" width="8.28515625" customWidth="1"/>
    <col min="10513" max="10513" width="13.140625" customWidth="1"/>
    <col min="10755" max="10755" width="9.140625" customWidth="1"/>
    <col min="10756" max="10756" width="0" hidden="1" customWidth="1"/>
    <col min="10757" max="10757" width="4.28515625" customWidth="1"/>
    <col min="10758" max="10758" width="17.140625" customWidth="1"/>
    <col min="10759" max="10759" width="10.28515625" bestFit="1" customWidth="1"/>
    <col min="10760" max="10760" width="9.7109375" customWidth="1"/>
    <col min="10761" max="10761" width="11" customWidth="1"/>
    <col min="10762" max="10762" width="11.140625" customWidth="1"/>
    <col min="10763" max="10763" width="10.28515625" customWidth="1"/>
    <col min="10764" max="10764" width="14.85546875" customWidth="1"/>
    <col min="10765" max="10765" width="9.7109375" customWidth="1"/>
    <col min="10766" max="10766" width="10.42578125" customWidth="1"/>
    <col min="10767" max="10767" width="9.5703125" customWidth="1"/>
    <col min="10768" max="10768" width="8.28515625" customWidth="1"/>
    <col min="10769" max="10769" width="13.140625" customWidth="1"/>
    <col min="11011" max="11011" width="9.140625" customWidth="1"/>
    <col min="11012" max="11012" width="0" hidden="1" customWidth="1"/>
    <col min="11013" max="11013" width="4.28515625" customWidth="1"/>
    <col min="11014" max="11014" width="17.140625" customWidth="1"/>
    <col min="11015" max="11015" width="10.28515625" bestFit="1" customWidth="1"/>
    <col min="11016" max="11016" width="9.7109375" customWidth="1"/>
    <col min="11017" max="11017" width="11" customWidth="1"/>
    <col min="11018" max="11018" width="11.140625" customWidth="1"/>
    <col min="11019" max="11019" width="10.28515625" customWidth="1"/>
    <col min="11020" max="11020" width="14.85546875" customWidth="1"/>
    <col min="11021" max="11021" width="9.7109375" customWidth="1"/>
    <col min="11022" max="11022" width="10.42578125" customWidth="1"/>
    <col min="11023" max="11023" width="9.5703125" customWidth="1"/>
    <col min="11024" max="11024" width="8.28515625" customWidth="1"/>
    <col min="11025" max="11025" width="13.140625" customWidth="1"/>
    <col min="11267" max="11267" width="9.140625" customWidth="1"/>
    <col min="11268" max="11268" width="0" hidden="1" customWidth="1"/>
    <col min="11269" max="11269" width="4.28515625" customWidth="1"/>
    <col min="11270" max="11270" width="17.140625" customWidth="1"/>
    <col min="11271" max="11271" width="10.28515625" bestFit="1" customWidth="1"/>
    <col min="11272" max="11272" width="9.7109375" customWidth="1"/>
    <col min="11273" max="11273" width="11" customWidth="1"/>
    <col min="11274" max="11274" width="11.140625" customWidth="1"/>
    <col min="11275" max="11275" width="10.28515625" customWidth="1"/>
    <col min="11276" max="11276" width="14.85546875" customWidth="1"/>
    <col min="11277" max="11277" width="9.7109375" customWidth="1"/>
    <col min="11278" max="11278" width="10.42578125" customWidth="1"/>
    <col min="11279" max="11279" width="9.5703125" customWidth="1"/>
    <col min="11280" max="11280" width="8.28515625" customWidth="1"/>
    <col min="11281" max="11281" width="13.140625" customWidth="1"/>
    <col min="11523" max="11523" width="9.140625" customWidth="1"/>
    <col min="11524" max="11524" width="0" hidden="1" customWidth="1"/>
    <col min="11525" max="11525" width="4.28515625" customWidth="1"/>
    <col min="11526" max="11526" width="17.140625" customWidth="1"/>
    <col min="11527" max="11527" width="10.28515625" bestFit="1" customWidth="1"/>
    <col min="11528" max="11528" width="9.7109375" customWidth="1"/>
    <col min="11529" max="11529" width="11" customWidth="1"/>
    <col min="11530" max="11530" width="11.140625" customWidth="1"/>
    <col min="11531" max="11531" width="10.28515625" customWidth="1"/>
    <col min="11532" max="11532" width="14.85546875" customWidth="1"/>
    <col min="11533" max="11533" width="9.7109375" customWidth="1"/>
    <col min="11534" max="11534" width="10.42578125" customWidth="1"/>
    <col min="11535" max="11535" width="9.5703125" customWidth="1"/>
    <col min="11536" max="11536" width="8.28515625" customWidth="1"/>
    <col min="11537" max="11537" width="13.140625" customWidth="1"/>
    <col min="11779" max="11779" width="9.140625" customWidth="1"/>
    <col min="11780" max="11780" width="0" hidden="1" customWidth="1"/>
    <col min="11781" max="11781" width="4.28515625" customWidth="1"/>
    <col min="11782" max="11782" width="17.140625" customWidth="1"/>
    <col min="11783" max="11783" width="10.28515625" bestFit="1" customWidth="1"/>
    <col min="11784" max="11784" width="9.7109375" customWidth="1"/>
    <col min="11785" max="11785" width="11" customWidth="1"/>
    <col min="11786" max="11786" width="11.140625" customWidth="1"/>
    <col min="11787" max="11787" width="10.28515625" customWidth="1"/>
    <col min="11788" max="11788" width="14.85546875" customWidth="1"/>
    <col min="11789" max="11789" width="9.7109375" customWidth="1"/>
    <col min="11790" max="11790" width="10.42578125" customWidth="1"/>
    <col min="11791" max="11791" width="9.5703125" customWidth="1"/>
    <col min="11792" max="11792" width="8.28515625" customWidth="1"/>
    <col min="11793" max="11793" width="13.140625" customWidth="1"/>
    <col min="12035" max="12035" width="9.140625" customWidth="1"/>
    <col min="12036" max="12036" width="0" hidden="1" customWidth="1"/>
    <col min="12037" max="12037" width="4.28515625" customWidth="1"/>
    <col min="12038" max="12038" width="17.140625" customWidth="1"/>
    <col min="12039" max="12039" width="10.28515625" bestFit="1" customWidth="1"/>
    <col min="12040" max="12040" width="9.7109375" customWidth="1"/>
    <col min="12041" max="12041" width="11" customWidth="1"/>
    <col min="12042" max="12042" width="11.140625" customWidth="1"/>
    <col min="12043" max="12043" width="10.28515625" customWidth="1"/>
    <col min="12044" max="12044" width="14.85546875" customWidth="1"/>
    <col min="12045" max="12045" width="9.7109375" customWidth="1"/>
    <col min="12046" max="12046" width="10.42578125" customWidth="1"/>
    <col min="12047" max="12047" width="9.5703125" customWidth="1"/>
    <col min="12048" max="12048" width="8.28515625" customWidth="1"/>
    <col min="12049" max="12049" width="13.140625" customWidth="1"/>
    <col min="12291" max="12291" width="9.140625" customWidth="1"/>
    <col min="12292" max="12292" width="0" hidden="1" customWidth="1"/>
    <col min="12293" max="12293" width="4.28515625" customWidth="1"/>
    <col min="12294" max="12294" width="17.140625" customWidth="1"/>
    <col min="12295" max="12295" width="10.28515625" bestFit="1" customWidth="1"/>
    <col min="12296" max="12296" width="9.7109375" customWidth="1"/>
    <col min="12297" max="12297" width="11" customWidth="1"/>
    <col min="12298" max="12298" width="11.140625" customWidth="1"/>
    <col min="12299" max="12299" width="10.28515625" customWidth="1"/>
    <col min="12300" max="12300" width="14.85546875" customWidth="1"/>
    <col min="12301" max="12301" width="9.7109375" customWidth="1"/>
    <col min="12302" max="12302" width="10.42578125" customWidth="1"/>
    <col min="12303" max="12303" width="9.5703125" customWidth="1"/>
    <col min="12304" max="12304" width="8.28515625" customWidth="1"/>
    <col min="12305" max="12305" width="13.140625" customWidth="1"/>
    <col min="12547" max="12547" width="9.140625" customWidth="1"/>
    <col min="12548" max="12548" width="0" hidden="1" customWidth="1"/>
    <col min="12549" max="12549" width="4.28515625" customWidth="1"/>
    <col min="12550" max="12550" width="17.140625" customWidth="1"/>
    <col min="12551" max="12551" width="10.28515625" bestFit="1" customWidth="1"/>
    <col min="12552" max="12552" width="9.7109375" customWidth="1"/>
    <col min="12553" max="12553" width="11" customWidth="1"/>
    <col min="12554" max="12554" width="11.140625" customWidth="1"/>
    <col min="12555" max="12555" width="10.28515625" customWidth="1"/>
    <col min="12556" max="12556" width="14.85546875" customWidth="1"/>
    <col min="12557" max="12557" width="9.7109375" customWidth="1"/>
    <col min="12558" max="12558" width="10.42578125" customWidth="1"/>
    <col min="12559" max="12559" width="9.5703125" customWidth="1"/>
    <col min="12560" max="12560" width="8.28515625" customWidth="1"/>
    <col min="12561" max="12561" width="13.140625" customWidth="1"/>
    <col min="12803" max="12803" width="9.140625" customWidth="1"/>
    <col min="12804" max="12804" width="0" hidden="1" customWidth="1"/>
    <col min="12805" max="12805" width="4.28515625" customWidth="1"/>
    <col min="12806" max="12806" width="17.140625" customWidth="1"/>
    <col min="12807" max="12807" width="10.28515625" bestFit="1" customWidth="1"/>
    <col min="12808" max="12808" width="9.7109375" customWidth="1"/>
    <col min="12809" max="12809" width="11" customWidth="1"/>
    <col min="12810" max="12810" width="11.140625" customWidth="1"/>
    <col min="12811" max="12811" width="10.28515625" customWidth="1"/>
    <col min="12812" max="12812" width="14.85546875" customWidth="1"/>
    <col min="12813" max="12813" width="9.7109375" customWidth="1"/>
    <col min="12814" max="12814" width="10.42578125" customWidth="1"/>
    <col min="12815" max="12815" width="9.5703125" customWidth="1"/>
    <col min="12816" max="12816" width="8.28515625" customWidth="1"/>
    <col min="12817" max="12817" width="13.140625" customWidth="1"/>
    <col min="13059" max="13059" width="9.140625" customWidth="1"/>
    <col min="13060" max="13060" width="0" hidden="1" customWidth="1"/>
    <col min="13061" max="13061" width="4.28515625" customWidth="1"/>
    <col min="13062" max="13062" width="17.140625" customWidth="1"/>
    <col min="13063" max="13063" width="10.28515625" bestFit="1" customWidth="1"/>
    <col min="13064" max="13064" width="9.7109375" customWidth="1"/>
    <col min="13065" max="13065" width="11" customWidth="1"/>
    <col min="13066" max="13066" width="11.140625" customWidth="1"/>
    <col min="13067" max="13067" width="10.28515625" customWidth="1"/>
    <col min="13068" max="13068" width="14.85546875" customWidth="1"/>
    <col min="13069" max="13069" width="9.7109375" customWidth="1"/>
    <col min="13070" max="13070" width="10.42578125" customWidth="1"/>
    <col min="13071" max="13071" width="9.5703125" customWidth="1"/>
    <col min="13072" max="13072" width="8.28515625" customWidth="1"/>
    <col min="13073" max="13073" width="13.140625" customWidth="1"/>
    <col min="13315" max="13315" width="9.140625" customWidth="1"/>
    <col min="13316" max="13316" width="0" hidden="1" customWidth="1"/>
    <col min="13317" max="13317" width="4.28515625" customWidth="1"/>
    <col min="13318" max="13318" width="17.140625" customWidth="1"/>
    <col min="13319" max="13319" width="10.28515625" bestFit="1" customWidth="1"/>
    <col min="13320" max="13320" width="9.7109375" customWidth="1"/>
    <col min="13321" max="13321" width="11" customWidth="1"/>
    <col min="13322" max="13322" width="11.140625" customWidth="1"/>
    <col min="13323" max="13323" width="10.28515625" customWidth="1"/>
    <col min="13324" max="13324" width="14.85546875" customWidth="1"/>
    <col min="13325" max="13325" width="9.7109375" customWidth="1"/>
    <col min="13326" max="13326" width="10.42578125" customWidth="1"/>
    <col min="13327" max="13327" width="9.5703125" customWidth="1"/>
    <col min="13328" max="13328" width="8.28515625" customWidth="1"/>
    <col min="13329" max="13329" width="13.140625" customWidth="1"/>
    <col min="13571" max="13571" width="9.140625" customWidth="1"/>
    <col min="13572" max="13572" width="0" hidden="1" customWidth="1"/>
    <col min="13573" max="13573" width="4.28515625" customWidth="1"/>
    <col min="13574" max="13574" width="17.140625" customWidth="1"/>
    <col min="13575" max="13575" width="10.28515625" bestFit="1" customWidth="1"/>
    <col min="13576" max="13576" width="9.7109375" customWidth="1"/>
    <col min="13577" max="13577" width="11" customWidth="1"/>
    <col min="13578" max="13578" width="11.140625" customWidth="1"/>
    <col min="13579" max="13579" width="10.28515625" customWidth="1"/>
    <col min="13580" max="13580" width="14.85546875" customWidth="1"/>
    <col min="13581" max="13581" width="9.7109375" customWidth="1"/>
    <col min="13582" max="13582" width="10.42578125" customWidth="1"/>
    <col min="13583" max="13583" width="9.5703125" customWidth="1"/>
    <col min="13584" max="13584" width="8.28515625" customWidth="1"/>
    <col min="13585" max="13585" width="13.140625" customWidth="1"/>
    <col min="13827" max="13827" width="9.140625" customWidth="1"/>
    <col min="13828" max="13828" width="0" hidden="1" customWidth="1"/>
    <col min="13829" max="13829" width="4.28515625" customWidth="1"/>
    <col min="13830" max="13830" width="17.140625" customWidth="1"/>
    <col min="13831" max="13831" width="10.28515625" bestFit="1" customWidth="1"/>
    <col min="13832" max="13832" width="9.7109375" customWidth="1"/>
    <col min="13833" max="13833" width="11" customWidth="1"/>
    <col min="13834" max="13834" width="11.140625" customWidth="1"/>
    <col min="13835" max="13835" width="10.28515625" customWidth="1"/>
    <col min="13836" max="13836" width="14.85546875" customWidth="1"/>
    <col min="13837" max="13837" width="9.7109375" customWidth="1"/>
    <col min="13838" max="13838" width="10.42578125" customWidth="1"/>
    <col min="13839" max="13839" width="9.5703125" customWidth="1"/>
    <col min="13840" max="13840" width="8.28515625" customWidth="1"/>
    <col min="13841" max="13841" width="13.140625" customWidth="1"/>
    <col min="14083" max="14083" width="9.140625" customWidth="1"/>
    <col min="14084" max="14084" width="0" hidden="1" customWidth="1"/>
    <col min="14085" max="14085" width="4.28515625" customWidth="1"/>
    <col min="14086" max="14086" width="17.140625" customWidth="1"/>
    <col min="14087" max="14087" width="10.28515625" bestFit="1" customWidth="1"/>
    <col min="14088" max="14088" width="9.7109375" customWidth="1"/>
    <col min="14089" max="14089" width="11" customWidth="1"/>
    <col min="14090" max="14090" width="11.140625" customWidth="1"/>
    <col min="14091" max="14091" width="10.28515625" customWidth="1"/>
    <col min="14092" max="14092" width="14.85546875" customWidth="1"/>
    <col min="14093" max="14093" width="9.7109375" customWidth="1"/>
    <col min="14094" max="14094" width="10.42578125" customWidth="1"/>
    <col min="14095" max="14095" width="9.5703125" customWidth="1"/>
    <col min="14096" max="14096" width="8.28515625" customWidth="1"/>
    <col min="14097" max="14097" width="13.140625" customWidth="1"/>
    <col min="14339" max="14339" width="9.140625" customWidth="1"/>
    <col min="14340" max="14340" width="0" hidden="1" customWidth="1"/>
    <col min="14341" max="14341" width="4.28515625" customWidth="1"/>
    <col min="14342" max="14342" width="17.140625" customWidth="1"/>
    <col min="14343" max="14343" width="10.28515625" bestFit="1" customWidth="1"/>
    <col min="14344" max="14344" width="9.7109375" customWidth="1"/>
    <col min="14345" max="14345" width="11" customWidth="1"/>
    <col min="14346" max="14346" width="11.140625" customWidth="1"/>
    <col min="14347" max="14347" width="10.28515625" customWidth="1"/>
    <col min="14348" max="14348" width="14.85546875" customWidth="1"/>
    <col min="14349" max="14349" width="9.7109375" customWidth="1"/>
    <col min="14350" max="14350" width="10.42578125" customWidth="1"/>
    <col min="14351" max="14351" width="9.5703125" customWidth="1"/>
    <col min="14352" max="14352" width="8.28515625" customWidth="1"/>
    <col min="14353" max="14353" width="13.140625" customWidth="1"/>
    <col min="14595" max="14595" width="9.140625" customWidth="1"/>
    <col min="14596" max="14596" width="0" hidden="1" customWidth="1"/>
    <col min="14597" max="14597" width="4.28515625" customWidth="1"/>
    <col min="14598" max="14598" width="17.140625" customWidth="1"/>
    <col min="14599" max="14599" width="10.28515625" bestFit="1" customWidth="1"/>
    <col min="14600" max="14600" width="9.7109375" customWidth="1"/>
    <col min="14601" max="14601" width="11" customWidth="1"/>
    <col min="14602" max="14602" width="11.140625" customWidth="1"/>
    <col min="14603" max="14603" width="10.28515625" customWidth="1"/>
    <col min="14604" max="14604" width="14.85546875" customWidth="1"/>
    <col min="14605" max="14605" width="9.7109375" customWidth="1"/>
    <col min="14606" max="14606" width="10.42578125" customWidth="1"/>
    <col min="14607" max="14607" width="9.5703125" customWidth="1"/>
    <col min="14608" max="14608" width="8.28515625" customWidth="1"/>
    <col min="14609" max="14609" width="13.140625" customWidth="1"/>
    <col min="14851" max="14851" width="9.140625" customWidth="1"/>
    <col min="14852" max="14852" width="0" hidden="1" customWidth="1"/>
    <col min="14853" max="14853" width="4.28515625" customWidth="1"/>
    <col min="14854" max="14854" width="17.140625" customWidth="1"/>
    <col min="14855" max="14855" width="10.28515625" bestFit="1" customWidth="1"/>
    <col min="14856" max="14856" width="9.7109375" customWidth="1"/>
    <col min="14857" max="14857" width="11" customWidth="1"/>
    <col min="14858" max="14858" width="11.140625" customWidth="1"/>
    <col min="14859" max="14859" width="10.28515625" customWidth="1"/>
    <col min="14860" max="14860" width="14.85546875" customWidth="1"/>
    <col min="14861" max="14861" width="9.7109375" customWidth="1"/>
    <col min="14862" max="14862" width="10.42578125" customWidth="1"/>
    <col min="14863" max="14863" width="9.5703125" customWidth="1"/>
    <col min="14864" max="14864" width="8.28515625" customWidth="1"/>
    <col min="14865" max="14865" width="13.140625" customWidth="1"/>
    <col min="15107" max="15107" width="9.140625" customWidth="1"/>
    <col min="15108" max="15108" width="0" hidden="1" customWidth="1"/>
    <col min="15109" max="15109" width="4.28515625" customWidth="1"/>
    <col min="15110" max="15110" width="17.140625" customWidth="1"/>
    <col min="15111" max="15111" width="10.28515625" bestFit="1" customWidth="1"/>
    <col min="15112" max="15112" width="9.7109375" customWidth="1"/>
    <col min="15113" max="15113" width="11" customWidth="1"/>
    <col min="15114" max="15114" width="11.140625" customWidth="1"/>
    <col min="15115" max="15115" width="10.28515625" customWidth="1"/>
    <col min="15116" max="15116" width="14.85546875" customWidth="1"/>
    <col min="15117" max="15117" width="9.7109375" customWidth="1"/>
    <col min="15118" max="15118" width="10.42578125" customWidth="1"/>
    <col min="15119" max="15119" width="9.5703125" customWidth="1"/>
    <col min="15120" max="15120" width="8.28515625" customWidth="1"/>
    <col min="15121" max="15121" width="13.140625" customWidth="1"/>
    <col min="15363" max="15363" width="9.140625" customWidth="1"/>
    <col min="15364" max="15364" width="0" hidden="1" customWidth="1"/>
    <col min="15365" max="15365" width="4.28515625" customWidth="1"/>
    <col min="15366" max="15366" width="17.140625" customWidth="1"/>
    <col min="15367" max="15367" width="10.28515625" bestFit="1" customWidth="1"/>
    <col min="15368" max="15368" width="9.7109375" customWidth="1"/>
    <col min="15369" max="15369" width="11" customWidth="1"/>
    <col min="15370" max="15370" width="11.140625" customWidth="1"/>
    <col min="15371" max="15371" width="10.28515625" customWidth="1"/>
    <col min="15372" max="15372" width="14.85546875" customWidth="1"/>
    <col min="15373" max="15373" width="9.7109375" customWidth="1"/>
    <col min="15374" max="15374" width="10.42578125" customWidth="1"/>
    <col min="15375" max="15375" width="9.5703125" customWidth="1"/>
    <col min="15376" max="15376" width="8.28515625" customWidth="1"/>
    <col min="15377" max="15377" width="13.140625" customWidth="1"/>
    <col min="15619" max="15619" width="9.140625" customWidth="1"/>
    <col min="15620" max="15620" width="0" hidden="1" customWidth="1"/>
    <col min="15621" max="15621" width="4.28515625" customWidth="1"/>
    <col min="15622" max="15622" width="17.140625" customWidth="1"/>
    <col min="15623" max="15623" width="10.28515625" bestFit="1" customWidth="1"/>
    <col min="15624" max="15624" width="9.7109375" customWidth="1"/>
    <col min="15625" max="15625" width="11" customWidth="1"/>
    <col min="15626" max="15626" width="11.140625" customWidth="1"/>
    <col min="15627" max="15627" width="10.28515625" customWidth="1"/>
    <col min="15628" max="15628" width="14.85546875" customWidth="1"/>
    <col min="15629" max="15629" width="9.7109375" customWidth="1"/>
    <col min="15630" max="15630" width="10.42578125" customWidth="1"/>
    <col min="15631" max="15631" width="9.5703125" customWidth="1"/>
    <col min="15632" max="15632" width="8.28515625" customWidth="1"/>
    <col min="15633" max="15633" width="13.140625" customWidth="1"/>
    <col min="15875" max="15875" width="9.140625" customWidth="1"/>
    <col min="15876" max="15876" width="0" hidden="1" customWidth="1"/>
    <col min="15877" max="15877" width="4.28515625" customWidth="1"/>
    <col min="15878" max="15878" width="17.140625" customWidth="1"/>
    <col min="15879" max="15879" width="10.28515625" bestFit="1" customWidth="1"/>
    <col min="15880" max="15880" width="9.7109375" customWidth="1"/>
    <col min="15881" max="15881" width="11" customWidth="1"/>
    <col min="15882" max="15882" width="11.140625" customWidth="1"/>
    <col min="15883" max="15883" width="10.28515625" customWidth="1"/>
    <col min="15884" max="15884" width="14.85546875" customWidth="1"/>
    <col min="15885" max="15885" width="9.7109375" customWidth="1"/>
    <col min="15886" max="15886" width="10.42578125" customWidth="1"/>
    <col min="15887" max="15887" width="9.5703125" customWidth="1"/>
    <col min="15888" max="15888" width="8.28515625" customWidth="1"/>
    <col min="15889" max="15889" width="13.140625" customWidth="1"/>
    <col min="16131" max="16131" width="9.140625" customWidth="1"/>
    <col min="16132" max="16132" width="0" hidden="1" customWidth="1"/>
    <col min="16133" max="16133" width="4.28515625" customWidth="1"/>
    <col min="16134" max="16134" width="17.140625" customWidth="1"/>
    <col min="16135" max="16135" width="10.28515625" bestFit="1" customWidth="1"/>
    <col min="16136" max="16136" width="9.7109375" customWidth="1"/>
    <col min="16137" max="16137" width="11" customWidth="1"/>
    <col min="16138" max="16138" width="11.140625" customWidth="1"/>
    <col min="16139" max="16139" width="10.28515625" customWidth="1"/>
    <col min="16140" max="16140" width="14.85546875" customWidth="1"/>
    <col min="16141" max="16141" width="9.7109375" customWidth="1"/>
    <col min="16142" max="16142" width="10.42578125" customWidth="1"/>
    <col min="16143" max="16143" width="9.5703125" customWidth="1"/>
    <col min="16144" max="16144" width="8.28515625" customWidth="1"/>
    <col min="16145" max="16145" width="13.140625" customWidth="1"/>
  </cols>
  <sheetData>
    <row r="1" spans="5:40" ht="9.75" customHeight="1" thickBot="1" x14ac:dyDescent="0.3"/>
    <row r="2" spans="5:40" x14ac:dyDescent="0.25">
      <c r="E2" s="1013" t="s">
        <v>45</v>
      </c>
      <c r="F2" s="1014"/>
      <c r="G2" s="1014"/>
      <c r="H2" s="1014"/>
      <c r="I2" s="1014"/>
      <c r="J2" s="1014"/>
      <c r="K2" s="1014"/>
      <c r="L2" s="1014"/>
      <c r="M2" s="1014"/>
      <c r="N2" s="1014"/>
      <c r="O2" s="1014"/>
      <c r="P2" s="1015"/>
      <c r="AJ2" s="348"/>
      <c r="AK2" s="348"/>
      <c r="AL2" s="348"/>
      <c r="AM2" s="348"/>
    </row>
    <row r="3" spans="5:40" ht="33.75" customHeight="1" x14ac:dyDescent="0.3">
      <c r="E3" s="1016"/>
      <c r="F3" s="1017"/>
      <c r="G3" s="1017"/>
      <c r="H3" s="1017"/>
      <c r="I3" s="1017"/>
      <c r="J3" s="1017"/>
      <c r="K3" s="1017"/>
      <c r="L3" s="1017"/>
      <c r="M3" s="1017"/>
      <c r="N3" s="1017"/>
      <c r="O3" s="1017"/>
      <c r="P3" s="1018"/>
      <c r="T3" s="550"/>
      <c r="U3" s="550"/>
      <c r="V3" s="550"/>
      <c r="W3" s="550"/>
      <c r="X3" s="550"/>
      <c r="Y3" s="550"/>
      <c r="Z3" s="550"/>
      <c r="AA3" s="550"/>
      <c r="AB3" s="550"/>
      <c r="AC3" s="550"/>
      <c r="AD3" s="550"/>
      <c r="AE3" s="550"/>
      <c r="AF3" s="550"/>
      <c r="AG3" s="550"/>
      <c r="AH3" s="549"/>
      <c r="AI3" s="778" t="s">
        <v>210</v>
      </c>
      <c r="AJ3" s="778"/>
      <c r="AK3" s="778" t="s">
        <v>301</v>
      </c>
      <c r="AL3" s="779"/>
    </row>
    <row r="4" spans="5:40" ht="20.100000000000001" customHeight="1" x14ac:dyDescent="0.3">
      <c r="E4" s="958" t="s">
        <v>46</v>
      </c>
      <c r="F4" s="959"/>
      <c r="G4" s="959"/>
      <c r="H4" s="959"/>
      <c r="I4" s="959"/>
      <c r="J4" s="959"/>
      <c r="K4" s="959"/>
      <c r="L4" s="959"/>
      <c r="M4" s="959"/>
      <c r="N4" s="959"/>
      <c r="O4" s="959"/>
      <c r="P4" s="960"/>
      <c r="T4" s="550"/>
      <c r="U4" s="550"/>
      <c r="V4" s="550"/>
      <c r="W4" s="550"/>
      <c r="X4" s="550"/>
      <c r="Y4" s="550"/>
      <c r="Z4" s="550"/>
      <c r="AA4" s="550"/>
      <c r="AB4" s="550"/>
      <c r="AC4" s="550"/>
      <c r="AD4" s="550"/>
      <c r="AE4" s="550"/>
      <c r="AF4" s="550"/>
      <c r="AG4" s="550"/>
      <c r="AH4" s="549"/>
      <c r="AI4" s="550" t="s">
        <v>208</v>
      </c>
      <c r="AJ4" s="550"/>
      <c r="AK4" s="550">
        <v>2.63</v>
      </c>
      <c r="AL4" s="549"/>
    </row>
    <row r="5" spans="5:40" ht="20.100000000000001" customHeight="1" x14ac:dyDescent="0.3">
      <c r="E5" s="387" t="s">
        <v>47</v>
      </c>
      <c r="F5" s="388"/>
      <c r="G5" s="389"/>
      <c r="H5" s="388"/>
      <c r="I5" s="390"/>
      <c r="J5" s="388" t="s">
        <v>48</v>
      </c>
      <c r="K5" s="391">
        <v>44857</v>
      </c>
      <c r="L5" s="392"/>
      <c r="M5" s="393"/>
      <c r="N5" s="394" t="s">
        <v>49</v>
      </c>
      <c r="O5" s="388"/>
      <c r="P5" s="395"/>
      <c r="T5" s="550"/>
      <c r="U5" s="550"/>
      <c r="V5" s="550"/>
      <c r="W5" s="550"/>
      <c r="X5" s="550"/>
      <c r="Y5" s="550"/>
      <c r="Z5" s="550"/>
      <c r="AA5" s="550"/>
      <c r="AB5" s="550"/>
      <c r="AC5" s="550"/>
      <c r="AD5" s="550"/>
      <c r="AE5" s="550"/>
      <c r="AF5" s="550"/>
      <c r="AG5" s="550"/>
      <c r="AH5" s="549"/>
      <c r="AI5" s="550" t="s">
        <v>209</v>
      </c>
      <c r="AJ5" s="550"/>
      <c r="AK5" s="550">
        <v>2.69</v>
      </c>
      <c r="AL5" s="548"/>
    </row>
    <row r="6" spans="5:40" ht="20.100000000000001" customHeight="1" x14ac:dyDescent="0.3">
      <c r="E6" s="396" t="s">
        <v>50</v>
      </c>
      <c r="F6" s="397"/>
      <c r="G6" s="398"/>
      <c r="H6" s="399" t="s">
        <v>51</v>
      </c>
      <c r="I6" s="397"/>
      <c r="J6" s="400"/>
      <c r="K6" s="401"/>
      <c r="L6" s="402" t="s">
        <v>52</v>
      </c>
      <c r="M6" s="401"/>
      <c r="N6" s="400"/>
      <c r="O6" s="397"/>
      <c r="P6" s="403"/>
      <c r="T6" s="572" t="s">
        <v>227</v>
      </c>
      <c r="U6" s="573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49"/>
      <c r="AI6" s="550" t="s">
        <v>91</v>
      </c>
      <c r="AJ6" s="550"/>
      <c r="AK6" s="550">
        <v>2.7</v>
      </c>
      <c r="AL6" s="549"/>
    </row>
    <row r="7" spans="5:40" ht="20.100000000000001" customHeight="1" x14ac:dyDescent="0.3">
      <c r="E7" s="958" t="s">
        <v>53</v>
      </c>
      <c r="F7" s="959"/>
      <c r="G7" s="959"/>
      <c r="H7" s="959"/>
      <c r="I7" s="959"/>
      <c r="J7" s="959"/>
      <c r="K7" s="959"/>
      <c r="L7" s="959"/>
      <c r="M7" s="959"/>
      <c r="N7" s="959"/>
      <c r="O7" s="959"/>
      <c r="P7" s="960"/>
      <c r="T7" s="550"/>
      <c r="U7" s="550"/>
      <c r="V7" s="550"/>
      <c r="W7" s="550"/>
      <c r="X7" s="550"/>
      <c r="Y7" s="550"/>
      <c r="Z7" s="550"/>
      <c r="AA7" s="550"/>
      <c r="AB7" s="550"/>
      <c r="AC7" s="550"/>
      <c r="AD7" s="550"/>
      <c r="AE7" s="550"/>
      <c r="AF7" s="550"/>
      <c r="AG7" s="550"/>
      <c r="AH7" s="549"/>
      <c r="AI7" s="550" t="s">
        <v>94</v>
      </c>
      <c r="AJ7" s="550"/>
      <c r="AK7" s="550">
        <v>2.7</v>
      </c>
      <c r="AL7" s="549"/>
    </row>
    <row r="8" spans="5:40" s="38" customFormat="1" ht="50.25" customHeight="1" x14ac:dyDescent="0.25">
      <c r="E8" s="404" t="s">
        <v>54</v>
      </c>
      <c r="F8" s="405" t="s">
        <v>55</v>
      </c>
      <c r="G8" s="406" t="s">
        <v>56</v>
      </c>
      <c r="H8" s="407" t="s">
        <v>57</v>
      </c>
      <c r="I8" s="407" t="s">
        <v>203</v>
      </c>
      <c r="J8" s="408" t="s">
        <v>204</v>
      </c>
      <c r="K8" s="409" t="s">
        <v>60</v>
      </c>
      <c r="L8" s="407" t="s">
        <v>61</v>
      </c>
      <c r="M8" s="410" t="s">
        <v>62</v>
      </c>
      <c r="N8" s="410" t="s">
        <v>63</v>
      </c>
      <c r="O8" s="407" t="s">
        <v>64</v>
      </c>
      <c r="P8" s="411" t="s">
        <v>65</v>
      </c>
      <c r="T8" s="574" t="s">
        <v>54</v>
      </c>
      <c r="U8" s="575" t="s">
        <v>55</v>
      </c>
      <c r="V8" s="575" t="s">
        <v>56</v>
      </c>
      <c r="W8" s="575" t="s">
        <v>57</v>
      </c>
      <c r="X8" s="575" t="s">
        <v>206</v>
      </c>
      <c r="Y8" s="575" t="s">
        <v>207</v>
      </c>
      <c r="Z8" s="575" t="s">
        <v>60</v>
      </c>
      <c r="AA8" s="575" t="s">
        <v>262</v>
      </c>
      <c r="AB8" s="575" t="s">
        <v>228</v>
      </c>
      <c r="AC8" s="575" t="s">
        <v>230</v>
      </c>
      <c r="AD8" s="575" t="s">
        <v>62</v>
      </c>
      <c r="AE8" s="575" t="s">
        <v>63</v>
      </c>
      <c r="AF8" s="576" t="s">
        <v>65</v>
      </c>
      <c r="AG8" s="548"/>
      <c r="AH8" s="548"/>
      <c r="AI8" s="550" t="s">
        <v>75</v>
      </c>
      <c r="AJ8" s="550"/>
      <c r="AK8" s="550">
        <v>3.08</v>
      </c>
      <c r="AL8" s="548"/>
    </row>
    <row r="9" spans="5:40" ht="20.100000000000001" customHeight="1" x14ac:dyDescent="0.3">
      <c r="E9" s="412">
        <v>35</v>
      </c>
      <c r="F9" s="413">
        <v>4</v>
      </c>
      <c r="G9" s="414">
        <v>35</v>
      </c>
      <c r="H9" s="415">
        <v>100</v>
      </c>
      <c r="I9" s="416">
        <v>190</v>
      </c>
      <c r="J9" s="415">
        <v>380</v>
      </c>
      <c r="K9" s="417">
        <f>SUM(I9/J9)</f>
        <v>0.5</v>
      </c>
      <c r="L9" s="418">
        <v>0.49</v>
      </c>
      <c r="M9" s="419">
        <v>2.5000000000000001E-2</v>
      </c>
      <c r="N9" s="420">
        <v>19.100000000000001</v>
      </c>
      <c r="O9" s="421">
        <v>28</v>
      </c>
      <c r="P9" s="422" t="s">
        <v>66</v>
      </c>
      <c r="T9" s="550">
        <v>35</v>
      </c>
      <c r="U9" s="577">
        <v>4</v>
      </c>
      <c r="V9" s="577">
        <v>35</v>
      </c>
      <c r="W9" s="577">
        <v>100</v>
      </c>
      <c r="X9" s="577">
        <v>190</v>
      </c>
      <c r="Y9" s="577">
        <v>380</v>
      </c>
      <c r="Z9" s="577">
        <f>SUM(X9/Y9)</f>
        <v>0.5</v>
      </c>
      <c r="AA9" s="578">
        <v>0.49</v>
      </c>
      <c r="AB9" s="579" t="s">
        <v>229</v>
      </c>
      <c r="AC9" s="579" t="s">
        <v>231</v>
      </c>
      <c r="AD9" s="580">
        <v>2.5000000000000001E-2</v>
      </c>
      <c r="AE9" s="577">
        <v>19.100000000000001</v>
      </c>
      <c r="AF9" s="581" t="s">
        <v>66</v>
      </c>
      <c r="AG9" s="550"/>
      <c r="AH9" s="549"/>
      <c r="AI9" s="582"/>
      <c r="AJ9" s="549"/>
      <c r="AK9" s="550"/>
      <c r="AL9" s="550"/>
      <c r="AM9" s="348"/>
    </row>
    <row r="10" spans="5:40" ht="18.75" x14ac:dyDescent="0.3">
      <c r="E10" s="958" t="s">
        <v>67</v>
      </c>
      <c r="F10" s="959"/>
      <c r="G10" s="959"/>
      <c r="H10" s="959"/>
      <c r="I10" s="959"/>
      <c r="J10" s="959"/>
      <c r="K10" s="959"/>
      <c r="L10" s="959"/>
      <c r="M10" s="959"/>
      <c r="N10" s="959"/>
      <c r="O10" s="959"/>
      <c r="P10" s="960"/>
      <c r="T10" s="550"/>
      <c r="U10" s="550"/>
      <c r="V10" s="550"/>
      <c r="W10" s="550"/>
      <c r="X10" s="550"/>
      <c r="Y10" s="550"/>
      <c r="Z10" s="550"/>
      <c r="AA10" s="550"/>
      <c r="AB10" s="550"/>
      <c r="AC10" s="550"/>
      <c r="AD10" s="550"/>
      <c r="AE10" s="550"/>
      <c r="AF10" s="550"/>
      <c r="AG10" s="550"/>
      <c r="AH10" s="549"/>
      <c r="AI10" s="583"/>
      <c r="AJ10" s="549"/>
      <c r="AK10" s="573"/>
      <c r="AL10" s="573"/>
      <c r="AM10" s="348"/>
    </row>
    <row r="11" spans="5:40" s="38" customFormat="1" ht="25.5" x14ac:dyDescent="0.3">
      <c r="E11" s="1019" t="s">
        <v>68</v>
      </c>
      <c r="F11" s="1020"/>
      <c r="G11" s="1021" t="s">
        <v>69</v>
      </c>
      <c r="H11" s="1022"/>
      <c r="I11" s="1021" t="s">
        <v>70</v>
      </c>
      <c r="J11" s="1022"/>
      <c r="K11" s="423" t="s">
        <v>71</v>
      </c>
      <c r="L11" s="535" t="s">
        <v>72</v>
      </c>
      <c r="M11" s="424" t="s">
        <v>73</v>
      </c>
      <c r="N11" s="423"/>
      <c r="O11" s="424"/>
      <c r="P11" s="425"/>
      <c r="T11" s="548"/>
      <c r="U11" s="548"/>
      <c r="V11" s="548"/>
      <c r="W11" s="548"/>
      <c r="X11" s="548"/>
      <c r="Y11" s="548"/>
      <c r="Z11" s="548"/>
      <c r="AA11" s="548"/>
      <c r="AB11" s="548"/>
      <c r="AC11" s="548"/>
      <c r="AD11" s="548"/>
      <c r="AE11" s="548"/>
      <c r="AF11" s="548"/>
      <c r="AG11" s="548"/>
      <c r="AH11" s="548"/>
      <c r="AI11" s="583"/>
      <c r="AJ11" s="549"/>
      <c r="AK11" s="573"/>
      <c r="AL11" s="573"/>
      <c r="AM11" s="348"/>
      <c r="AN11"/>
    </row>
    <row r="12" spans="5:40" ht="15" customHeight="1" x14ac:dyDescent="0.3">
      <c r="E12" s="1023" t="s">
        <v>74</v>
      </c>
      <c r="F12" s="1024"/>
      <c r="G12" s="1025" t="s">
        <v>75</v>
      </c>
      <c r="H12" s="1026"/>
      <c r="I12" s="1025" t="s">
        <v>76</v>
      </c>
      <c r="J12" s="1026"/>
      <c r="K12" s="536" t="s">
        <v>77</v>
      </c>
      <c r="L12" s="537">
        <v>4.3499999999999996</v>
      </c>
      <c r="M12" s="426">
        <v>3.08</v>
      </c>
      <c r="N12" s="427"/>
      <c r="O12" s="428"/>
      <c r="P12" s="429"/>
      <c r="T12" s="584" t="s">
        <v>218</v>
      </c>
      <c r="U12" s="585"/>
      <c r="V12" s="585"/>
      <c r="W12" s="585"/>
      <c r="X12" s="585"/>
      <c r="Y12" s="585"/>
      <c r="Z12" s="573"/>
      <c r="AA12" s="573"/>
      <c r="AB12" s="573"/>
      <c r="AC12" s="573"/>
      <c r="AD12" s="573"/>
      <c r="AE12" s="550"/>
      <c r="AF12" s="573"/>
      <c r="AG12" s="550"/>
      <c r="AH12" s="549"/>
      <c r="AI12" s="583"/>
      <c r="AJ12" s="549"/>
      <c r="AK12" s="550"/>
      <c r="AL12" s="550"/>
      <c r="AM12" s="348"/>
    </row>
    <row r="13" spans="5:40" ht="15" customHeight="1" x14ac:dyDescent="0.3">
      <c r="E13" s="979" t="s">
        <v>78</v>
      </c>
      <c r="F13" s="980"/>
      <c r="G13" s="981" t="s">
        <v>79</v>
      </c>
      <c r="H13" s="982"/>
      <c r="I13" s="983" t="s">
        <v>79</v>
      </c>
      <c r="J13" s="982"/>
      <c r="K13" s="540" t="s">
        <v>79</v>
      </c>
      <c r="L13" s="539"/>
      <c r="M13" s="430">
        <v>1</v>
      </c>
      <c r="N13" s="431"/>
      <c r="O13" s="431"/>
      <c r="P13" s="432"/>
      <c r="T13" s="550"/>
      <c r="U13" s="550"/>
      <c r="V13" s="550"/>
      <c r="W13" s="550"/>
      <c r="X13" s="550"/>
      <c r="Y13" s="550"/>
      <c r="Z13" s="550"/>
      <c r="AA13" s="550"/>
      <c r="AB13" s="550"/>
      <c r="AC13" s="550"/>
      <c r="AD13" s="550"/>
      <c r="AE13" s="550"/>
      <c r="AF13" s="550"/>
      <c r="AG13" s="550"/>
      <c r="AH13" s="549"/>
      <c r="AI13" s="549"/>
      <c r="AJ13" s="549"/>
      <c r="AK13" s="549"/>
      <c r="AL13" s="549"/>
    </row>
    <row r="14" spans="5:40" ht="15" customHeight="1" x14ac:dyDescent="0.3">
      <c r="E14" s="1008" t="s">
        <v>80</v>
      </c>
      <c r="F14" s="1009"/>
      <c r="G14" s="981" t="s">
        <v>81</v>
      </c>
      <c r="H14" s="982"/>
      <c r="I14" s="981" t="s">
        <v>82</v>
      </c>
      <c r="J14" s="982"/>
      <c r="K14" s="538" t="s">
        <v>83</v>
      </c>
      <c r="L14" s="539"/>
      <c r="M14" s="430">
        <v>2.63</v>
      </c>
      <c r="N14" s="431"/>
      <c r="O14" s="541"/>
      <c r="P14" s="432"/>
      <c r="T14" s="573" t="s">
        <v>219</v>
      </c>
      <c r="U14" s="550"/>
      <c r="V14" s="586">
        <f>X9/Z9</f>
        <v>380</v>
      </c>
      <c r="W14" s="573" t="s">
        <v>215</v>
      </c>
      <c r="X14" s="550"/>
      <c r="Y14" s="550"/>
      <c r="Z14" s="550"/>
      <c r="AA14" s="550"/>
      <c r="AB14" s="550"/>
      <c r="AC14" s="550"/>
      <c r="AD14" s="550"/>
      <c r="AE14" s="550"/>
      <c r="AF14" s="550"/>
      <c r="AG14" s="550"/>
      <c r="AH14" s="549"/>
      <c r="AI14" s="549"/>
      <c r="AJ14" s="549"/>
      <c r="AK14" s="549"/>
      <c r="AL14" s="549"/>
    </row>
    <row r="15" spans="5:40" ht="15" customHeight="1" x14ac:dyDescent="0.3">
      <c r="E15" s="1008" t="s">
        <v>84</v>
      </c>
      <c r="F15" s="1009"/>
      <c r="G15" s="981" t="s">
        <v>81</v>
      </c>
      <c r="H15" s="982"/>
      <c r="I15" s="983" t="s">
        <v>85</v>
      </c>
      <c r="J15" s="982"/>
      <c r="K15" s="540" t="s">
        <v>86</v>
      </c>
      <c r="L15" s="539"/>
      <c r="M15" s="430">
        <v>2.69</v>
      </c>
      <c r="N15" s="431"/>
      <c r="O15" s="541"/>
      <c r="P15" s="432"/>
      <c r="T15" s="550"/>
      <c r="U15" s="550"/>
      <c r="V15" s="550"/>
      <c r="W15" s="550"/>
      <c r="X15" s="550"/>
      <c r="Y15" s="550"/>
      <c r="Z15" s="550"/>
      <c r="AA15" s="550"/>
      <c r="AB15" s="550"/>
      <c r="AC15" s="550"/>
      <c r="AD15" s="550"/>
      <c r="AE15" s="550"/>
      <c r="AF15" s="550"/>
      <c r="AG15" s="550"/>
      <c r="AH15" s="549"/>
      <c r="AI15" s="549"/>
      <c r="AJ15" s="549"/>
      <c r="AK15" s="549"/>
      <c r="AL15" s="549"/>
    </row>
    <row r="16" spans="5:40" ht="15" customHeight="1" x14ac:dyDescent="0.3">
      <c r="E16" s="1008" t="s">
        <v>87</v>
      </c>
      <c r="F16" s="1009"/>
      <c r="G16" s="1010"/>
      <c r="H16" s="1011"/>
      <c r="I16" s="1010"/>
      <c r="J16" s="1011"/>
      <c r="K16" s="538"/>
      <c r="L16" s="539"/>
      <c r="M16" s="430">
        <v>1</v>
      </c>
      <c r="N16" s="431"/>
      <c r="O16" s="541"/>
      <c r="P16" s="432"/>
      <c r="T16" s="1012" t="s">
        <v>217</v>
      </c>
      <c r="U16" s="1012"/>
      <c r="V16" s="1012"/>
      <c r="W16" s="550"/>
      <c r="X16" s="550"/>
      <c r="Y16" s="550"/>
      <c r="Z16" s="550"/>
      <c r="AA16" s="550"/>
      <c r="AB16" s="550"/>
      <c r="AC16" s="550"/>
      <c r="AD16" s="550"/>
      <c r="AE16" s="550"/>
      <c r="AF16" s="550"/>
      <c r="AG16" s="550"/>
      <c r="AH16" s="549"/>
      <c r="AI16" s="549"/>
      <c r="AJ16" s="549"/>
      <c r="AK16" s="549"/>
      <c r="AL16" s="549"/>
    </row>
    <row r="17" spans="2:38" ht="15" customHeight="1" x14ac:dyDescent="0.3">
      <c r="E17" s="1008" t="s">
        <v>88</v>
      </c>
      <c r="F17" s="1009"/>
      <c r="G17" s="981" t="s">
        <v>89</v>
      </c>
      <c r="H17" s="982"/>
      <c r="I17" s="983" t="s">
        <v>90</v>
      </c>
      <c r="J17" s="982"/>
      <c r="K17" s="540" t="s">
        <v>91</v>
      </c>
      <c r="L17" s="539"/>
      <c r="M17" s="430">
        <v>2.7</v>
      </c>
      <c r="N17" s="431"/>
      <c r="O17" s="541"/>
      <c r="P17" s="432"/>
      <c r="T17" s="550"/>
      <c r="U17" s="550"/>
      <c r="V17" s="550"/>
      <c r="W17" s="550"/>
      <c r="X17" s="550"/>
      <c r="Y17" s="550"/>
      <c r="Z17" s="550"/>
      <c r="AA17" s="550"/>
      <c r="AB17" s="550"/>
      <c r="AC17" s="550"/>
      <c r="AD17" s="550"/>
      <c r="AE17" s="550"/>
      <c r="AF17" s="550"/>
      <c r="AG17" s="550"/>
      <c r="AH17" s="549"/>
      <c r="AI17" s="549"/>
      <c r="AJ17" s="549"/>
      <c r="AK17" s="549"/>
      <c r="AL17" s="549"/>
    </row>
    <row r="18" spans="2:38" ht="15" customHeight="1" x14ac:dyDescent="0.3">
      <c r="E18" s="1008" t="s">
        <v>93</v>
      </c>
      <c r="F18" s="1009"/>
      <c r="G18" s="981" t="s">
        <v>94</v>
      </c>
      <c r="H18" s="982"/>
      <c r="I18" s="981" t="s">
        <v>90</v>
      </c>
      <c r="J18" s="982"/>
      <c r="K18" s="538" t="s">
        <v>94</v>
      </c>
      <c r="L18" s="539"/>
      <c r="M18" s="430">
        <v>2.7</v>
      </c>
      <c r="N18" s="431"/>
      <c r="O18" s="541"/>
      <c r="P18" s="432"/>
      <c r="T18" s="573" t="s">
        <v>220</v>
      </c>
      <c r="U18" s="573"/>
      <c r="V18" s="573"/>
      <c r="W18" s="573"/>
      <c r="X18" s="573"/>
      <c r="Y18" s="573"/>
      <c r="Z18" s="573"/>
      <c r="AA18" s="573"/>
      <c r="AB18" s="573"/>
      <c r="AC18" s="573"/>
      <c r="AD18" s="550"/>
      <c r="AE18" s="550"/>
      <c r="AF18" s="550"/>
      <c r="AG18" s="587"/>
      <c r="AH18" s="587" t="s">
        <v>212</v>
      </c>
      <c r="AI18" s="588"/>
      <c r="AJ18" s="588"/>
      <c r="AK18" s="588"/>
      <c r="AL18" s="588"/>
    </row>
    <row r="19" spans="2:38" ht="15" customHeight="1" x14ac:dyDescent="0.3">
      <c r="E19" s="1008" t="s">
        <v>95</v>
      </c>
      <c r="F19" s="1009"/>
      <c r="G19" s="981"/>
      <c r="H19" s="982"/>
      <c r="I19" s="983"/>
      <c r="J19" s="982"/>
      <c r="K19" s="540"/>
      <c r="L19" s="539"/>
      <c r="M19" s="430">
        <v>1</v>
      </c>
      <c r="N19" s="431"/>
      <c r="O19" s="541"/>
      <c r="P19" s="432"/>
      <c r="T19" s="550"/>
      <c r="U19" s="550"/>
      <c r="V19" s="550"/>
      <c r="W19" s="550"/>
      <c r="X19" s="550"/>
      <c r="Y19" s="550"/>
      <c r="Z19" s="550"/>
      <c r="AA19" s="550"/>
      <c r="AB19" s="550"/>
      <c r="AC19" s="550"/>
      <c r="AD19" s="550"/>
      <c r="AE19" s="550"/>
      <c r="AF19" s="550"/>
      <c r="AG19" s="587"/>
      <c r="AH19" s="587" t="s">
        <v>211</v>
      </c>
      <c r="AI19" s="588"/>
      <c r="AJ19" s="588"/>
      <c r="AK19" s="588"/>
      <c r="AL19" s="587">
        <f>2.63*40%+2.69*60%</f>
        <v>2.6659999999999999</v>
      </c>
    </row>
    <row r="20" spans="2:38" ht="15" customHeight="1" x14ac:dyDescent="0.3">
      <c r="E20" s="979" t="s">
        <v>96</v>
      </c>
      <c r="F20" s="980"/>
      <c r="G20" s="981" t="s">
        <v>97</v>
      </c>
      <c r="H20" s="982"/>
      <c r="I20" s="981" t="s">
        <v>98</v>
      </c>
      <c r="J20" s="982"/>
      <c r="K20" s="538" t="s">
        <v>99</v>
      </c>
      <c r="L20" s="539"/>
      <c r="M20" s="430">
        <v>1.18</v>
      </c>
      <c r="N20" s="431"/>
      <c r="O20" s="541"/>
      <c r="P20" s="432"/>
      <c r="T20" s="550" t="s">
        <v>213</v>
      </c>
      <c r="U20" s="573" t="s">
        <v>214</v>
      </c>
      <c r="V20" s="573"/>
      <c r="W20" s="573"/>
      <c r="X20" s="573"/>
      <c r="Y20" s="550"/>
      <c r="Z20" s="589">
        <f>((((1000-25-X9)*AA9)-(Y9/3.08))*AL19*40%)</f>
        <v>278.62192883116882</v>
      </c>
      <c r="AA20" s="573" t="s">
        <v>215</v>
      </c>
      <c r="AB20" s="573"/>
      <c r="AC20" s="573"/>
      <c r="AD20" s="550"/>
      <c r="AE20" s="550"/>
      <c r="AF20" s="550"/>
      <c r="AG20" s="550"/>
      <c r="AH20" s="549"/>
      <c r="AI20" s="549"/>
      <c r="AJ20" s="549"/>
      <c r="AK20" s="549"/>
      <c r="AL20" s="549"/>
    </row>
    <row r="21" spans="2:38" ht="15" customHeight="1" x14ac:dyDescent="0.3">
      <c r="E21" s="979" t="s">
        <v>100</v>
      </c>
      <c r="F21" s="980"/>
      <c r="G21" s="981" t="s">
        <v>101</v>
      </c>
      <c r="H21" s="982"/>
      <c r="I21" s="981" t="s">
        <v>98</v>
      </c>
      <c r="J21" s="982"/>
      <c r="K21" s="538" t="s">
        <v>102</v>
      </c>
      <c r="L21" s="539"/>
      <c r="M21" s="430">
        <v>1.1000000000000001</v>
      </c>
      <c r="N21" s="431"/>
      <c r="O21" s="541"/>
      <c r="P21" s="432"/>
      <c r="T21" s="550"/>
      <c r="U21" s="550"/>
      <c r="V21" s="550"/>
      <c r="W21" s="550"/>
      <c r="X21" s="550"/>
      <c r="Y21" s="550"/>
      <c r="Z21" s="550"/>
      <c r="AA21" s="550"/>
      <c r="AB21" s="550"/>
      <c r="AC21" s="550"/>
      <c r="AD21" s="550"/>
      <c r="AE21" s="550"/>
      <c r="AF21" s="550"/>
      <c r="AG21" s="550"/>
      <c r="AH21" s="549"/>
      <c r="AI21" s="549"/>
      <c r="AJ21" s="549"/>
      <c r="AK21" s="549"/>
      <c r="AL21" s="549"/>
    </row>
    <row r="22" spans="2:38" ht="15" customHeight="1" x14ac:dyDescent="0.3">
      <c r="E22" s="1008" t="s">
        <v>103</v>
      </c>
      <c r="F22" s="1009"/>
      <c r="G22" s="1010"/>
      <c r="H22" s="1011"/>
      <c r="I22" s="1010"/>
      <c r="J22" s="1011"/>
      <c r="K22" s="538"/>
      <c r="L22" s="539"/>
      <c r="M22" s="430">
        <v>1</v>
      </c>
      <c r="N22" s="431"/>
      <c r="O22" s="541"/>
      <c r="P22" s="432"/>
      <c r="T22" s="573" t="s">
        <v>221</v>
      </c>
      <c r="U22" s="550"/>
      <c r="V22" s="550"/>
      <c r="W22" s="550"/>
      <c r="X22" s="550"/>
      <c r="Y22" s="550"/>
      <c r="Z22" s="550"/>
      <c r="AA22" s="550"/>
      <c r="AB22" s="550"/>
      <c r="AC22" s="550"/>
      <c r="AD22" s="550"/>
      <c r="AE22" s="550"/>
      <c r="AF22" s="550"/>
      <c r="AG22" s="550"/>
      <c r="AH22" s="549"/>
      <c r="AI22" s="549"/>
      <c r="AJ22" s="549"/>
      <c r="AK22" s="549"/>
      <c r="AL22" s="549"/>
    </row>
    <row r="23" spans="2:38" ht="15" customHeight="1" x14ac:dyDescent="0.3">
      <c r="E23" s="979" t="s">
        <v>104</v>
      </c>
      <c r="F23" s="980"/>
      <c r="G23" s="981"/>
      <c r="H23" s="982"/>
      <c r="I23" s="983"/>
      <c r="J23" s="982"/>
      <c r="K23" s="540"/>
      <c r="L23" s="539"/>
      <c r="M23" s="430">
        <v>1</v>
      </c>
      <c r="N23" s="431"/>
      <c r="O23" s="541"/>
      <c r="P23" s="432"/>
      <c r="T23" s="550"/>
      <c r="U23" s="550"/>
      <c r="V23" s="550"/>
      <c r="W23" s="550"/>
      <c r="X23" s="550"/>
      <c r="Y23" s="550"/>
      <c r="Z23" s="550"/>
      <c r="AA23" s="550"/>
      <c r="AB23" s="550"/>
      <c r="AC23" s="550"/>
      <c r="AD23" s="550"/>
      <c r="AE23" s="550"/>
      <c r="AF23" s="550"/>
      <c r="AG23" s="550"/>
      <c r="AH23" s="549"/>
      <c r="AI23" s="549"/>
      <c r="AJ23" s="549"/>
      <c r="AK23" s="549"/>
      <c r="AL23" s="549"/>
    </row>
    <row r="24" spans="2:38" ht="15" customHeight="1" x14ac:dyDescent="0.3">
      <c r="E24" s="992" t="s">
        <v>105</v>
      </c>
      <c r="F24" s="993"/>
      <c r="G24" s="994"/>
      <c r="H24" s="995"/>
      <c r="I24" s="996"/>
      <c r="J24" s="995"/>
      <c r="K24" s="544"/>
      <c r="L24" s="543"/>
      <c r="M24" s="433">
        <v>1</v>
      </c>
      <c r="N24" s="434"/>
      <c r="O24" s="433"/>
      <c r="P24" s="435"/>
      <c r="T24" s="550" t="s">
        <v>213</v>
      </c>
      <c r="U24" s="573" t="s">
        <v>216</v>
      </c>
      <c r="V24" s="573"/>
      <c r="W24" s="550"/>
      <c r="X24" s="573"/>
      <c r="Y24" s="550"/>
      <c r="Z24" s="589">
        <f>((((1000-25-X9)*AA9)-(Y9/AK8))*AL19*60%)</f>
        <v>417.93289324675322</v>
      </c>
      <c r="AA24" s="573" t="s">
        <v>215</v>
      </c>
      <c r="AB24" s="550"/>
      <c r="AC24" s="550"/>
      <c r="AD24" s="550"/>
      <c r="AE24" s="550"/>
      <c r="AF24" s="550"/>
      <c r="AG24" s="550"/>
      <c r="AH24" s="549"/>
      <c r="AI24" s="549"/>
      <c r="AJ24" s="549"/>
      <c r="AK24" s="549"/>
      <c r="AL24" s="549"/>
    </row>
    <row r="25" spans="2:38" ht="6" customHeight="1" x14ac:dyDescent="0.3">
      <c r="C25" s="82">
        <f>(1000-(M9*1000))/(((I28+I29)/(B29))+(I30/M14)+(I31/M15)+(I32/M16)+(I33/M17)+(I34/M18)+(I35/M19)+I36)</f>
        <v>379.98756443160875</v>
      </c>
      <c r="D25" s="83"/>
      <c r="E25" s="958" t="s">
        <v>106</v>
      </c>
      <c r="F25" s="959"/>
      <c r="G25" s="959"/>
      <c r="H25" s="959"/>
      <c r="I25" s="959"/>
      <c r="J25" s="959"/>
      <c r="K25" s="959"/>
      <c r="L25" s="959"/>
      <c r="M25" s="959"/>
      <c r="N25" s="959"/>
      <c r="O25" s="959"/>
      <c r="P25" s="960"/>
      <c r="T25" s="550"/>
      <c r="U25" s="550"/>
      <c r="V25" s="550"/>
      <c r="W25" s="550"/>
      <c r="X25" s="550"/>
      <c r="Y25" s="550"/>
      <c r="Z25" s="550"/>
      <c r="AA25" s="550"/>
      <c r="AB25" s="550"/>
      <c r="AC25" s="550"/>
      <c r="AD25" s="550"/>
      <c r="AE25" s="550"/>
      <c r="AF25" s="550"/>
      <c r="AG25" s="550"/>
      <c r="AH25" s="549"/>
      <c r="AI25" s="549"/>
      <c r="AJ25" s="549"/>
      <c r="AK25" s="549"/>
      <c r="AL25" s="549"/>
    </row>
    <row r="26" spans="2:38" ht="18.75" x14ac:dyDescent="0.3">
      <c r="E26" s="997" t="s">
        <v>205</v>
      </c>
      <c r="F26" s="998"/>
      <c r="G26" s="998"/>
      <c r="H26" s="998"/>
      <c r="I26" s="998"/>
      <c r="J26" s="999"/>
      <c r="K26" s="1000" t="s">
        <v>108</v>
      </c>
      <c r="L26" s="998"/>
      <c r="M26" s="998"/>
      <c r="N26" s="998"/>
      <c r="O26" s="436">
        <v>25</v>
      </c>
      <c r="P26" s="437" t="s">
        <v>109</v>
      </c>
      <c r="T26" s="550"/>
      <c r="U26" s="550"/>
      <c r="V26" s="550"/>
      <c r="W26" s="550"/>
      <c r="X26" s="550"/>
      <c r="Y26" s="550"/>
      <c r="Z26" s="550"/>
      <c r="AA26" s="550"/>
      <c r="AB26" s="550"/>
      <c r="AC26" s="550"/>
      <c r="AD26" s="550"/>
      <c r="AE26" s="550"/>
      <c r="AF26" s="550"/>
      <c r="AG26" s="550"/>
      <c r="AH26" s="549"/>
      <c r="AI26" s="549"/>
      <c r="AJ26" s="549"/>
      <c r="AK26" s="549"/>
      <c r="AL26" s="549"/>
    </row>
    <row r="27" spans="2:38" ht="25.5" x14ac:dyDescent="0.3">
      <c r="B27">
        <f>(1-F29)*M12</f>
        <v>3.08</v>
      </c>
      <c r="E27" s="1001" t="s">
        <v>68</v>
      </c>
      <c r="F27" s="1002"/>
      <c r="G27" s="438" t="s">
        <v>110</v>
      </c>
      <c r="H27" s="439" t="s">
        <v>111</v>
      </c>
      <c r="I27" s="438" t="s">
        <v>112</v>
      </c>
      <c r="J27" s="439" t="s">
        <v>113</v>
      </c>
      <c r="K27" s="1003" t="s">
        <v>114</v>
      </c>
      <c r="L27" s="1002"/>
      <c r="M27" s="438" t="s">
        <v>115</v>
      </c>
      <c r="N27" s="440" t="s">
        <v>116</v>
      </c>
      <c r="O27" s="438" t="s">
        <v>117</v>
      </c>
      <c r="P27" s="441" t="s">
        <v>118</v>
      </c>
      <c r="T27" s="572" t="s">
        <v>232</v>
      </c>
      <c r="U27" s="572"/>
      <c r="V27" s="572"/>
      <c r="W27" s="550"/>
      <c r="X27" s="550"/>
      <c r="Y27" s="550"/>
      <c r="Z27" s="550"/>
      <c r="AA27" s="550"/>
      <c r="AB27" s="550"/>
      <c r="AC27" s="550"/>
      <c r="AD27" s="550"/>
      <c r="AE27" s="550"/>
      <c r="AF27" s="550"/>
      <c r="AG27" s="587"/>
      <c r="AH27" s="587" t="s">
        <v>222</v>
      </c>
      <c r="AI27" s="588"/>
      <c r="AJ27" s="588"/>
      <c r="AK27" s="588"/>
      <c r="AL27" s="588"/>
    </row>
    <row r="28" spans="2:38" ht="18.95" customHeight="1" x14ac:dyDescent="0.3">
      <c r="B28">
        <f>F29*M13</f>
        <v>0</v>
      </c>
      <c r="C28">
        <f>IF(J9&lt;&gt;0,J9,(I9/K9))</f>
        <v>380</v>
      </c>
      <c r="E28" s="442" t="s">
        <v>119</v>
      </c>
      <c r="F28" s="443"/>
      <c r="G28" s="444">
        <f>IF(I9=0," ",(C28-G29))</f>
        <v>380</v>
      </c>
      <c r="H28" s="1004">
        <v>1</v>
      </c>
      <c r="I28" s="1006">
        <f>IF(I9=0," ",($M28+$P28)/($M$28+$P$28))</f>
        <v>1</v>
      </c>
      <c r="J28" s="445">
        <f>IF(I9=0," ",C25-J29)</f>
        <v>379.98756443160875</v>
      </c>
      <c r="K28" s="446" t="s">
        <v>119</v>
      </c>
      <c r="L28" s="447" t="str">
        <f>IF($K12=0," ",$K12)</f>
        <v>CPII E 40</v>
      </c>
      <c r="M28" s="448">
        <f>IF(I9=0," ",$G28*($O$26/1000))</f>
        <v>9.5</v>
      </c>
      <c r="N28" s="449"/>
      <c r="O28" s="450"/>
      <c r="P28" s="451"/>
      <c r="T28" s="550"/>
      <c r="U28" s="550"/>
      <c r="V28" s="550"/>
      <c r="W28" s="550"/>
      <c r="X28" s="550"/>
      <c r="Y28" s="550"/>
      <c r="Z28" s="550"/>
      <c r="AA28" s="550"/>
      <c r="AB28" s="550"/>
      <c r="AC28" s="550"/>
      <c r="AD28" s="550"/>
      <c r="AE28" s="550"/>
      <c r="AF28" s="550"/>
      <c r="AG28" s="587"/>
      <c r="AH28" s="587" t="s">
        <v>223</v>
      </c>
      <c r="AI28" s="588"/>
      <c r="AJ28" s="588"/>
      <c r="AK28" s="588"/>
      <c r="AL28" s="587">
        <f>2.7*30%+2.7*70%</f>
        <v>2.7</v>
      </c>
    </row>
    <row r="29" spans="2:38" ht="18.95" customHeight="1" x14ac:dyDescent="0.3">
      <c r="B29">
        <f>B27+B28</f>
        <v>3.08</v>
      </c>
      <c r="E29" s="452" t="s">
        <v>120</v>
      </c>
      <c r="F29" s="453">
        <v>0</v>
      </c>
      <c r="G29" s="454">
        <f>IF(I9=0," ",F29*C28)</f>
        <v>0</v>
      </c>
      <c r="H29" s="1005"/>
      <c r="I29" s="1007"/>
      <c r="J29" s="455">
        <f>IF(I9=0," ",C25*F29)</f>
        <v>0</v>
      </c>
      <c r="K29" s="456" t="s">
        <v>120</v>
      </c>
      <c r="L29" s="457" t="str">
        <f>IF($K13=0," ",$K13)</f>
        <v xml:space="preserve"> </v>
      </c>
      <c r="M29" s="458">
        <f>IF(I9=0," ",$G29*($O$26/1000))</f>
        <v>0</v>
      </c>
      <c r="N29" s="459"/>
      <c r="O29" s="460" t="s">
        <v>79</v>
      </c>
      <c r="P29" s="461"/>
      <c r="T29" s="573" t="s">
        <v>224</v>
      </c>
      <c r="U29" s="573"/>
      <c r="V29" s="573"/>
      <c r="W29" s="573"/>
      <c r="X29" s="573"/>
      <c r="Y29" s="573"/>
      <c r="Z29" s="573"/>
      <c r="AA29" s="573"/>
      <c r="AB29" s="573"/>
      <c r="AC29" s="573"/>
      <c r="AD29" s="550"/>
      <c r="AE29" s="550"/>
      <c r="AF29" s="550"/>
      <c r="AG29" s="550"/>
      <c r="AH29" s="549"/>
      <c r="AI29" s="549"/>
      <c r="AJ29" s="549"/>
      <c r="AK29" s="549"/>
      <c r="AL29" s="549"/>
    </row>
    <row r="30" spans="2:38" ht="18.95" customHeight="1" x14ac:dyDescent="0.3">
      <c r="B30">
        <f>$M14*$F30</f>
        <v>1.052</v>
      </c>
      <c r="E30" s="462" t="s">
        <v>121</v>
      </c>
      <c r="F30" s="453">
        <v>0.4</v>
      </c>
      <c r="G30" s="454">
        <f>IF(I9=0," ",(((1000-($M$9*1000)-$I$9)*$L$9)-($G$28/$M$12)-($G$29/$M$13))*$B$33*$F30)</f>
        <v>278.62192883116882</v>
      </c>
      <c r="H30" s="463">
        <f>IF(I9=0," ",$G30/($G$28+$G$29))</f>
        <v>0.73321560218728632</v>
      </c>
      <c r="I30" s="463">
        <f>IF(I9=0," ",(($M30+($P30/(1+$N30)))/($M$28+$P$28+$M$29+$P$29)))</f>
        <v>0.73321560218728643</v>
      </c>
      <c r="J30" s="455">
        <f>IF(I9=0," ",$I30*$C$25)</f>
        <v>278.61281087840229</v>
      </c>
      <c r="K30" s="464" t="s">
        <v>121</v>
      </c>
      <c r="L30" s="457" t="str">
        <f>IF($K14=0," ",$K14)</f>
        <v>AQFINA</v>
      </c>
      <c r="M30" s="463">
        <f>IF(I9=0," ",$G30*($O$26/1000))</f>
        <v>6.9655482207792208</v>
      </c>
      <c r="N30" s="465">
        <v>0</v>
      </c>
      <c r="O30" s="460">
        <f>IF($N30=" "," ",$M30*(1+$N30))</f>
        <v>6.9655482207792208</v>
      </c>
      <c r="P30" s="466"/>
      <c r="T30" s="550"/>
      <c r="U30" s="550"/>
      <c r="V30" s="550"/>
      <c r="W30" s="550"/>
      <c r="X30" s="550"/>
      <c r="Y30" s="550"/>
      <c r="Z30" s="550"/>
      <c r="AA30" s="550"/>
      <c r="AB30" s="550"/>
      <c r="AC30" s="550"/>
      <c r="AD30" s="550"/>
      <c r="AE30" s="550"/>
      <c r="AF30" s="550"/>
      <c r="AG30" s="550"/>
      <c r="AH30" s="549"/>
      <c r="AI30" s="549"/>
      <c r="AJ30" s="549"/>
      <c r="AK30" s="549"/>
      <c r="AL30" s="549"/>
    </row>
    <row r="31" spans="2:38" ht="18.95" customHeight="1" x14ac:dyDescent="0.3">
      <c r="B31">
        <f>$M15*$F31</f>
        <v>1.6139999999999999</v>
      </c>
      <c r="E31" s="462" t="s">
        <v>84</v>
      </c>
      <c r="F31" s="453">
        <v>0.6</v>
      </c>
      <c r="G31" s="454">
        <f>IF(I9=0," ",(((1000-($M$9*1000)-$I$9)*$L$9)-($G$28/$M$12)-($G$29/$M$13))*$B$33*$F31)</f>
        <v>417.93289324675322</v>
      </c>
      <c r="H31" s="463">
        <f>IF(I9=0," ",$G31/($G$28+$G$29))</f>
        <v>1.0998234032809295</v>
      </c>
      <c r="I31" s="463">
        <f>IF(I9=0," ",(($M31+($P31/(1+$N31)))/($M$28+$P$28+$M$29+$P$29)))</f>
        <v>1.0998234032809298</v>
      </c>
      <c r="J31" s="455">
        <f>IF(I9=0," ",$I31*$C$25)</f>
        <v>417.91921631760351</v>
      </c>
      <c r="K31" s="464" t="s">
        <v>84</v>
      </c>
      <c r="L31" s="457" t="str">
        <f>IF($K15=0," ",$K15)</f>
        <v>AQGROSSA</v>
      </c>
      <c r="M31" s="463">
        <f>IF(I9=0," ",$G31*($O$26/1000))</f>
        <v>10.448322331168832</v>
      </c>
      <c r="N31" s="465">
        <v>0</v>
      </c>
      <c r="O31" s="460">
        <f>IF($N31=" "," ",$M31*(1+$N31))</f>
        <v>10.448322331168832</v>
      </c>
      <c r="P31" s="461"/>
      <c r="R31" s="342"/>
      <c r="T31" s="550" t="s">
        <v>213</v>
      </c>
      <c r="U31" s="573" t="s">
        <v>236</v>
      </c>
      <c r="V31" s="573"/>
      <c r="W31" s="573"/>
      <c r="X31" s="573"/>
      <c r="Y31" s="550"/>
      <c r="Z31" s="550"/>
      <c r="AA31" s="589">
        <f>((1000-25-X9)-((1000-25-X9)*AA9))*AL28*30%</f>
        <v>324.28350000000006</v>
      </c>
      <c r="AB31" s="573" t="s">
        <v>215</v>
      </c>
      <c r="AC31" s="573"/>
      <c r="AD31" s="550"/>
      <c r="AE31" s="550"/>
      <c r="AF31" s="550"/>
      <c r="AG31" s="550"/>
      <c r="AH31" s="549"/>
      <c r="AI31" s="549"/>
      <c r="AJ31" s="549"/>
      <c r="AK31" s="549"/>
      <c r="AL31" s="549"/>
    </row>
    <row r="32" spans="2:38" ht="18.95" customHeight="1" x14ac:dyDescent="0.3">
      <c r="B32">
        <f>$M16*$F32</f>
        <v>0</v>
      </c>
      <c r="E32" s="462" t="s">
        <v>87</v>
      </c>
      <c r="F32" s="453">
        <v>0</v>
      </c>
      <c r="G32" s="454">
        <f>IF(I9=0," ",(((1000-($M$9*1000)-$I$9)*$L$9)-($G$28/$M$12)-($G$29/$M$13))*$B$33*$F32)</f>
        <v>0</v>
      </c>
      <c r="H32" s="463">
        <f>IF(I9=0," ",$G32/($G$28+$G$29))</f>
        <v>0</v>
      </c>
      <c r="I32" s="463">
        <f>IF(I9=0," ",(($M32+($P32/(1+$N32)))/($M$28+$P$28+$M$29+$P$29)))</f>
        <v>0</v>
      </c>
      <c r="J32" s="455">
        <f>IF(I9=0," ",$I32*$C$25)</f>
        <v>0</v>
      </c>
      <c r="K32" s="464" t="s">
        <v>87</v>
      </c>
      <c r="L32" s="457"/>
      <c r="M32" s="463">
        <f>IF(I9=0," ",$G32*($O$26/1000))</f>
        <v>0</v>
      </c>
      <c r="N32" s="459"/>
      <c r="O32" s="460" t="s">
        <v>79</v>
      </c>
      <c r="P32" s="461"/>
      <c r="R32" s="342"/>
      <c r="T32" s="550"/>
      <c r="U32" s="550"/>
      <c r="V32" s="550"/>
      <c r="W32" s="550"/>
      <c r="X32" s="550"/>
      <c r="Y32" s="550"/>
      <c r="Z32" s="550"/>
      <c r="AA32" s="550"/>
      <c r="AB32" s="550"/>
      <c r="AC32" s="550"/>
      <c r="AD32" s="550"/>
      <c r="AE32" s="550"/>
      <c r="AF32" s="550"/>
      <c r="AG32" s="550"/>
      <c r="AH32" s="549"/>
      <c r="AI32" s="549"/>
      <c r="AJ32" s="549"/>
      <c r="AK32" s="549"/>
      <c r="AL32" s="549"/>
    </row>
    <row r="33" spans="2:38" ht="18.95" customHeight="1" x14ac:dyDescent="0.3">
      <c r="B33">
        <f>B30+B31+B32</f>
        <v>2.6659999999999999</v>
      </c>
      <c r="C33">
        <f>$M17*$F33</f>
        <v>0.81</v>
      </c>
      <c r="E33" s="462" t="s">
        <v>88</v>
      </c>
      <c r="F33" s="467">
        <v>0.3</v>
      </c>
      <c r="G33" s="454">
        <f>IF(I9=0," ",((((1000-($M$9*1000)-$G$36))-((1000-($M$9*1000)-$G$36)*$L$9)))*$C$36*$F33)</f>
        <v>324.28350000000006</v>
      </c>
      <c r="H33" s="463">
        <f>IF(I9=0," ",$G33/($G$28+$G$29))</f>
        <v>0.85337763157894753</v>
      </c>
      <c r="I33" s="463">
        <f>IF(I9=0," ",(($M33+($P33/(1+$N33)))/($M$28+$P$28+$M$29+$P$29)))</f>
        <v>0.85337763157894764</v>
      </c>
      <c r="J33" s="455">
        <f>IF(I9=0," ",$I33*$C$25)</f>
        <v>324.27288776409904</v>
      </c>
      <c r="K33" s="464" t="s">
        <v>88</v>
      </c>
      <c r="L33" s="457" t="str">
        <f>IF($K17=0," ",$K17)</f>
        <v>Brita 0</v>
      </c>
      <c r="M33" s="463">
        <f>IF(I9=0," ",$G33*($O$26/1000))</f>
        <v>8.1070875000000022</v>
      </c>
      <c r="N33" s="459"/>
      <c r="O33" s="460" t="s">
        <v>79</v>
      </c>
      <c r="P33" s="461"/>
      <c r="R33" s="342"/>
      <c r="T33" s="573" t="s">
        <v>225</v>
      </c>
      <c r="U33" s="573"/>
      <c r="V33" s="573"/>
      <c r="W33" s="573"/>
      <c r="X33" s="573"/>
      <c r="Y33" s="573"/>
      <c r="Z33" s="573"/>
      <c r="AA33" s="573"/>
      <c r="AB33" s="573"/>
      <c r="AC33" s="573"/>
      <c r="AD33" s="550"/>
      <c r="AE33" s="550"/>
      <c r="AF33" s="550"/>
      <c r="AG33" s="550"/>
      <c r="AH33" s="549"/>
      <c r="AI33" s="549"/>
      <c r="AJ33" s="549"/>
      <c r="AK33" s="549"/>
      <c r="AL33" s="549"/>
    </row>
    <row r="34" spans="2:38" ht="18.95" customHeight="1" x14ac:dyDescent="0.3">
      <c r="C34">
        <f>$M18*$F34</f>
        <v>1.89</v>
      </c>
      <c r="E34" s="462" t="s">
        <v>93</v>
      </c>
      <c r="F34" s="453">
        <v>0.7</v>
      </c>
      <c r="G34" s="454">
        <f>IF(I9=0," ",((((1000-($M$9*1000)-$G$36))-((1000-($M$9*1000)-$G$36)*$L$9)))*$C$36*$F34)</f>
        <v>756.66150000000005</v>
      </c>
      <c r="H34" s="463">
        <f>IF(I9=0," ",$G34/($G$28+$G$29))</f>
        <v>1.9912144736842106</v>
      </c>
      <c r="I34" s="463">
        <f>IF(I9=0," ",(($M34+($P34/(1+$N34)))/($M$28+$P$28+$M$29+$P$29)))</f>
        <v>1.9912144736842106</v>
      </c>
      <c r="J34" s="455">
        <f>IF(I9=0," ",$I34*$C$25)</f>
        <v>756.63673811623084</v>
      </c>
      <c r="K34" s="464" t="s">
        <v>93</v>
      </c>
      <c r="L34" s="457" t="str">
        <f>IF($K18=0," ",$K18)</f>
        <v>Brita 1</v>
      </c>
      <c r="M34" s="463">
        <f>IF(I9=0," ",$G34*($O$26/1000))</f>
        <v>18.9165375</v>
      </c>
      <c r="N34" s="459"/>
      <c r="O34" s="460" t="s">
        <v>79</v>
      </c>
      <c r="P34" s="461"/>
      <c r="R34" s="342"/>
      <c r="T34" s="550"/>
      <c r="U34" s="550"/>
      <c r="V34" s="550"/>
      <c r="W34" s="550"/>
      <c r="X34" s="550"/>
      <c r="Y34" s="550"/>
      <c r="Z34" s="550"/>
      <c r="AA34" s="550"/>
      <c r="AB34" s="550"/>
      <c r="AC34" s="550"/>
      <c r="AD34" s="550"/>
      <c r="AE34" s="550"/>
      <c r="AF34" s="550"/>
      <c r="AG34" s="550"/>
      <c r="AH34" s="549"/>
      <c r="AI34" s="549"/>
      <c r="AJ34" s="549"/>
      <c r="AK34" s="549"/>
      <c r="AL34" s="549"/>
    </row>
    <row r="35" spans="2:38" ht="18.95" customHeight="1" x14ac:dyDescent="0.3">
      <c r="C35">
        <f>$M19*$F35</f>
        <v>0</v>
      </c>
      <c r="E35" s="462" t="s">
        <v>95</v>
      </c>
      <c r="F35" s="453">
        <v>0</v>
      </c>
      <c r="G35" s="454">
        <f>IF(I9=0," ",((((1000-($M$9*1000)-$G$36))-((1000-($M$9*1000)-$G$36)*$L$9)))*$C$36*$F35)</f>
        <v>0</v>
      </c>
      <c r="H35" s="463">
        <f>IF(I9=0," ",$G35/($G$28+$G$29))</f>
        <v>0</v>
      </c>
      <c r="I35" s="463">
        <f>IF(I9=0," ",(($M35+($P35/(1+$N35)))/($M$28+$P$28+$M$29+$P$29)))</f>
        <v>0</v>
      </c>
      <c r="J35" s="455">
        <f>IF(I9=0," ",$I35*$C$25)</f>
        <v>0</v>
      </c>
      <c r="K35" s="464" t="s">
        <v>95</v>
      </c>
      <c r="L35" s="457" t="str">
        <f>IF($K19=0," ",$K19)</f>
        <v xml:space="preserve"> </v>
      </c>
      <c r="M35" s="463">
        <f>IF(I9=0," ",$G35*($O$26/1000))</f>
        <v>0</v>
      </c>
      <c r="N35" s="459"/>
      <c r="O35" s="460" t="s">
        <v>79</v>
      </c>
      <c r="P35" s="461"/>
      <c r="R35" s="342"/>
      <c r="T35" s="550" t="s">
        <v>213</v>
      </c>
      <c r="U35" s="573" t="s">
        <v>226</v>
      </c>
      <c r="V35" s="573"/>
      <c r="W35" s="573"/>
      <c r="X35" s="573"/>
      <c r="Y35" s="550"/>
      <c r="Z35" s="550"/>
      <c r="AA35" s="589">
        <f>((1000-25-X9)-((1000-25-X9)*AA9))*AL28*70%</f>
        <v>756.66150000000005</v>
      </c>
      <c r="AB35" s="573" t="s">
        <v>215</v>
      </c>
      <c r="AC35" s="550"/>
      <c r="AD35" s="550"/>
      <c r="AE35" s="550"/>
      <c r="AF35" s="550"/>
      <c r="AG35" s="550"/>
      <c r="AH35" s="549"/>
      <c r="AI35" s="549"/>
      <c r="AJ35" s="549"/>
      <c r="AK35" s="549"/>
      <c r="AL35" s="549"/>
    </row>
    <row r="36" spans="2:38" ht="11.25" customHeight="1" x14ac:dyDescent="0.3">
      <c r="C36">
        <f>C33+C34+C35</f>
        <v>2.7</v>
      </c>
      <c r="E36" s="452" t="s">
        <v>125</v>
      </c>
      <c r="F36" s="468"/>
      <c r="G36" s="542">
        <f>IF(I9=0," ",I9)</f>
        <v>190</v>
      </c>
      <c r="H36" s="463">
        <f>IF(I9=0," ",$G36/($G$28+$G$29))</f>
        <v>0.5</v>
      </c>
      <c r="I36" s="463">
        <f>IF(I9=0," ",($M36+$P36+($P30-($P30/(1+$N30)))+($P31-($P31/(1+$N31)))+($P32-($P32/(1+$N32)))+($P33-($P33/(1+$N33)))+($P34-($P34/(1+$N34)))+($P35-($P35/(1+$N35)))+($P36-($P36/(1+$N36))))/($M$28+$P$28+M29+P29))</f>
        <v>0.5</v>
      </c>
      <c r="J36" s="455">
        <f>IF(I9=0," ",$I36*$C$25)</f>
        <v>189.99378221580437</v>
      </c>
      <c r="K36" s="456" t="s">
        <v>125</v>
      </c>
      <c r="L36" s="457"/>
      <c r="M36" s="463">
        <f>IF(I9=0," ",$G36*($O$26/1000))</f>
        <v>4.75</v>
      </c>
      <c r="N36" s="469"/>
      <c r="O36" s="460">
        <f>M36-(O31-M31)-(O30-M30)</f>
        <v>4.75</v>
      </c>
      <c r="P36" s="470">
        <v>0</v>
      </c>
      <c r="R36" s="342"/>
      <c r="T36" s="550"/>
      <c r="U36" s="550"/>
      <c r="V36" s="550"/>
      <c r="W36" s="550"/>
      <c r="X36" s="550"/>
      <c r="Y36" s="550"/>
      <c r="Z36" s="550"/>
      <c r="AA36" s="550"/>
      <c r="AB36" s="550"/>
      <c r="AC36" s="550"/>
      <c r="AD36" s="550"/>
      <c r="AE36" s="550"/>
      <c r="AF36" s="550"/>
      <c r="AG36" s="550"/>
      <c r="AH36" s="549"/>
      <c r="AI36" s="549"/>
      <c r="AJ36" s="549"/>
      <c r="AK36" s="549"/>
      <c r="AL36" s="549"/>
    </row>
    <row r="37" spans="2:38" ht="18.75" hidden="1" customHeight="1" x14ac:dyDescent="0.3">
      <c r="E37" s="452" t="s">
        <v>127</v>
      </c>
      <c r="F37" s="453">
        <v>5.0000000000000001E-3</v>
      </c>
      <c r="G37" s="463">
        <f>IF(I9=0," ",$F37*($G$28+$G$29))</f>
        <v>1.9000000000000001</v>
      </c>
      <c r="H37" s="454"/>
      <c r="I37" s="542"/>
      <c r="J37" s="471">
        <f>IF($I$9=0," ",$F37*($J$28+$J$29))</f>
        <v>1.8999378221580439</v>
      </c>
      <c r="K37" s="456" t="s">
        <v>128</v>
      </c>
      <c r="L37" s="457" t="str">
        <f>IF($K20=0," ",$K20)</f>
        <v>TM828LF</v>
      </c>
      <c r="M37" s="472">
        <f>IF(I9=0," ",$G37*($O$26/1000)*1000)</f>
        <v>47.500000000000007</v>
      </c>
      <c r="N37" s="473"/>
      <c r="O37" s="474"/>
      <c r="P37" s="461"/>
      <c r="R37" s="342"/>
      <c r="T37" s="550"/>
      <c r="U37" s="550"/>
      <c r="V37" s="550"/>
      <c r="W37" s="550"/>
      <c r="X37" s="550"/>
      <c r="Y37" s="550"/>
      <c r="Z37" s="550"/>
      <c r="AA37" s="550"/>
      <c r="AB37" s="550"/>
      <c r="AC37" s="550"/>
      <c r="AD37" s="550"/>
      <c r="AE37" s="550"/>
      <c r="AF37" s="550"/>
      <c r="AG37" s="550"/>
      <c r="AH37" s="549"/>
      <c r="AI37" s="549"/>
      <c r="AJ37" s="549"/>
      <c r="AK37" s="549"/>
      <c r="AL37" s="549"/>
    </row>
    <row r="38" spans="2:38" ht="18.95" customHeight="1" x14ac:dyDescent="0.3">
      <c r="E38" s="452" t="s">
        <v>130</v>
      </c>
      <c r="F38" s="453">
        <v>6.0000000000000001E-3</v>
      </c>
      <c r="G38" s="463">
        <f>IF(I9=0," ",$F38*($G$28+$G$29))</f>
        <v>2.2800000000000002</v>
      </c>
      <c r="H38" s="542"/>
      <c r="I38" s="542"/>
      <c r="J38" s="471">
        <f>IF($I$9=0," ",$F38*($J$28+$J$29))</f>
        <v>2.2799253865896527</v>
      </c>
      <c r="K38" s="456" t="s">
        <v>131</v>
      </c>
      <c r="L38" s="457" t="str">
        <f>IF($K21=0," ",$K21)</f>
        <v>TF41N</v>
      </c>
      <c r="M38" s="472">
        <f>IF(I9=0," ",$G38*($O$26/1000)*1000)</f>
        <v>57.000000000000007</v>
      </c>
      <c r="N38" s="473"/>
      <c r="O38" s="474"/>
      <c r="P38" s="461"/>
      <c r="R38" s="342"/>
      <c r="T38" s="572" t="s">
        <v>233</v>
      </c>
      <c r="U38" s="572"/>
      <c r="V38" s="572"/>
      <c r="W38" s="572"/>
      <c r="X38" s="550"/>
      <c r="Y38" s="550"/>
      <c r="Z38" s="550"/>
      <c r="AA38" s="550"/>
      <c r="AB38" s="550"/>
      <c r="AC38" s="550"/>
      <c r="AD38" s="550"/>
      <c r="AE38" s="550"/>
      <c r="AF38" s="550"/>
      <c r="AG38" s="550"/>
      <c r="AH38" s="549"/>
      <c r="AI38" s="549"/>
      <c r="AJ38" s="549"/>
      <c r="AK38" s="549"/>
      <c r="AL38" s="549"/>
    </row>
    <row r="39" spans="2:38" ht="18.95" customHeight="1" x14ac:dyDescent="0.3">
      <c r="E39" s="452" t="s">
        <v>133</v>
      </c>
      <c r="F39" s="453"/>
      <c r="G39" s="463">
        <f>IF(I9=0," ",$F39*($G$28+$G$29))</f>
        <v>0</v>
      </c>
      <c r="H39" s="542"/>
      <c r="I39" s="542"/>
      <c r="J39" s="471">
        <f>IF($I$9=0," ",$F39*($J$28+$J$29))</f>
        <v>0</v>
      </c>
      <c r="K39" s="456" t="s">
        <v>134</v>
      </c>
      <c r="L39" s="457" t="str">
        <f>IF($K22=0," ",$K22)</f>
        <v xml:space="preserve"> </v>
      </c>
      <c r="M39" s="472">
        <f>IF(I9=0," ",$G39*($O$26/1000)*1000)</f>
        <v>0</v>
      </c>
      <c r="N39" s="473"/>
      <c r="O39" s="474"/>
      <c r="P39" s="461"/>
      <c r="R39" s="342"/>
      <c r="T39" s="550"/>
      <c r="U39" s="550"/>
      <c r="V39" s="550"/>
      <c r="W39" s="550"/>
      <c r="X39" s="550"/>
      <c r="Y39" s="550"/>
      <c r="Z39" s="550"/>
      <c r="AA39" s="550"/>
      <c r="AB39" s="550"/>
      <c r="AC39" s="550"/>
      <c r="AD39" s="550"/>
      <c r="AE39" s="550"/>
      <c r="AF39" s="550"/>
      <c r="AG39" s="550"/>
      <c r="AH39" s="549"/>
      <c r="AI39" s="549"/>
      <c r="AJ39" s="549"/>
      <c r="AK39" s="549"/>
      <c r="AL39" s="549"/>
    </row>
    <row r="40" spans="2:38" ht="18.95" customHeight="1" x14ac:dyDescent="0.3">
      <c r="E40" s="452" t="s">
        <v>136</v>
      </c>
      <c r="F40" s="467"/>
      <c r="G40" s="463">
        <f>IF(I9=0," ",$F40*($G$28+$G$29))</f>
        <v>0</v>
      </c>
      <c r="H40" s="454">
        <f>SUM(G28:G39)</f>
        <v>2351.6798220779224</v>
      </c>
      <c r="I40" s="542"/>
      <c r="J40" s="471">
        <f>IF($I$9=0," ",$F40*($J$28+$J$29))</f>
        <v>0</v>
      </c>
      <c r="K40" s="456" t="s">
        <v>104</v>
      </c>
      <c r="L40" s="457" t="str">
        <f>IF($K23=0," ",$K23)</f>
        <v xml:space="preserve"> </v>
      </c>
      <c r="M40" s="458">
        <f>IF(I9=0," ",$G40*($O$26/1000))</f>
        <v>0</v>
      </c>
      <c r="N40" s="473"/>
      <c r="O40" s="473"/>
      <c r="P40" s="461"/>
      <c r="T40" s="550"/>
      <c r="U40" s="550"/>
      <c r="V40" s="550" t="s">
        <v>234</v>
      </c>
      <c r="W40" s="550"/>
      <c r="X40" s="550"/>
      <c r="Y40" s="550"/>
      <c r="Z40" s="550"/>
      <c r="AA40" s="550"/>
      <c r="AB40" s="550"/>
      <c r="AC40" s="550"/>
      <c r="AD40" s="550"/>
      <c r="AE40" s="550"/>
      <c r="AF40" s="550"/>
      <c r="AG40" s="550"/>
      <c r="AH40" s="549"/>
      <c r="AI40" s="549"/>
      <c r="AJ40" s="549"/>
      <c r="AK40" s="549"/>
      <c r="AL40" s="549"/>
    </row>
    <row r="41" spans="2:38" ht="18.95" customHeight="1" x14ac:dyDescent="0.3">
      <c r="E41" s="475" t="s">
        <v>105</v>
      </c>
      <c r="F41" s="476"/>
      <c r="G41" s="477"/>
      <c r="H41" s="478"/>
      <c r="I41" s="479"/>
      <c r="J41" s="480">
        <f>IF($I$9=0," ",$F41*($J$28+$J$29))</f>
        <v>0</v>
      </c>
      <c r="K41" s="481" t="s">
        <v>105</v>
      </c>
      <c r="L41" s="482" t="str">
        <f>IF($K24=0," ",$K24)</f>
        <v xml:space="preserve"> </v>
      </c>
      <c r="M41" s="483">
        <f>IF(I9=0," ",$J41*($O$26/1000))</f>
        <v>0</v>
      </c>
      <c r="N41" s="484"/>
      <c r="O41" s="484"/>
      <c r="P41" s="485"/>
      <c r="R41" s="342"/>
      <c r="T41" s="550"/>
      <c r="U41" s="550" t="s">
        <v>235</v>
      </c>
      <c r="V41" s="550"/>
      <c r="W41" s="586">
        <f>Y9*0.75%</f>
        <v>2.85</v>
      </c>
      <c r="X41" s="573" t="s">
        <v>215</v>
      </c>
      <c r="Y41" s="550"/>
      <c r="Z41" s="550"/>
      <c r="AA41" s="550"/>
      <c r="AB41" s="550"/>
      <c r="AC41" s="550"/>
      <c r="AD41" s="550"/>
      <c r="AE41" s="550"/>
      <c r="AF41" s="550"/>
      <c r="AG41" s="550"/>
      <c r="AH41" s="549"/>
      <c r="AI41" s="549"/>
      <c r="AJ41" s="549"/>
      <c r="AK41" s="549"/>
      <c r="AL41" s="549"/>
    </row>
    <row r="42" spans="2:38" ht="20.100000000000001" customHeight="1" x14ac:dyDescent="0.3">
      <c r="E42" s="958" t="s">
        <v>138</v>
      </c>
      <c r="F42" s="959"/>
      <c r="G42" s="959"/>
      <c r="H42" s="959"/>
      <c r="I42" s="959"/>
      <c r="J42" s="959"/>
      <c r="K42" s="959"/>
      <c r="L42" s="959"/>
      <c r="M42" s="959"/>
      <c r="N42" s="959"/>
      <c r="O42" s="959"/>
      <c r="P42" s="960"/>
      <c r="T42" s="550"/>
      <c r="U42" s="550"/>
      <c r="V42" s="550"/>
      <c r="W42" s="550"/>
      <c r="X42" s="550"/>
      <c r="Y42" s="550"/>
      <c r="Z42" s="550"/>
      <c r="AA42" s="550"/>
      <c r="AB42" s="550"/>
      <c r="AC42" s="550"/>
      <c r="AD42" s="550"/>
      <c r="AE42" s="550"/>
      <c r="AF42" s="550"/>
      <c r="AG42" s="550"/>
      <c r="AH42" s="549"/>
      <c r="AI42" s="549"/>
      <c r="AJ42" s="549"/>
      <c r="AK42" s="549"/>
      <c r="AL42" s="549"/>
    </row>
    <row r="43" spans="2:38" s="139" customFormat="1" ht="27" customHeight="1" x14ac:dyDescent="0.25">
      <c r="E43" s="984" t="s">
        <v>139</v>
      </c>
      <c r="F43" s="985"/>
      <c r="G43" s="486" t="s">
        <v>140</v>
      </c>
      <c r="H43" s="487" t="s">
        <v>141</v>
      </c>
      <c r="I43" s="488" t="s">
        <v>142</v>
      </c>
      <c r="J43" s="489"/>
      <c r="K43" s="545" t="s">
        <v>143</v>
      </c>
      <c r="L43" s="486" t="s">
        <v>144</v>
      </c>
      <c r="M43" s="486" t="s">
        <v>145</v>
      </c>
      <c r="N43" s="486" t="s">
        <v>146</v>
      </c>
      <c r="O43" s="988" t="s">
        <v>147</v>
      </c>
      <c r="P43" s="989"/>
      <c r="R43" s="386"/>
      <c r="X43" s="38"/>
      <c r="Y43" s="38"/>
      <c r="Z43" s="38"/>
      <c r="AA43" s="38"/>
      <c r="AB43" s="38"/>
      <c r="AC43" s="38"/>
      <c r="AD43" s="38"/>
      <c r="AE43" s="38"/>
      <c r="AF43" s="38"/>
      <c r="AG43" s="38"/>
    </row>
    <row r="44" spans="2:38" s="139" customFormat="1" ht="14.25" customHeight="1" x14ac:dyDescent="0.25">
      <c r="E44" s="986"/>
      <c r="F44" s="987"/>
      <c r="G44" s="490"/>
      <c r="H44" s="491"/>
      <c r="I44" s="546" t="s">
        <v>148</v>
      </c>
      <c r="J44" s="492" t="s">
        <v>149</v>
      </c>
      <c r="K44" s="546" t="s">
        <v>150</v>
      </c>
      <c r="L44" s="492" t="s">
        <v>151</v>
      </c>
      <c r="M44" s="492" t="s">
        <v>150</v>
      </c>
      <c r="N44" s="492" t="s">
        <v>152</v>
      </c>
      <c r="O44" s="990"/>
      <c r="P44" s="991"/>
      <c r="X44" s="38"/>
      <c r="Y44" s="38"/>
      <c r="Z44" s="38"/>
      <c r="AA44" s="38"/>
      <c r="AB44" s="38"/>
      <c r="AC44" s="38"/>
      <c r="AD44" s="38"/>
      <c r="AE44" s="38"/>
      <c r="AF44" s="38"/>
      <c r="AG44" s="38"/>
    </row>
    <row r="45" spans="2:38" ht="15" customHeight="1" x14ac:dyDescent="0.25">
      <c r="E45" s="493" t="s">
        <v>153</v>
      </c>
      <c r="F45" s="507"/>
      <c r="G45" s="949">
        <v>0.64583333333333337</v>
      </c>
      <c r="H45" s="510">
        <v>0.65277777777777779</v>
      </c>
      <c r="I45" s="426">
        <v>240</v>
      </c>
      <c r="J45" s="511"/>
      <c r="K45" s="512"/>
      <c r="L45" s="511"/>
      <c r="M45" s="513"/>
      <c r="N45" s="513"/>
      <c r="O45" s="952"/>
      <c r="P45" s="953"/>
    </row>
    <row r="46" spans="2:38" ht="15" customHeight="1" x14ac:dyDescent="0.25">
      <c r="E46" s="494" t="s">
        <v>154</v>
      </c>
      <c r="F46" s="508"/>
      <c r="G46" s="950"/>
      <c r="H46" s="514"/>
      <c r="I46" s="515"/>
      <c r="J46" s="516"/>
      <c r="K46" s="517"/>
      <c r="L46" s="516"/>
      <c r="M46" s="518"/>
      <c r="N46" s="518"/>
      <c r="O46" s="954"/>
      <c r="P46" s="955"/>
    </row>
    <row r="47" spans="2:38" ht="15" customHeight="1" x14ac:dyDescent="0.25">
      <c r="E47" s="494" t="s">
        <v>155</v>
      </c>
      <c r="F47" s="508"/>
      <c r="G47" s="950"/>
      <c r="H47" s="514"/>
      <c r="I47" s="515"/>
      <c r="J47" s="516"/>
      <c r="K47" s="519"/>
      <c r="L47" s="516"/>
      <c r="M47" s="518"/>
      <c r="N47" s="518"/>
      <c r="O47" s="954"/>
      <c r="P47" s="955"/>
    </row>
    <row r="48" spans="2:38" ht="30" customHeight="1" x14ac:dyDescent="0.25">
      <c r="E48" s="495" t="s">
        <v>156</v>
      </c>
      <c r="F48" s="509"/>
      <c r="G48" s="951"/>
      <c r="H48" s="520"/>
      <c r="I48" s="521"/>
      <c r="J48" s="522"/>
      <c r="K48" s="523"/>
      <c r="L48" s="522"/>
      <c r="M48" s="524"/>
      <c r="N48" s="524"/>
      <c r="O48" s="956"/>
      <c r="P48" s="957"/>
    </row>
    <row r="49" spans="5:16" ht="20.100000000000001" customHeight="1" x14ac:dyDescent="0.25">
      <c r="E49" s="958" t="s">
        <v>157</v>
      </c>
      <c r="F49" s="959"/>
      <c r="G49" s="959"/>
      <c r="H49" s="959"/>
      <c r="I49" s="959"/>
      <c r="J49" s="959"/>
      <c r="K49" s="959"/>
      <c r="L49" s="959"/>
      <c r="M49" s="959"/>
      <c r="N49" s="959"/>
      <c r="O49" s="959"/>
      <c r="P49" s="960"/>
    </row>
    <row r="50" spans="5:16" ht="25.5" x14ac:dyDescent="0.25">
      <c r="E50" s="496" t="s">
        <v>158</v>
      </c>
      <c r="F50" s="497" t="s">
        <v>159</v>
      </c>
      <c r="G50" s="961" t="s">
        <v>160</v>
      </c>
      <c r="H50" s="962"/>
      <c r="I50" s="963"/>
      <c r="J50" s="964" t="s">
        <v>161</v>
      </c>
      <c r="K50" s="965"/>
      <c r="L50" s="965"/>
      <c r="M50" s="966"/>
      <c r="N50" s="961" t="s">
        <v>162</v>
      </c>
      <c r="O50" s="962"/>
      <c r="P50" s="967"/>
    </row>
    <row r="51" spans="5:16" ht="15" customHeight="1" x14ac:dyDescent="0.25">
      <c r="E51" s="525">
        <v>1</v>
      </c>
      <c r="F51" s="498">
        <f>$K$5+E51</f>
        <v>44858</v>
      </c>
      <c r="G51" s="528" t="s">
        <v>163</v>
      </c>
      <c r="H51" s="528" t="s">
        <v>164</v>
      </c>
      <c r="I51" s="529" t="s">
        <v>165</v>
      </c>
      <c r="J51" s="528" t="s">
        <v>163</v>
      </c>
      <c r="K51" s="528" t="s">
        <v>164</v>
      </c>
      <c r="L51" s="528" t="s">
        <v>166</v>
      </c>
      <c r="M51" s="529" t="s">
        <v>167</v>
      </c>
      <c r="N51" s="528" t="s">
        <v>163</v>
      </c>
      <c r="O51" s="528" t="s">
        <v>164</v>
      </c>
      <c r="P51" s="530" t="s">
        <v>165</v>
      </c>
    </row>
    <row r="52" spans="5:16" ht="15" customHeight="1" x14ac:dyDescent="0.25">
      <c r="E52" s="526">
        <v>3</v>
      </c>
      <c r="F52" s="499">
        <f>$K$5+E52</f>
        <v>44860</v>
      </c>
      <c r="G52" s="531"/>
      <c r="H52" s="531"/>
      <c r="I52" s="468"/>
      <c r="J52" s="531"/>
      <c r="K52" s="531"/>
      <c r="L52" s="531"/>
      <c r="M52" s="468"/>
      <c r="N52" s="531"/>
      <c r="O52" s="531"/>
      <c r="P52" s="532"/>
    </row>
    <row r="53" spans="5:16" ht="15" customHeight="1" x14ac:dyDescent="0.25">
      <c r="E53" s="526">
        <v>7</v>
      </c>
      <c r="F53" s="499">
        <f>$K$5+E53</f>
        <v>44864</v>
      </c>
      <c r="G53" s="531"/>
      <c r="H53" s="531"/>
      <c r="I53" s="468"/>
      <c r="J53" s="531"/>
      <c r="K53" s="531"/>
      <c r="L53" s="531"/>
      <c r="M53" s="468"/>
      <c r="N53" s="531"/>
      <c r="O53" s="531"/>
      <c r="P53" s="532"/>
    </row>
    <row r="54" spans="5:16" ht="15" customHeight="1" x14ac:dyDescent="0.25">
      <c r="E54" s="526">
        <v>14</v>
      </c>
      <c r="F54" s="499">
        <f>$K$5+E54</f>
        <v>44871</v>
      </c>
      <c r="G54" s="531"/>
      <c r="H54" s="531"/>
      <c r="I54" s="468"/>
      <c r="J54" s="531"/>
      <c r="K54" s="531"/>
      <c r="L54" s="531"/>
      <c r="M54" s="468"/>
      <c r="N54" s="531"/>
      <c r="O54" s="531"/>
      <c r="P54" s="532"/>
    </row>
    <row r="55" spans="5:16" ht="15" customHeight="1" x14ac:dyDescent="0.25">
      <c r="E55" s="527">
        <v>28</v>
      </c>
      <c r="F55" s="500">
        <f>$K$5+E55</f>
        <v>44885</v>
      </c>
      <c r="G55" s="533"/>
      <c r="H55" s="533"/>
      <c r="I55" s="476"/>
      <c r="J55" s="533"/>
      <c r="K55" s="533"/>
      <c r="L55" s="533"/>
      <c r="M55" s="476"/>
      <c r="N55" s="533"/>
      <c r="O55" s="533"/>
      <c r="P55" s="534"/>
    </row>
    <row r="56" spans="5:16" ht="10.5" customHeight="1" x14ac:dyDescent="0.25">
      <c r="E56" s="501"/>
      <c r="F56" s="502"/>
      <c r="G56" s="502"/>
      <c r="H56" s="502"/>
      <c r="I56" s="502"/>
      <c r="J56" s="502"/>
      <c r="K56" s="502"/>
      <c r="L56" s="502"/>
      <c r="M56" s="502"/>
      <c r="N56" s="502"/>
      <c r="O56" s="502"/>
      <c r="P56" s="503"/>
    </row>
    <row r="57" spans="5:16" x14ac:dyDescent="0.25">
      <c r="E57" s="504" t="s">
        <v>168</v>
      </c>
      <c r="F57" s="505"/>
      <c r="G57" s="970"/>
      <c r="H57" s="970"/>
      <c r="I57" s="970"/>
      <c r="J57" s="970"/>
      <c r="K57" s="970"/>
      <c r="L57" s="970"/>
      <c r="M57" s="970"/>
      <c r="N57" s="971"/>
      <c r="O57" s="505" t="s">
        <v>170</v>
      </c>
      <c r="P57" s="506"/>
    </row>
    <row r="58" spans="5:16" x14ac:dyDescent="0.25">
      <c r="E58" s="972"/>
      <c r="F58" s="973"/>
      <c r="G58" s="973"/>
      <c r="H58" s="973"/>
      <c r="I58" s="973"/>
      <c r="J58" s="973"/>
      <c r="K58" s="973"/>
      <c r="L58" s="973"/>
      <c r="M58" s="973"/>
      <c r="N58" s="974"/>
      <c r="O58" s="975">
        <v>40389</v>
      </c>
      <c r="P58" s="976"/>
    </row>
    <row r="59" spans="5:16" ht="15.75" thickBot="1" x14ac:dyDescent="0.3">
      <c r="E59" s="191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3"/>
    </row>
    <row r="63" spans="5:16" x14ac:dyDescent="0.25">
      <c r="G63" s="194">
        <f>SUM(G28:G41)</f>
        <v>2351.6798220779224</v>
      </c>
      <c r="I63" s="547">
        <f>IF(I45=0," ",IF(I45&lt;H9,((H9-I45)*0.3+J36),IF(I45&gt;H9,((H9-I45)*0.3+J36),"OK")))</f>
        <v>147.99378221580437</v>
      </c>
    </row>
    <row r="76" spans="10:14" x14ac:dyDescent="0.25">
      <c r="J76" s="977"/>
      <c r="K76" s="977"/>
      <c r="L76" s="977"/>
      <c r="M76" s="977"/>
      <c r="N76" s="977"/>
    </row>
    <row r="77" spans="10:14" x14ac:dyDescent="0.25">
      <c r="J77" s="978"/>
      <c r="K77" s="978"/>
      <c r="L77" s="978"/>
      <c r="M77" s="978"/>
      <c r="N77" s="978"/>
    </row>
    <row r="78" spans="10:14" x14ac:dyDescent="0.25">
      <c r="J78" s="968"/>
      <c r="K78" s="968"/>
      <c r="L78" s="968"/>
      <c r="M78" s="968"/>
      <c r="N78" s="968"/>
    </row>
    <row r="79" spans="10:14" x14ac:dyDescent="0.25">
      <c r="J79" s="968"/>
      <c r="K79" s="968"/>
      <c r="L79" s="968"/>
      <c r="M79" s="968"/>
      <c r="N79" s="968"/>
    </row>
    <row r="80" spans="10:14" x14ac:dyDescent="0.25">
      <c r="J80" s="551"/>
      <c r="K80" s="551"/>
      <c r="L80" s="551"/>
      <c r="M80" s="551"/>
      <c r="N80" s="551"/>
    </row>
    <row r="81" spans="10:14" x14ac:dyDescent="0.25">
      <c r="J81" s="551"/>
      <c r="K81" s="551"/>
      <c r="L81" s="551"/>
      <c r="M81" s="551"/>
      <c r="N81" s="551"/>
    </row>
    <row r="82" spans="10:14" x14ac:dyDescent="0.25">
      <c r="J82" s="551"/>
      <c r="K82" s="551"/>
      <c r="L82" s="551"/>
      <c r="M82" s="551"/>
      <c r="N82" s="552"/>
    </row>
    <row r="83" spans="10:14" x14ac:dyDescent="0.25">
      <c r="J83" s="969"/>
      <c r="K83" s="969"/>
      <c r="L83" s="969"/>
      <c r="M83" s="969"/>
      <c r="N83" s="969"/>
    </row>
  </sheetData>
  <mergeCells count="71">
    <mergeCell ref="T16:V16"/>
    <mergeCell ref="E2:P3"/>
    <mergeCell ref="E4:P4"/>
    <mergeCell ref="E7:P7"/>
    <mergeCell ref="E10:P10"/>
    <mergeCell ref="E11:F11"/>
    <mergeCell ref="G11:H11"/>
    <mergeCell ref="I11:J11"/>
    <mergeCell ref="E12:F12"/>
    <mergeCell ref="G12:H12"/>
    <mergeCell ref="I12:J12"/>
    <mergeCell ref="E13:F13"/>
    <mergeCell ref="G13:H13"/>
    <mergeCell ref="I13:J13"/>
    <mergeCell ref="E14:F14"/>
    <mergeCell ref="G14:H14"/>
    <mergeCell ref="I14:J14"/>
    <mergeCell ref="E15:F15"/>
    <mergeCell ref="G15:H15"/>
    <mergeCell ref="I15:J15"/>
    <mergeCell ref="E16:F16"/>
    <mergeCell ref="G16:H16"/>
    <mergeCell ref="I16:J16"/>
    <mergeCell ref="E17:F17"/>
    <mergeCell ref="G17:H17"/>
    <mergeCell ref="I17:J17"/>
    <mergeCell ref="E18:F18"/>
    <mergeCell ref="G18:H18"/>
    <mergeCell ref="I18:J18"/>
    <mergeCell ref="E19:F19"/>
    <mergeCell ref="G19:H19"/>
    <mergeCell ref="I19:J19"/>
    <mergeCell ref="E20:F20"/>
    <mergeCell ref="G20:H20"/>
    <mergeCell ref="I20:J20"/>
    <mergeCell ref="E21:F21"/>
    <mergeCell ref="G21:H21"/>
    <mergeCell ref="I21:J21"/>
    <mergeCell ref="E22:F22"/>
    <mergeCell ref="G22:H22"/>
    <mergeCell ref="I22:J22"/>
    <mergeCell ref="E23:F23"/>
    <mergeCell ref="G23:H23"/>
    <mergeCell ref="I23:J23"/>
    <mergeCell ref="E43:F44"/>
    <mergeCell ref="O43:P44"/>
    <mergeCell ref="E24:F24"/>
    <mergeCell ref="G24:H24"/>
    <mergeCell ref="I24:J24"/>
    <mergeCell ref="E25:P25"/>
    <mergeCell ref="E26:J26"/>
    <mergeCell ref="K26:N26"/>
    <mergeCell ref="E27:F27"/>
    <mergeCell ref="K27:L27"/>
    <mergeCell ref="H28:H29"/>
    <mergeCell ref="I28:I29"/>
    <mergeCell ref="E42:P42"/>
    <mergeCell ref="J79:N79"/>
    <mergeCell ref="J83:N83"/>
    <mergeCell ref="G57:N57"/>
    <mergeCell ref="E58:N58"/>
    <mergeCell ref="O58:P58"/>
    <mergeCell ref="J76:N76"/>
    <mergeCell ref="J77:N77"/>
    <mergeCell ref="J78:N78"/>
    <mergeCell ref="G45:G48"/>
    <mergeCell ref="O45:P48"/>
    <mergeCell ref="E49:P49"/>
    <mergeCell ref="G50:I50"/>
    <mergeCell ref="J50:M50"/>
    <mergeCell ref="N50:P50"/>
  </mergeCells>
  <pageMargins left="0.31496062992125984" right="0.31496062992125984" top="0.59055118110236227" bottom="0.59055118110236227" header="0" footer="0"/>
  <pageSetup paperSize="9" scale="6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6</vt:i4>
      </vt:variant>
    </vt:vector>
  </HeadingPairs>
  <TitlesOfParts>
    <vt:vector size="14" baseType="lpstr">
      <vt:lpstr>Em andamento</vt:lpstr>
      <vt:lpstr>Dosagem  0</vt:lpstr>
      <vt:lpstr>Dosagem </vt:lpstr>
      <vt:lpstr>Curva de abrams</vt:lpstr>
      <vt:lpstr>Analise Granul.. - Ag Miúdo</vt:lpstr>
      <vt:lpstr>Pedra 0+1</vt:lpstr>
      <vt:lpstr>Analise Combinação de materiais</vt:lpstr>
      <vt:lpstr>Dosagem - calculo</vt:lpstr>
      <vt:lpstr>'Analise Granul.. - Ag Miúdo'!Area_de_impressao</vt:lpstr>
      <vt:lpstr>'Curva de abrams'!Area_de_impressao</vt:lpstr>
      <vt:lpstr>'Dosagem '!Area_de_impressao</vt:lpstr>
      <vt:lpstr>'Dosagem  0'!Area_de_impressao</vt:lpstr>
      <vt:lpstr>'Dosagem - calculo'!Area_de_impressao</vt:lpstr>
      <vt:lpstr>'Em andamento'!Area_de_impressao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cv</dc:creator>
  <cp:lastModifiedBy>Edson Da Silva Oliveira</cp:lastModifiedBy>
  <cp:lastPrinted>2024-04-30T21:50:56Z</cp:lastPrinted>
  <dcterms:created xsi:type="dcterms:W3CDTF">2022-10-24T14:33:40Z</dcterms:created>
  <dcterms:modified xsi:type="dcterms:W3CDTF">2024-10-10T20:02:09Z</dcterms:modified>
</cp:coreProperties>
</file>