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trlProps/ctrlProp63.xml" ContentType="application/vnd.ms-excel.controlproperties+xml"/>
  <Override PartName="/xl/ctrlProps/ctrlProp64.xml" ContentType="application/vnd.ms-excel.controlproperties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trlProps/ctrlProp81.xml" ContentType="application/vnd.ms-excel.controlproperties+xml"/>
  <Override PartName="/xl/ctrlProps/ctrlProp82.xml" ContentType="application/vnd.ms-excel.controlproperties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trlProps/ctrlProp83.xml" ContentType="application/vnd.ms-excel.controlproperties+xml"/>
  <Override PartName="/xl/ctrlProps/ctrlProp84.xml" ContentType="application/vnd.ms-excel.controlproperties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trlProps/ctrlProp85.xml" ContentType="application/vnd.ms-excel.controlproperties+xml"/>
  <Override PartName="/xl/ctrlProps/ctrlProp86.xml" ContentType="application/vnd.ms-excel.controlproperties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trlProps/ctrlProp95.xml" ContentType="application/vnd.ms-excel.controlproperties+xml"/>
  <Override PartName="/xl/ctrlProps/ctrlProp96.xml" ContentType="application/vnd.ms-excel.controlproperties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trlProps/ctrlProp99.xml" ContentType="application/vnd.ms-excel.controlproperties+xml"/>
  <Override PartName="/xl/ctrlProps/ctrlProp100.xml" ContentType="application/vnd.ms-excel.controlproperties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trlProps/ctrlProp107.xml" ContentType="application/vnd.ms-excel.controlproperties+xml"/>
  <Override PartName="/xl/ctrlProps/ctrlProp108.xml" ContentType="application/vnd.ms-excel.controlproperties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trlProps/ctrlProp109.xml" ContentType="application/vnd.ms-excel.controlproperties+xml"/>
  <Override PartName="/xl/ctrlProps/ctrlProp110.xml" ContentType="application/vnd.ms-excel.controlproperties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trlProps/ctrlProp111.xml" ContentType="application/vnd.ms-excel.controlproperties+xml"/>
  <Override PartName="/xl/ctrlProps/ctrlProp112.xml" ContentType="application/vnd.ms-excel.controlproperties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trlProps/ctrlProp115.xml" ContentType="application/vnd.ms-excel.controlproperties+xml"/>
  <Override PartName="/xl/ctrlProps/ctrlProp116.xml" ContentType="application/vnd.ms-excel.controlproperties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trlProps/ctrlProp117.xml" ContentType="application/vnd.ms-excel.controlproperties+xml"/>
  <Override PartName="/xl/ctrlProps/ctrlProp118.xml" ContentType="application/vnd.ms-excel.controlproperties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trlProps/ctrlProp119.xml" ContentType="application/vnd.ms-excel.controlproperties+xml"/>
  <Override PartName="/xl/ctrlProps/ctrlProp120.xml" ContentType="application/vnd.ms-excel.controlproperties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trlProps/ctrlProp123.xml" ContentType="application/vnd.ms-excel.controlproperties+xml"/>
  <Override PartName="/xl/ctrlProps/ctrlProp124.xml" ContentType="application/vnd.ms-excel.controlproperties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trlProps/ctrlProp125.xml" ContentType="application/vnd.ms-excel.controlproperties+xml"/>
  <Override PartName="/xl/ctrlProps/ctrlProp126.xml" ContentType="application/vnd.ms-excel.controlproperties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trlProps/ctrlProp127.xml" ContentType="application/vnd.ms-excel.controlproperties+xml"/>
  <Override PartName="/xl/ctrlProps/ctrlProp128.xml" ContentType="application/vnd.ms-excel.controlproperties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trlProps/ctrlProp129.xml" ContentType="application/vnd.ms-excel.controlproperties+xml"/>
  <Override PartName="/xl/ctrlProps/ctrlProp130.xml" ContentType="application/vnd.ms-excel.controlproperties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trlProps/ctrlProp131.xml" ContentType="application/vnd.ms-excel.controlproperties+xml"/>
  <Override PartName="/xl/ctrlProps/ctrlProp132.xml" ContentType="application/vnd.ms-excel.controlproperties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trlProps/ctrlProp133.xml" ContentType="application/vnd.ms-excel.controlproperties+xml"/>
  <Override PartName="/xl/ctrlProps/ctrlProp134.xml" ContentType="application/vnd.ms-excel.controlproperties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trlProps/ctrlProp135.xml" ContentType="application/vnd.ms-excel.controlproperties+xml"/>
  <Override PartName="/xl/ctrlProps/ctrlProp136.xml" ContentType="application/vnd.ms-excel.controlproperties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trlProps/ctrlProp137.xml" ContentType="application/vnd.ms-excel.controlproperties+xml"/>
  <Override PartName="/xl/ctrlProps/ctrlProp138.xml" ContentType="application/vnd.ms-excel.controlproperties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trlProps/ctrlProp141.xml" ContentType="application/vnd.ms-excel.controlproperties+xml"/>
  <Override PartName="/xl/ctrlProps/ctrlProp142.xml" ContentType="application/vnd.ms-excel.controlproperties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trlProps/ctrlProp143.xml" ContentType="application/vnd.ms-excel.controlproperties+xml"/>
  <Override PartName="/xl/ctrlProps/ctrlProp144.xml" ContentType="application/vnd.ms-excel.controlproperties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trlProps/ctrlProp145.xml" ContentType="application/vnd.ms-excel.controlproperties+xml"/>
  <Override PartName="/xl/ctrlProps/ctrlProp146.xml" ContentType="application/vnd.ms-excel.controlproperties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trlProps/ctrlProp147.xml" ContentType="application/vnd.ms-excel.controlproperties+xml"/>
  <Override PartName="/xl/ctrlProps/ctrlProp148.xml" ContentType="application/vnd.ms-excel.controlproperties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trlProps/ctrlProp149.xml" ContentType="application/vnd.ms-excel.controlproperties+xml"/>
  <Override PartName="/xl/ctrlProps/ctrlProp150.xml" ContentType="application/vnd.ms-excel.controlproperties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trlProps/ctrlProp151.xml" ContentType="application/vnd.ms-excel.controlproperties+xml"/>
  <Override PartName="/xl/ctrlProps/ctrlProp152.xml" ContentType="application/vnd.ms-excel.controlproperties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trlProps/ctrlProp153.xml" ContentType="application/vnd.ms-excel.controlproperties+xml"/>
  <Override PartName="/xl/ctrlProps/ctrlProp154.xml" ContentType="application/vnd.ms-excel.controlproperties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trlProps/ctrlProp155.xml" ContentType="application/vnd.ms-excel.controlproperties+xml"/>
  <Override PartName="/xl/ctrlProps/ctrlProp156.xml" ContentType="application/vnd.ms-excel.controlproperties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trlProps/ctrlProp161.xml" ContentType="application/vnd.ms-excel.controlproperties+xml"/>
  <Override PartName="/xl/ctrlProps/ctrlProp162.xml" ContentType="application/vnd.ms-excel.controlproperties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trlProps/ctrlProp163.xml" ContentType="application/vnd.ms-excel.controlproperties+xml"/>
  <Override PartName="/xl/ctrlProps/ctrlProp164.xml" ContentType="application/vnd.ms-excel.controlproperties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trlProps/ctrlProp165.xml" ContentType="application/vnd.ms-excel.controlproperties+xml"/>
  <Override PartName="/xl/ctrlProps/ctrlProp166.xml" ContentType="application/vnd.ms-excel.controlproperties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trlProps/ctrlProp167.xml" ContentType="application/vnd.ms-excel.controlproperties+xml"/>
  <Override PartName="/xl/ctrlProps/ctrlProp168.xml" ContentType="application/vnd.ms-excel.controlproperties+xml"/>
  <Override PartName="/xl/comments8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5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4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556A653-F756-4E14-8F15-0951E3B6163B}" xr6:coauthVersionLast="47" xr6:coauthVersionMax="47" xr10:uidLastSave="{00000000-0000-0000-0000-000000000000}"/>
  <bookViews>
    <workbookView xWindow="-108" yWindow="-108" windowWidth="23256" windowHeight="12456" tabRatio="867" firstSheet="43" activeTab="43" xr2:uid="{00000000-000D-0000-FFFF-FFFF00000000}"/>
  </bookViews>
  <sheets>
    <sheet name="Traço Padrão T10- - Concrefer" sheetId="34" state="hidden" r:id="rId1"/>
    <sheet name="Traço Padrão T11-" sheetId="52" state="hidden" r:id="rId2"/>
    <sheet name="Traço Padrão T12" sheetId="53" state="hidden" r:id="rId3"/>
    <sheet name="Traço Padrão T13" sheetId="54" state="hidden" r:id="rId4"/>
    <sheet name="Traço caa - Concrefer (2)" sheetId="51" state="hidden" r:id="rId5"/>
    <sheet name="Traço caa - Concrefer (3)" sheetId="56" state="hidden" r:id="rId6"/>
    <sheet name="CAA BASALTO AREIA EMBU" sheetId="60" state="hidden" r:id="rId7"/>
    <sheet name="basalto-tec" sheetId="59" state="hidden" r:id="rId8"/>
    <sheet name="TESTE CAA BASALTO 1" sheetId="61" state="hidden" r:id="rId9"/>
    <sheet name="TESTE CAA BASALTO - TECNOSIL" sheetId="62" state="hidden" r:id="rId10"/>
    <sheet name="TESTE CAA BASALTO - TECNOSI (2)" sheetId="63" state="hidden" r:id="rId11"/>
    <sheet name="CAA CAMILO AJUSTADO" sheetId="64" state="hidden" r:id="rId12"/>
    <sheet name="CAA CAMILO AJUSTADO (2)" sheetId="65" state="hidden" r:id="rId13"/>
    <sheet name="VALE REF. 2" sheetId="58" state="hidden" r:id="rId14"/>
    <sheet name="Flavio - Vale - padrão" sheetId="49" state="hidden" r:id="rId15"/>
    <sheet name="UNATUBOS" sheetId="55" state="hidden" r:id="rId16"/>
    <sheet name="UNATUBOS-aduelas" sheetId="78" state="hidden" r:id="rId17"/>
    <sheet name="UNATUBOS - aduelas 2" sheetId="79" state="hidden" r:id="rId18"/>
    <sheet name="CAA ajusttado  adva 518" sheetId="68" state="hidden" r:id="rId19"/>
    <sheet name="9.8.1 - T-574" sheetId="69" state="hidden" r:id="rId20"/>
    <sheet name="CAA NOROESTE" sheetId="66" state="hidden" r:id="rId21"/>
    <sheet name="PEDERNEIRAS " sheetId="70" state="hidden" r:id="rId22"/>
    <sheet name="PEDERNEIRAS" sheetId="75" state="hidden" r:id="rId23"/>
    <sheet name="RP" sheetId="76" state="hidden" r:id="rId24"/>
    <sheet name="RP (2)" sheetId="77" state="hidden" r:id="rId25"/>
    <sheet name="CAA ajusttado  T-574 -370" sheetId="71" state="hidden" r:id="rId26"/>
    <sheet name="CAA ajusttado  T-574 -370 (2)" sheetId="72" state="hidden" r:id="rId27"/>
    <sheet name="CAA ajusttado  T-574 -370 (3)" sheetId="73" state="hidden" r:id="rId28"/>
    <sheet name="CAA ajusttado  T-574 -370 (4)" sheetId="74" state="hidden" r:id="rId29"/>
    <sheet name="CAA ajusttado  T-574 -370 (5)" sheetId="80" state="hidden" r:id="rId30"/>
    <sheet name="CHRYSO ADVA 518 (2)" sheetId="82" state="hidden" r:id="rId31"/>
    <sheet name="CHRYSO ADVA 518" sheetId="81" state="hidden" r:id="rId32"/>
    <sheet name="9.6.1 - 2BRITAS" sheetId="83" state="hidden" r:id="rId33"/>
    <sheet name="2.1.2" sheetId="86" state="hidden" r:id="rId34"/>
    <sheet name="FILLER V2" sheetId="87" state="hidden" r:id="rId35"/>
    <sheet name="FILLER V3" sheetId="88" state="hidden" r:id="rId36"/>
    <sheet name="2.9.1 - 370 kg cimento" sheetId="89" state="hidden" r:id="rId37"/>
    <sheet name="R10 (2)" sheetId="115" state="hidden" r:id="rId38"/>
    <sheet name="R10 (6)" sheetId="151" state="hidden" r:id="rId39"/>
    <sheet name="R10 (7)" sheetId="152" state="hidden" r:id="rId40"/>
    <sheet name="7.1 - 2X ES - CAA - FILLER (2)" sheetId="161" state="hidden" r:id="rId41"/>
    <sheet name="7.1 - 2X ES - CAA - FILLER (3)" sheetId="164" state="hidden" r:id="rId42"/>
    <sheet name="7.2 - CAA OBRA" sheetId="159" state="hidden" r:id="rId43"/>
    <sheet name="1.0 - TRAÇO ALTERNATIVO" sheetId="150" r:id="rId44"/>
    <sheet name="adva1291.1.1 - CAA - FILLER V08" sheetId="156" state="hidden" r:id="rId45"/>
    <sheet name="athena1.1.1 - CAA - FILLER V08 " sheetId="160" state="hidden" r:id="rId46"/>
    <sheet name="MARCOS" sheetId="163" state="hidden" r:id="rId47"/>
    <sheet name="CAA - FILLER V07 - ARG 51,43" sheetId="157" state="hidden" r:id="rId48"/>
    <sheet name="CAA TOPCP - v02 - Filler - adbs" sheetId="155" state="hidden" r:id="rId49"/>
    <sheet name="7.1" sheetId="90" state="hidden" r:id="rId50"/>
    <sheet name="5.1 CAA Filler" sheetId="91" state="hidden" r:id="rId51"/>
    <sheet name="5.1 CAA v2" sheetId="95" state="hidden" r:id="rId52"/>
    <sheet name="2.9.1" sheetId="96" state="hidden" r:id="rId53"/>
    <sheet name="TESTE AGREGADO V1" sheetId="92" state="hidden" r:id="rId54"/>
    <sheet name="TESTE AGREGADO V2" sheetId="93" state="hidden" r:id="rId55"/>
    <sheet name="TESTE AGREGADO V3" sheetId="94" state="hidden" r:id="rId56"/>
    <sheet name="1.2.5 - ADITIBRAS" sheetId="98" state="hidden" r:id="rId57"/>
    <sheet name="1.2.6 - CTC 380 " sheetId="103" state="hidden" r:id="rId58"/>
    <sheet name="4.1.1 - FCK 25 PERTIGA" sheetId="99" state="hidden" r:id="rId59"/>
    <sheet name="4.1.1 - FCK 25 PERTIGA (2)" sheetId="100" state="hidden" r:id="rId60"/>
    <sheet name="4.1.1 - FCK 25 PERTIGA (3)" sheetId="101" state="hidden" r:id="rId61"/>
    <sheet name="4.1.4 - FCK 25 PERTIGA (4)" sheetId="102" state="hidden" r:id="rId62"/>
    <sheet name="1.2.79- CTC 380" sheetId="104" state="hidden" r:id="rId63"/>
    <sheet name="filler caa" sheetId="148" state="hidden" r:id="rId64"/>
    <sheet name="filler caa (2)" sheetId="154" state="hidden" r:id="rId65"/>
    <sheet name="ATENA_M920" sheetId="149" r:id="rId66"/>
    <sheet name="CSN - FERNANDO" sheetId="105" state="hidden" r:id="rId67"/>
    <sheet name="1.3.9 - 375" sheetId="106" state="hidden" r:id="rId68"/>
    <sheet name="1.2.89 - C389" sheetId="108" state="hidden" r:id="rId69"/>
    <sheet name="Planilha5" sheetId="118" state="hidden" r:id="rId70"/>
    <sheet name="CSN - FERNANDO T3" sheetId="153" state="hidden" r:id="rId71"/>
    <sheet name="R10 (3)" sheetId="116" state="hidden" r:id="rId72"/>
    <sheet name="R10 (4)" sheetId="117" state="hidden" r:id="rId73"/>
    <sheet name="R10 (5)" sheetId="119" state="hidden" r:id="rId74"/>
    <sheet name="Traço 201 Piso" sheetId="35" state="hidden" r:id="rId75"/>
    <sheet name="Traço A-C 0,70" sheetId="37" state="hidden" r:id="rId76"/>
    <sheet name="Traço A-C 0,80 " sheetId="40" state="hidden" r:id="rId77"/>
    <sheet name="Traço 202.a 206- Piso BASF" sheetId="41" state="hidden" r:id="rId78"/>
    <sheet name="Traço 209 Parede ref" sheetId="42" state="hidden" r:id="rId79"/>
    <sheet name="Traço 220 Parede Vale" sheetId="43" state="hidden" r:id="rId80"/>
    <sheet name="Traço 210-Parede Basf" sheetId="44" state="hidden" r:id="rId81"/>
    <sheet name="Traço 207 BasF " sheetId="45" state="hidden" r:id="rId82"/>
    <sheet name="Traço 208 Basf" sheetId="46" state="hidden" r:id="rId83"/>
    <sheet name="Traço 212 Estaca ref" sheetId="47" state="hidden" r:id="rId84"/>
    <sheet name="Traço 211 Estaca Basf" sheetId="48" state="hidden" r:id="rId85"/>
  </sheets>
  <definedNames>
    <definedName name="_xlnm.Print_Area" localSheetId="43">'1.0 - TRAÇO ALTERNATIVO'!$B$2:$AE$40</definedName>
    <definedName name="_xlnm.Print_Area" localSheetId="56">'1.2.5 - ADITIBRAS'!$B$2:$AE$40</definedName>
    <definedName name="_xlnm.Print_Area" localSheetId="57">'1.2.6 - CTC 380 '!$B$2:$AE$40</definedName>
    <definedName name="_xlnm.Print_Area" localSheetId="62">'1.2.79- CTC 380'!$B$2:$AE$40</definedName>
    <definedName name="_xlnm.Print_Area" localSheetId="68">'1.2.89 - C389'!$B$2:$AE$40</definedName>
    <definedName name="_xlnm.Print_Area" localSheetId="67">'1.3.9 - 375'!$B$2:$AE$40</definedName>
    <definedName name="_xlnm.Print_Area" localSheetId="33">'2.1.2'!$B$2:$AE$40</definedName>
    <definedName name="_xlnm.Print_Area" localSheetId="52">'2.9.1'!$B$2:$AE$40</definedName>
    <definedName name="_xlnm.Print_Area" localSheetId="36">'2.9.1 - 370 kg cimento'!$B$2:$AE$40</definedName>
    <definedName name="_xlnm.Print_Area" localSheetId="58">'4.1.1 - FCK 25 PERTIGA'!$B$2:$AE$40</definedName>
    <definedName name="_xlnm.Print_Area" localSheetId="59">'4.1.1 - FCK 25 PERTIGA (2)'!$B$2:$AE$40</definedName>
    <definedName name="_xlnm.Print_Area" localSheetId="60">'4.1.1 - FCK 25 PERTIGA (3)'!$B$2:$AE$40</definedName>
    <definedName name="_xlnm.Print_Area" localSheetId="61">'4.1.4 - FCK 25 PERTIGA (4)'!$B$2:$AE$40</definedName>
    <definedName name="_xlnm.Print_Area" localSheetId="50">'5.1 CAA Filler'!$B$2:$AE$40</definedName>
    <definedName name="_xlnm.Print_Area" localSheetId="51">'5.1 CAA v2'!$B$2:$AE$40</definedName>
    <definedName name="_xlnm.Print_Area" localSheetId="49">'7.1'!$B$2:$AE$40</definedName>
    <definedName name="_xlnm.Print_Area" localSheetId="40">'7.1 - 2X ES - CAA - FILLER (2)'!$B$2:$AE$40</definedName>
    <definedName name="_xlnm.Print_Area" localSheetId="41">'7.1 - 2X ES - CAA - FILLER (3)'!$B$2:$AE$40</definedName>
    <definedName name="_xlnm.Print_Area" localSheetId="42">'7.2 - CAA OBRA'!$B$2:$AE$40</definedName>
    <definedName name="_xlnm.Print_Area" localSheetId="32">'9.6.1 - 2BRITAS'!$B$2:$AE$40</definedName>
    <definedName name="_xlnm.Print_Area" localSheetId="19">'9.8.1 - T-574'!$B$2:$AE$40</definedName>
    <definedName name="_xlnm.Print_Area" localSheetId="44">'adva1291.1.1 - CAA - FILLER V08'!$B$2:$AE$40</definedName>
    <definedName name="_xlnm.Print_Area" localSheetId="65">ATENA_M920!$B$2:$AE$40</definedName>
    <definedName name="_xlnm.Print_Area" localSheetId="45">'athena1.1.1 - CAA - FILLER V08 '!$B$2:$AE$40</definedName>
    <definedName name="_xlnm.Print_Area" localSheetId="7">'basalto-tec'!$B$2:$AE$40</definedName>
    <definedName name="_xlnm.Print_Area" localSheetId="47">'CAA - FILLER V07 - ARG 51,43'!$B$2:$AE$40</definedName>
    <definedName name="_xlnm.Print_Area" localSheetId="18">'CAA ajusttado  adva 518'!$B$2:$AE$40</definedName>
    <definedName name="_xlnm.Print_Area" localSheetId="25">'CAA ajusttado  T-574 -370'!$B$2:$AE$40</definedName>
    <definedName name="_xlnm.Print_Area" localSheetId="26">'CAA ajusttado  T-574 -370 (2)'!$B$2:$AE$40</definedName>
    <definedName name="_xlnm.Print_Area" localSheetId="27">'CAA ajusttado  T-574 -370 (3)'!$B$2:$AE$40</definedName>
    <definedName name="_xlnm.Print_Area" localSheetId="28">'CAA ajusttado  T-574 -370 (4)'!$B$2:$AE$40</definedName>
    <definedName name="_xlnm.Print_Area" localSheetId="29">'CAA ajusttado  T-574 -370 (5)'!$B$2:$AE$40</definedName>
    <definedName name="_xlnm.Print_Area" localSheetId="6">'CAA BASALTO AREIA EMBU'!$B$2:$AE$40</definedName>
    <definedName name="_xlnm.Print_Area" localSheetId="11">'CAA CAMILO AJUSTADO'!$B$2:$AE$40</definedName>
    <definedName name="_xlnm.Print_Area" localSheetId="12">'CAA CAMILO AJUSTADO (2)'!$B$2:$AE$40</definedName>
    <definedName name="_xlnm.Print_Area" localSheetId="20">'CAA NOROESTE'!$B$2:$AE$40</definedName>
    <definedName name="_xlnm.Print_Area" localSheetId="48">'CAA TOPCP - v02 - Filler - adbs'!$B$2:$AE$40</definedName>
    <definedName name="_xlnm.Print_Area" localSheetId="31">'CHRYSO ADVA 518'!$B$2:$AE$40</definedName>
    <definedName name="_xlnm.Print_Area" localSheetId="30">'CHRYSO ADVA 518 (2)'!$B$2:$AE$40</definedName>
    <definedName name="_xlnm.Print_Area" localSheetId="66">'CSN - FERNANDO'!$B$2:$AE$40</definedName>
    <definedName name="_xlnm.Print_Area" localSheetId="70">'CSN - FERNANDO T3'!$B$2:$AE$40</definedName>
    <definedName name="_xlnm.Print_Area" localSheetId="63">'filler caa'!$B$2:$AE$40</definedName>
    <definedName name="_xlnm.Print_Area" localSheetId="64">'filler caa (2)'!$B$2:$AE$40</definedName>
    <definedName name="_xlnm.Print_Area" localSheetId="34">'FILLER V2'!$B$2:$AE$40</definedName>
    <definedName name="_xlnm.Print_Area" localSheetId="35">'FILLER V3'!$B$2:$AE$40</definedName>
    <definedName name="_xlnm.Print_Area" localSheetId="14">'Flavio - Vale - padrão'!$B$2:$AE$40</definedName>
    <definedName name="_xlnm.Print_Area" localSheetId="46">MARCOS!$B$2:$AE$40</definedName>
    <definedName name="_xlnm.Print_Area" localSheetId="22">PEDERNEIRAS!$B$2:$AE$40</definedName>
    <definedName name="_xlnm.Print_Area" localSheetId="21">'PEDERNEIRAS '!$B$2:$AE$40</definedName>
    <definedName name="_xlnm.Print_Area" localSheetId="37">'R10 (2)'!$B$2:$AE$40</definedName>
    <definedName name="_xlnm.Print_Area" localSheetId="71">'R10 (3)'!$B$2:$AE$40</definedName>
    <definedName name="_xlnm.Print_Area" localSheetId="72">'R10 (4)'!$B$2:$AE$40</definedName>
    <definedName name="_xlnm.Print_Area" localSheetId="73">'R10 (5)'!$B$2:$AE$40</definedName>
    <definedName name="_xlnm.Print_Area" localSheetId="38">'R10 (6)'!$B$2:$AE$40</definedName>
    <definedName name="_xlnm.Print_Area" localSheetId="39">'R10 (7)'!$B$2:$AE$40</definedName>
    <definedName name="_xlnm.Print_Area" localSheetId="23">RP!$B$2:$AE$40</definedName>
    <definedName name="_xlnm.Print_Area" localSheetId="24">'RP (2)'!$B$2:$AE$40</definedName>
    <definedName name="_xlnm.Print_Area" localSheetId="53">'TESTE AGREGADO V1'!$B$2:$AE$40</definedName>
    <definedName name="_xlnm.Print_Area" localSheetId="54">'TESTE AGREGADO V2'!$B$2:$AE$40</definedName>
    <definedName name="_xlnm.Print_Area" localSheetId="55">'TESTE AGREGADO V3'!$B$2:$AE$40</definedName>
    <definedName name="_xlnm.Print_Area" localSheetId="10">'TESTE CAA BASALTO - TECNOSI (2)'!$B$2:$AE$40</definedName>
    <definedName name="_xlnm.Print_Area" localSheetId="9">'TESTE CAA BASALTO - TECNOSIL'!$B$2:$AE$40</definedName>
    <definedName name="_xlnm.Print_Area" localSheetId="8">'TESTE CAA BASALTO 1'!$B$2:$AE$40</definedName>
    <definedName name="_xlnm.Print_Area" localSheetId="74">'Traço 201 Piso'!$B$2:$AE$40</definedName>
    <definedName name="_xlnm.Print_Area" localSheetId="77">'Traço 202.a 206- Piso BASF'!$B$2:$AE$40</definedName>
    <definedName name="_xlnm.Print_Area" localSheetId="81">'Traço 207 BasF '!$B$2:$AE$40</definedName>
    <definedName name="_xlnm.Print_Area" localSheetId="82">'Traço 208 Basf'!$B$2:$AE$40</definedName>
    <definedName name="_xlnm.Print_Area" localSheetId="78">'Traço 209 Parede ref'!$B$2:$AE$40</definedName>
    <definedName name="_xlnm.Print_Area" localSheetId="80">'Traço 210-Parede Basf'!$B$2:$AE$40</definedName>
    <definedName name="_xlnm.Print_Area" localSheetId="84">'Traço 211 Estaca Basf'!$B$2:$AE$40</definedName>
    <definedName name="_xlnm.Print_Area" localSheetId="83">'Traço 212 Estaca ref'!$B$2:$AE$40</definedName>
    <definedName name="_xlnm.Print_Area" localSheetId="79">'Traço 220 Parede Vale'!$B$2:$AE$40</definedName>
    <definedName name="_xlnm.Print_Area" localSheetId="75">'Traço A-C 0,70'!$B$2:$AE$40</definedName>
    <definedName name="_xlnm.Print_Area" localSheetId="76">'Traço A-C 0,80 '!$B$2:$AE$40</definedName>
    <definedName name="_xlnm.Print_Area" localSheetId="4">'Traço caa - Concrefer (2)'!$B$2:$AE$40</definedName>
    <definedName name="_xlnm.Print_Area" localSheetId="5">'Traço caa - Concrefer (3)'!$B$2:$AE$40</definedName>
    <definedName name="_xlnm.Print_Area" localSheetId="0">'Traço Padrão T10- - Concrefer'!$B$2:$AE$40</definedName>
    <definedName name="_xlnm.Print_Area" localSheetId="1">'Traço Padrão T11-'!$B$2:$AE$40</definedName>
    <definedName name="_xlnm.Print_Area" localSheetId="2">'Traço Padrão T12'!$B$2:$AE$40</definedName>
    <definedName name="_xlnm.Print_Area" localSheetId="3">'Traço Padrão T13'!$B$2:$AE$40</definedName>
    <definedName name="_xlnm.Print_Area" localSheetId="15">UNATUBOS!$B$2:$AE$40</definedName>
    <definedName name="_xlnm.Print_Area" localSheetId="17">'UNATUBOS - aduelas 2'!$B$2:$AE$40</definedName>
    <definedName name="_xlnm.Print_Area" localSheetId="16">'UNATUBOS-aduelas'!$B$2:$AE$40</definedName>
    <definedName name="_xlnm.Print_Area" localSheetId="13">'VALE REF. 2'!$B$2:$AE$40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8" i="164" l="1"/>
  <c r="AK47" i="164"/>
  <c r="AS46" i="164"/>
  <c r="AQ46" i="164"/>
  <c r="AN46" i="164"/>
  <c r="AK46" i="164"/>
  <c r="AS45" i="164"/>
  <c r="AQ45" i="164"/>
  <c r="AN45" i="164"/>
  <c r="AK45" i="164"/>
  <c r="AS44" i="164"/>
  <c r="AQ44" i="164"/>
  <c r="AN44" i="164"/>
  <c r="AK44" i="164"/>
  <c r="AS43" i="164"/>
  <c r="AQ43" i="164"/>
  <c r="AN43" i="164"/>
  <c r="AK43" i="164"/>
  <c r="AS42" i="164"/>
  <c r="AQ42" i="164"/>
  <c r="AN42" i="164"/>
  <c r="AK42" i="164"/>
  <c r="AS41" i="164"/>
  <c r="AQ41" i="164"/>
  <c r="AN41" i="164"/>
  <c r="AK41" i="164"/>
  <c r="AP36" i="164"/>
  <c r="AO32" i="164"/>
  <c r="AK32" i="164"/>
  <c r="AX31" i="164"/>
  <c r="AS31" i="164"/>
  <c r="AT31" i="164" s="1"/>
  <c r="AO31" i="164"/>
  <c r="AX30" i="164"/>
  <c r="AO30" i="164"/>
  <c r="AX29" i="164"/>
  <c r="AQ29" i="164"/>
  <c r="AO29" i="164"/>
  <c r="AX28" i="164" a="1"/>
  <c r="AQ28" i="164"/>
  <c r="AO28" i="164" a="1"/>
  <c r="AX27" i="164"/>
  <c r="AQ27" i="164"/>
  <c r="AO27" i="164"/>
  <c r="X27" i="164"/>
  <c r="W27" i="164"/>
  <c r="AX26" i="164"/>
  <c r="AW26" i="164"/>
  <c r="AV26" i="164"/>
  <c r="AU26" i="164"/>
  <c r="AQ26" i="164"/>
  <c r="AO26" i="164"/>
  <c r="AN26" i="164"/>
  <c r="AM26" i="164"/>
  <c r="AL26" i="164"/>
  <c r="X26" i="164"/>
  <c r="W26" i="164"/>
  <c r="AX25" i="164"/>
  <c r="AW25" i="164"/>
  <c r="AV25" i="164"/>
  <c r="AU25" i="164"/>
  <c r="AQ25" i="164"/>
  <c r="AO25" i="164"/>
  <c r="AN25" i="164"/>
  <c r="AM25" i="164"/>
  <c r="AL25" i="164"/>
  <c r="X25" i="164"/>
  <c r="W25" i="164"/>
  <c r="AQ24" i="164"/>
  <c r="W24" i="164"/>
  <c r="X24" i="164" s="1"/>
  <c r="AW23" i="164"/>
  <c r="AV23" i="164"/>
  <c r="AU23" i="164"/>
  <c r="AQ23" i="164"/>
  <c r="AO23" i="164"/>
  <c r="AN23" i="164"/>
  <c r="AM23" i="164"/>
  <c r="AL23" i="164"/>
  <c r="X23" i="164"/>
  <c r="W23" i="164"/>
  <c r="AW22" i="164"/>
  <c r="AV22" i="164"/>
  <c r="AU22" i="164"/>
  <c r="AQ22" i="164"/>
  <c r="AN22" i="164"/>
  <c r="AM22" i="164"/>
  <c r="AL22" i="164"/>
  <c r="W22" i="164"/>
  <c r="X22" i="164" s="1"/>
  <c r="AQ21" i="164"/>
  <c r="X21" i="164"/>
  <c r="W21" i="164"/>
  <c r="AD16" i="164"/>
  <c r="AD17" i="164" s="1"/>
  <c r="X16" i="164"/>
  <c r="AB15" i="164"/>
  <c r="Y15" i="164"/>
  <c r="Y16" i="164" s="1"/>
  <c r="Y17" i="164" s="1"/>
  <c r="C15" i="164"/>
  <c r="X14" i="164"/>
  <c r="P14" i="164"/>
  <c r="N14" i="164"/>
  <c r="K14" i="164"/>
  <c r="H14" i="164"/>
  <c r="F14" i="164"/>
  <c r="C14" i="164"/>
  <c r="AI9" i="164"/>
  <c r="AF8" i="164"/>
  <c r="AF9" i="164" s="1"/>
  <c r="I8" i="164"/>
  <c r="G8" i="164"/>
  <c r="AP7" i="164"/>
  <c r="AO7" i="164"/>
  <c r="AN7" i="164"/>
  <c r="AM7" i="164"/>
  <c r="AL7" i="164"/>
  <c r="AK7" i="164"/>
  <c r="AJ7" i="164"/>
  <c r="AI7" i="164"/>
  <c r="V15" i="164" l="1"/>
  <c r="R15" i="164"/>
  <c r="P15" i="164"/>
  <c r="Y22" i="164"/>
  <c r="Y21" i="164"/>
  <c r="F15" i="164"/>
  <c r="C16" i="164"/>
  <c r="C17" i="164" s="1"/>
  <c r="AN9" i="164" l="1"/>
  <c r="P16" i="164"/>
  <c r="P17" i="164" s="1"/>
  <c r="AO9" i="164"/>
  <c r="R16" i="164"/>
  <c r="R17" i="164" s="1"/>
  <c r="Y27" i="164"/>
  <c r="Y25" i="164"/>
  <c r="D8" i="164"/>
  <c r="Y23" i="164"/>
  <c r="F16" i="164"/>
  <c r="F17" i="164" s="1"/>
  <c r="Z15" i="164"/>
  <c r="Z16" i="164" s="1"/>
  <c r="Z17" i="164" s="1"/>
  <c r="AJ9" i="164"/>
  <c r="Y26" i="164"/>
  <c r="AP9" i="164"/>
  <c r="V16" i="164"/>
  <c r="V17" i="164" s="1"/>
  <c r="AF6" i="164"/>
  <c r="AF7" i="164" s="1"/>
  <c r="Y24" i="164"/>
  <c r="N15" i="164" l="1"/>
  <c r="K15" i="164"/>
  <c r="H15" i="164"/>
  <c r="AB16" i="164"/>
  <c r="AB17" i="164" s="1"/>
  <c r="H16" i="164" l="1"/>
  <c r="H17" i="164" s="1"/>
  <c r="AM15" i="164"/>
  <c r="AK9" i="164"/>
  <c r="AV45" i="164"/>
  <c r="AV42" i="164"/>
  <c r="AM16" i="164"/>
  <c r="AB9" i="164"/>
  <c r="AV41" i="164"/>
  <c r="AB8" i="164"/>
  <c r="AV47" i="164"/>
  <c r="AX41" i="164"/>
  <c r="AX42" i="164" s="1"/>
  <c r="AX43" i="164" s="1"/>
  <c r="AX44" i="164" s="1"/>
  <c r="AX45" i="164" s="1"/>
  <c r="AX46" i="164" s="1"/>
  <c r="AX47" i="164" s="1"/>
  <c r="AX48" i="164" s="1"/>
  <c r="AV48" i="164"/>
  <c r="AV46" i="164"/>
  <c r="AV44" i="164"/>
  <c r="AV43" i="164"/>
  <c r="K16" i="164"/>
  <c r="K17" i="164" s="1"/>
  <c r="AL9" i="164"/>
  <c r="AM9" i="164"/>
  <c r="N16" i="164"/>
  <c r="N17" i="164" s="1"/>
  <c r="AY41" i="164" l="1"/>
  <c r="AL41" i="164" s="1"/>
  <c r="AW41" i="164"/>
  <c r="AW45" i="164"/>
  <c r="AY45" i="164"/>
  <c r="AL45" i="164" s="1"/>
  <c r="AY43" i="164"/>
  <c r="AL43" i="164" s="1"/>
  <c r="AW43" i="164"/>
  <c r="AI16" i="164"/>
  <c r="AM17" i="164"/>
  <c r="AI15" i="164"/>
  <c r="AY47" i="164"/>
  <c r="AL47" i="164" s="1"/>
  <c r="AW47" i="164"/>
  <c r="AY42" i="164"/>
  <c r="AL42" i="164" s="1"/>
  <c r="AW42" i="164"/>
  <c r="AP11" i="164"/>
  <c r="AY44" i="164"/>
  <c r="AL44" i="164" s="1"/>
  <c r="AW44" i="164"/>
  <c r="AY46" i="164"/>
  <c r="AL46" i="164" s="1"/>
  <c r="AW46" i="164"/>
  <c r="AY48" i="164"/>
  <c r="AL48" i="164" s="1"/>
  <c r="AW48" i="164"/>
  <c r="X17" i="164"/>
  <c r="AI17" i="164" l="1"/>
  <c r="AK48" i="163" l="1"/>
  <c r="AK47" i="163"/>
  <c r="AQ46" i="163"/>
  <c r="AN46" i="163"/>
  <c r="AS46" i="163" s="1"/>
  <c r="AK46" i="163"/>
  <c r="AQ45" i="163"/>
  <c r="AN45" i="163"/>
  <c r="AS45" i="163" s="1"/>
  <c r="AK45" i="163"/>
  <c r="AS44" i="163"/>
  <c r="AQ44" i="163"/>
  <c r="AN44" i="163"/>
  <c r="AK44" i="163"/>
  <c r="AQ43" i="163"/>
  <c r="AN43" i="163"/>
  <c r="AS43" i="163" s="1"/>
  <c r="AK43" i="163"/>
  <c r="AQ42" i="163"/>
  <c r="AN42" i="163"/>
  <c r="AS42" i="163" s="1"/>
  <c r="AK42" i="163"/>
  <c r="AQ41" i="163"/>
  <c r="AN41" i="163"/>
  <c r="AS41" i="163" s="1"/>
  <c r="AK41" i="163"/>
  <c r="AP36" i="163"/>
  <c r="AL32" i="163"/>
  <c r="AX31" i="163"/>
  <c r="AS31" i="163"/>
  <c r="AT31" i="163" s="1"/>
  <c r="AO31" i="163"/>
  <c r="AK31" i="163"/>
  <c r="AJ31" i="163"/>
  <c r="AX30" i="163"/>
  <c r="AO30" i="163"/>
  <c r="AQ29" i="163"/>
  <c r="AX28" i="163" a="1"/>
  <c r="AX29" i="163" s="1"/>
  <c r="AQ28" i="163"/>
  <c r="AO28" i="163" a="1"/>
  <c r="AO29" i="163" s="1"/>
  <c r="AX27" i="163"/>
  <c r="AQ27" i="163"/>
  <c r="AO27" i="163"/>
  <c r="X27" i="163"/>
  <c r="Y27" i="163" s="1"/>
  <c r="W27" i="163"/>
  <c r="AX26" i="163"/>
  <c r="AW26" i="163"/>
  <c r="AV26" i="163"/>
  <c r="AU26" i="163"/>
  <c r="AQ26" i="163"/>
  <c r="AO26" i="163"/>
  <c r="AN26" i="163"/>
  <c r="AM26" i="163"/>
  <c r="AL26" i="163"/>
  <c r="I8" i="163" s="1"/>
  <c r="X26" i="163"/>
  <c r="Y26" i="163" s="1"/>
  <c r="W26" i="163"/>
  <c r="AX25" i="163"/>
  <c r="AW25" i="163"/>
  <c r="AV25" i="163"/>
  <c r="AU25" i="163"/>
  <c r="AQ25" i="163"/>
  <c r="AO25" i="163"/>
  <c r="AN25" i="163"/>
  <c r="AM25" i="163"/>
  <c r="AL25" i="163"/>
  <c r="X25" i="163"/>
  <c r="Y25" i="163" s="1"/>
  <c r="W25" i="163"/>
  <c r="AQ24" i="163"/>
  <c r="W24" i="163"/>
  <c r="X24" i="163" s="1"/>
  <c r="Y24" i="163" s="1"/>
  <c r="AW23" i="163"/>
  <c r="AV23" i="163"/>
  <c r="AU23" i="163"/>
  <c r="AQ23" i="163"/>
  <c r="AO23" i="163"/>
  <c r="AN23" i="163"/>
  <c r="G8" i="163" s="1"/>
  <c r="AM23" i="163"/>
  <c r="AL23" i="163"/>
  <c r="W23" i="163"/>
  <c r="X23" i="163" s="1"/>
  <c r="Y23" i="163" s="1"/>
  <c r="AW22" i="163"/>
  <c r="AV22" i="163"/>
  <c r="AU22" i="163"/>
  <c r="AQ22" i="163"/>
  <c r="AN22" i="163"/>
  <c r="AM22" i="163"/>
  <c r="AL22" i="163"/>
  <c r="W22" i="163"/>
  <c r="X22" i="163" s="1"/>
  <c r="Y22" i="163" s="1"/>
  <c r="AQ21" i="163"/>
  <c r="W21" i="163"/>
  <c r="X21" i="163" s="1"/>
  <c r="Y21" i="163" s="1"/>
  <c r="AD16" i="163"/>
  <c r="AD17" i="163" s="1"/>
  <c r="X16" i="163"/>
  <c r="C16" i="163"/>
  <c r="C17" i="163" s="1"/>
  <c r="AB15" i="163"/>
  <c r="Z15" i="163"/>
  <c r="Z16" i="163" s="1"/>
  <c r="Z17" i="163" s="1"/>
  <c r="Y15" i="163"/>
  <c r="Y16" i="163" s="1"/>
  <c r="Y17" i="163" s="1"/>
  <c r="F15" i="163"/>
  <c r="F16" i="163" s="1"/>
  <c r="F17" i="163" s="1"/>
  <c r="C15" i="163"/>
  <c r="X14" i="163"/>
  <c r="P14" i="163"/>
  <c r="N14" i="163"/>
  <c r="K14" i="163"/>
  <c r="H14" i="163"/>
  <c r="F14" i="163"/>
  <c r="C14" i="163"/>
  <c r="AJ9" i="163"/>
  <c r="AI9" i="163"/>
  <c r="AF8" i="163"/>
  <c r="AF9" i="163" s="1"/>
  <c r="D8" i="163"/>
  <c r="AP7" i="163"/>
  <c r="AO7" i="163"/>
  <c r="AN7" i="163"/>
  <c r="AM7" i="163"/>
  <c r="AL7" i="163"/>
  <c r="AK7" i="163"/>
  <c r="AJ7" i="163"/>
  <c r="AI7" i="163"/>
  <c r="AO32" i="161"/>
  <c r="AK32" i="161"/>
  <c r="AK48" i="161"/>
  <c r="AK47" i="161"/>
  <c r="AQ46" i="161"/>
  <c r="AN46" i="161"/>
  <c r="AS46" i="161" s="1"/>
  <c r="AK46" i="161"/>
  <c r="AS45" i="161"/>
  <c r="AQ45" i="161"/>
  <c r="AN45" i="161"/>
  <c r="AK45" i="161"/>
  <c r="AS44" i="161"/>
  <c r="AQ44" i="161"/>
  <c r="AN44" i="161"/>
  <c r="AK44" i="161"/>
  <c r="AS43" i="161"/>
  <c r="AQ43" i="161"/>
  <c r="AN43" i="161"/>
  <c r="AK43" i="161"/>
  <c r="AS42" i="161"/>
  <c r="AQ42" i="161"/>
  <c r="AN42" i="161"/>
  <c r="AK42" i="161"/>
  <c r="AS41" i="161"/>
  <c r="AQ41" i="161"/>
  <c r="AN41" i="161"/>
  <c r="AK41" i="161"/>
  <c r="AP36" i="161"/>
  <c r="AX31" i="161"/>
  <c r="AS31" i="161"/>
  <c r="AT31" i="161" s="1"/>
  <c r="AO31" i="161"/>
  <c r="AX30" i="161"/>
  <c r="AO30" i="161"/>
  <c r="AQ29" i="161"/>
  <c r="AX28" i="161" a="1"/>
  <c r="AX29" i="161" s="1"/>
  <c r="AQ28" i="161"/>
  <c r="AO28" i="161" a="1"/>
  <c r="AO29" i="161" s="1"/>
  <c r="AX27" i="161"/>
  <c r="AQ27" i="161"/>
  <c r="AO27" i="161"/>
  <c r="X27" i="161"/>
  <c r="Y27" i="161" s="1"/>
  <c r="W27" i="161"/>
  <c r="AX26" i="161"/>
  <c r="AW26" i="161"/>
  <c r="AV26" i="161"/>
  <c r="AU26" i="161"/>
  <c r="AQ26" i="161"/>
  <c r="AO26" i="161"/>
  <c r="AN26" i="161"/>
  <c r="AM26" i="161"/>
  <c r="AL26" i="161"/>
  <c r="X26" i="161"/>
  <c r="Y26" i="161" s="1"/>
  <c r="W26" i="161"/>
  <c r="AX25" i="161"/>
  <c r="AW25" i="161"/>
  <c r="AV25" i="161"/>
  <c r="AU25" i="161"/>
  <c r="AQ25" i="161"/>
  <c r="AO25" i="161"/>
  <c r="AN25" i="161"/>
  <c r="AM25" i="161"/>
  <c r="AL25" i="161"/>
  <c r="X25" i="161"/>
  <c r="Y25" i="161" s="1"/>
  <c r="W25" i="161"/>
  <c r="AQ24" i="161"/>
  <c r="X24" i="161"/>
  <c r="Y24" i="161" s="1"/>
  <c r="W24" i="161"/>
  <c r="AW23" i="161"/>
  <c r="AV23" i="161"/>
  <c r="AU23" i="161"/>
  <c r="AQ23" i="161"/>
  <c r="AO23" i="161"/>
  <c r="AN23" i="161"/>
  <c r="G8" i="161" s="1"/>
  <c r="AM23" i="161"/>
  <c r="AL23" i="161"/>
  <c r="W23" i="161"/>
  <c r="X23" i="161" s="1"/>
  <c r="Y23" i="161" s="1"/>
  <c r="AW22" i="161"/>
  <c r="AV22" i="161"/>
  <c r="AU22" i="161"/>
  <c r="AQ22" i="161"/>
  <c r="AN22" i="161"/>
  <c r="AM22" i="161"/>
  <c r="AL22" i="161"/>
  <c r="W22" i="161"/>
  <c r="X22" i="161" s="1"/>
  <c r="Y22" i="161" s="1"/>
  <c r="AQ21" i="161"/>
  <c r="W21" i="161"/>
  <c r="X21" i="161" s="1"/>
  <c r="Y21" i="161" s="1"/>
  <c r="AD16" i="161"/>
  <c r="AD17" i="161" s="1"/>
  <c r="Y16" i="161"/>
  <c r="Y17" i="161" s="1"/>
  <c r="X16" i="161"/>
  <c r="C16" i="161"/>
  <c r="C17" i="161" s="1"/>
  <c r="AB15" i="161"/>
  <c r="Z15" i="161"/>
  <c r="Z16" i="161" s="1"/>
  <c r="Z17" i="161" s="1"/>
  <c r="Y15" i="161"/>
  <c r="R15" i="161"/>
  <c r="AO9" i="161" s="1"/>
  <c r="F15" i="161"/>
  <c r="C15" i="161"/>
  <c r="X14" i="161"/>
  <c r="P14" i="161"/>
  <c r="N14" i="161"/>
  <c r="K14" i="161"/>
  <c r="H14" i="161"/>
  <c r="F14" i="161"/>
  <c r="C14" i="161"/>
  <c r="AJ9" i="161"/>
  <c r="AI9" i="161"/>
  <c r="AF9" i="161"/>
  <c r="AF8" i="161"/>
  <c r="I8" i="161"/>
  <c r="D8" i="161"/>
  <c r="AP7" i="161"/>
  <c r="AO7" i="161"/>
  <c r="AN7" i="161"/>
  <c r="AM7" i="161"/>
  <c r="AL7" i="161"/>
  <c r="AK7" i="161"/>
  <c r="AJ7" i="161"/>
  <c r="AI7" i="161"/>
  <c r="AK48" i="160"/>
  <c r="AK47" i="160"/>
  <c r="AS46" i="160"/>
  <c r="AQ46" i="160"/>
  <c r="AN46" i="160"/>
  <c r="AK46" i="160"/>
  <c r="AQ45" i="160"/>
  <c r="AN45" i="160"/>
  <c r="AS45" i="160" s="1"/>
  <c r="AK45" i="160"/>
  <c r="AS44" i="160"/>
  <c r="AQ44" i="160"/>
  <c r="AN44" i="160"/>
  <c r="AK44" i="160"/>
  <c r="AQ43" i="160"/>
  <c r="AN43" i="160"/>
  <c r="AS43" i="160" s="1"/>
  <c r="AK43" i="160"/>
  <c r="AS42" i="160"/>
  <c r="AQ42" i="160"/>
  <c r="AN42" i="160"/>
  <c r="AK42" i="160"/>
  <c r="AQ41" i="160"/>
  <c r="AN41" i="160"/>
  <c r="AS41" i="160" s="1"/>
  <c r="AK41" i="160"/>
  <c r="AP36" i="160"/>
  <c r="AL32" i="160"/>
  <c r="AX31" i="160"/>
  <c r="AS31" i="160"/>
  <c r="AT31" i="160" s="1"/>
  <c r="AO31" i="160"/>
  <c r="AK31" i="160"/>
  <c r="AJ31" i="160"/>
  <c r="AX30" i="160"/>
  <c r="AO30" i="160"/>
  <c r="AQ29" i="160"/>
  <c r="AX28" i="160" a="1"/>
  <c r="AX29" i="160" s="1"/>
  <c r="AQ28" i="160"/>
  <c r="AO28" i="160" a="1"/>
  <c r="AO29" i="160" s="1"/>
  <c r="AX27" i="160"/>
  <c r="AQ27" i="160"/>
  <c r="AO27" i="160"/>
  <c r="X27" i="160"/>
  <c r="Y27" i="160" s="1"/>
  <c r="W27" i="160"/>
  <c r="AX26" i="160"/>
  <c r="AW26" i="160"/>
  <c r="AV26" i="160"/>
  <c r="AU26" i="160"/>
  <c r="AQ26" i="160"/>
  <c r="AO26" i="160"/>
  <c r="AN26" i="160"/>
  <c r="AM26" i="160"/>
  <c r="AL26" i="160"/>
  <c r="X26" i="160"/>
  <c r="Y26" i="160" s="1"/>
  <c r="W26" i="160"/>
  <c r="AX25" i="160"/>
  <c r="AW25" i="160"/>
  <c r="AV25" i="160"/>
  <c r="AU25" i="160"/>
  <c r="AQ25" i="160"/>
  <c r="AO25" i="160"/>
  <c r="AN25" i="160"/>
  <c r="AM25" i="160"/>
  <c r="AL25" i="160"/>
  <c r="X25" i="160"/>
  <c r="Y25" i="160" s="1"/>
  <c r="W25" i="160"/>
  <c r="AQ24" i="160"/>
  <c r="W24" i="160"/>
  <c r="X24" i="160" s="1"/>
  <c r="Y24" i="160" s="1"/>
  <c r="AW23" i="160"/>
  <c r="AV23" i="160"/>
  <c r="AU23" i="160"/>
  <c r="AQ23" i="160"/>
  <c r="AO23" i="160"/>
  <c r="AN23" i="160"/>
  <c r="G8" i="160" s="1"/>
  <c r="AM23" i="160"/>
  <c r="AL23" i="160"/>
  <c r="W23" i="160"/>
  <c r="X23" i="160" s="1"/>
  <c r="Y23" i="160" s="1"/>
  <c r="AW22" i="160"/>
  <c r="AV22" i="160"/>
  <c r="AU22" i="160"/>
  <c r="AQ22" i="160"/>
  <c r="AN22" i="160"/>
  <c r="AM22" i="160"/>
  <c r="AL22" i="160"/>
  <c r="W22" i="160"/>
  <c r="X22" i="160" s="1"/>
  <c r="Y22" i="160" s="1"/>
  <c r="AQ21" i="160"/>
  <c r="W21" i="160"/>
  <c r="X21" i="160" s="1"/>
  <c r="Y21" i="160" s="1"/>
  <c r="AD16" i="160"/>
  <c r="AD17" i="160" s="1"/>
  <c r="X16" i="160"/>
  <c r="C16" i="160"/>
  <c r="C17" i="160" s="1"/>
  <c r="AB15" i="160"/>
  <c r="Z15" i="160"/>
  <c r="Z16" i="160" s="1"/>
  <c r="Z17" i="160" s="1"/>
  <c r="Y15" i="160"/>
  <c r="Y16" i="160" s="1"/>
  <c r="Y17" i="160" s="1"/>
  <c r="R15" i="160"/>
  <c r="AO9" i="160" s="1"/>
  <c r="F15" i="160"/>
  <c r="F16" i="160" s="1"/>
  <c r="F17" i="160" s="1"/>
  <c r="C15" i="160"/>
  <c r="X14" i="160"/>
  <c r="P14" i="160"/>
  <c r="N14" i="160"/>
  <c r="K14" i="160"/>
  <c r="H14" i="160"/>
  <c r="F14" i="160"/>
  <c r="C14" i="160"/>
  <c r="AJ9" i="160"/>
  <c r="AI9" i="160"/>
  <c r="AF9" i="160"/>
  <c r="P15" i="160" s="1"/>
  <c r="AF8" i="160"/>
  <c r="I8" i="160"/>
  <c r="D8" i="160"/>
  <c r="AP7" i="160"/>
  <c r="AO7" i="160"/>
  <c r="AN7" i="160"/>
  <c r="AM7" i="160"/>
  <c r="AL7" i="160"/>
  <c r="AK7" i="160"/>
  <c r="AJ7" i="160"/>
  <c r="AI7" i="160"/>
  <c r="AK48" i="159"/>
  <c r="AK47" i="159"/>
  <c r="AS46" i="159"/>
  <c r="AQ46" i="159"/>
  <c r="AN46" i="159"/>
  <c r="AK46" i="159"/>
  <c r="AQ45" i="159"/>
  <c r="AN45" i="159"/>
  <c r="AS45" i="159" s="1"/>
  <c r="AK45" i="159"/>
  <c r="AS44" i="159"/>
  <c r="AQ44" i="159"/>
  <c r="AN44" i="159"/>
  <c r="AK44" i="159"/>
  <c r="AQ43" i="159"/>
  <c r="AN43" i="159"/>
  <c r="AS43" i="159" s="1"/>
  <c r="AK43" i="159"/>
  <c r="AS42" i="159"/>
  <c r="AQ42" i="159"/>
  <c r="AN42" i="159"/>
  <c r="AK42" i="159"/>
  <c r="AQ41" i="159"/>
  <c r="AN41" i="159"/>
  <c r="AS41" i="159" s="1"/>
  <c r="AK41" i="159"/>
  <c r="AP36" i="159"/>
  <c r="AL32" i="159"/>
  <c r="AX31" i="159"/>
  <c r="AS31" i="159"/>
  <c r="AT31" i="159" s="1"/>
  <c r="AO31" i="159"/>
  <c r="AK31" i="159"/>
  <c r="AJ31" i="159"/>
  <c r="AX30" i="159"/>
  <c r="AO30" i="159"/>
  <c r="AQ29" i="159"/>
  <c r="AX28" i="159" a="1"/>
  <c r="AX29" i="159" s="1"/>
  <c r="AQ28" i="159"/>
  <c r="AO28" i="159" a="1"/>
  <c r="AO29" i="159" s="1"/>
  <c r="AX27" i="159"/>
  <c r="AQ27" i="159"/>
  <c r="AO27" i="159"/>
  <c r="W27" i="159"/>
  <c r="X27" i="159" s="1"/>
  <c r="AX26" i="159"/>
  <c r="AW26" i="159"/>
  <c r="AV26" i="159"/>
  <c r="AU26" i="159"/>
  <c r="AQ26" i="159"/>
  <c r="AO26" i="159"/>
  <c r="AN26" i="159"/>
  <c r="AM26" i="159"/>
  <c r="AL26" i="159"/>
  <c r="I8" i="159" s="1"/>
  <c r="W26" i="159"/>
  <c r="X26" i="159" s="1"/>
  <c r="AX25" i="159"/>
  <c r="AW25" i="159"/>
  <c r="AV25" i="159"/>
  <c r="AU25" i="159"/>
  <c r="AQ25" i="159"/>
  <c r="AO25" i="159"/>
  <c r="AN25" i="159"/>
  <c r="AM25" i="159"/>
  <c r="AL25" i="159"/>
  <c r="W25" i="159"/>
  <c r="X25" i="159" s="1"/>
  <c r="AQ24" i="159"/>
  <c r="X24" i="159"/>
  <c r="W24" i="159"/>
  <c r="AW23" i="159"/>
  <c r="AV23" i="159"/>
  <c r="AU23" i="159"/>
  <c r="AQ23" i="159"/>
  <c r="AO23" i="159"/>
  <c r="AN23" i="159"/>
  <c r="AM23" i="159"/>
  <c r="AL23" i="159"/>
  <c r="W23" i="159"/>
  <c r="X23" i="159" s="1"/>
  <c r="AW22" i="159"/>
  <c r="AV22" i="159"/>
  <c r="AU22" i="159"/>
  <c r="AQ22" i="159"/>
  <c r="AN22" i="159"/>
  <c r="AM22" i="159"/>
  <c r="AL22" i="159"/>
  <c r="X22" i="159"/>
  <c r="W22" i="159"/>
  <c r="AQ21" i="159"/>
  <c r="W21" i="159"/>
  <c r="X21" i="159" s="1"/>
  <c r="AD16" i="159"/>
  <c r="AD17" i="159" s="1"/>
  <c r="X16" i="159"/>
  <c r="AB15" i="159"/>
  <c r="C15" i="159"/>
  <c r="C16" i="159" s="1"/>
  <c r="C17" i="159" s="1"/>
  <c r="X14" i="159"/>
  <c r="P14" i="159"/>
  <c r="N14" i="159"/>
  <c r="K14" i="159"/>
  <c r="H14" i="159"/>
  <c r="F14" i="159"/>
  <c r="C14" i="159"/>
  <c r="AF8" i="159"/>
  <c r="AF9" i="159" s="1"/>
  <c r="G8" i="159"/>
  <c r="AP7" i="159"/>
  <c r="AO7" i="159"/>
  <c r="AN7" i="159"/>
  <c r="AM7" i="159"/>
  <c r="AL7" i="159"/>
  <c r="AK7" i="159"/>
  <c r="AJ7" i="159"/>
  <c r="AI7" i="159"/>
  <c r="V15" i="163" l="1"/>
  <c r="R15" i="163"/>
  <c r="P15" i="163"/>
  <c r="P15" i="161"/>
  <c r="AN9" i="161" s="1"/>
  <c r="V15" i="161"/>
  <c r="R16" i="161"/>
  <c r="R17" i="161" s="1"/>
  <c r="F16" i="161"/>
  <c r="F17" i="161" s="1"/>
  <c r="AN9" i="160"/>
  <c r="P16" i="160"/>
  <c r="P17" i="160" s="1"/>
  <c r="R16" i="160"/>
  <c r="R17" i="160" s="1"/>
  <c r="V15" i="160"/>
  <c r="V15" i="159"/>
  <c r="R15" i="159"/>
  <c r="P15" i="159"/>
  <c r="Y22" i="159"/>
  <c r="AI9" i="159"/>
  <c r="Y15" i="159"/>
  <c r="Y16" i="159" s="1"/>
  <c r="Y17" i="159" s="1"/>
  <c r="F15" i="159"/>
  <c r="Y23" i="159" s="1"/>
  <c r="AF6" i="163" l="1"/>
  <c r="AF7" i="163" s="1"/>
  <c r="P16" i="163"/>
  <c r="P17" i="163" s="1"/>
  <c r="AN9" i="163"/>
  <c r="AP9" i="163"/>
  <c r="V16" i="163"/>
  <c r="V17" i="163" s="1"/>
  <c r="AO9" i="163"/>
  <c r="R16" i="163"/>
  <c r="R17" i="163" s="1"/>
  <c r="AF6" i="161"/>
  <c r="AF7" i="161" s="1"/>
  <c r="K15" i="161" s="1"/>
  <c r="P16" i="161"/>
  <c r="P17" i="161" s="1"/>
  <c r="N15" i="161"/>
  <c r="AP9" i="161"/>
  <c r="V16" i="161"/>
  <c r="V17" i="161" s="1"/>
  <c r="AP9" i="160"/>
  <c r="V16" i="160"/>
  <c r="V17" i="160" s="1"/>
  <c r="AF6" i="160"/>
  <c r="AF7" i="160" s="1"/>
  <c r="Y27" i="159"/>
  <c r="D8" i="159"/>
  <c r="AF6" i="159"/>
  <c r="AF7" i="159" s="1"/>
  <c r="F16" i="159"/>
  <c r="F17" i="159" s="1"/>
  <c r="AJ9" i="159"/>
  <c r="AN9" i="159"/>
  <c r="P16" i="159"/>
  <c r="P17" i="159" s="1"/>
  <c r="Z15" i="159"/>
  <c r="Z16" i="159" s="1"/>
  <c r="Z17" i="159" s="1"/>
  <c r="AO9" i="159"/>
  <c r="R16" i="159"/>
  <c r="R17" i="159" s="1"/>
  <c r="AP9" i="159"/>
  <c r="V16" i="159"/>
  <c r="V17" i="159" s="1"/>
  <c r="Y25" i="159"/>
  <c r="Y24" i="159"/>
  <c r="Y26" i="159"/>
  <c r="Y21" i="159"/>
  <c r="N15" i="163" l="1"/>
  <c r="K15" i="163"/>
  <c r="H15" i="163"/>
  <c r="AB16" i="163"/>
  <c r="AB17" i="163" s="1"/>
  <c r="AB16" i="161"/>
  <c r="AB17" i="161" s="1"/>
  <c r="H15" i="161"/>
  <c r="AM16" i="161"/>
  <c r="AB9" i="161"/>
  <c r="AI15" i="161" s="1"/>
  <c r="H16" i="161"/>
  <c r="H17" i="161" s="1"/>
  <c r="AM15" i="161"/>
  <c r="AK9" i="161"/>
  <c r="AB8" i="161"/>
  <c r="AV46" i="161"/>
  <c r="AV47" i="161"/>
  <c r="AV41" i="161"/>
  <c r="AV48" i="161"/>
  <c r="AX41" i="161"/>
  <c r="AX42" i="161" s="1"/>
  <c r="AX43" i="161" s="1"/>
  <c r="AX44" i="161" s="1"/>
  <c r="AX45" i="161" s="1"/>
  <c r="AX46" i="161" s="1"/>
  <c r="AX47" i="161" s="1"/>
  <c r="AX48" i="161" s="1"/>
  <c r="AV42" i="161"/>
  <c r="AV44" i="161"/>
  <c r="AV43" i="161"/>
  <c r="AV45" i="161"/>
  <c r="K16" i="161"/>
  <c r="K17" i="161" s="1"/>
  <c r="AL9" i="161"/>
  <c r="N16" i="161"/>
  <c r="N17" i="161" s="1"/>
  <c r="AM9" i="161"/>
  <c r="N15" i="160"/>
  <c r="K15" i="160"/>
  <c r="H15" i="160"/>
  <c r="AB16" i="160"/>
  <c r="AB17" i="160" s="1"/>
  <c r="N15" i="159"/>
  <c r="AB16" i="159"/>
  <c r="AB17" i="159" s="1"/>
  <c r="K15" i="159"/>
  <c r="H15" i="159"/>
  <c r="K16" i="163" l="1"/>
  <c r="K17" i="163" s="1"/>
  <c r="AL9" i="163"/>
  <c r="AV41" i="163"/>
  <c r="H16" i="163"/>
  <c r="H17" i="163" s="1"/>
  <c r="AB8" i="163"/>
  <c r="AK9" i="163"/>
  <c r="AM15" i="163"/>
  <c r="AB9" i="163"/>
  <c r="AI15" i="163" s="1"/>
  <c r="AV43" i="163"/>
  <c r="AV44" i="163"/>
  <c r="AV46" i="163"/>
  <c r="AV45" i="163"/>
  <c r="AV48" i="163"/>
  <c r="AV42" i="163"/>
  <c r="AX41" i="163"/>
  <c r="AX42" i="163" s="1"/>
  <c r="AX43" i="163" s="1"/>
  <c r="AX44" i="163" s="1"/>
  <c r="AX45" i="163" s="1"/>
  <c r="AX46" i="163" s="1"/>
  <c r="AX47" i="163" s="1"/>
  <c r="AX48" i="163" s="1"/>
  <c r="AV47" i="163"/>
  <c r="AM16" i="163"/>
  <c r="N16" i="163"/>
  <c r="N17" i="163" s="1"/>
  <c r="AM9" i="163"/>
  <c r="AY42" i="161"/>
  <c r="AL42" i="161" s="1"/>
  <c r="AW42" i="161"/>
  <c r="AY46" i="161"/>
  <c r="AL46" i="161" s="1"/>
  <c r="AW46" i="161"/>
  <c r="AW41" i="161"/>
  <c r="AY41" i="161"/>
  <c r="AL41" i="161" s="1"/>
  <c r="AP11" i="161"/>
  <c r="AW45" i="161"/>
  <c r="AY45" i="161"/>
  <c r="AL45" i="161" s="1"/>
  <c r="AY48" i="161"/>
  <c r="AL48" i="161" s="1"/>
  <c r="AW48" i="161"/>
  <c r="AW47" i="161"/>
  <c r="AY47" i="161"/>
  <c r="AL47" i="161" s="1"/>
  <c r="AY43" i="161"/>
  <c r="AL43" i="161" s="1"/>
  <c r="AW43" i="161"/>
  <c r="X17" i="161"/>
  <c r="AW44" i="161"/>
  <c r="AY44" i="161"/>
  <c r="AL44" i="161" s="1"/>
  <c r="AM17" i="161"/>
  <c r="AI16" i="161"/>
  <c r="AI17" i="161" s="1"/>
  <c r="H16" i="160"/>
  <c r="H17" i="160" s="1"/>
  <c r="AM15" i="160"/>
  <c r="AK9" i="160"/>
  <c r="AV44" i="160"/>
  <c r="AB9" i="160"/>
  <c r="AV45" i="160"/>
  <c r="AX41" i="160"/>
  <c r="AX42" i="160" s="1"/>
  <c r="AX43" i="160" s="1"/>
  <c r="AX44" i="160" s="1"/>
  <c r="AX45" i="160" s="1"/>
  <c r="AX46" i="160" s="1"/>
  <c r="AX47" i="160" s="1"/>
  <c r="AX48" i="160" s="1"/>
  <c r="AV47" i="160"/>
  <c r="AV48" i="160"/>
  <c r="AV42" i="160"/>
  <c r="AV43" i="160"/>
  <c r="AB8" i="160"/>
  <c r="AV46" i="160"/>
  <c r="AV41" i="160"/>
  <c r="AM16" i="160"/>
  <c r="K16" i="160"/>
  <c r="K17" i="160" s="1"/>
  <c r="AL9" i="160"/>
  <c r="N16" i="160"/>
  <c r="N17" i="160" s="1"/>
  <c r="AM9" i="160"/>
  <c r="AM15" i="159"/>
  <c r="H16" i="159"/>
  <c r="H17" i="159" s="1"/>
  <c r="AK9" i="159"/>
  <c r="AV43" i="159"/>
  <c r="AV44" i="159"/>
  <c r="AB8" i="159"/>
  <c r="AV45" i="159"/>
  <c r="AV41" i="159"/>
  <c r="AM16" i="159"/>
  <c r="AV47" i="159"/>
  <c r="AV42" i="159"/>
  <c r="AV46" i="159"/>
  <c r="AX41" i="159"/>
  <c r="AX42" i="159" s="1"/>
  <c r="AX43" i="159" s="1"/>
  <c r="AX44" i="159" s="1"/>
  <c r="AX45" i="159" s="1"/>
  <c r="AX46" i="159" s="1"/>
  <c r="AX47" i="159" s="1"/>
  <c r="AX48" i="159" s="1"/>
  <c r="AV48" i="159"/>
  <c r="AB9" i="159"/>
  <c r="K16" i="159"/>
  <c r="K17" i="159" s="1"/>
  <c r="AL9" i="159"/>
  <c r="AM9" i="159"/>
  <c r="N16" i="159"/>
  <c r="N17" i="159" s="1"/>
  <c r="AY46" i="163" l="1"/>
  <c r="AL46" i="163" s="1"/>
  <c r="AW46" i="163"/>
  <c r="AY43" i="163"/>
  <c r="AL43" i="163" s="1"/>
  <c r="AW43" i="163"/>
  <c r="AP11" i="163"/>
  <c r="X17" i="163"/>
  <c r="AY42" i="163"/>
  <c r="AL42" i="163" s="1"/>
  <c r="AW42" i="163"/>
  <c r="AY41" i="163"/>
  <c r="AL41" i="163" s="1"/>
  <c r="AW41" i="163"/>
  <c r="AY44" i="163"/>
  <c r="AL44" i="163" s="1"/>
  <c r="AW44" i="163"/>
  <c r="AY48" i="163"/>
  <c r="AL48" i="163" s="1"/>
  <c r="AW48" i="163"/>
  <c r="AM17" i="163"/>
  <c r="AI16" i="163"/>
  <c r="AI17" i="163" s="1"/>
  <c r="AY47" i="163"/>
  <c r="AL47" i="163" s="1"/>
  <c r="AW47" i="163"/>
  <c r="AY45" i="163"/>
  <c r="AL45" i="163" s="1"/>
  <c r="AW45" i="163"/>
  <c r="AY43" i="160"/>
  <c r="AL43" i="160" s="1"/>
  <c r="AW43" i="160"/>
  <c r="AY42" i="160"/>
  <c r="AL42" i="160" s="1"/>
  <c r="AW42" i="160"/>
  <c r="AW47" i="160"/>
  <c r="AY47" i="160"/>
  <c r="AL47" i="160" s="1"/>
  <c r="AM17" i="160"/>
  <c r="AI16" i="160"/>
  <c r="AY46" i="160"/>
  <c r="AL46" i="160" s="1"/>
  <c r="AW46" i="160"/>
  <c r="AY48" i="160"/>
  <c r="AL48" i="160" s="1"/>
  <c r="AW48" i="160"/>
  <c r="AY45" i="160"/>
  <c r="AL45" i="160" s="1"/>
  <c r="AW45" i="160"/>
  <c r="AW44" i="160"/>
  <c r="AY44" i="160"/>
  <c r="AL44" i="160" s="1"/>
  <c r="AP11" i="160"/>
  <c r="AW41" i="160"/>
  <c r="AY41" i="160"/>
  <c r="AL41" i="160" s="1"/>
  <c r="AI15" i="160"/>
  <c r="AI17" i="160" s="1"/>
  <c r="X17" i="160"/>
  <c r="AY47" i="159"/>
  <c r="AL47" i="159" s="1"/>
  <c r="AW47" i="159"/>
  <c r="AY43" i="159"/>
  <c r="AL43" i="159" s="1"/>
  <c r="AW43" i="159"/>
  <c r="AY44" i="159"/>
  <c r="AL44" i="159" s="1"/>
  <c r="AW44" i="159"/>
  <c r="AI16" i="159"/>
  <c r="AM17" i="159"/>
  <c r="AP11" i="159"/>
  <c r="AY48" i="159"/>
  <c r="AL48" i="159" s="1"/>
  <c r="AW48" i="159"/>
  <c r="AI15" i="159"/>
  <c r="AI17" i="159" s="1"/>
  <c r="AY42" i="159"/>
  <c r="AL42" i="159" s="1"/>
  <c r="AW42" i="159"/>
  <c r="AY41" i="159"/>
  <c r="AL41" i="159" s="1"/>
  <c r="AW41" i="159"/>
  <c r="AY45" i="159"/>
  <c r="AL45" i="159" s="1"/>
  <c r="AW45" i="159"/>
  <c r="X17" i="159"/>
  <c r="AY46" i="159"/>
  <c r="AL46" i="159" s="1"/>
  <c r="AW46" i="159"/>
  <c r="AO31" i="156"/>
  <c r="AO31" i="157"/>
  <c r="AK48" i="157"/>
  <c r="AK47" i="157"/>
  <c r="AQ46" i="157"/>
  <c r="AN46" i="157"/>
  <c r="AS46" i="157" s="1"/>
  <c r="AK46" i="157"/>
  <c r="AS45" i="157"/>
  <c r="AQ45" i="157"/>
  <c r="AN45" i="157"/>
  <c r="AK45" i="157"/>
  <c r="AS44" i="157"/>
  <c r="AQ44" i="157"/>
  <c r="AN44" i="157"/>
  <c r="AK44" i="157"/>
  <c r="AQ43" i="157"/>
  <c r="AN43" i="157"/>
  <c r="AS43" i="157" s="1"/>
  <c r="AK43" i="157"/>
  <c r="AQ42" i="157"/>
  <c r="AN42" i="157"/>
  <c r="AS42" i="157" s="1"/>
  <c r="AK42" i="157"/>
  <c r="AS41" i="157"/>
  <c r="AQ41" i="157"/>
  <c r="AN41" i="157"/>
  <c r="AK41" i="157"/>
  <c r="AP36" i="157"/>
  <c r="AL32" i="157"/>
  <c r="AX31" i="157"/>
  <c r="AT31" i="157"/>
  <c r="AS31" i="157"/>
  <c r="AK31" i="157"/>
  <c r="AJ31" i="157"/>
  <c r="AX30" i="157"/>
  <c r="AO30" i="157"/>
  <c r="AQ29" i="157"/>
  <c r="AX28" i="157" a="1"/>
  <c r="AX29" i="157" s="1"/>
  <c r="AQ28" i="157"/>
  <c r="AO28" i="157" a="1"/>
  <c r="AO29" i="157" s="1"/>
  <c r="AX27" i="157"/>
  <c r="AQ27" i="157"/>
  <c r="AO27" i="157"/>
  <c r="W27" i="157"/>
  <c r="X27" i="157" s="1"/>
  <c r="AX26" i="157"/>
  <c r="AW26" i="157"/>
  <c r="AV26" i="157"/>
  <c r="AU26" i="157"/>
  <c r="AQ26" i="157"/>
  <c r="AO26" i="157"/>
  <c r="AN26" i="157"/>
  <c r="AM26" i="157"/>
  <c r="AL26" i="157"/>
  <c r="I8" i="157" s="1"/>
  <c r="W26" i="157"/>
  <c r="X26" i="157" s="1"/>
  <c r="AX25" i="157"/>
  <c r="AW25" i="157"/>
  <c r="AV25" i="157"/>
  <c r="AU25" i="157"/>
  <c r="AQ25" i="157"/>
  <c r="AO25" i="157"/>
  <c r="AN25" i="157"/>
  <c r="AM25" i="157"/>
  <c r="AL25" i="157"/>
  <c r="W25" i="157"/>
  <c r="X25" i="157" s="1"/>
  <c r="AQ24" i="157"/>
  <c r="W24" i="157"/>
  <c r="X24" i="157" s="1"/>
  <c r="AW23" i="157"/>
  <c r="AV23" i="157"/>
  <c r="AU23" i="157"/>
  <c r="AQ23" i="157"/>
  <c r="AO23" i="157"/>
  <c r="AN23" i="157"/>
  <c r="G8" i="157" s="1"/>
  <c r="AM23" i="157"/>
  <c r="AL23" i="157"/>
  <c r="W23" i="157"/>
  <c r="X23" i="157" s="1"/>
  <c r="AW22" i="157"/>
  <c r="AV22" i="157"/>
  <c r="AU22" i="157"/>
  <c r="AQ22" i="157"/>
  <c r="AN22" i="157"/>
  <c r="AM22" i="157"/>
  <c r="AL22" i="157"/>
  <c r="W22" i="157"/>
  <c r="X22" i="157" s="1"/>
  <c r="AQ21" i="157"/>
  <c r="X21" i="157"/>
  <c r="W21" i="157"/>
  <c r="AD17" i="157"/>
  <c r="AD16" i="157"/>
  <c r="X16" i="157"/>
  <c r="AB15" i="157"/>
  <c r="Y15" i="157"/>
  <c r="Y16" i="157" s="1"/>
  <c r="Y17" i="157" s="1"/>
  <c r="C15" i="157"/>
  <c r="X14" i="157"/>
  <c r="P14" i="157"/>
  <c r="N14" i="157"/>
  <c r="K14" i="157"/>
  <c r="H14" i="157"/>
  <c r="F14" i="157"/>
  <c r="C14" i="157"/>
  <c r="AI9" i="157"/>
  <c r="AF9" i="157"/>
  <c r="AF8" i="157"/>
  <c r="AP7" i="157"/>
  <c r="AO7" i="157"/>
  <c r="AN7" i="157"/>
  <c r="AM7" i="157"/>
  <c r="AL7" i="157"/>
  <c r="AK7" i="157"/>
  <c r="AJ7" i="157"/>
  <c r="AI7" i="157"/>
  <c r="AK48" i="156"/>
  <c r="AK47" i="156"/>
  <c r="AQ46" i="156"/>
  <c r="AN46" i="156"/>
  <c r="AS46" i="156" s="1"/>
  <c r="AK46" i="156"/>
  <c r="AQ45" i="156"/>
  <c r="AN45" i="156"/>
  <c r="AS45" i="156" s="1"/>
  <c r="AK45" i="156"/>
  <c r="AQ44" i="156"/>
  <c r="AN44" i="156"/>
  <c r="AS44" i="156" s="1"/>
  <c r="AK44" i="156"/>
  <c r="AQ43" i="156"/>
  <c r="AN43" i="156"/>
  <c r="AS43" i="156" s="1"/>
  <c r="AK43" i="156"/>
  <c r="AQ42" i="156"/>
  <c r="AN42" i="156"/>
  <c r="AS42" i="156" s="1"/>
  <c r="AK42" i="156"/>
  <c r="AQ41" i="156"/>
  <c r="AN41" i="156"/>
  <c r="AS41" i="156" s="1"/>
  <c r="AK41" i="156"/>
  <c r="AP36" i="156"/>
  <c r="AL32" i="156"/>
  <c r="AX31" i="156"/>
  <c r="AT31" i="156"/>
  <c r="AS31" i="156"/>
  <c r="AK31" i="156"/>
  <c r="AJ31" i="156"/>
  <c r="AX30" i="156"/>
  <c r="AO30" i="156"/>
  <c r="AQ29" i="156"/>
  <c r="AX29" i="156" s="1"/>
  <c r="AX28" i="156" a="1"/>
  <c r="AQ28" i="156"/>
  <c r="AO28" i="156" a="1"/>
  <c r="AO29" i="156" s="1"/>
  <c r="AX27" i="156"/>
  <c r="AQ27" i="156"/>
  <c r="AO27" i="156"/>
  <c r="W27" i="156"/>
  <c r="X27" i="156" s="1"/>
  <c r="AX26" i="156"/>
  <c r="AW26" i="156"/>
  <c r="AV26" i="156"/>
  <c r="AU26" i="156"/>
  <c r="AQ26" i="156"/>
  <c r="AO26" i="156"/>
  <c r="AN26" i="156"/>
  <c r="AM26" i="156"/>
  <c r="AL26" i="156"/>
  <c r="W26" i="156"/>
  <c r="X26" i="156" s="1"/>
  <c r="AX25" i="156"/>
  <c r="AW25" i="156"/>
  <c r="AV25" i="156"/>
  <c r="AU25" i="156"/>
  <c r="AQ25" i="156"/>
  <c r="AO25" i="156"/>
  <c r="AN25" i="156"/>
  <c r="AM25" i="156"/>
  <c r="AL25" i="156"/>
  <c r="W25" i="156"/>
  <c r="X25" i="156" s="1"/>
  <c r="AQ24" i="156"/>
  <c r="W24" i="156"/>
  <c r="X24" i="156" s="1"/>
  <c r="AW23" i="156"/>
  <c r="AV23" i="156"/>
  <c r="AU23" i="156"/>
  <c r="AQ23" i="156"/>
  <c r="AO23" i="156"/>
  <c r="AN23" i="156"/>
  <c r="G8" i="156" s="1"/>
  <c r="AM23" i="156"/>
  <c r="AL23" i="156"/>
  <c r="X23" i="156"/>
  <c r="W23" i="156"/>
  <c r="AW22" i="156"/>
  <c r="AV22" i="156"/>
  <c r="AU22" i="156"/>
  <c r="AQ22" i="156"/>
  <c r="AN22" i="156"/>
  <c r="AM22" i="156"/>
  <c r="AL22" i="156"/>
  <c r="X22" i="156"/>
  <c r="W22" i="156"/>
  <c r="AQ21" i="156"/>
  <c r="X21" i="156"/>
  <c r="W21" i="156"/>
  <c r="AD17" i="156"/>
  <c r="AD16" i="156"/>
  <c r="X16" i="156"/>
  <c r="AB15" i="156"/>
  <c r="C15" i="156"/>
  <c r="X14" i="156"/>
  <c r="P14" i="156"/>
  <c r="N14" i="156"/>
  <c r="K14" i="156"/>
  <c r="H14" i="156"/>
  <c r="F14" i="156"/>
  <c r="C14" i="156"/>
  <c r="AF8" i="156"/>
  <c r="AF9" i="156" s="1"/>
  <c r="I8" i="156"/>
  <c r="AP7" i="156"/>
  <c r="AO7" i="156"/>
  <c r="AN7" i="156"/>
  <c r="AM7" i="156"/>
  <c r="AL7" i="156"/>
  <c r="AK7" i="156"/>
  <c r="AJ7" i="156"/>
  <c r="AI7" i="156"/>
  <c r="AK48" i="155"/>
  <c r="AK47" i="155"/>
  <c r="AQ46" i="155"/>
  <c r="AN46" i="155"/>
  <c r="AS46" i="155" s="1"/>
  <c r="AK46" i="155"/>
  <c r="AS45" i="155"/>
  <c r="AQ45" i="155"/>
  <c r="AN45" i="155"/>
  <c r="AK45" i="155"/>
  <c r="AS44" i="155"/>
  <c r="AQ44" i="155"/>
  <c r="AN44" i="155"/>
  <c r="AK44" i="155"/>
  <c r="AQ43" i="155"/>
  <c r="AN43" i="155"/>
  <c r="AS43" i="155" s="1"/>
  <c r="AK43" i="155"/>
  <c r="AQ42" i="155"/>
  <c r="AN42" i="155"/>
  <c r="AS42" i="155" s="1"/>
  <c r="AK42" i="155"/>
  <c r="AS41" i="155"/>
  <c r="AQ41" i="155"/>
  <c r="AN41" i="155"/>
  <c r="AK41" i="155"/>
  <c r="AP36" i="155"/>
  <c r="AL32" i="155"/>
  <c r="AX31" i="155"/>
  <c r="AS31" i="155"/>
  <c r="AT31" i="155" s="1"/>
  <c r="AO31" i="155"/>
  <c r="AJ31" i="155"/>
  <c r="AK31" i="155" s="1"/>
  <c r="AX30" i="155"/>
  <c r="AO30" i="155"/>
  <c r="AQ29" i="155"/>
  <c r="AX28" i="155" a="1"/>
  <c r="AX29" i="155" s="1"/>
  <c r="AQ28" i="155"/>
  <c r="AO28" i="155" a="1"/>
  <c r="AO29" i="155" s="1"/>
  <c r="AX27" i="155"/>
  <c r="AQ27" i="155"/>
  <c r="AO27" i="155"/>
  <c r="W27" i="155"/>
  <c r="X27" i="155" s="1"/>
  <c r="AX26" i="155"/>
  <c r="AW26" i="155"/>
  <c r="AV26" i="155"/>
  <c r="AU26" i="155"/>
  <c r="AQ26" i="155"/>
  <c r="AO26" i="155"/>
  <c r="AN26" i="155"/>
  <c r="AM26" i="155"/>
  <c r="AL26" i="155"/>
  <c r="I8" i="155" s="1"/>
  <c r="W26" i="155"/>
  <c r="X26" i="155" s="1"/>
  <c r="AX25" i="155"/>
  <c r="AW25" i="155"/>
  <c r="AV25" i="155"/>
  <c r="AU25" i="155"/>
  <c r="AQ25" i="155"/>
  <c r="AO25" i="155"/>
  <c r="AN25" i="155"/>
  <c r="AM25" i="155"/>
  <c r="AL25" i="155"/>
  <c r="W25" i="155"/>
  <c r="X25" i="155" s="1"/>
  <c r="AQ24" i="155"/>
  <c r="X24" i="155"/>
  <c r="W24" i="155"/>
  <c r="AW23" i="155"/>
  <c r="AV23" i="155"/>
  <c r="AU23" i="155"/>
  <c r="AQ23" i="155"/>
  <c r="AO23" i="155"/>
  <c r="AN23" i="155"/>
  <c r="AM23" i="155"/>
  <c r="AL23" i="155"/>
  <c r="W23" i="155"/>
  <c r="X23" i="155" s="1"/>
  <c r="AW22" i="155"/>
  <c r="AV22" i="155"/>
  <c r="AU22" i="155"/>
  <c r="AQ22" i="155"/>
  <c r="AN22" i="155"/>
  <c r="AM22" i="155"/>
  <c r="AL22" i="155"/>
  <c r="X22" i="155"/>
  <c r="W22" i="155"/>
  <c r="AQ21" i="155"/>
  <c r="W21" i="155"/>
  <c r="X21" i="155" s="1"/>
  <c r="AD16" i="155"/>
  <c r="AD17" i="155" s="1"/>
  <c r="X16" i="155"/>
  <c r="AB15" i="155"/>
  <c r="C15" i="155"/>
  <c r="C16" i="155" s="1"/>
  <c r="C17" i="155" s="1"/>
  <c r="X14" i="155"/>
  <c r="P14" i="155"/>
  <c r="N14" i="155"/>
  <c r="K14" i="155"/>
  <c r="H14" i="155"/>
  <c r="F14" i="155"/>
  <c r="C14" i="155"/>
  <c r="AF8" i="155"/>
  <c r="AF9" i="155" s="1"/>
  <c r="G8" i="155"/>
  <c r="AP7" i="155"/>
  <c r="AO7" i="155"/>
  <c r="AN7" i="155"/>
  <c r="AM7" i="155"/>
  <c r="AL7" i="155"/>
  <c r="AK7" i="155"/>
  <c r="AJ7" i="155"/>
  <c r="AI7" i="155"/>
  <c r="AK48" i="154"/>
  <c r="AK47" i="154"/>
  <c r="AS46" i="154"/>
  <c r="AQ46" i="154"/>
  <c r="AN46" i="154"/>
  <c r="AK46" i="154"/>
  <c r="AS45" i="154"/>
  <c r="AQ45" i="154"/>
  <c r="AN45" i="154"/>
  <c r="AK45" i="154"/>
  <c r="AQ44" i="154"/>
  <c r="AN44" i="154"/>
  <c r="AS44" i="154" s="1"/>
  <c r="AK44" i="154"/>
  <c r="AQ43" i="154"/>
  <c r="AN43" i="154"/>
  <c r="AS43" i="154" s="1"/>
  <c r="AK43" i="154"/>
  <c r="AQ42" i="154"/>
  <c r="AN42" i="154"/>
  <c r="AS42" i="154" s="1"/>
  <c r="AK42" i="154"/>
  <c r="AS41" i="154"/>
  <c r="AQ41" i="154"/>
  <c r="AN41" i="154"/>
  <c r="AK41" i="154"/>
  <c r="AL32" i="154"/>
  <c r="AX31" i="154"/>
  <c r="AS31" i="154"/>
  <c r="AT31" i="154" s="1"/>
  <c r="AO31" i="154"/>
  <c r="AJ31" i="154"/>
  <c r="AK31" i="154" s="1"/>
  <c r="AX30" i="154"/>
  <c r="AO30" i="154"/>
  <c r="AQ29" i="154"/>
  <c r="AX28" i="154" a="1"/>
  <c r="AX29" i="154" s="1"/>
  <c r="AQ28" i="154"/>
  <c r="AO28" i="154" a="1"/>
  <c r="AO29" i="154" s="1"/>
  <c r="AX27" i="154"/>
  <c r="AQ27" i="154"/>
  <c r="AO27" i="154"/>
  <c r="Y27" i="154"/>
  <c r="X27" i="154"/>
  <c r="W27" i="154"/>
  <c r="AX26" i="154"/>
  <c r="AW26" i="154"/>
  <c r="AV26" i="154"/>
  <c r="AU26" i="154"/>
  <c r="AQ26" i="154"/>
  <c r="AO26" i="154"/>
  <c r="AN26" i="154"/>
  <c r="AM26" i="154"/>
  <c r="AL26" i="154"/>
  <c r="I8" i="154" s="1"/>
  <c r="Y26" i="154"/>
  <c r="X26" i="154"/>
  <c r="W26" i="154"/>
  <c r="AX25" i="154"/>
  <c r="AW25" i="154"/>
  <c r="AV25" i="154"/>
  <c r="AU25" i="154"/>
  <c r="AQ25" i="154"/>
  <c r="AO25" i="154"/>
  <c r="AN25" i="154"/>
  <c r="AM25" i="154"/>
  <c r="AL25" i="154"/>
  <c r="Y25" i="154"/>
  <c r="X25" i="154"/>
  <c r="W25" i="154"/>
  <c r="AQ24" i="154"/>
  <c r="X24" i="154"/>
  <c r="Y24" i="154" s="1"/>
  <c r="W24" i="154"/>
  <c r="AW23" i="154"/>
  <c r="AV23" i="154"/>
  <c r="AU23" i="154"/>
  <c r="AQ23" i="154"/>
  <c r="AO23" i="154"/>
  <c r="AN23" i="154"/>
  <c r="G8" i="154" s="1"/>
  <c r="AM23" i="154"/>
  <c r="AL23" i="154"/>
  <c r="W23" i="154"/>
  <c r="X23" i="154" s="1"/>
  <c r="Y23" i="154" s="1"/>
  <c r="AW22" i="154"/>
  <c r="AV22" i="154"/>
  <c r="AU22" i="154"/>
  <c r="AQ22" i="154"/>
  <c r="AN22" i="154"/>
  <c r="AM22" i="154"/>
  <c r="AL22" i="154"/>
  <c r="X22" i="154"/>
  <c r="W22" i="154"/>
  <c r="AQ21" i="154"/>
  <c r="W21" i="154"/>
  <c r="X21" i="154" s="1"/>
  <c r="Y21" i="154" s="1"/>
  <c r="AD17" i="154"/>
  <c r="AD16" i="154"/>
  <c r="X16" i="154"/>
  <c r="F16" i="154"/>
  <c r="F17" i="154" s="1"/>
  <c r="AB15" i="154"/>
  <c r="Z15" i="154"/>
  <c r="Z16" i="154" s="1"/>
  <c r="Z17" i="154" s="1"/>
  <c r="C15" i="154"/>
  <c r="X14" i="154"/>
  <c r="P14" i="154"/>
  <c r="N14" i="154"/>
  <c r="K14" i="154"/>
  <c r="H14" i="154"/>
  <c r="F14" i="154"/>
  <c r="C14" i="154"/>
  <c r="AJ9" i="154"/>
  <c r="AI9" i="154"/>
  <c r="AF8" i="154"/>
  <c r="AF9" i="154" s="1"/>
  <c r="D8" i="154"/>
  <c r="AP7" i="154"/>
  <c r="AO7" i="154"/>
  <c r="AN7" i="154"/>
  <c r="AM7" i="154"/>
  <c r="AL7" i="154"/>
  <c r="AK7" i="154"/>
  <c r="AJ7" i="154"/>
  <c r="AI7" i="154"/>
  <c r="AO31" i="148"/>
  <c r="AK48" i="153"/>
  <c r="AK47" i="153"/>
  <c r="AS46" i="153"/>
  <c r="AQ46" i="153"/>
  <c r="AN46" i="153"/>
  <c r="AK46" i="153"/>
  <c r="AQ45" i="153"/>
  <c r="AN45" i="153"/>
  <c r="AS45" i="153" s="1"/>
  <c r="AK45" i="153"/>
  <c r="AS44" i="153"/>
  <c r="AQ44" i="153"/>
  <c r="AN44" i="153"/>
  <c r="AK44" i="153"/>
  <c r="AQ43" i="153"/>
  <c r="AN43" i="153"/>
  <c r="AS43" i="153" s="1"/>
  <c r="AK43" i="153"/>
  <c r="AS42" i="153"/>
  <c r="AQ42" i="153"/>
  <c r="AN42" i="153"/>
  <c r="AK42" i="153"/>
  <c r="AQ41" i="153"/>
  <c r="AN41" i="153"/>
  <c r="AS41" i="153" s="1"/>
  <c r="AK41" i="153"/>
  <c r="AL32" i="153"/>
  <c r="AX31" i="153"/>
  <c r="AT31" i="153"/>
  <c r="AS31" i="153"/>
  <c r="AO31" i="153"/>
  <c r="AK31" i="153"/>
  <c r="AJ31" i="153"/>
  <c r="AX30" i="153"/>
  <c r="AO30" i="153"/>
  <c r="AQ29" i="153"/>
  <c r="AX28" i="153" a="1"/>
  <c r="AX29" i="153" s="1"/>
  <c r="AQ28" i="153"/>
  <c r="AO28" i="153" a="1"/>
  <c r="AO29" i="153" s="1"/>
  <c r="AX27" i="153"/>
  <c r="AQ27" i="153"/>
  <c r="AO27" i="153"/>
  <c r="W27" i="153"/>
  <c r="X27" i="153" s="1"/>
  <c r="Y27" i="153" s="1"/>
  <c r="AX26" i="153"/>
  <c r="AW26" i="153"/>
  <c r="AV26" i="153"/>
  <c r="AU26" i="153"/>
  <c r="AQ26" i="153"/>
  <c r="AO26" i="153"/>
  <c r="AN26" i="153"/>
  <c r="AM26" i="153"/>
  <c r="AL26" i="153"/>
  <c r="W26" i="153"/>
  <c r="X26" i="153" s="1"/>
  <c r="Y26" i="153" s="1"/>
  <c r="AX25" i="153"/>
  <c r="AW25" i="153"/>
  <c r="AV25" i="153"/>
  <c r="AU25" i="153"/>
  <c r="AQ25" i="153"/>
  <c r="AO25" i="153"/>
  <c r="AN25" i="153"/>
  <c r="AM25" i="153"/>
  <c r="AL25" i="153"/>
  <c r="W25" i="153"/>
  <c r="X25" i="153" s="1"/>
  <c r="Y25" i="153" s="1"/>
  <c r="AQ24" i="153"/>
  <c r="W24" i="153"/>
  <c r="X24" i="153" s="1"/>
  <c r="Y24" i="153" s="1"/>
  <c r="AW23" i="153"/>
  <c r="AV23" i="153"/>
  <c r="AU23" i="153"/>
  <c r="AQ23" i="153"/>
  <c r="AO23" i="153"/>
  <c r="AN23" i="153"/>
  <c r="G8" i="153" s="1"/>
  <c r="AM23" i="153"/>
  <c r="AL23" i="153"/>
  <c r="W23" i="153"/>
  <c r="X23" i="153" s="1"/>
  <c r="Y23" i="153" s="1"/>
  <c r="AW22" i="153"/>
  <c r="AV22" i="153"/>
  <c r="AU22" i="153"/>
  <c r="AQ22" i="153"/>
  <c r="AN22" i="153"/>
  <c r="AM22" i="153"/>
  <c r="AL22" i="153"/>
  <c r="W22" i="153"/>
  <c r="X22" i="153" s="1"/>
  <c r="Y22" i="153" s="1"/>
  <c r="AQ21" i="153"/>
  <c r="W21" i="153"/>
  <c r="X21" i="153" s="1"/>
  <c r="Y21" i="153" s="1"/>
  <c r="AD17" i="153"/>
  <c r="C17" i="153"/>
  <c r="AD16" i="153"/>
  <c r="X16" i="153"/>
  <c r="F16" i="153"/>
  <c r="F17" i="153" s="1"/>
  <c r="C16" i="153"/>
  <c r="AB15" i="153"/>
  <c r="Y15" i="153"/>
  <c r="Y16" i="153" s="1"/>
  <c r="Y17" i="153" s="1"/>
  <c r="F15" i="153"/>
  <c r="Z15" i="153" s="1"/>
  <c r="Z16" i="153" s="1"/>
  <c r="Z17" i="153" s="1"/>
  <c r="C15" i="153"/>
  <c r="X14" i="153"/>
  <c r="P14" i="153"/>
  <c r="N14" i="153"/>
  <c r="K14" i="153"/>
  <c r="H14" i="153"/>
  <c r="F14" i="153"/>
  <c r="C14" i="153"/>
  <c r="AI9" i="153"/>
  <c r="AF8" i="153"/>
  <c r="AF9" i="153" s="1"/>
  <c r="I8" i="153"/>
  <c r="D8" i="153"/>
  <c r="AP7" i="153"/>
  <c r="AO7" i="153"/>
  <c r="AN7" i="153"/>
  <c r="AM7" i="153"/>
  <c r="AL7" i="153"/>
  <c r="AK7" i="153"/>
  <c r="AJ7" i="153"/>
  <c r="AI7" i="153"/>
  <c r="AO27" i="105"/>
  <c r="P15" i="157" l="1"/>
  <c r="AN9" i="157" s="1"/>
  <c r="Y21" i="157"/>
  <c r="Y26" i="157"/>
  <c r="Y25" i="157"/>
  <c r="Y22" i="157"/>
  <c r="Y27" i="157"/>
  <c r="Y23" i="157"/>
  <c r="R15" i="157"/>
  <c r="V15" i="157"/>
  <c r="F15" i="157"/>
  <c r="C16" i="157"/>
  <c r="C17" i="157" s="1"/>
  <c r="P15" i="156"/>
  <c r="V15" i="156"/>
  <c r="R15" i="156"/>
  <c r="AI9" i="156"/>
  <c r="Y15" i="156"/>
  <c r="Y16" i="156" s="1"/>
  <c r="Y17" i="156" s="1"/>
  <c r="F15" i="156"/>
  <c r="C16" i="156"/>
  <c r="C17" i="156" s="1"/>
  <c r="Y22" i="155"/>
  <c r="P15" i="155"/>
  <c r="V15" i="155"/>
  <c r="R15" i="155"/>
  <c r="Y23" i="155"/>
  <c r="Y21" i="155"/>
  <c r="Y24" i="155"/>
  <c r="Y26" i="155"/>
  <c r="AI9" i="155"/>
  <c r="Y15" i="155"/>
  <c r="Y16" i="155" s="1"/>
  <c r="Y17" i="155" s="1"/>
  <c r="F15" i="155"/>
  <c r="R15" i="154"/>
  <c r="V15" i="154"/>
  <c r="P15" i="154"/>
  <c r="Y15" i="154"/>
  <c r="Y16" i="154" s="1"/>
  <c r="Y17" i="154" s="1"/>
  <c r="C16" i="154"/>
  <c r="C17" i="154" s="1"/>
  <c r="Y22" i="154"/>
  <c r="R15" i="153"/>
  <c r="P15" i="153"/>
  <c r="V15" i="153"/>
  <c r="AJ9" i="153"/>
  <c r="AK48" i="152"/>
  <c r="AK47" i="152"/>
  <c r="AQ46" i="152"/>
  <c r="AN46" i="152"/>
  <c r="AS46" i="152" s="1"/>
  <c r="AK46" i="152"/>
  <c r="AS45" i="152"/>
  <c r="AQ45" i="152"/>
  <c r="AN45" i="152"/>
  <c r="AK45" i="152"/>
  <c r="AS44" i="152"/>
  <c r="AQ44" i="152"/>
  <c r="AN44" i="152"/>
  <c r="AK44" i="152"/>
  <c r="AS43" i="152"/>
  <c r="AQ43" i="152"/>
  <c r="AN43" i="152"/>
  <c r="AK43" i="152"/>
  <c r="AQ42" i="152"/>
  <c r="AN42" i="152"/>
  <c r="AS42" i="152" s="1"/>
  <c r="AK42" i="152"/>
  <c r="AS41" i="152"/>
  <c r="AQ41" i="152"/>
  <c r="AN41" i="152"/>
  <c r="AK41" i="152"/>
  <c r="AL32" i="152"/>
  <c r="AX31" i="152"/>
  <c r="AS31" i="152"/>
  <c r="AT31" i="152" s="1"/>
  <c r="AO31" i="152"/>
  <c r="AK31" i="152"/>
  <c r="AJ31" i="152"/>
  <c r="AX30" i="152"/>
  <c r="AO30" i="152"/>
  <c r="AQ29" i="152"/>
  <c r="AX28" i="152" a="1"/>
  <c r="AX29" i="152" s="1"/>
  <c r="AQ28" i="152"/>
  <c r="AO28" i="152" a="1"/>
  <c r="AO29" i="152" s="1"/>
  <c r="AX27" i="152"/>
  <c r="AQ27" i="152"/>
  <c r="AO27" i="152"/>
  <c r="X27" i="152"/>
  <c r="Y27" i="152" s="1"/>
  <c r="W27" i="152"/>
  <c r="AX26" i="152"/>
  <c r="AW26" i="152"/>
  <c r="AV26" i="152"/>
  <c r="AU26" i="152"/>
  <c r="AQ26" i="152"/>
  <c r="AO26" i="152"/>
  <c r="AN26" i="152"/>
  <c r="AM26" i="152"/>
  <c r="AL26" i="152"/>
  <c r="X26" i="152"/>
  <c r="Y26" i="152" s="1"/>
  <c r="W26" i="152"/>
  <c r="AX25" i="152"/>
  <c r="AW25" i="152"/>
  <c r="AV25" i="152"/>
  <c r="AU25" i="152"/>
  <c r="AQ25" i="152"/>
  <c r="AO25" i="152"/>
  <c r="AN25" i="152"/>
  <c r="AM25" i="152"/>
  <c r="AL25" i="152"/>
  <c r="X25" i="152"/>
  <c r="Y25" i="152" s="1"/>
  <c r="W25" i="152"/>
  <c r="AQ24" i="152"/>
  <c r="X24" i="152"/>
  <c r="Y24" i="152" s="1"/>
  <c r="W24" i="152"/>
  <c r="AW23" i="152"/>
  <c r="AV23" i="152"/>
  <c r="AU23" i="152"/>
  <c r="AQ23" i="152"/>
  <c r="AO23" i="152"/>
  <c r="AN23" i="152"/>
  <c r="G8" i="152" s="1"/>
  <c r="AM23" i="152"/>
  <c r="AL23" i="152"/>
  <c r="W23" i="152"/>
  <c r="X23" i="152" s="1"/>
  <c r="Y23" i="152" s="1"/>
  <c r="AW22" i="152"/>
  <c r="AV22" i="152"/>
  <c r="AU22" i="152"/>
  <c r="AQ22" i="152"/>
  <c r="AN22" i="152"/>
  <c r="AM22" i="152"/>
  <c r="AL22" i="152"/>
  <c r="W22" i="152"/>
  <c r="X22" i="152" s="1"/>
  <c r="Y22" i="152" s="1"/>
  <c r="AQ21" i="152"/>
  <c r="W21" i="152"/>
  <c r="X21" i="152" s="1"/>
  <c r="Y21" i="152" s="1"/>
  <c r="AD16" i="152"/>
  <c r="AD17" i="152" s="1"/>
  <c r="Y16" i="152"/>
  <c r="Y17" i="152" s="1"/>
  <c r="X16" i="152"/>
  <c r="C16" i="152"/>
  <c r="C17" i="152" s="1"/>
  <c r="AB15" i="152"/>
  <c r="Z15" i="152"/>
  <c r="Z16" i="152" s="1"/>
  <c r="Z17" i="152" s="1"/>
  <c r="Y15" i="152"/>
  <c r="F15" i="152"/>
  <c r="C15" i="152"/>
  <c r="X14" i="152"/>
  <c r="P14" i="152"/>
  <c r="N14" i="152"/>
  <c r="K14" i="152"/>
  <c r="H14" i="152"/>
  <c r="F14" i="152"/>
  <c r="C14" i="152"/>
  <c r="AJ9" i="152"/>
  <c r="AI9" i="152"/>
  <c r="AF8" i="152"/>
  <c r="AF9" i="152" s="1"/>
  <c r="I8" i="152"/>
  <c r="D8" i="152"/>
  <c r="AP7" i="152"/>
  <c r="AO7" i="152"/>
  <c r="AN7" i="152"/>
  <c r="AM7" i="152"/>
  <c r="AL7" i="152"/>
  <c r="AK7" i="152"/>
  <c r="AJ7" i="152"/>
  <c r="AI7" i="152"/>
  <c r="AK48" i="151"/>
  <c r="AK47" i="151"/>
  <c r="AS46" i="151"/>
  <c r="AQ46" i="151"/>
  <c r="AN46" i="151"/>
  <c r="AK46" i="151"/>
  <c r="AQ45" i="151"/>
  <c r="AN45" i="151"/>
  <c r="AS45" i="151" s="1"/>
  <c r="AK45" i="151"/>
  <c r="AS44" i="151"/>
  <c r="AQ44" i="151"/>
  <c r="AN44" i="151"/>
  <c r="AK44" i="151"/>
  <c r="AQ43" i="151"/>
  <c r="AN43" i="151"/>
  <c r="AS43" i="151" s="1"/>
  <c r="AK43" i="151"/>
  <c r="AS42" i="151"/>
  <c r="AQ42" i="151"/>
  <c r="AN42" i="151"/>
  <c r="AK42" i="151"/>
  <c r="AQ41" i="151"/>
  <c r="AN41" i="151"/>
  <c r="AS41" i="151" s="1"/>
  <c r="AK41" i="151"/>
  <c r="AL32" i="151"/>
  <c r="AX31" i="151"/>
  <c r="AS31" i="151"/>
  <c r="AT31" i="151" s="1"/>
  <c r="AO31" i="151"/>
  <c r="AK31" i="151"/>
  <c r="AJ31" i="151"/>
  <c r="AX30" i="151"/>
  <c r="AO30" i="151"/>
  <c r="AQ29" i="151"/>
  <c r="AX29" i="151" s="1"/>
  <c r="AX28" i="151" a="1"/>
  <c r="AQ28" i="151"/>
  <c r="AO28" i="151" a="1"/>
  <c r="AO29" i="151" s="1"/>
  <c r="AX27" i="151"/>
  <c r="AQ27" i="151"/>
  <c r="AO27" i="151"/>
  <c r="X27" i="151"/>
  <c r="Y27" i="151" s="1"/>
  <c r="W27" i="151"/>
  <c r="AX26" i="151"/>
  <c r="AW26" i="151"/>
  <c r="AV26" i="151"/>
  <c r="AU26" i="151"/>
  <c r="AQ26" i="151"/>
  <c r="AO26" i="151"/>
  <c r="AN26" i="151"/>
  <c r="AM26" i="151"/>
  <c r="AL26" i="151"/>
  <c r="I8" i="151" s="1"/>
  <c r="X26" i="151"/>
  <c r="Y26" i="151" s="1"/>
  <c r="W26" i="151"/>
  <c r="AX25" i="151"/>
  <c r="AW25" i="151"/>
  <c r="AV25" i="151"/>
  <c r="AU25" i="151"/>
  <c r="AQ25" i="151"/>
  <c r="AO25" i="151"/>
  <c r="AN25" i="151"/>
  <c r="AM25" i="151"/>
  <c r="AL25" i="151"/>
  <c r="X25" i="151"/>
  <c r="Y25" i="151" s="1"/>
  <c r="W25" i="151"/>
  <c r="AQ24" i="151"/>
  <c r="X24" i="151"/>
  <c r="Y24" i="151" s="1"/>
  <c r="W24" i="151"/>
  <c r="AW23" i="151"/>
  <c r="AV23" i="151"/>
  <c r="AU23" i="151"/>
  <c r="AQ23" i="151"/>
  <c r="AO23" i="151"/>
  <c r="AN23" i="151"/>
  <c r="G8" i="151" s="1"/>
  <c r="AM23" i="151"/>
  <c r="AL23" i="151"/>
  <c r="W23" i="151"/>
  <c r="X23" i="151" s="1"/>
  <c r="Y23" i="151" s="1"/>
  <c r="AW22" i="151"/>
  <c r="AV22" i="151"/>
  <c r="AU22" i="151"/>
  <c r="AQ22" i="151"/>
  <c r="AN22" i="151"/>
  <c r="AM22" i="151"/>
  <c r="AL22" i="151"/>
  <c r="W22" i="151"/>
  <c r="X22" i="151" s="1"/>
  <c r="Y22" i="151" s="1"/>
  <c r="AQ21" i="151"/>
  <c r="W21" i="151"/>
  <c r="X21" i="151" s="1"/>
  <c r="Y21" i="151" s="1"/>
  <c r="AD16" i="151"/>
  <c r="AD17" i="151" s="1"/>
  <c r="Y16" i="151"/>
  <c r="Y17" i="151" s="1"/>
  <c r="X16" i="151"/>
  <c r="C16" i="151"/>
  <c r="C17" i="151" s="1"/>
  <c r="AB15" i="151"/>
  <c r="Z15" i="151"/>
  <c r="Z16" i="151" s="1"/>
  <c r="Z17" i="151" s="1"/>
  <c r="Y15" i="151"/>
  <c r="F15" i="151"/>
  <c r="C15" i="151"/>
  <c r="X14" i="151"/>
  <c r="P14" i="151"/>
  <c r="N14" i="151"/>
  <c r="K14" i="151"/>
  <c r="H14" i="151"/>
  <c r="F14" i="151"/>
  <c r="C14" i="151"/>
  <c r="AJ9" i="151"/>
  <c r="AI9" i="151"/>
  <c r="AF8" i="151"/>
  <c r="AF9" i="151" s="1"/>
  <c r="D8" i="151"/>
  <c r="AP7" i="151"/>
  <c r="AO7" i="151"/>
  <c r="AN7" i="151"/>
  <c r="AM7" i="151"/>
  <c r="AL7" i="151"/>
  <c r="AK7" i="151"/>
  <c r="AJ7" i="151"/>
  <c r="AI7" i="151"/>
  <c r="AK48" i="150"/>
  <c r="AK47" i="150"/>
  <c r="AQ46" i="150"/>
  <c r="AN46" i="150"/>
  <c r="AS46" i="150" s="1"/>
  <c r="AK46" i="150"/>
  <c r="AQ45" i="150"/>
  <c r="AN45" i="150"/>
  <c r="AS45" i="150" s="1"/>
  <c r="AK45" i="150"/>
  <c r="AS44" i="150"/>
  <c r="AQ44" i="150"/>
  <c r="AN44" i="150"/>
  <c r="AK44" i="150"/>
  <c r="AQ43" i="150"/>
  <c r="AN43" i="150"/>
  <c r="AS43" i="150" s="1"/>
  <c r="AK43" i="150"/>
  <c r="AQ42" i="150"/>
  <c r="AN42" i="150"/>
  <c r="AS42" i="150" s="1"/>
  <c r="AK42" i="150"/>
  <c r="AQ41" i="150"/>
  <c r="AN41" i="150"/>
  <c r="AS41" i="150" s="1"/>
  <c r="AK41" i="150"/>
  <c r="AP36" i="150"/>
  <c r="AL32" i="150"/>
  <c r="AX31" i="150"/>
  <c r="AT31" i="150"/>
  <c r="AS31" i="150"/>
  <c r="AO31" i="150"/>
  <c r="AK31" i="150"/>
  <c r="AJ31" i="150"/>
  <c r="AX30" i="150"/>
  <c r="AO30" i="150"/>
  <c r="AQ29" i="150"/>
  <c r="AX28" i="150" a="1"/>
  <c r="AX29" i="150" s="1"/>
  <c r="AQ28" i="150"/>
  <c r="AO28" i="150" a="1"/>
  <c r="AO29" i="150" s="1"/>
  <c r="AX27" i="150"/>
  <c r="AQ27" i="150"/>
  <c r="AO27" i="150"/>
  <c r="W27" i="150"/>
  <c r="X27" i="150" s="1"/>
  <c r="AX26" i="150"/>
  <c r="AW26" i="150"/>
  <c r="AV26" i="150"/>
  <c r="AU26" i="150"/>
  <c r="AQ26" i="150"/>
  <c r="AO26" i="150"/>
  <c r="AN26" i="150"/>
  <c r="AM26" i="150"/>
  <c r="AL26" i="150"/>
  <c r="I8" i="150" s="1"/>
  <c r="W26" i="150"/>
  <c r="X26" i="150" s="1"/>
  <c r="AX25" i="150"/>
  <c r="AW25" i="150"/>
  <c r="AV25" i="150"/>
  <c r="AU25" i="150"/>
  <c r="AQ25" i="150"/>
  <c r="AO25" i="150"/>
  <c r="AN25" i="150"/>
  <c r="AM25" i="150"/>
  <c r="AL25" i="150"/>
  <c r="W25" i="150"/>
  <c r="X25" i="150" s="1"/>
  <c r="AQ24" i="150"/>
  <c r="W24" i="150"/>
  <c r="X24" i="150" s="1"/>
  <c r="AW23" i="150"/>
  <c r="AV23" i="150"/>
  <c r="AU23" i="150"/>
  <c r="AQ23" i="150"/>
  <c r="AO23" i="150"/>
  <c r="AN23" i="150"/>
  <c r="G8" i="150" s="1"/>
  <c r="AM23" i="150"/>
  <c r="AL23" i="150"/>
  <c r="W23" i="150"/>
  <c r="X23" i="150" s="1"/>
  <c r="AW22" i="150"/>
  <c r="AV22" i="150"/>
  <c r="AU22" i="150"/>
  <c r="AQ22" i="150"/>
  <c r="AN22" i="150"/>
  <c r="AM22" i="150"/>
  <c r="AL22" i="150"/>
  <c r="W22" i="150"/>
  <c r="X22" i="150" s="1"/>
  <c r="AQ21" i="150"/>
  <c r="X21" i="150"/>
  <c r="W21" i="150"/>
  <c r="AD17" i="150"/>
  <c r="AD16" i="150"/>
  <c r="X16" i="150"/>
  <c r="AB15" i="150"/>
  <c r="C15" i="150"/>
  <c r="X14" i="150"/>
  <c r="P14" i="150"/>
  <c r="N14" i="150"/>
  <c r="H14" i="150"/>
  <c r="F14" i="150"/>
  <c r="C14" i="150"/>
  <c r="AF9" i="150"/>
  <c r="R15" i="150" s="1"/>
  <c r="AO9" i="150" s="1"/>
  <c r="AF8" i="150"/>
  <c r="AP7" i="150"/>
  <c r="AO7" i="150"/>
  <c r="AN7" i="150"/>
  <c r="AM7" i="150"/>
  <c r="AL7" i="150"/>
  <c r="AK7" i="150"/>
  <c r="AJ7" i="150"/>
  <c r="AI7" i="150"/>
  <c r="AP36" i="149"/>
  <c r="AK48" i="149"/>
  <c r="AK47" i="149"/>
  <c r="AQ46" i="149"/>
  <c r="AN46" i="149"/>
  <c r="AS46" i="149" s="1"/>
  <c r="AK46" i="149"/>
  <c r="AQ45" i="149"/>
  <c r="AN45" i="149"/>
  <c r="AS45" i="149" s="1"/>
  <c r="AK45" i="149"/>
  <c r="AQ44" i="149"/>
  <c r="AN44" i="149"/>
  <c r="AS44" i="149" s="1"/>
  <c r="AK44" i="149"/>
  <c r="AQ43" i="149"/>
  <c r="AN43" i="149"/>
  <c r="AS43" i="149" s="1"/>
  <c r="AK43" i="149"/>
  <c r="AQ42" i="149"/>
  <c r="AN42" i="149"/>
  <c r="AS42" i="149" s="1"/>
  <c r="AK42" i="149"/>
  <c r="AQ41" i="149"/>
  <c r="AN41" i="149"/>
  <c r="AS41" i="149" s="1"/>
  <c r="AK41" i="149"/>
  <c r="AL32" i="149"/>
  <c r="AX31" i="149"/>
  <c r="AS31" i="149"/>
  <c r="AT31" i="149" s="1"/>
  <c r="AO31" i="149"/>
  <c r="AJ31" i="149"/>
  <c r="AK31" i="149" s="1"/>
  <c r="AX30" i="149"/>
  <c r="AO30" i="149"/>
  <c r="AX28" i="149" a="1"/>
  <c r="AX29" i="149" s="1"/>
  <c r="AQ28" i="149"/>
  <c r="AO28" i="149" a="1"/>
  <c r="AO29" i="149" s="1"/>
  <c r="AX27" i="149"/>
  <c r="AQ27" i="149"/>
  <c r="AO27" i="149"/>
  <c r="Y27" i="149"/>
  <c r="X27" i="149"/>
  <c r="W27" i="149"/>
  <c r="AX26" i="149"/>
  <c r="AW26" i="149"/>
  <c r="AV26" i="149"/>
  <c r="AU26" i="149"/>
  <c r="AQ26" i="149"/>
  <c r="AO26" i="149"/>
  <c r="AN26" i="149"/>
  <c r="AM26" i="149"/>
  <c r="AL26" i="149"/>
  <c r="I8" i="149" s="1"/>
  <c r="Y26" i="149"/>
  <c r="X26" i="149"/>
  <c r="W26" i="149"/>
  <c r="AX25" i="149"/>
  <c r="AW25" i="149"/>
  <c r="AV25" i="149"/>
  <c r="AU25" i="149"/>
  <c r="AQ25" i="149"/>
  <c r="AO25" i="149"/>
  <c r="AN25" i="149"/>
  <c r="AM25" i="149"/>
  <c r="AL25" i="149"/>
  <c r="Y25" i="149"/>
  <c r="X25" i="149"/>
  <c r="W25" i="149"/>
  <c r="AQ24" i="149"/>
  <c r="W24" i="149"/>
  <c r="X24" i="149" s="1"/>
  <c r="Y24" i="149" s="1"/>
  <c r="AW23" i="149"/>
  <c r="AV23" i="149"/>
  <c r="AU23" i="149"/>
  <c r="AQ23" i="149"/>
  <c r="AO23" i="149"/>
  <c r="AN23" i="149"/>
  <c r="G8" i="149" s="1"/>
  <c r="AM23" i="149"/>
  <c r="AL23" i="149"/>
  <c r="W23" i="149"/>
  <c r="X23" i="149" s="1"/>
  <c r="Y23" i="149" s="1"/>
  <c r="AW22" i="149"/>
  <c r="AV22" i="149"/>
  <c r="AU22" i="149"/>
  <c r="AQ22" i="149"/>
  <c r="AN22" i="149"/>
  <c r="AM22" i="149"/>
  <c r="AL22" i="149"/>
  <c r="W22" i="149"/>
  <c r="X22" i="149" s="1"/>
  <c r="Y22" i="149" s="1"/>
  <c r="AQ21" i="149"/>
  <c r="X21" i="149"/>
  <c r="Y21" i="149" s="1"/>
  <c r="W21" i="149"/>
  <c r="AD17" i="149"/>
  <c r="C17" i="149"/>
  <c r="AD16" i="149"/>
  <c r="X16" i="149"/>
  <c r="F16" i="149"/>
  <c r="F17" i="149" s="1"/>
  <c r="C16" i="149"/>
  <c r="AB15" i="149"/>
  <c r="Z15" i="149"/>
  <c r="Z16" i="149" s="1"/>
  <c r="Z17" i="149" s="1"/>
  <c r="Y15" i="149"/>
  <c r="Y16" i="149" s="1"/>
  <c r="Y17" i="149" s="1"/>
  <c r="F15" i="149"/>
  <c r="C15" i="149"/>
  <c r="X14" i="149"/>
  <c r="P14" i="149"/>
  <c r="N14" i="149"/>
  <c r="K14" i="149"/>
  <c r="H14" i="149"/>
  <c r="F14" i="149"/>
  <c r="C14" i="149"/>
  <c r="AJ9" i="149"/>
  <c r="AI9" i="149"/>
  <c r="AF8" i="149"/>
  <c r="AF9" i="149" s="1"/>
  <c r="D8" i="149"/>
  <c r="AP7" i="149"/>
  <c r="AO7" i="149"/>
  <c r="AN7" i="149"/>
  <c r="AM7" i="149"/>
  <c r="AL7" i="149"/>
  <c r="AK7" i="149"/>
  <c r="AJ7" i="149"/>
  <c r="AI7" i="149"/>
  <c r="AO30" i="148"/>
  <c r="AK48" i="148"/>
  <c r="AK47" i="148"/>
  <c r="AQ46" i="148"/>
  <c r="AN46" i="148"/>
  <c r="AS46" i="148" s="1"/>
  <c r="AK46" i="148"/>
  <c r="AQ45" i="148"/>
  <c r="AN45" i="148"/>
  <c r="AS45" i="148" s="1"/>
  <c r="AK45" i="148"/>
  <c r="AS44" i="148"/>
  <c r="AQ44" i="148"/>
  <c r="AN44" i="148"/>
  <c r="AK44" i="148"/>
  <c r="AQ43" i="148"/>
  <c r="AN43" i="148"/>
  <c r="AS43" i="148" s="1"/>
  <c r="AK43" i="148"/>
  <c r="AQ42" i="148"/>
  <c r="AN42" i="148"/>
  <c r="AS42" i="148" s="1"/>
  <c r="AK42" i="148"/>
  <c r="AQ41" i="148"/>
  <c r="AN41" i="148"/>
  <c r="AS41" i="148" s="1"/>
  <c r="AK41" i="148"/>
  <c r="AL32" i="148"/>
  <c r="AX31" i="148"/>
  <c r="AS31" i="148"/>
  <c r="AT31" i="148" s="1"/>
  <c r="AK31" i="148"/>
  <c r="AJ31" i="148"/>
  <c r="AX30" i="148"/>
  <c r="AX28" i="148" a="1"/>
  <c r="AX29" i="148" s="1"/>
  <c r="AQ28" i="148"/>
  <c r="AO28" i="148" a="1"/>
  <c r="AO29" i="148" s="1"/>
  <c r="AX27" i="148"/>
  <c r="AQ27" i="148"/>
  <c r="AO27" i="148"/>
  <c r="X27" i="148"/>
  <c r="Y27" i="148" s="1"/>
  <c r="W27" i="148"/>
  <c r="AX26" i="148"/>
  <c r="AW26" i="148"/>
  <c r="AV26" i="148"/>
  <c r="AU26" i="148"/>
  <c r="AQ26" i="148"/>
  <c r="AO26" i="148"/>
  <c r="AN26" i="148"/>
  <c r="AM26" i="148"/>
  <c r="AL26" i="148"/>
  <c r="I8" i="148" s="1"/>
  <c r="X26" i="148"/>
  <c r="W26" i="148"/>
  <c r="AX25" i="148"/>
  <c r="AW25" i="148"/>
  <c r="AV25" i="148"/>
  <c r="AU25" i="148"/>
  <c r="AQ25" i="148"/>
  <c r="AO25" i="148"/>
  <c r="AN25" i="148"/>
  <c r="AM25" i="148"/>
  <c r="AL25" i="148"/>
  <c r="X25" i="148"/>
  <c r="W25" i="148"/>
  <c r="AQ24" i="148"/>
  <c r="X24" i="148"/>
  <c r="Y24" i="148" s="1"/>
  <c r="W24" i="148"/>
  <c r="AW23" i="148"/>
  <c r="AV23" i="148"/>
  <c r="AU23" i="148"/>
  <c r="AQ23" i="148"/>
  <c r="AO23" i="148"/>
  <c r="AN23" i="148"/>
  <c r="G8" i="148" s="1"/>
  <c r="AM23" i="148"/>
  <c r="AL23" i="148"/>
  <c r="W23" i="148"/>
  <c r="X23" i="148" s="1"/>
  <c r="Y23" i="148" s="1"/>
  <c r="AW22" i="148"/>
  <c r="AV22" i="148"/>
  <c r="AU22" i="148"/>
  <c r="AQ22" i="148"/>
  <c r="AN22" i="148"/>
  <c r="AM22" i="148"/>
  <c r="AL22" i="148"/>
  <c r="W22" i="148"/>
  <c r="X22" i="148" s="1"/>
  <c r="Y22" i="148" s="1"/>
  <c r="AQ21" i="148"/>
  <c r="W21" i="148"/>
  <c r="X21" i="148" s="1"/>
  <c r="AD16" i="148"/>
  <c r="AD17" i="148" s="1"/>
  <c r="X16" i="148"/>
  <c r="C16" i="148"/>
  <c r="C17" i="148" s="1"/>
  <c r="AB15" i="148"/>
  <c r="C15" i="148"/>
  <c r="X14" i="148"/>
  <c r="P14" i="148"/>
  <c r="N14" i="148"/>
  <c r="K14" i="148"/>
  <c r="H14" i="148"/>
  <c r="F14" i="148"/>
  <c r="C14" i="148"/>
  <c r="AF8" i="148"/>
  <c r="AF9" i="148" s="1"/>
  <c r="AP7" i="148"/>
  <c r="AO7" i="148"/>
  <c r="AN7" i="148"/>
  <c r="AM7" i="148"/>
  <c r="AL7" i="148"/>
  <c r="AK7" i="148"/>
  <c r="AJ7" i="148"/>
  <c r="AI7" i="148"/>
  <c r="AK48" i="119"/>
  <c r="AK47" i="119"/>
  <c r="AS46" i="119"/>
  <c r="AQ46" i="119"/>
  <c r="AN46" i="119"/>
  <c r="AK46" i="119"/>
  <c r="AQ45" i="119"/>
  <c r="AN45" i="119"/>
  <c r="AS45" i="119" s="1"/>
  <c r="AK45" i="119"/>
  <c r="AS44" i="119"/>
  <c r="AQ44" i="119"/>
  <c r="AN44" i="119"/>
  <c r="AK44" i="119"/>
  <c r="AS43" i="119"/>
  <c r="AQ43" i="119"/>
  <c r="AN43" i="119"/>
  <c r="AK43" i="119"/>
  <c r="AS42" i="119"/>
  <c r="AQ42" i="119"/>
  <c r="AN42" i="119"/>
  <c r="AK42" i="119"/>
  <c r="AQ41" i="119"/>
  <c r="AN41" i="119"/>
  <c r="AS41" i="119" s="1"/>
  <c r="AK41" i="119"/>
  <c r="AL32" i="119"/>
  <c r="AX31" i="119"/>
  <c r="AT31" i="119"/>
  <c r="AS31" i="119"/>
  <c r="AO31" i="119"/>
  <c r="AK31" i="119"/>
  <c r="AJ31" i="119"/>
  <c r="AX30" i="119"/>
  <c r="AO30" i="119"/>
  <c r="AQ29" i="119"/>
  <c r="AX28" i="119" a="1"/>
  <c r="AX29" i="119" s="1"/>
  <c r="AQ28" i="119"/>
  <c r="AO28" i="119" a="1"/>
  <c r="AO29" i="119" s="1"/>
  <c r="AX27" i="119"/>
  <c r="AQ27" i="119"/>
  <c r="AO27" i="119"/>
  <c r="X27" i="119"/>
  <c r="W27" i="119"/>
  <c r="AX26" i="119"/>
  <c r="AW26" i="119"/>
  <c r="AV26" i="119"/>
  <c r="AU26" i="119"/>
  <c r="AQ26" i="119"/>
  <c r="AO26" i="119"/>
  <c r="AN26" i="119"/>
  <c r="AM26" i="119"/>
  <c r="AL26" i="119"/>
  <c r="I8" i="119" s="1"/>
  <c r="X26" i="119"/>
  <c r="W26" i="119"/>
  <c r="AX25" i="119"/>
  <c r="AW25" i="119"/>
  <c r="AV25" i="119"/>
  <c r="AU25" i="119"/>
  <c r="AQ25" i="119"/>
  <c r="AO25" i="119"/>
  <c r="AN25" i="119"/>
  <c r="AM25" i="119"/>
  <c r="AL25" i="119"/>
  <c r="X25" i="119"/>
  <c r="W25" i="119"/>
  <c r="AQ24" i="119"/>
  <c r="W24" i="119"/>
  <c r="X24" i="119" s="1"/>
  <c r="AW23" i="119"/>
  <c r="AV23" i="119"/>
  <c r="AU23" i="119"/>
  <c r="AQ23" i="119"/>
  <c r="AO23" i="119"/>
  <c r="AN23" i="119"/>
  <c r="G8" i="119" s="1"/>
  <c r="AM23" i="119"/>
  <c r="AL23" i="119"/>
  <c r="W23" i="119"/>
  <c r="X23" i="119" s="1"/>
  <c r="AW22" i="119"/>
  <c r="AV22" i="119"/>
  <c r="AU22" i="119"/>
  <c r="AQ22" i="119"/>
  <c r="AN22" i="119"/>
  <c r="AM22" i="119"/>
  <c r="AL22" i="119"/>
  <c r="W22" i="119"/>
  <c r="X22" i="119" s="1"/>
  <c r="AQ21" i="119"/>
  <c r="W21" i="119"/>
  <c r="X21" i="119" s="1"/>
  <c r="AD17" i="119"/>
  <c r="AD16" i="119"/>
  <c r="X16" i="119"/>
  <c r="AB15" i="119"/>
  <c r="Y15" i="119"/>
  <c r="Y16" i="119" s="1"/>
  <c r="Y17" i="119" s="1"/>
  <c r="C15" i="119"/>
  <c r="C16" i="119" s="1"/>
  <c r="C17" i="119" s="1"/>
  <c r="X14" i="119"/>
  <c r="P14" i="119"/>
  <c r="N14" i="119"/>
  <c r="K14" i="119"/>
  <c r="H14" i="119"/>
  <c r="F14" i="119"/>
  <c r="C14" i="119"/>
  <c r="AI9" i="119"/>
  <c r="AF8" i="119"/>
  <c r="AF9" i="119" s="1"/>
  <c r="AP7" i="119"/>
  <c r="AO7" i="119"/>
  <c r="AN7" i="119"/>
  <c r="AM7" i="119"/>
  <c r="AL7" i="119"/>
  <c r="AK7" i="119"/>
  <c r="AJ7" i="119"/>
  <c r="AI7" i="119"/>
  <c r="Y15" i="150" l="1"/>
  <c r="Y16" i="150" s="1"/>
  <c r="Y17" i="150" s="1"/>
  <c r="AI9" i="150"/>
  <c r="P16" i="157"/>
  <c r="P17" i="157" s="1"/>
  <c r="AP9" i="157"/>
  <c r="V16" i="157"/>
  <c r="V17" i="157" s="1"/>
  <c r="AO9" i="157"/>
  <c r="R16" i="157"/>
  <c r="R17" i="157" s="1"/>
  <c r="AF6" i="157"/>
  <c r="AF7" i="157" s="1"/>
  <c r="F16" i="157"/>
  <c r="F17" i="157" s="1"/>
  <c r="D8" i="157"/>
  <c r="Z15" i="157"/>
  <c r="Z16" i="157" s="1"/>
  <c r="Z17" i="157" s="1"/>
  <c r="AJ9" i="157"/>
  <c r="Y24" i="157"/>
  <c r="F16" i="156"/>
  <c r="F17" i="156" s="1"/>
  <c r="D8" i="156"/>
  <c r="AJ9" i="156"/>
  <c r="Y21" i="156"/>
  <c r="Y25" i="156"/>
  <c r="Z15" i="156"/>
  <c r="Z16" i="156" s="1"/>
  <c r="Z17" i="156" s="1"/>
  <c r="Y22" i="156"/>
  <c r="AO9" i="156"/>
  <c r="R16" i="156"/>
  <c r="R17" i="156" s="1"/>
  <c r="AP9" i="156"/>
  <c r="V16" i="156"/>
  <c r="V17" i="156" s="1"/>
  <c r="AN9" i="156"/>
  <c r="P16" i="156"/>
  <c r="P17" i="156" s="1"/>
  <c r="AF6" i="156"/>
  <c r="AF7" i="156" s="1"/>
  <c r="Y24" i="156"/>
  <c r="Y23" i="156"/>
  <c r="Y27" i="156"/>
  <c r="Y26" i="156"/>
  <c r="AO9" i="155"/>
  <c r="R16" i="155"/>
  <c r="R17" i="155" s="1"/>
  <c r="AP9" i="155"/>
  <c r="V16" i="155"/>
  <c r="V17" i="155" s="1"/>
  <c r="AN9" i="155"/>
  <c r="P16" i="155"/>
  <c r="P17" i="155" s="1"/>
  <c r="F16" i="155"/>
  <c r="F17" i="155" s="1"/>
  <c r="D8" i="155"/>
  <c r="AF6" i="155"/>
  <c r="AF7" i="155" s="1"/>
  <c r="AJ9" i="155"/>
  <c r="Z15" i="155"/>
  <c r="Z16" i="155" s="1"/>
  <c r="Z17" i="155" s="1"/>
  <c r="Y27" i="155"/>
  <c r="Y25" i="155"/>
  <c r="AF6" i="154"/>
  <c r="AF7" i="154" s="1"/>
  <c r="P16" i="154"/>
  <c r="P17" i="154" s="1"/>
  <c r="AN9" i="154"/>
  <c r="V16" i="154"/>
  <c r="V17" i="154" s="1"/>
  <c r="AP9" i="154"/>
  <c r="AO9" i="154"/>
  <c r="R16" i="154"/>
  <c r="R17" i="154" s="1"/>
  <c r="Y26" i="148"/>
  <c r="Y25" i="148"/>
  <c r="Y21" i="148"/>
  <c r="AN9" i="153"/>
  <c r="P16" i="153"/>
  <c r="P17" i="153" s="1"/>
  <c r="AF6" i="153"/>
  <c r="AF7" i="153" s="1"/>
  <c r="R16" i="153"/>
  <c r="R17" i="153" s="1"/>
  <c r="AO9" i="153"/>
  <c r="V16" i="153"/>
  <c r="V17" i="153" s="1"/>
  <c r="AP9" i="153"/>
  <c r="P15" i="150"/>
  <c r="AN9" i="150" s="1"/>
  <c r="R15" i="152"/>
  <c r="P15" i="152"/>
  <c r="AF6" i="152" s="1"/>
  <c r="AF7" i="152" s="1"/>
  <c r="V15" i="152"/>
  <c r="F16" i="152"/>
  <c r="F17" i="152" s="1"/>
  <c r="R15" i="151"/>
  <c r="P15" i="151"/>
  <c r="V15" i="151"/>
  <c r="F16" i="151"/>
  <c r="F17" i="151" s="1"/>
  <c r="Y24" i="150"/>
  <c r="V15" i="150"/>
  <c r="R16" i="150"/>
  <c r="R17" i="150" s="1"/>
  <c r="F15" i="150"/>
  <c r="C16" i="150"/>
  <c r="C17" i="150" s="1"/>
  <c r="P15" i="149"/>
  <c r="V15" i="149"/>
  <c r="R15" i="149"/>
  <c r="AQ29" i="149"/>
  <c r="AQ29" i="148"/>
  <c r="V15" i="148"/>
  <c r="R15" i="148"/>
  <c r="P15" i="148"/>
  <c r="AI9" i="148"/>
  <c r="Y15" i="148"/>
  <c r="Y16" i="148" s="1"/>
  <c r="Y17" i="148" s="1"/>
  <c r="AJ9" i="148"/>
  <c r="Z15" i="148"/>
  <c r="Z16" i="148" s="1"/>
  <c r="Z17" i="148" s="1"/>
  <c r="F16" i="148"/>
  <c r="F17" i="148" s="1"/>
  <c r="V15" i="119"/>
  <c r="R15" i="119"/>
  <c r="P15" i="119"/>
  <c r="Y22" i="119"/>
  <c r="F15" i="119"/>
  <c r="Y23" i="150" l="1"/>
  <c r="Y21" i="150"/>
  <c r="Y22" i="150"/>
  <c r="Y26" i="150"/>
  <c r="Y27" i="150"/>
  <c r="N15" i="157"/>
  <c r="K15" i="157"/>
  <c r="H15" i="157"/>
  <c r="AB16" i="157"/>
  <c r="AB17" i="157" s="1"/>
  <c r="N15" i="156"/>
  <c r="K15" i="156"/>
  <c r="H15" i="156"/>
  <c r="AB16" i="156"/>
  <c r="AB17" i="156" s="1"/>
  <c r="N15" i="155"/>
  <c r="H15" i="155"/>
  <c r="AB16" i="155"/>
  <c r="AB17" i="155" s="1"/>
  <c r="K15" i="155"/>
  <c r="H15" i="154"/>
  <c r="K15" i="154"/>
  <c r="N15" i="154"/>
  <c r="AB16" i="154"/>
  <c r="AB17" i="154" s="1"/>
  <c r="N15" i="153"/>
  <c r="K15" i="153"/>
  <c r="H15" i="153"/>
  <c r="AB16" i="153"/>
  <c r="AB17" i="153" s="1"/>
  <c r="P16" i="150"/>
  <c r="P17" i="150" s="1"/>
  <c r="N15" i="152"/>
  <c r="K15" i="152"/>
  <c r="H15" i="152"/>
  <c r="AB16" i="152"/>
  <c r="AB17" i="152" s="1"/>
  <c r="AP9" i="152"/>
  <c r="V16" i="152"/>
  <c r="V17" i="152" s="1"/>
  <c r="AO9" i="152"/>
  <c r="R16" i="152"/>
  <c r="R17" i="152" s="1"/>
  <c r="P16" i="152"/>
  <c r="P17" i="152" s="1"/>
  <c r="AN9" i="152"/>
  <c r="AO9" i="151"/>
  <c r="R16" i="151"/>
  <c r="R17" i="151" s="1"/>
  <c r="AF6" i="151"/>
  <c r="AF7" i="151" s="1"/>
  <c r="AP9" i="151"/>
  <c r="V16" i="151"/>
  <c r="V17" i="151" s="1"/>
  <c r="AN9" i="151"/>
  <c r="P16" i="151"/>
  <c r="P17" i="151" s="1"/>
  <c r="AP9" i="150"/>
  <c r="V16" i="150"/>
  <c r="V17" i="150" s="1"/>
  <c r="F16" i="150"/>
  <c r="F17" i="150" s="1"/>
  <c r="D8" i="150"/>
  <c r="Z15" i="150"/>
  <c r="Z16" i="150" s="1"/>
  <c r="Z17" i="150" s="1"/>
  <c r="AJ9" i="150"/>
  <c r="AF6" i="150"/>
  <c r="AF7" i="150" s="1"/>
  <c r="Y25" i="150"/>
  <c r="AO9" i="149"/>
  <c r="R16" i="149"/>
  <c r="R17" i="149" s="1"/>
  <c r="AP9" i="149"/>
  <c r="V16" i="149"/>
  <c r="V17" i="149" s="1"/>
  <c r="AF6" i="149"/>
  <c r="AF7" i="149" s="1"/>
  <c r="AN9" i="149"/>
  <c r="P16" i="149"/>
  <c r="P17" i="149" s="1"/>
  <c r="AN9" i="148"/>
  <c r="P16" i="148"/>
  <c r="P17" i="148" s="1"/>
  <c r="R16" i="148"/>
  <c r="R17" i="148" s="1"/>
  <c r="AO9" i="148"/>
  <c r="AP9" i="148"/>
  <c r="V16" i="148"/>
  <c r="V17" i="148" s="1"/>
  <c r="AF6" i="148"/>
  <c r="AF7" i="148" s="1"/>
  <c r="AN9" i="119"/>
  <c r="P16" i="119"/>
  <c r="P17" i="119" s="1"/>
  <c r="R16" i="119"/>
  <c r="R17" i="119" s="1"/>
  <c r="AO9" i="119"/>
  <c r="Y27" i="119"/>
  <c r="D8" i="119"/>
  <c r="Z15" i="119"/>
  <c r="Z16" i="119" s="1"/>
  <c r="Z17" i="119" s="1"/>
  <c r="AJ9" i="119"/>
  <c r="AF6" i="119"/>
  <c r="AF7" i="119" s="1"/>
  <c r="Y26" i="119"/>
  <c r="Y25" i="119"/>
  <c r="F16" i="119"/>
  <c r="F17" i="119" s="1"/>
  <c r="Y24" i="119"/>
  <c r="Y23" i="119"/>
  <c r="Y21" i="119"/>
  <c r="V16" i="119"/>
  <c r="V17" i="119" s="1"/>
  <c r="AP9" i="119"/>
  <c r="AK48" i="117"/>
  <c r="AK47" i="117"/>
  <c r="AQ46" i="117"/>
  <c r="AN46" i="117"/>
  <c r="AS46" i="117" s="1"/>
  <c r="AK46" i="117"/>
  <c r="AQ45" i="117"/>
  <c r="AN45" i="117"/>
  <c r="AS45" i="117" s="1"/>
  <c r="AK45" i="117"/>
  <c r="AQ44" i="117"/>
  <c r="AN44" i="117"/>
  <c r="AS44" i="117" s="1"/>
  <c r="AK44" i="117"/>
  <c r="AS43" i="117"/>
  <c r="AQ43" i="117"/>
  <c r="AN43" i="117"/>
  <c r="AK43" i="117"/>
  <c r="AQ42" i="117"/>
  <c r="AN42" i="117"/>
  <c r="AS42" i="117" s="1"/>
  <c r="AK42" i="117"/>
  <c r="AQ41" i="117"/>
  <c r="AN41" i="117"/>
  <c r="AS41" i="117" s="1"/>
  <c r="AK41" i="117"/>
  <c r="AL32" i="117"/>
  <c r="AX31" i="117"/>
  <c r="AT31" i="117"/>
  <c r="AS31" i="117"/>
  <c r="AO31" i="117"/>
  <c r="AJ31" i="117"/>
  <c r="AK31" i="117" s="1"/>
  <c r="AX30" i="117"/>
  <c r="AO30" i="117"/>
  <c r="AQ29" i="117"/>
  <c r="AX28" i="117" a="1"/>
  <c r="AX29" i="117" s="1"/>
  <c r="AQ28" i="117"/>
  <c r="AO28" i="117" a="1"/>
  <c r="AO29" i="117" s="1"/>
  <c r="AX27" i="117"/>
  <c r="AQ27" i="117"/>
  <c r="AO27" i="117"/>
  <c r="X27" i="117"/>
  <c r="Y27" i="117" s="1"/>
  <c r="W27" i="117"/>
  <c r="AX26" i="117"/>
  <c r="AW26" i="117"/>
  <c r="AV26" i="117"/>
  <c r="AU26" i="117"/>
  <c r="AQ26" i="117"/>
  <c r="AO26" i="117"/>
  <c r="AN26" i="117"/>
  <c r="AM26" i="117"/>
  <c r="AL26" i="117"/>
  <c r="X26" i="117"/>
  <c r="Y26" i="117" s="1"/>
  <c r="W26" i="117"/>
  <c r="AX25" i="117"/>
  <c r="AW25" i="117"/>
  <c r="AV25" i="117"/>
  <c r="AU25" i="117"/>
  <c r="AQ25" i="117"/>
  <c r="AO25" i="117"/>
  <c r="AN25" i="117"/>
  <c r="AM25" i="117"/>
  <c r="AL25" i="117"/>
  <c r="X25" i="117"/>
  <c r="Y25" i="117" s="1"/>
  <c r="W25" i="117"/>
  <c r="AQ24" i="117"/>
  <c r="X24" i="117"/>
  <c r="Y24" i="117" s="1"/>
  <c r="W24" i="117"/>
  <c r="AW23" i="117"/>
  <c r="AV23" i="117"/>
  <c r="AU23" i="117"/>
  <c r="AQ23" i="117"/>
  <c r="AO23" i="117"/>
  <c r="AN23" i="117"/>
  <c r="G8" i="117" s="1"/>
  <c r="AM23" i="117"/>
  <c r="AL23" i="117"/>
  <c r="W23" i="117"/>
  <c r="X23" i="117" s="1"/>
  <c r="Y23" i="117" s="1"/>
  <c r="AW22" i="117"/>
  <c r="AV22" i="117"/>
  <c r="AU22" i="117"/>
  <c r="AQ22" i="117"/>
  <c r="AN22" i="117"/>
  <c r="AM22" i="117"/>
  <c r="AL22" i="117"/>
  <c r="W22" i="117"/>
  <c r="X22" i="117" s="1"/>
  <c r="Y22" i="117" s="1"/>
  <c r="AQ21" i="117"/>
  <c r="Y21" i="117"/>
  <c r="X21" i="117"/>
  <c r="W21" i="117"/>
  <c r="AD17" i="117"/>
  <c r="Y17" i="117"/>
  <c r="C17" i="117"/>
  <c r="AD16" i="117"/>
  <c r="Y16" i="117"/>
  <c r="X16" i="117"/>
  <c r="C16" i="117"/>
  <c r="AB15" i="117"/>
  <c r="Z15" i="117"/>
  <c r="Z16" i="117" s="1"/>
  <c r="Z17" i="117" s="1"/>
  <c r="Y15" i="117"/>
  <c r="R15" i="117"/>
  <c r="AO9" i="117" s="1"/>
  <c r="F15" i="117"/>
  <c r="C15" i="117"/>
  <c r="X14" i="117"/>
  <c r="P14" i="117"/>
  <c r="N14" i="117"/>
  <c r="K14" i="117"/>
  <c r="H14" i="117"/>
  <c r="F14" i="117"/>
  <c r="C14" i="117"/>
  <c r="AJ9" i="117"/>
  <c r="AI9" i="117"/>
  <c r="AF9" i="117"/>
  <c r="V15" i="117" s="1"/>
  <c r="AF8" i="117"/>
  <c r="I8" i="117"/>
  <c r="D8" i="117"/>
  <c r="AP7" i="117"/>
  <c r="AO7" i="117"/>
  <c r="AN7" i="117"/>
  <c r="AM7" i="117"/>
  <c r="AL7" i="117"/>
  <c r="AK7" i="117"/>
  <c r="AJ7" i="117"/>
  <c r="AI7" i="117"/>
  <c r="AK48" i="116"/>
  <c r="AK47" i="116"/>
  <c r="AQ46" i="116"/>
  <c r="AN46" i="116"/>
  <c r="AS46" i="116" s="1"/>
  <c r="AK46" i="116"/>
  <c r="AQ45" i="116"/>
  <c r="AN45" i="116"/>
  <c r="AS45" i="116" s="1"/>
  <c r="AK45" i="116"/>
  <c r="AS44" i="116"/>
  <c r="AQ44" i="116"/>
  <c r="AN44" i="116"/>
  <c r="AK44" i="116"/>
  <c r="AQ43" i="116"/>
  <c r="AN43" i="116"/>
  <c r="AS43" i="116" s="1"/>
  <c r="AK43" i="116"/>
  <c r="AQ42" i="116"/>
  <c r="AN42" i="116"/>
  <c r="AS42" i="116" s="1"/>
  <c r="AK42" i="116"/>
  <c r="AQ41" i="116"/>
  <c r="AN41" i="116"/>
  <c r="AS41" i="116" s="1"/>
  <c r="AK41" i="116"/>
  <c r="AL32" i="116"/>
  <c r="AX31" i="116"/>
  <c r="AS31" i="116"/>
  <c r="AT31" i="116" s="1"/>
  <c r="AO31" i="116"/>
  <c r="AK31" i="116"/>
  <c r="AJ31" i="116"/>
  <c r="AX30" i="116"/>
  <c r="AO30" i="116"/>
  <c r="AQ29" i="116"/>
  <c r="AX28" i="116" a="1"/>
  <c r="AX29" i="116" s="1"/>
  <c r="AQ28" i="116"/>
  <c r="AO28" i="116" a="1"/>
  <c r="AO29" i="116" s="1"/>
  <c r="AX27" i="116"/>
  <c r="AQ27" i="116"/>
  <c r="AO27" i="116"/>
  <c r="W27" i="116"/>
  <c r="X27" i="116" s="1"/>
  <c r="AX26" i="116"/>
  <c r="AW26" i="116"/>
  <c r="AV26" i="116"/>
  <c r="AU26" i="116"/>
  <c r="AQ26" i="116"/>
  <c r="AO26" i="116"/>
  <c r="AN26" i="116"/>
  <c r="AM26" i="116"/>
  <c r="AL26" i="116"/>
  <c r="W26" i="116"/>
  <c r="X26" i="116" s="1"/>
  <c r="AX25" i="116"/>
  <c r="AW25" i="116"/>
  <c r="AV25" i="116"/>
  <c r="AU25" i="116"/>
  <c r="AQ25" i="116"/>
  <c r="AO25" i="116"/>
  <c r="AN25" i="116"/>
  <c r="AM25" i="116"/>
  <c r="AL25" i="116"/>
  <c r="W25" i="116"/>
  <c r="X25" i="116" s="1"/>
  <c r="AQ24" i="116"/>
  <c r="W24" i="116"/>
  <c r="X24" i="116" s="1"/>
  <c r="AW23" i="116"/>
  <c r="AV23" i="116"/>
  <c r="AU23" i="116"/>
  <c r="AQ23" i="116"/>
  <c r="AO23" i="116"/>
  <c r="AN23" i="116"/>
  <c r="AM23" i="116"/>
  <c r="AL23" i="116"/>
  <c r="W23" i="116"/>
  <c r="X23" i="116" s="1"/>
  <c r="AW22" i="116"/>
  <c r="AV22" i="116"/>
  <c r="AU22" i="116"/>
  <c r="AQ22" i="116"/>
  <c r="AN22" i="116"/>
  <c r="AM22" i="116"/>
  <c r="AL22" i="116"/>
  <c r="W22" i="116"/>
  <c r="X22" i="116" s="1"/>
  <c r="AQ21" i="116"/>
  <c r="W21" i="116"/>
  <c r="X21" i="116" s="1"/>
  <c r="AD16" i="116"/>
  <c r="AD17" i="116" s="1"/>
  <c r="X16" i="116"/>
  <c r="AB15" i="116"/>
  <c r="Y15" i="116"/>
  <c r="Y16" i="116" s="1"/>
  <c r="Y17" i="116" s="1"/>
  <c r="R15" i="116"/>
  <c r="R16" i="116" s="1"/>
  <c r="R17" i="116" s="1"/>
  <c r="C15" i="116"/>
  <c r="X14" i="116"/>
  <c r="P14" i="116"/>
  <c r="N14" i="116"/>
  <c r="K14" i="116"/>
  <c r="H14" i="116"/>
  <c r="F14" i="116"/>
  <c r="C14" i="116"/>
  <c r="AI9" i="116"/>
  <c r="AF9" i="116"/>
  <c r="V15" i="116" s="1"/>
  <c r="AF8" i="116"/>
  <c r="I8" i="116"/>
  <c r="G8" i="116"/>
  <c r="AP7" i="116"/>
  <c r="AO7" i="116"/>
  <c r="AN7" i="116"/>
  <c r="AM7" i="116"/>
  <c r="AL7" i="116"/>
  <c r="AK7" i="116"/>
  <c r="AJ7" i="116"/>
  <c r="AI7" i="116"/>
  <c r="AK48" i="115"/>
  <c r="AK47" i="115"/>
  <c r="AS46" i="115"/>
  <c r="AQ46" i="115"/>
  <c r="AN46" i="115"/>
  <c r="AK46" i="115"/>
  <c r="AQ45" i="115"/>
  <c r="AN45" i="115"/>
  <c r="AS45" i="115" s="1"/>
  <c r="AK45" i="115"/>
  <c r="AQ44" i="115"/>
  <c r="AN44" i="115"/>
  <c r="AS44" i="115" s="1"/>
  <c r="AK44" i="115"/>
  <c r="AQ43" i="115"/>
  <c r="AN43" i="115"/>
  <c r="AS43" i="115" s="1"/>
  <c r="AK43" i="115"/>
  <c r="AS42" i="115"/>
  <c r="AQ42" i="115"/>
  <c r="AN42" i="115"/>
  <c r="AK42" i="115"/>
  <c r="AQ41" i="115"/>
  <c r="AN41" i="115"/>
  <c r="AS41" i="115" s="1"/>
  <c r="AK41" i="115"/>
  <c r="AL32" i="115"/>
  <c r="AX31" i="115"/>
  <c r="AS31" i="115"/>
  <c r="AT31" i="115" s="1"/>
  <c r="AO31" i="115"/>
  <c r="AJ31" i="115"/>
  <c r="AK31" i="115" s="1"/>
  <c r="AX30" i="115"/>
  <c r="AO30" i="115"/>
  <c r="AQ29" i="115"/>
  <c r="AX28" i="115" a="1"/>
  <c r="AX29" i="115" s="1"/>
  <c r="AQ28" i="115"/>
  <c r="AO28" i="115" a="1"/>
  <c r="AO29" i="115" s="1"/>
  <c r="AX27" i="115"/>
  <c r="AQ27" i="115"/>
  <c r="AO27" i="115"/>
  <c r="X27" i="115"/>
  <c r="Y27" i="115" s="1"/>
  <c r="W27" i="115"/>
  <c r="AX26" i="115"/>
  <c r="AW26" i="115"/>
  <c r="AV26" i="115"/>
  <c r="AU26" i="115"/>
  <c r="AQ26" i="115"/>
  <c r="AO26" i="115"/>
  <c r="AN26" i="115"/>
  <c r="AM26" i="115"/>
  <c r="AL26" i="115"/>
  <c r="I8" i="115" s="1"/>
  <c r="X26" i="115"/>
  <c r="Y26" i="115" s="1"/>
  <c r="W26" i="115"/>
  <c r="AX25" i="115"/>
  <c r="AW25" i="115"/>
  <c r="AV25" i="115"/>
  <c r="AU25" i="115"/>
  <c r="AQ25" i="115"/>
  <c r="AO25" i="115"/>
  <c r="AN25" i="115"/>
  <c r="AM25" i="115"/>
  <c r="AL25" i="115"/>
  <c r="X25" i="115"/>
  <c r="Y25" i="115" s="1"/>
  <c r="W25" i="115"/>
  <c r="AQ24" i="115"/>
  <c r="X24" i="115"/>
  <c r="Y24" i="115" s="1"/>
  <c r="W24" i="115"/>
  <c r="AW23" i="115"/>
  <c r="AV23" i="115"/>
  <c r="AU23" i="115"/>
  <c r="AQ23" i="115"/>
  <c r="AO23" i="115"/>
  <c r="AN23" i="115"/>
  <c r="G8" i="115" s="1"/>
  <c r="AM23" i="115"/>
  <c r="AL23" i="115"/>
  <c r="W23" i="115"/>
  <c r="X23" i="115" s="1"/>
  <c r="Y23" i="115" s="1"/>
  <c r="AW22" i="115"/>
  <c r="AV22" i="115"/>
  <c r="AU22" i="115"/>
  <c r="AQ22" i="115"/>
  <c r="AN22" i="115"/>
  <c r="AM22" i="115"/>
  <c r="AL22" i="115"/>
  <c r="X22" i="115"/>
  <c r="W22" i="115"/>
  <c r="AQ21" i="115"/>
  <c r="W21" i="115"/>
  <c r="X21" i="115" s="1"/>
  <c r="Y21" i="115" s="1"/>
  <c r="AD16" i="115"/>
  <c r="AD17" i="115" s="1"/>
  <c r="X16" i="115"/>
  <c r="C16" i="115"/>
  <c r="C17" i="115" s="1"/>
  <c r="AB15" i="115"/>
  <c r="F15" i="115"/>
  <c r="F16" i="115" s="1"/>
  <c r="F17" i="115" s="1"/>
  <c r="C15" i="115"/>
  <c r="X14" i="115"/>
  <c r="P14" i="115"/>
  <c r="N14" i="115"/>
  <c r="K14" i="115"/>
  <c r="H14" i="115"/>
  <c r="F14" i="115"/>
  <c r="C14" i="115"/>
  <c r="AF8" i="115"/>
  <c r="AF9" i="115" s="1"/>
  <c r="D8" i="115"/>
  <c r="AP7" i="115"/>
  <c r="AO7" i="115"/>
  <c r="AN7" i="115"/>
  <c r="AM7" i="115"/>
  <c r="AL7" i="115"/>
  <c r="AK7" i="115"/>
  <c r="AJ7" i="115"/>
  <c r="AI7" i="115"/>
  <c r="H16" i="157" l="1"/>
  <c r="H17" i="157" s="1"/>
  <c r="AM15" i="157"/>
  <c r="AK9" i="157"/>
  <c r="AV45" i="157"/>
  <c r="AB8" i="157"/>
  <c r="AV46" i="157"/>
  <c r="AV48" i="157"/>
  <c r="AB9" i="157"/>
  <c r="AM16" i="157"/>
  <c r="AV42" i="157"/>
  <c r="AV43" i="157"/>
  <c r="AV41" i="157"/>
  <c r="AV44" i="157"/>
  <c r="AX41" i="157"/>
  <c r="AX42" i="157" s="1"/>
  <c r="AX43" i="157" s="1"/>
  <c r="AX44" i="157" s="1"/>
  <c r="AX45" i="157" s="1"/>
  <c r="AX46" i="157" s="1"/>
  <c r="AX47" i="157" s="1"/>
  <c r="AX48" i="157" s="1"/>
  <c r="AV47" i="157"/>
  <c r="K16" i="157"/>
  <c r="K17" i="157" s="1"/>
  <c r="AL9" i="157"/>
  <c r="N16" i="157"/>
  <c r="N17" i="157" s="1"/>
  <c r="AM9" i="157"/>
  <c r="H16" i="156"/>
  <c r="H17" i="156" s="1"/>
  <c r="AM15" i="156"/>
  <c r="AK9" i="156"/>
  <c r="AX41" i="156"/>
  <c r="AX42" i="156" s="1"/>
  <c r="AX43" i="156" s="1"/>
  <c r="AX44" i="156" s="1"/>
  <c r="AX45" i="156" s="1"/>
  <c r="AX46" i="156" s="1"/>
  <c r="AX47" i="156" s="1"/>
  <c r="AX48" i="156" s="1"/>
  <c r="AV44" i="156"/>
  <c r="AM16" i="156"/>
  <c r="AV48" i="156"/>
  <c r="AB8" i="156"/>
  <c r="AV41" i="156"/>
  <c r="AB9" i="156"/>
  <c r="AV42" i="156"/>
  <c r="AV45" i="156"/>
  <c r="AV43" i="156"/>
  <c r="AV47" i="156"/>
  <c r="AV46" i="156"/>
  <c r="K16" i="156"/>
  <c r="K17" i="156" s="1"/>
  <c r="AL9" i="156"/>
  <c r="N16" i="156"/>
  <c r="N17" i="156" s="1"/>
  <c r="AM9" i="156"/>
  <c r="K16" i="155"/>
  <c r="K17" i="155" s="1"/>
  <c r="AL9" i="155"/>
  <c r="H16" i="155"/>
  <c r="H17" i="155" s="1"/>
  <c r="AM15" i="155"/>
  <c r="AK9" i="155"/>
  <c r="AV44" i="155"/>
  <c r="AV48" i="155"/>
  <c r="AV42" i="155"/>
  <c r="AB9" i="155"/>
  <c r="AI15" i="155" s="1"/>
  <c r="AV41" i="155"/>
  <c r="AX41" i="155"/>
  <c r="AX42" i="155" s="1"/>
  <c r="AX43" i="155" s="1"/>
  <c r="AX44" i="155" s="1"/>
  <c r="AX45" i="155" s="1"/>
  <c r="AX46" i="155" s="1"/>
  <c r="AX47" i="155" s="1"/>
  <c r="AX48" i="155" s="1"/>
  <c r="AV46" i="155"/>
  <c r="AV43" i="155"/>
  <c r="AB8" i="155"/>
  <c r="AV47" i="155"/>
  <c r="AV45" i="155"/>
  <c r="AM16" i="155"/>
  <c r="AM9" i="155"/>
  <c r="N16" i="155"/>
  <c r="N17" i="155" s="1"/>
  <c r="AM9" i="154"/>
  <c r="N16" i="154"/>
  <c r="N17" i="154" s="1"/>
  <c r="H16" i="154"/>
  <c r="H17" i="154" s="1"/>
  <c r="AM15" i="154"/>
  <c r="AK9" i="154"/>
  <c r="AB9" i="154"/>
  <c r="AV41" i="154"/>
  <c r="AV48" i="154"/>
  <c r="AV47" i="154"/>
  <c r="AV44" i="154"/>
  <c r="AV45" i="154"/>
  <c r="AV43" i="154"/>
  <c r="AV42" i="154"/>
  <c r="AV46" i="154"/>
  <c r="AB8" i="154"/>
  <c r="AX41" i="154"/>
  <c r="AX42" i="154" s="1"/>
  <c r="AX43" i="154" s="1"/>
  <c r="AX44" i="154" s="1"/>
  <c r="AX45" i="154" s="1"/>
  <c r="AX46" i="154" s="1"/>
  <c r="AX47" i="154" s="1"/>
  <c r="AX48" i="154" s="1"/>
  <c r="AM16" i="154"/>
  <c r="AL9" i="154"/>
  <c r="K16" i="154"/>
  <c r="K17" i="154" s="1"/>
  <c r="K16" i="153"/>
  <c r="K17" i="153" s="1"/>
  <c r="AL9" i="153"/>
  <c r="AB9" i="153"/>
  <c r="AI15" i="153" s="1"/>
  <c r="AM15" i="153"/>
  <c r="AB8" i="153"/>
  <c r="AK9" i="153"/>
  <c r="H16" i="153"/>
  <c r="H17" i="153" s="1"/>
  <c r="AV44" i="153"/>
  <c r="AV46" i="153"/>
  <c r="AV48" i="153"/>
  <c r="AV41" i="153"/>
  <c r="AV45" i="153"/>
  <c r="AX41" i="153"/>
  <c r="AX42" i="153" s="1"/>
  <c r="AX43" i="153" s="1"/>
  <c r="AX44" i="153" s="1"/>
  <c r="AX45" i="153" s="1"/>
  <c r="AX46" i="153" s="1"/>
  <c r="AX47" i="153" s="1"/>
  <c r="AX48" i="153" s="1"/>
  <c r="AV43" i="153"/>
  <c r="AV47" i="153"/>
  <c r="AV42" i="153"/>
  <c r="AM16" i="153"/>
  <c r="AM9" i="153"/>
  <c r="N16" i="153"/>
  <c r="N17" i="153" s="1"/>
  <c r="AM16" i="152"/>
  <c r="N16" i="152"/>
  <c r="N17" i="152" s="1"/>
  <c r="AM9" i="152"/>
  <c r="H16" i="152"/>
  <c r="H17" i="152" s="1"/>
  <c r="AB9" i="152"/>
  <c r="AM15" i="152"/>
  <c r="AK9" i="152"/>
  <c r="AI15" i="152"/>
  <c r="AV45" i="152"/>
  <c r="AV48" i="152"/>
  <c r="AX41" i="152"/>
  <c r="AX42" i="152" s="1"/>
  <c r="AX43" i="152" s="1"/>
  <c r="AX44" i="152" s="1"/>
  <c r="AX45" i="152" s="1"/>
  <c r="AX46" i="152" s="1"/>
  <c r="AX47" i="152" s="1"/>
  <c r="AX48" i="152" s="1"/>
  <c r="AV44" i="152"/>
  <c r="AV47" i="152"/>
  <c r="AV42" i="152"/>
  <c r="AB8" i="152"/>
  <c r="AV41" i="152"/>
  <c r="AV43" i="152"/>
  <c r="AV46" i="152"/>
  <c r="K16" i="152"/>
  <c r="K17" i="152" s="1"/>
  <c r="AL9" i="152"/>
  <c r="N15" i="151"/>
  <c r="K15" i="151"/>
  <c r="H15" i="151"/>
  <c r="AB16" i="151"/>
  <c r="AB17" i="151" s="1"/>
  <c r="K15" i="150"/>
  <c r="N15" i="150"/>
  <c r="H15" i="150"/>
  <c r="AB16" i="150"/>
  <c r="AB17" i="150" s="1"/>
  <c r="N15" i="149"/>
  <c r="K15" i="149"/>
  <c r="H15" i="149"/>
  <c r="AB16" i="149"/>
  <c r="AB17" i="149" s="1"/>
  <c r="N15" i="148"/>
  <c r="K15" i="148"/>
  <c r="H15" i="148"/>
  <c r="AB16" i="148"/>
  <c r="AB17" i="148" s="1"/>
  <c r="N15" i="119"/>
  <c r="K15" i="119"/>
  <c r="H15" i="119"/>
  <c r="AB16" i="119"/>
  <c r="AB17" i="119" s="1"/>
  <c r="AP9" i="117"/>
  <c r="V16" i="117"/>
  <c r="V17" i="117" s="1"/>
  <c r="P15" i="117"/>
  <c r="R16" i="117"/>
  <c r="R17" i="117" s="1"/>
  <c r="F16" i="117"/>
  <c r="F17" i="117" s="1"/>
  <c r="Y27" i="116"/>
  <c r="Y26" i="116"/>
  <c r="AP9" i="116"/>
  <c r="V16" i="116"/>
  <c r="V17" i="116" s="1"/>
  <c r="Y25" i="116"/>
  <c r="Y23" i="116"/>
  <c r="Y21" i="116"/>
  <c r="P15" i="116"/>
  <c r="AO9" i="116"/>
  <c r="F15" i="116"/>
  <c r="C16" i="116"/>
  <c r="C17" i="116" s="1"/>
  <c r="P15" i="115"/>
  <c r="V15" i="115"/>
  <c r="R15" i="115"/>
  <c r="AI9" i="115"/>
  <c r="Y15" i="115"/>
  <c r="Y16" i="115" s="1"/>
  <c r="Y17" i="115" s="1"/>
  <c r="AJ9" i="115"/>
  <c r="Z15" i="115"/>
  <c r="Z16" i="115" s="1"/>
  <c r="Z17" i="115" s="1"/>
  <c r="Y22" i="115"/>
  <c r="AK48" i="108"/>
  <c r="AK47" i="108"/>
  <c r="AS46" i="108"/>
  <c r="AQ46" i="108"/>
  <c r="AN46" i="108"/>
  <c r="AK46" i="108"/>
  <c r="AQ45" i="108"/>
  <c r="AN45" i="108"/>
  <c r="AS45" i="108" s="1"/>
  <c r="AK45" i="108"/>
  <c r="AS44" i="108"/>
  <c r="AQ44" i="108"/>
  <c r="AN44" i="108"/>
  <c r="AK44" i="108"/>
  <c r="AQ43" i="108"/>
  <c r="AN43" i="108"/>
  <c r="AS43" i="108" s="1"/>
  <c r="AK43" i="108"/>
  <c r="AS42" i="108"/>
  <c r="AQ42" i="108"/>
  <c r="AN42" i="108"/>
  <c r="AK42" i="108"/>
  <c r="AQ41" i="108"/>
  <c r="AN41" i="108"/>
  <c r="AS41" i="108" s="1"/>
  <c r="AK41" i="108"/>
  <c r="AL32" i="108"/>
  <c r="AX31" i="108"/>
  <c r="AS31" i="108"/>
  <c r="AT31" i="108" s="1"/>
  <c r="AO31" i="108"/>
  <c r="AK31" i="108"/>
  <c r="AJ31" i="108"/>
  <c r="AX30" i="108"/>
  <c r="AO30" i="108"/>
  <c r="AQ29" i="108"/>
  <c r="AX28" i="108" a="1"/>
  <c r="AX29" i="108" s="1"/>
  <c r="AQ28" i="108"/>
  <c r="AO28" i="108" a="1"/>
  <c r="AO29" i="108" s="1"/>
  <c r="AX27" i="108"/>
  <c r="AQ27" i="108"/>
  <c r="AO27" i="108"/>
  <c r="W27" i="108"/>
  <c r="X27" i="108" s="1"/>
  <c r="AX26" i="108"/>
  <c r="AW26" i="108"/>
  <c r="AV26" i="108"/>
  <c r="AU26" i="108"/>
  <c r="AQ26" i="108"/>
  <c r="AO26" i="108"/>
  <c r="AN26" i="108"/>
  <c r="AM26" i="108"/>
  <c r="AL26" i="108"/>
  <c r="I8" i="108" s="1"/>
  <c r="W26" i="108"/>
  <c r="X26" i="108" s="1"/>
  <c r="AX25" i="108"/>
  <c r="AW25" i="108"/>
  <c r="AV25" i="108"/>
  <c r="AU25" i="108"/>
  <c r="AQ25" i="108"/>
  <c r="AO25" i="108"/>
  <c r="AN25" i="108"/>
  <c r="AM25" i="108"/>
  <c r="AL25" i="108"/>
  <c r="W25" i="108"/>
  <c r="X25" i="108" s="1"/>
  <c r="AQ24" i="108"/>
  <c r="W24" i="108"/>
  <c r="X24" i="108" s="1"/>
  <c r="AW23" i="108"/>
  <c r="AV23" i="108"/>
  <c r="AU23" i="108"/>
  <c r="AQ23" i="108"/>
  <c r="AO23" i="108"/>
  <c r="AN23" i="108"/>
  <c r="AM23" i="108"/>
  <c r="AL23" i="108"/>
  <c r="W23" i="108"/>
  <c r="X23" i="108" s="1"/>
  <c r="AW22" i="108"/>
  <c r="AV22" i="108"/>
  <c r="AU22" i="108"/>
  <c r="AQ22" i="108"/>
  <c r="AN22" i="108"/>
  <c r="AM22" i="108"/>
  <c r="AL22" i="108"/>
  <c r="X22" i="108"/>
  <c r="W22" i="108"/>
  <c r="AQ21" i="108"/>
  <c r="W21" i="108"/>
  <c r="X21" i="108" s="1"/>
  <c r="AD16" i="108"/>
  <c r="AD17" i="108" s="1"/>
  <c r="X16" i="108"/>
  <c r="AB15" i="108"/>
  <c r="C15" i="108"/>
  <c r="X14" i="108"/>
  <c r="P14" i="108"/>
  <c r="N14" i="108"/>
  <c r="K14" i="108"/>
  <c r="H14" i="108"/>
  <c r="F14" i="108"/>
  <c r="C14" i="108"/>
  <c r="AF8" i="108"/>
  <c r="AF9" i="108" s="1"/>
  <c r="G8" i="108"/>
  <c r="AP7" i="108"/>
  <c r="AO7" i="108"/>
  <c r="AN7" i="108"/>
  <c r="AM7" i="108"/>
  <c r="AL7" i="108"/>
  <c r="AK7" i="108"/>
  <c r="AJ7" i="108"/>
  <c r="AI7" i="108"/>
  <c r="AK48" i="106"/>
  <c r="AK47" i="106"/>
  <c r="AQ46" i="106"/>
  <c r="AN46" i="106"/>
  <c r="AS46" i="106" s="1"/>
  <c r="AK46" i="106"/>
  <c r="AS45" i="106"/>
  <c r="AQ45" i="106"/>
  <c r="AN45" i="106"/>
  <c r="AK45" i="106"/>
  <c r="AS44" i="106"/>
  <c r="AQ44" i="106"/>
  <c r="AN44" i="106"/>
  <c r="AK44" i="106"/>
  <c r="AQ43" i="106"/>
  <c r="AN43" i="106"/>
  <c r="AS43" i="106" s="1"/>
  <c r="AK43" i="106"/>
  <c r="AQ42" i="106"/>
  <c r="AN42" i="106"/>
  <c r="AS42" i="106" s="1"/>
  <c r="AK42" i="106"/>
  <c r="AS41" i="106"/>
  <c r="AQ41" i="106"/>
  <c r="AN41" i="106"/>
  <c r="AK41" i="106"/>
  <c r="AL32" i="106"/>
  <c r="AX31" i="106"/>
  <c r="AS31" i="106"/>
  <c r="AT31" i="106" s="1"/>
  <c r="AO31" i="106"/>
  <c r="AK31" i="106"/>
  <c r="AJ31" i="106"/>
  <c r="AX30" i="106"/>
  <c r="AO30" i="106"/>
  <c r="AQ29" i="106"/>
  <c r="AX28" i="106" a="1"/>
  <c r="AX29" i="106" s="1"/>
  <c r="AQ28" i="106"/>
  <c r="AO28" i="106" a="1"/>
  <c r="AO29" i="106" s="1"/>
  <c r="AX27" i="106"/>
  <c r="AQ27" i="106"/>
  <c r="AO27" i="106"/>
  <c r="W27" i="106"/>
  <c r="X27" i="106" s="1"/>
  <c r="AX26" i="106"/>
  <c r="AW26" i="106"/>
  <c r="AV26" i="106"/>
  <c r="AU26" i="106"/>
  <c r="AQ26" i="106"/>
  <c r="AO26" i="106"/>
  <c r="AN26" i="106"/>
  <c r="AM26" i="106"/>
  <c r="AL26" i="106"/>
  <c r="W26" i="106"/>
  <c r="X26" i="106" s="1"/>
  <c r="AX25" i="106"/>
  <c r="AW25" i="106"/>
  <c r="AV25" i="106"/>
  <c r="AU25" i="106"/>
  <c r="AQ25" i="106"/>
  <c r="AO25" i="106"/>
  <c r="AN25" i="106"/>
  <c r="AM25" i="106"/>
  <c r="AL25" i="106"/>
  <c r="W25" i="106"/>
  <c r="X25" i="106" s="1"/>
  <c r="AQ24" i="106"/>
  <c r="W24" i="106"/>
  <c r="X24" i="106" s="1"/>
  <c r="AW23" i="106"/>
  <c r="AV23" i="106"/>
  <c r="AU23" i="106"/>
  <c r="AQ23" i="106"/>
  <c r="AO23" i="106"/>
  <c r="AN23" i="106"/>
  <c r="G8" i="106" s="1"/>
  <c r="AM23" i="106"/>
  <c r="AL23" i="106"/>
  <c r="W23" i="106"/>
  <c r="X23" i="106" s="1"/>
  <c r="AW22" i="106"/>
  <c r="AV22" i="106"/>
  <c r="AU22" i="106"/>
  <c r="AQ22" i="106"/>
  <c r="AN22" i="106"/>
  <c r="AM22" i="106"/>
  <c r="AL22" i="106"/>
  <c r="W22" i="106"/>
  <c r="X22" i="106" s="1"/>
  <c r="AQ21" i="106"/>
  <c r="W21" i="106"/>
  <c r="X21" i="106" s="1"/>
  <c r="AD17" i="106"/>
  <c r="AD16" i="106"/>
  <c r="X16" i="106"/>
  <c r="AB15" i="106"/>
  <c r="Y15" i="106"/>
  <c r="Y16" i="106" s="1"/>
  <c r="Y17" i="106" s="1"/>
  <c r="C15" i="106"/>
  <c r="C16" i="106" s="1"/>
  <c r="C17" i="106" s="1"/>
  <c r="X14" i="106"/>
  <c r="P14" i="106"/>
  <c r="N14" i="106"/>
  <c r="K14" i="106"/>
  <c r="H14" i="106"/>
  <c r="F14" i="106"/>
  <c r="C14" i="106"/>
  <c r="AI9" i="106"/>
  <c r="AF8" i="106"/>
  <c r="AF9" i="106" s="1"/>
  <c r="I8" i="106"/>
  <c r="AP7" i="106"/>
  <c r="AO7" i="106"/>
  <c r="AN7" i="106"/>
  <c r="AM7" i="106"/>
  <c r="AL7" i="106"/>
  <c r="AK7" i="106"/>
  <c r="AJ7" i="106"/>
  <c r="AI7" i="106"/>
  <c r="AY43" i="157" l="1"/>
  <c r="AL43" i="157" s="1"/>
  <c r="AW43" i="157"/>
  <c r="AY42" i="157"/>
  <c r="AL42" i="157" s="1"/>
  <c r="AW42" i="157"/>
  <c r="AM17" i="157"/>
  <c r="AI16" i="157"/>
  <c r="AY48" i="157"/>
  <c r="AL48" i="157" s="1"/>
  <c r="AW48" i="157"/>
  <c r="AY46" i="157"/>
  <c r="AL46" i="157" s="1"/>
  <c r="AW46" i="157"/>
  <c r="AY45" i="157"/>
  <c r="AL45" i="157" s="1"/>
  <c r="AW45" i="157"/>
  <c r="AY47" i="157"/>
  <c r="AL47" i="157" s="1"/>
  <c r="AW47" i="157"/>
  <c r="AP11" i="157"/>
  <c r="AI15" i="157"/>
  <c r="AY44" i="157"/>
  <c r="AL44" i="157" s="1"/>
  <c r="AW44" i="157"/>
  <c r="AY41" i="157"/>
  <c r="AL41" i="157" s="1"/>
  <c r="AW41" i="157"/>
  <c r="X17" i="157"/>
  <c r="X17" i="156"/>
  <c r="AM17" i="156"/>
  <c r="AI16" i="156"/>
  <c r="AY44" i="156"/>
  <c r="AL44" i="156" s="1"/>
  <c r="AW44" i="156"/>
  <c r="AY42" i="156"/>
  <c r="AL42" i="156" s="1"/>
  <c r="AW42" i="156"/>
  <c r="AY41" i="156"/>
  <c r="AL41" i="156" s="1"/>
  <c r="AW41" i="156"/>
  <c r="AY48" i="156"/>
  <c r="AL48" i="156" s="1"/>
  <c r="AW48" i="156"/>
  <c r="AY46" i="156"/>
  <c r="AL46" i="156" s="1"/>
  <c r="AW46" i="156"/>
  <c r="AP11" i="156"/>
  <c r="AY47" i="156"/>
  <c r="AL47" i="156" s="1"/>
  <c r="AW47" i="156"/>
  <c r="AI15" i="156"/>
  <c r="AY43" i="156"/>
  <c r="AL43" i="156" s="1"/>
  <c r="AW43" i="156"/>
  <c r="AY45" i="156"/>
  <c r="AL45" i="156" s="1"/>
  <c r="AW45" i="156"/>
  <c r="AY42" i="155"/>
  <c r="AL42" i="155" s="1"/>
  <c r="AW42" i="155"/>
  <c r="AY48" i="155"/>
  <c r="AL48" i="155" s="1"/>
  <c r="AW48" i="155"/>
  <c r="AY44" i="155"/>
  <c r="AL44" i="155" s="1"/>
  <c r="AW44" i="155"/>
  <c r="AY41" i="155"/>
  <c r="AL41" i="155" s="1"/>
  <c r="AW41" i="155"/>
  <c r="AP11" i="155"/>
  <c r="AY45" i="155"/>
  <c r="AL45" i="155" s="1"/>
  <c r="AW45" i="155"/>
  <c r="AY47" i="155"/>
  <c r="AL47" i="155" s="1"/>
  <c r="AW47" i="155"/>
  <c r="AM17" i="155"/>
  <c r="AI16" i="155"/>
  <c r="AI17" i="155" s="1"/>
  <c r="X17" i="155"/>
  <c r="AY43" i="155"/>
  <c r="AL43" i="155" s="1"/>
  <c r="AW43" i="155"/>
  <c r="AY46" i="155"/>
  <c r="AL46" i="155" s="1"/>
  <c r="AW46" i="155"/>
  <c r="AM17" i="154"/>
  <c r="AI16" i="154"/>
  <c r="AP11" i="154"/>
  <c r="AI15" i="154"/>
  <c r="AY41" i="154"/>
  <c r="AL41" i="154" s="1"/>
  <c r="AW41" i="154"/>
  <c r="AY46" i="154"/>
  <c r="AL46" i="154" s="1"/>
  <c r="AW46" i="154"/>
  <c r="X17" i="154"/>
  <c r="AY45" i="154"/>
  <c r="AL45" i="154" s="1"/>
  <c r="AW45" i="154"/>
  <c r="AY44" i="154"/>
  <c r="AL44" i="154" s="1"/>
  <c r="AW44" i="154"/>
  <c r="AY47" i="154"/>
  <c r="AL47" i="154" s="1"/>
  <c r="AW47" i="154"/>
  <c r="AY48" i="154"/>
  <c r="AL48" i="154" s="1"/>
  <c r="AW48" i="154"/>
  <c r="AY42" i="154"/>
  <c r="AL42" i="154" s="1"/>
  <c r="AW42" i="154"/>
  <c r="AY43" i="154"/>
  <c r="AL43" i="154" s="1"/>
  <c r="AW43" i="154"/>
  <c r="AW41" i="153"/>
  <c r="AY41" i="153"/>
  <c r="AL41" i="153" s="1"/>
  <c r="AY48" i="153"/>
  <c r="AL48" i="153" s="1"/>
  <c r="AW48" i="153"/>
  <c r="AY46" i="153"/>
  <c r="AL46" i="153" s="1"/>
  <c r="AW46" i="153"/>
  <c r="AY44" i="153"/>
  <c r="AL44" i="153" s="1"/>
  <c r="AW44" i="153"/>
  <c r="X17" i="153"/>
  <c r="AP11" i="153"/>
  <c r="AY42" i="153"/>
  <c r="AL42" i="153" s="1"/>
  <c r="AW42" i="153"/>
  <c r="AY47" i="153"/>
  <c r="AL47" i="153" s="1"/>
  <c r="AW47" i="153"/>
  <c r="AY43" i="153"/>
  <c r="AL43" i="153" s="1"/>
  <c r="AW43" i="153"/>
  <c r="AM17" i="153"/>
  <c r="AI16" i="153"/>
  <c r="AI17" i="153" s="1"/>
  <c r="AW45" i="153"/>
  <c r="AY45" i="153"/>
  <c r="AL45" i="153" s="1"/>
  <c r="AY47" i="152"/>
  <c r="AL47" i="152" s="1"/>
  <c r="AW47" i="152"/>
  <c r="AY44" i="152"/>
  <c r="AL44" i="152" s="1"/>
  <c r="AW44" i="152"/>
  <c r="AY48" i="152"/>
  <c r="AL48" i="152" s="1"/>
  <c r="AW48" i="152"/>
  <c r="AP11" i="152"/>
  <c r="AY42" i="152"/>
  <c r="AL42" i="152" s="1"/>
  <c r="AW42" i="152"/>
  <c r="AI17" i="152"/>
  <c r="AY46" i="152"/>
  <c r="AL46" i="152" s="1"/>
  <c r="AW46" i="152"/>
  <c r="AY43" i="152"/>
  <c r="AL43" i="152" s="1"/>
  <c r="AW43" i="152"/>
  <c r="AM17" i="152"/>
  <c r="AI16" i="152"/>
  <c r="AW45" i="152"/>
  <c r="AY45" i="152"/>
  <c r="AL45" i="152" s="1"/>
  <c r="AW41" i="152"/>
  <c r="AY41" i="152"/>
  <c r="AL41" i="152" s="1"/>
  <c r="X17" i="152"/>
  <c r="AK9" i="151"/>
  <c r="H16" i="151"/>
  <c r="H17" i="151" s="1"/>
  <c r="AM15" i="151"/>
  <c r="AB9" i="151"/>
  <c r="AI15" i="151" s="1"/>
  <c r="AV44" i="151"/>
  <c r="AX41" i="151"/>
  <c r="AX42" i="151" s="1"/>
  <c r="AX43" i="151" s="1"/>
  <c r="AX44" i="151" s="1"/>
  <c r="AX45" i="151" s="1"/>
  <c r="AX46" i="151" s="1"/>
  <c r="AX47" i="151" s="1"/>
  <c r="AX48" i="151" s="1"/>
  <c r="AV42" i="151"/>
  <c r="AV43" i="151"/>
  <c r="AV45" i="151"/>
  <c r="AV47" i="151"/>
  <c r="AV41" i="151"/>
  <c r="AV48" i="151"/>
  <c r="AV46" i="151"/>
  <c r="AB8" i="151"/>
  <c r="AM16" i="151"/>
  <c r="K16" i="151"/>
  <c r="K17" i="151" s="1"/>
  <c r="AL9" i="151"/>
  <c r="N16" i="151"/>
  <c r="N17" i="151" s="1"/>
  <c r="AM9" i="151"/>
  <c r="AM15" i="150"/>
  <c r="AK9" i="150"/>
  <c r="H16" i="150"/>
  <c r="H17" i="150" s="1"/>
  <c r="AV47" i="150"/>
  <c r="AB8" i="150"/>
  <c r="AV44" i="150"/>
  <c r="AV42" i="150"/>
  <c r="AV46" i="150"/>
  <c r="AV48" i="150"/>
  <c r="AV41" i="150"/>
  <c r="AV43" i="150"/>
  <c r="AV45" i="150"/>
  <c r="AX41" i="150"/>
  <c r="AX42" i="150" s="1"/>
  <c r="AX43" i="150" s="1"/>
  <c r="AX44" i="150" s="1"/>
  <c r="AX45" i="150" s="1"/>
  <c r="AX46" i="150" s="1"/>
  <c r="AX47" i="150" s="1"/>
  <c r="AX48" i="150" s="1"/>
  <c r="AM16" i="150"/>
  <c r="AB9" i="150"/>
  <c r="N16" i="150"/>
  <c r="N17" i="150" s="1"/>
  <c r="AM9" i="150"/>
  <c r="AL9" i="150"/>
  <c r="K16" i="150"/>
  <c r="K17" i="150" s="1"/>
  <c r="AV45" i="149"/>
  <c r="AB8" i="149"/>
  <c r="H16" i="149"/>
  <c r="H17" i="149" s="1"/>
  <c r="AV46" i="149"/>
  <c r="AV48" i="149"/>
  <c r="AV43" i="149"/>
  <c r="AV42" i="149"/>
  <c r="AM15" i="149"/>
  <c r="AV41" i="149"/>
  <c r="AK9" i="149"/>
  <c r="AB9" i="149"/>
  <c r="AV44" i="149"/>
  <c r="AX41" i="149"/>
  <c r="AX42" i="149" s="1"/>
  <c r="AX43" i="149" s="1"/>
  <c r="AX44" i="149" s="1"/>
  <c r="AX45" i="149" s="1"/>
  <c r="AX46" i="149" s="1"/>
  <c r="AX47" i="149" s="1"/>
  <c r="AX48" i="149" s="1"/>
  <c r="AV47" i="149"/>
  <c r="AM16" i="149"/>
  <c r="K16" i="149"/>
  <c r="K17" i="149" s="1"/>
  <c r="AL9" i="149"/>
  <c r="N16" i="149"/>
  <c r="N17" i="149" s="1"/>
  <c r="AM9" i="149"/>
  <c r="H16" i="148"/>
  <c r="H17" i="148" s="1"/>
  <c r="AM15" i="148"/>
  <c r="AK9" i="148"/>
  <c r="AB9" i="148"/>
  <c r="AI15" i="148" s="1"/>
  <c r="AV44" i="148"/>
  <c r="AX41" i="148"/>
  <c r="AX42" i="148" s="1"/>
  <c r="AX43" i="148" s="1"/>
  <c r="AX44" i="148" s="1"/>
  <c r="AX45" i="148" s="1"/>
  <c r="AX46" i="148" s="1"/>
  <c r="AX47" i="148" s="1"/>
  <c r="AX48" i="148" s="1"/>
  <c r="AV45" i="148"/>
  <c r="AV42" i="148"/>
  <c r="AV43" i="148"/>
  <c r="AV46" i="148"/>
  <c r="AV48" i="148"/>
  <c r="AV47" i="148"/>
  <c r="AB8" i="148"/>
  <c r="AV41" i="148"/>
  <c r="AM16" i="148"/>
  <c r="K16" i="148"/>
  <c r="K17" i="148" s="1"/>
  <c r="AL9" i="148"/>
  <c r="AM9" i="148"/>
  <c r="N16" i="148"/>
  <c r="N17" i="148" s="1"/>
  <c r="AK9" i="119"/>
  <c r="AM15" i="119"/>
  <c r="H16" i="119"/>
  <c r="H17" i="119" s="1"/>
  <c r="AV48" i="119"/>
  <c r="AV42" i="119"/>
  <c r="AB9" i="119"/>
  <c r="AV43" i="119"/>
  <c r="AM16" i="119"/>
  <c r="AV41" i="119"/>
  <c r="AX41" i="119"/>
  <c r="AX42" i="119" s="1"/>
  <c r="AX43" i="119" s="1"/>
  <c r="AX44" i="119" s="1"/>
  <c r="AX45" i="119" s="1"/>
  <c r="AX46" i="119" s="1"/>
  <c r="AX47" i="119" s="1"/>
  <c r="AX48" i="119" s="1"/>
  <c r="AV46" i="119"/>
  <c r="AB8" i="119"/>
  <c r="AV45" i="119"/>
  <c r="AV44" i="119"/>
  <c r="AV47" i="119"/>
  <c r="K16" i="119"/>
  <c r="K17" i="119" s="1"/>
  <c r="AL9" i="119"/>
  <c r="AM9" i="119"/>
  <c r="N16" i="119"/>
  <c r="N17" i="119" s="1"/>
  <c r="AN9" i="117"/>
  <c r="P16" i="117"/>
  <c r="P17" i="117" s="1"/>
  <c r="AF6" i="117"/>
  <c r="AF7" i="117" s="1"/>
  <c r="D8" i="116"/>
  <c r="AJ9" i="116"/>
  <c r="F16" i="116"/>
  <c r="F17" i="116" s="1"/>
  <c r="Z15" i="116"/>
  <c r="Z16" i="116" s="1"/>
  <c r="Z17" i="116" s="1"/>
  <c r="AF6" i="116"/>
  <c r="AF7" i="116" s="1"/>
  <c r="AN9" i="116"/>
  <c r="P16" i="116"/>
  <c r="P17" i="116" s="1"/>
  <c r="Y22" i="116"/>
  <c r="Y24" i="116"/>
  <c r="AP9" i="115"/>
  <c r="V16" i="115"/>
  <c r="V17" i="115" s="1"/>
  <c r="AO9" i="115"/>
  <c r="R16" i="115"/>
  <c r="R17" i="115" s="1"/>
  <c r="AN9" i="115"/>
  <c r="P16" i="115"/>
  <c r="P17" i="115" s="1"/>
  <c r="AF6" i="115"/>
  <c r="AF7" i="115" s="1"/>
  <c r="P15" i="108"/>
  <c r="R15" i="108"/>
  <c r="V15" i="108"/>
  <c r="Y15" i="108"/>
  <c r="Y16" i="108" s="1"/>
  <c r="Y17" i="108" s="1"/>
  <c r="AI9" i="108"/>
  <c r="C16" i="108"/>
  <c r="C17" i="108" s="1"/>
  <c r="F15" i="108"/>
  <c r="V15" i="106"/>
  <c r="P15" i="106"/>
  <c r="R15" i="106"/>
  <c r="Y23" i="106"/>
  <c r="F15" i="106"/>
  <c r="AK48" i="105"/>
  <c r="AK47" i="105"/>
  <c r="AQ46" i="105"/>
  <c r="AN46" i="105"/>
  <c r="AS46" i="105" s="1"/>
  <c r="AK46" i="105"/>
  <c r="AQ45" i="105"/>
  <c r="AN45" i="105"/>
  <c r="AS45" i="105" s="1"/>
  <c r="AK45" i="105"/>
  <c r="AQ44" i="105"/>
  <c r="AN44" i="105"/>
  <c r="AS44" i="105" s="1"/>
  <c r="AK44" i="105"/>
  <c r="AQ43" i="105"/>
  <c r="AN43" i="105"/>
  <c r="AS43" i="105" s="1"/>
  <c r="AK43" i="105"/>
  <c r="AQ42" i="105"/>
  <c r="AN42" i="105"/>
  <c r="AS42" i="105" s="1"/>
  <c r="AK42" i="105"/>
  <c r="AQ41" i="105"/>
  <c r="AN41" i="105"/>
  <c r="AS41" i="105" s="1"/>
  <c r="AK41" i="105"/>
  <c r="AL32" i="105"/>
  <c r="AX31" i="105"/>
  <c r="AS31" i="105"/>
  <c r="AT31" i="105" s="1"/>
  <c r="AO31" i="105"/>
  <c r="AJ31" i="105"/>
  <c r="AK31" i="105" s="1"/>
  <c r="AX30" i="105"/>
  <c r="AO30" i="105"/>
  <c r="AQ29" i="105"/>
  <c r="AX28" i="105" a="1"/>
  <c r="AX29" i="105" s="1"/>
  <c r="AQ28" i="105"/>
  <c r="AO28" i="105" a="1"/>
  <c r="AO29" i="105" s="1"/>
  <c r="AX27" i="105"/>
  <c r="AQ27" i="105"/>
  <c r="X27" i="105"/>
  <c r="Y27" i="105" s="1"/>
  <c r="W27" i="105"/>
  <c r="AX26" i="105"/>
  <c r="AW26" i="105"/>
  <c r="AV26" i="105"/>
  <c r="AU26" i="105"/>
  <c r="AQ26" i="105"/>
  <c r="AO26" i="105"/>
  <c r="AN26" i="105"/>
  <c r="AM26" i="105"/>
  <c r="AL26" i="105"/>
  <c r="I8" i="105" s="1"/>
  <c r="X26" i="105"/>
  <c r="Y26" i="105" s="1"/>
  <c r="W26" i="105"/>
  <c r="AX25" i="105"/>
  <c r="AW25" i="105"/>
  <c r="AV25" i="105"/>
  <c r="AU25" i="105"/>
  <c r="AQ25" i="105"/>
  <c r="AO25" i="105"/>
  <c r="AN25" i="105"/>
  <c r="AM25" i="105"/>
  <c r="AL25" i="105"/>
  <c r="X25" i="105"/>
  <c r="Y25" i="105" s="1"/>
  <c r="W25" i="105"/>
  <c r="AQ24" i="105"/>
  <c r="X24" i="105"/>
  <c r="Y24" i="105" s="1"/>
  <c r="W24" i="105"/>
  <c r="AW23" i="105"/>
  <c r="AV23" i="105"/>
  <c r="AU23" i="105"/>
  <c r="AQ23" i="105"/>
  <c r="AO23" i="105"/>
  <c r="AN23" i="105"/>
  <c r="G8" i="105" s="1"/>
  <c r="AM23" i="105"/>
  <c r="AL23" i="105"/>
  <c r="W23" i="105"/>
  <c r="X23" i="105" s="1"/>
  <c r="Y23" i="105" s="1"/>
  <c r="AW22" i="105"/>
  <c r="AV22" i="105"/>
  <c r="AU22" i="105"/>
  <c r="AQ22" i="105"/>
  <c r="AN22" i="105"/>
  <c r="AM22" i="105"/>
  <c r="AL22" i="105"/>
  <c r="W22" i="105"/>
  <c r="X22" i="105" s="1"/>
  <c r="Y22" i="105" s="1"/>
  <c r="AQ21" i="105"/>
  <c r="W21" i="105"/>
  <c r="X21" i="105" s="1"/>
  <c r="Y21" i="105" s="1"/>
  <c r="Y17" i="105"/>
  <c r="AD16" i="105"/>
  <c r="AD17" i="105" s="1"/>
  <c r="Y16" i="105"/>
  <c r="X16" i="105"/>
  <c r="C16" i="105"/>
  <c r="C17" i="105" s="1"/>
  <c r="AB15" i="105"/>
  <c r="Z15" i="105"/>
  <c r="Z16" i="105" s="1"/>
  <c r="Z17" i="105" s="1"/>
  <c r="Y15" i="105"/>
  <c r="F15" i="105"/>
  <c r="C15" i="105"/>
  <c r="X14" i="105"/>
  <c r="P14" i="105"/>
  <c r="N14" i="105"/>
  <c r="K14" i="105"/>
  <c r="H14" i="105"/>
  <c r="F14" i="105"/>
  <c r="C14" i="105"/>
  <c r="AJ9" i="105"/>
  <c r="AI9" i="105"/>
  <c r="AF8" i="105"/>
  <c r="AF9" i="105" s="1"/>
  <c r="D8" i="105"/>
  <c r="AP7" i="105"/>
  <c r="AO7" i="105"/>
  <c r="AN7" i="105"/>
  <c r="AM7" i="105"/>
  <c r="AL7" i="105"/>
  <c r="AK7" i="105"/>
  <c r="AJ7" i="105"/>
  <c r="AI7" i="105"/>
  <c r="AO27" i="104"/>
  <c r="AL32" i="104"/>
  <c r="AK48" i="104"/>
  <c r="AK47" i="104"/>
  <c r="AQ46" i="104"/>
  <c r="AN46" i="104"/>
  <c r="AS46" i="104" s="1"/>
  <c r="AK46" i="104"/>
  <c r="AQ45" i="104"/>
  <c r="AN45" i="104"/>
  <c r="AS45" i="104" s="1"/>
  <c r="AK45" i="104"/>
  <c r="AQ44" i="104"/>
  <c r="AN44" i="104"/>
  <c r="AS44" i="104" s="1"/>
  <c r="AK44" i="104"/>
  <c r="AQ43" i="104"/>
  <c r="AN43" i="104"/>
  <c r="AS43" i="104" s="1"/>
  <c r="AK43" i="104"/>
  <c r="AQ42" i="104"/>
  <c r="AN42" i="104"/>
  <c r="AS42" i="104" s="1"/>
  <c r="AK42" i="104"/>
  <c r="AQ41" i="104"/>
  <c r="AN41" i="104"/>
  <c r="AS41" i="104" s="1"/>
  <c r="AK41" i="104"/>
  <c r="AX31" i="104"/>
  <c r="AS31" i="104"/>
  <c r="AT31" i="104" s="1"/>
  <c r="AO31" i="104"/>
  <c r="AJ31" i="104"/>
  <c r="AK31" i="104" s="1"/>
  <c r="AX30" i="104"/>
  <c r="AO30" i="104"/>
  <c r="AQ29" i="104"/>
  <c r="AX28" i="104" a="1"/>
  <c r="AX29" i="104" s="1"/>
  <c r="AQ28" i="104"/>
  <c r="AO28" i="104" a="1"/>
  <c r="AO29" i="104" s="1"/>
  <c r="AX27" i="104"/>
  <c r="AQ27" i="104"/>
  <c r="W27" i="104"/>
  <c r="X27" i="104" s="1"/>
  <c r="AX26" i="104"/>
  <c r="AW26" i="104"/>
  <c r="AV26" i="104"/>
  <c r="AU26" i="104"/>
  <c r="AQ26" i="104"/>
  <c r="AO26" i="104"/>
  <c r="AN26" i="104"/>
  <c r="AM26" i="104"/>
  <c r="AL26" i="104"/>
  <c r="I8" i="104" s="1"/>
  <c r="W26" i="104"/>
  <c r="X26" i="104" s="1"/>
  <c r="AX25" i="104"/>
  <c r="AW25" i="104"/>
  <c r="AV25" i="104"/>
  <c r="AU25" i="104"/>
  <c r="AQ25" i="104"/>
  <c r="AO25" i="104"/>
  <c r="AN25" i="104"/>
  <c r="AM25" i="104"/>
  <c r="AL25" i="104"/>
  <c r="W25" i="104"/>
  <c r="X25" i="104" s="1"/>
  <c r="AQ24" i="104"/>
  <c r="X24" i="104"/>
  <c r="W24" i="104"/>
  <c r="AW23" i="104"/>
  <c r="AV23" i="104"/>
  <c r="AU23" i="104"/>
  <c r="AQ23" i="104"/>
  <c r="AO23" i="104"/>
  <c r="AN23" i="104"/>
  <c r="AM23" i="104"/>
  <c r="AL23" i="104"/>
  <c r="W23" i="104"/>
  <c r="X23" i="104" s="1"/>
  <c r="AW22" i="104"/>
  <c r="AV22" i="104"/>
  <c r="AU22" i="104"/>
  <c r="AQ22" i="104"/>
  <c r="AN22" i="104"/>
  <c r="AM22" i="104"/>
  <c r="AL22" i="104"/>
  <c r="X22" i="104"/>
  <c r="W22" i="104"/>
  <c r="AQ21" i="104"/>
  <c r="W21" i="104"/>
  <c r="X21" i="104" s="1"/>
  <c r="AD16" i="104"/>
  <c r="AD17" i="104" s="1"/>
  <c r="X16" i="104"/>
  <c r="AB15" i="104"/>
  <c r="C15" i="104"/>
  <c r="C16" i="104" s="1"/>
  <c r="C17" i="104" s="1"/>
  <c r="X14" i="104"/>
  <c r="P14" i="104"/>
  <c r="N14" i="104"/>
  <c r="K14" i="104"/>
  <c r="H14" i="104"/>
  <c r="F14" i="104"/>
  <c r="C14" i="104"/>
  <c r="AF8" i="104"/>
  <c r="AF9" i="104" s="1"/>
  <c r="G8" i="104"/>
  <c r="AP7" i="104"/>
  <c r="AO7" i="104"/>
  <c r="AN7" i="104"/>
  <c r="AM7" i="104"/>
  <c r="AL7" i="104"/>
  <c r="AK7" i="104"/>
  <c r="AJ7" i="104"/>
  <c r="AI7" i="104"/>
  <c r="AI17" i="157" l="1"/>
  <c r="AI17" i="156"/>
  <c r="AI17" i="154"/>
  <c r="AY43" i="151"/>
  <c r="AL43" i="151" s="1"/>
  <c r="AW43" i="151"/>
  <c r="AW41" i="151"/>
  <c r="AY41" i="151"/>
  <c r="AL41" i="151" s="1"/>
  <c r="AY47" i="151"/>
  <c r="AL47" i="151" s="1"/>
  <c r="AW47" i="151"/>
  <c r="AW45" i="151"/>
  <c r="AY45" i="151"/>
  <c r="AL45" i="151" s="1"/>
  <c r="AY42" i="151"/>
  <c r="AL42" i="151" s="1"/>
  <c r="AW42" i="151"/>
  <c r="AY44" i="151"/>
  <c r="AL44" i="151" s="1"/>
  <c r="AW44" i="151"/>
  <c r="AM17" i="151"/>
  <c r="AI16" i="151"/>
  <c r="AI17" i="151" s="1"/>
  <c r="AY46" i="151"/>
  <c r="AL46" i="151" s="1"/>
  <c r="AW46" i="151"/>
  <c r="X17" i="151"/>
  <c r="AY48" i="151"/>
  <c r="AL48" i="151" s="1"/>
  <c r="AW48" i="151"/>
  <c r="AP11" i="151"/>
  <c r="AY43" i="150"/>
  <c r="AL43" i="150" s="1"/>
  <c r="AW43" i="150"/>
  <c r="AY48" i="150"/>
  <c r="AL48" i="150" s="1"/>
  <c r="AW48" i="150"/>
  <c r="AY42" i="150"/>
  <c r="AL42" i="150" s="1"/>
  <c r="AW42" i="150"/>
  <c r="AY41" i="150"/>
  <c r="AL41" i="150" s="1"/>
  <c r="AW41" i="150"/>
  <c r="AY47" i="150"/>
  <c r="AL47" i="150" s="1"/>
  <c r="AW47" i="150"/>
  <c r="AM17" i="150"/>
  <c r="AI16" i="150"/>
  <c r="X17" i="150"/>
  <c r="AY46" i="150"/>
  <c r="AL46" i="150" s="1"/>
  <c r="AW46" i="150"/>
  <c r="AY44" i="150"/>
  <c r="AL44" i="150" s="1"/>
  <c r="AW44" i="150"/>
  <c r="AI15" i="150"/>
  <c r="AP11" i="150"/>
  <c r="AY45" i="150"/>
  <c r="AL45" i="150" s="1"/>
  <c r="AW45" i="150"/>
  <c r="AP11" i="149"/>
  <c r="AM17" i="149"/>
  <c r="AI16" i="149"/>
  <c r="AI15" i="149"/>
  <c r="AW42" i="149"/>
  <c r="AY42" i="149"/>
  <c r="AL42" i="149" s="1"/>
  <c r="AW43" i="149"/>
  <c r="AY43" i="149"/>
  <c r="AL43" i="149" s="1"/>
  <c r="AY48" i="149"/>
  <c r="AL48" i="149" s="1"/>
  <c r="AW48" i="149"/>
  <c r="AY46" i="149"/>
  <c r="AL46" i="149" s="1"/>
  <c r="AW46" i="149"/>
  <c r="AY41" i="149"/>
  <c r="AL41" i="149" s="1"/>
  <c r="AW41" i="149"/>
  <c r="AY47" i="149"/>
  <c r="AL47" i="149" s="1"/>
  <c r="AW47" i="149"/>
  <c r="X17" i="149"/>
  <c r="AY44" i="149"/>
  <c r="AL44" i="149" s="1"/>
  <c r="AW44" i="149"/>
  <c r="AY45" i="149"/>
  <c r="AL45" i="149" s="1"/>
  <c r="AW45" i="149"/>
  <c r="AY43" i="148"/>
  <c r="AL43" i="148" s="1"/>
  <c r="AW43" i="148"/>
  <c r="AY46" i="148"/>
  <c r="AL46" i="148" s="1"/>
  <c r="AW46" i="148"/>
  <c r="AY42" i="148"/>
  <c r="AL42" i="148" s="1"/>
  <c r="AW42" i="148"/>
  <c r="AW45" i="148"/>
  <c r="AY45" i="148"/>
  <c r="AL45" i="148" s="1"/>
  <c r="AY44" i="148"/>
  <c r="AL44" i="148" s="1"/>
  <c r="AW44" i="148"/>
  <c r="AY48" i="148"/>
  <c r="AL48" i="148" s="1"/>
  <c r="AW48" i="148"/>
  <c r="AP11" i="148"/>
  <c r="AW41" i="148"/>
  <c r="AY41" i="148"/>
  <c r="AL41" i="148" s="1"/>
  <c r="AM17" i="148"/>
  <c r="AI16" i="148"/>
  <c r="AI17" i="148" s="1"/>
  <c r="AY47" i="148"/>
  <c r="AL47" i="148" s="1"/>
  <c r="AW47" i="148"/>
  <c r="X17" i="148"/>
  <c r="AI16" i="119"/>
  <c r="AM17" i="119"/>
  <c r="AY43" i="119"/>
  <c r="AL43" i="119" s="1"/>
  <c r="AW43" i="119"/>
  <c r="AY42" i="119"/>
  <c r="AL42" i="119" s="1"/>
  <c r="AW42" i="119"/>
  <c r="AY48" i="119"/>
  <c r="AL48" i="119" s="1"/>
  <c r="AW48" i="119"/>
  <c r="AY47" i="119"/>
  <c r="AL47" i="119" s="1"/>
  <c r="AW47" i="119"/>
  <c r="X17" i="119"/>
  <c r="AY46" i="119"/>
  <c r="AL46" i="119" s="1"/>
  <c r="AW46" i="119"/>
  <c r="AY41" i="119"/>
  <c r="AL41" i="119" s="1"/>
  <c r="AW41" i="119"/>
  <c r="AY44" i="119"/>
  <c r="AL44" i="119" s="1"/>
  <c r="AW44" i="119"/>
  <c r="AY45" i="119"/>
  <c r="AL45" i="119" s="1"/>
  <c r="AW45" i="119"/>
  <c r="AP11" i="119"/>
  <c r="AI15" i="119"/>
  <c r="N15" i="117"/>
  <c r="K15" i="117"/>
  <c r="H15" i="117"/>
  <c r="AB16" i="117"/>
  <c r="AB17" i="117" s="1"/>
  <c r="N15" i="116"/>
  <c r="K15" i="116"/>
  <c r="H15" i="116"/>
  <c r="AB16" i="116"/>
  <c r="AB17" i="116" s="1"/>
  <c r="K15" i="115"/>
  <c r="H15" i="115"/>
  <c r="AB16" i="115"/>
  <c r="AB17" i="115" s="1"/>
  <c r="N15" i="115"/>
  <c r="Y25" i="108"/>
  <c r="Y24" i="108"/>
  <c r="Z15" i="108"/>
  <c r="Z16" i="108" s="1"/>
  <c r="Z17" i="108" s="1"/>
  <c r="Y21" i="108"/>
  <c r="Y23" i="108"/>
  <c r="Y26" i="108"/>
  <c r="AO9" i="108"/>
  <c r="R16" i="108"/>
  <c r="R17" i="108" s="1"/>
  <c r="F16" i="108"/>
  <c r="F17" i="108" s="1"/>
  <c r="D8" i="108"/>
  <c r="AJ9" i="108"/>
  <c r="AF6" i="108"/>
  <c r="AF7" i="108" s="1"/>
  <c r="Y22" i="108"/>
  <c r="Y27" i="108"/>
  <c r="AP9" i="108"/>
  <c r="V16" i="108"/>
  <c r="V17" i="108" s="1"/>
  <c r="P16" i="108"/>
  <c r="P17" i="108" s="1"/>
  <c r="AN9" i="108"/>
  <c r="AO9" i="106"/>
  <c r="R16" i="106"/>
  <c r="R17" i="106" s="1"/>
  <c r="P16" i="106"/>
  <c r="P17" i="106" s="1"/>
  <c r="AN9" i="106"/>
  <c r="AJ9" i="106"/>
  <c r="F16" i="106"/>
  <c r="F17" i="106" s="1"/>
  <c r="Z15" i="106"/>
  <c r="Z16" i="106" s="1"/>
  <c r="Z17" i="106" s="1"/>
  <c r="D8" i="106"/>
  <c r="AF6" i="106"/>
  <c r="AF7" i="106" s="1"/>
  <c r="V16" i="106"/>
  <c r="V17" i="106" s="1"/>
  <c r="AP9" i="106"/>
  <c r="Y26" i="106"/>
  <c r="Y24" i="106"/>
  <c r="Y27" i="106"/>
  <c r="Y25" i="106"/>
  <c r="Y22" i="106"/>
  <c r="Y21" i="106"/>
  <c r="V15" i="105"/>
  <c r="R15" i="105"/>
  <c r="P15" i="105"/>
  <c r="AF6" i="105" s="1"/>
  <c r="AF7" i="105" s="1"/>
  <c r="F16" i="105"/>
  <c r="F17" i="105" s="1"/>
  <c r="Y22" i="104"/>
  <c r="P15" i="104"/>
  <c r="V15" i="104"/>
  <c r="R15" i="104"/>
  <c r="AI9" i="104"/>
  <c r="Y15" i="104"/>
  <c r="Y16" i="104" s="1"/>
  <c r="Y17" i="104" s="1"/>
  <c r="F15" i="104"/>
  <c r="Y26" i="104" s="1"/>
  <c r="AI17" i="150" l="1"/>
  <c r="AI17" i="149"/>
  <c r="AI17" i="119"/>
  <c r="K16" i="117"/>
  <c r="K17" i="117" s="1"/>
  <c r="AL9" i="117"/>
  <c r="AV45" i="117"/>
  <c r="AV41" i="117"/>
  <c r="AB8" i="117"/>
  <c r="H16" i="117"/>
  <c r="H17" i="117" s="1"/>
  <c r="AM15" i="117"/>
  <c r="AK9" i="117"/>
  <c r="AB9" i="117"/>
  <c r="AV44" i="117"/>
  <c r="AV43" i="117"/>
  <c r="AV42" i="117"/>
  <c r="AV46" i="117"/>
  <c r="AV47" i="117"/>
  <c r="AX41" i="117"/>
  <c r="AX42" i="117" s="1"/>
  <c r="AX43" i="117" s="1"/>
  <c r="AX44" i="117" s="1"/>
  <c r="AX45" i="117" s="1"/>
  <c r="AX46" i="117" s="1"/>
  <c r="AX47" i="117" s="1"/>
  <c r="AX48" i="117" s="1"/>
  <c r="AV48" i="117"/>
  <c r="AM16" i="117"/>
  <c r="AM9" i="117"/>
  <c r="N16" i="117"/>
  <c r="N17" i="117" s="1"/>
  <c r="AM9" i="116"/>
  <c r="N16" i="116"/>
  <c r="N17" i="116" s="1"/>
  <c r="H16" i="116"/>
  <c r="H17" i="116" s="1"/>
  <c r="AK9" i="116"/>
  <c r="AM15" i="116"/>
  <c r="AV41" i="116"/>
  <c r="AV45" i="116"/>
  <c r="AV46" i="116"/>
  <c r="AV42" i="116"/>
  <c r="AB8" i="116"/>
  <c r="AX41" i="116"/>
  <c r="AX42" i="116" s="1"/>
  <c r="AX43" i="116" s="1"/>
  <c r="AX44" i="116" s="1"/>
  <c r="AX45" i="116" s="1"/>
  <c r="AX46" i="116" s="1"/>
  <c r="AX47" i="116" s="1"/>
  <c r="AX48" i="116" s="1"/>
  <c r="AM16" i="116"/>
  <c r="AV43" i="116"/>
  <c r="AB9" i="116"/>
  <c r="AV48" i="116"/>
  <c r="AV47" i="116"/>
  <c r="AV44" i="116"/>
  <c r="K16" i="116"/>
  <c r="K17" i="116" s="1"/>
  <c r="AL9" i="116"/>
  <c r="AL9" i="115"/>
  <c r="K16" i="115"/>
  <c r="K17" i="115" s="1"/>
  <c r="AM9" i="115"/>
  <c r="N16" i="115"/>
  <c r="N17" i="115" s="1"/>
  <c r="H16" i="115"/>
  <c r="H17" i="115" s="1"/>
  <c r="AM15" i="115"/>
  <c r="AK9" i="115"/>
  <c r="AV46" i="115"/>
  <c r="AV43" i="115"/>
  <c r="AV45" i="115"/>
  <c r="AB8" i="115"/>
  <c r="AV41" i="115"/>
  <c r="AX41" i="115"/>
  <c r="AX42" i="115" s="1"/>
  <c r="AX43" i="115" s="1"/>
  <c r="AX44" i="115" s="1"/>
  <c r="AX45" i="115" s="1"/>
  <c r="AX46" i="115" s="1"/>
  <c r="AX47" i="115" s="1"/>
  <c r="AX48" i="115" s="1"/>
  <c r="AV44" i="115"/>
  <c r="AV48" i="115"/>
  <c r="AV47" i="115"/>
  <c r="AV42" i="115"/>
  <c r="AB9" i="115"/>
  <c r="AI15" i="115" s="1"/>
  <c r="AM16" i="115"/>
  <c r="N15" i="108"/>
  <c r="K15" i="108"/>
  <c r="H15" i="108"/>
  <c r="AB16" i="108"/>
  <c r="AB17" i="108" s="1"/>
  <c r="N15" i="106"/>
  <c r="K15" i="106"/>
  <c r="H15" i="106"/>
  <c r="AB16" i="106"/>
  <c r="AB17" i="106" s="1"/>
  <c r="K15" i="105"/>
  <c r="H15" i="105"/>
  <c r="N15" i="105"/>
  <c r="AN9" i="105"/>
  <c r="P16" i="105"/>
  <c r="P17" i="105" s="1"/>
  <c r="AO9" i="105"/>
  <c r="R16" i="105"/>
  <c r="R17" i="105" s="1"/>
  <c r="AP9" i="105"/>
  <c r="V16" i="105"/>
  <c r="V17" i="105" s="1"/>
  <c r="AB16" i="105"/>
  <c r="AB17" i="105" s="1"/>
  <c r="Y23" i="104"/>
  <c r="AP9" i="104"/>
  <c r="V16" i="104"/>
  <c r="V17" i="104" s="1"/>
  <c r="F16" i="104"/>
  <c r="F17" i="104" s="1"/>
  <c r="D8" i="104"/>
  <c r="Z15" i="104"/>
  <c r="Z16" i="104" s="1"/>
  <c r="Z17" i="104" s="1"/>
  <c r="AJ9" i="104"/>
  <c r="AF6" i="104"/>
  <c r="AF7" i="104" s="1"/>
  <c r="Y21" i="104"/>
  <c r="Y25" i="104"/>
  <c r="AO9" i="104"/>
  <c r="R16" i="104"/>
  <c r="R17" i="104" s="1"/>
  <c r="AN9" i="104"/>
  <c r="P16" i="104"/>
  <c r="P17" i="104" s="1"/>
  <c r="Y27" i="104"/>
  <c r="Y24" i="104"/>
  <c r="AP11" i="117" l="1"/>
  <c r="AY43" i="117"/>
  <c r="AL43" i="117" s="1"/>
  <c r="AW43" i="117"/>
  <c r="AM17" i="117"/>
  <c r="AI16" i="117"/>
  <c r="AY47" i="117"/>
  <c r="AL47" i="117" s="1"/>
  <c r="AW47" i="117"/>
  <c r="AY45" i="117"/>
  <c r="AL45" i="117" s="1"/>
  <c r="AW45" i="117"/>
  <c r="X17" i="117"/>
  <c r="AY46" i="117"/>
  <c r="AL46" i="117" s="1"/>
  <c r="AW46" i="117"/>
  <c r="AY44" i="117"/>
  <c r="AL44" i="117" s="1"/>
  <c r="AW44" i="117"/>
  <c r="AI15" i="117"/>
  <c r="AY48" i="117"/>
  <c r="AL48" i="117" s="1"/>
  <c r="AW48" i="117"/>
  <c r="AY41" i="117"/>
  <c r="AL41" i="117" s="1"/>
  <c r="AW41" i="117"/>
  <c r="AY42" i="117"/>
  <c r="AL42" i="117" s="1"/>
  <c r="AW42" i="117"/>
  <c r="AY46" i="116"/>
  <c r="AL46" i="116" s="1"/>
  <c r="AW46" i="116"/>
  <c r="AY47" i="116"/>
  <c r="AL47" i="116" s="1"/>
  <c r="AW47" i="116"/>
  <c r="AP11" i="116"/>
  <c r="X17" i="116"/>
  <c r="AY43" i="116"/>
  <c r="AL43" i="116" s="1"/>
  <c r="AW43" i="116"/>
  <c r="AY42" i="116"/>
  <c r="AL42" i="116" s="1"/>
  <c r="AW42" i="116"/>
  <c r="AY45" i="116"/>
  <c r="AL45" i="116" s="1"/>
  <c r="AW45" i="116"/>
  <c r="AY41" i="116"/>
  <c r="AL41" i="116" s="1"/>
  <c r="AW41" i="116"/>
  <c r="AY44" i="116"/>
  <c r="AL44" i="116" s="1"/>
  <c r="AW44" i="116"/>
  <c r="AY48" i="116"/>
  <c r="AL48" i="116" s="1"/>
  <c r="AW48" i="116"/>
  <c r="AM17" i="116"/>
  <c r="AI16" i="116"/>
  <c r="AI15" i="116"/>
  <c r="AI17" i="116" s="1"/>
  <c r="AP11" i="115"/>
  <c r="X17" i="115"/>
  <c r="AY43" i="115"/>
  <c r="AL43" i="115" s="1"/>
  <c r="AW43" i="115"/>
  <c r="AY47" i="115"/>
  <c r="AL47" i="115" s="1"/>
  <c r="AW47" i="115"/>
  <c r="AW46" i="115"/>
  <c r="AY46" i="115"/>
  <c r="AL46" i="115" s="1"/>
  <c r="AY42" i="115"/>
  <c r="AL42" i="115" s="1"/>
  <c r="AW42" i="115"/>
  <c r="AW45" i="115"/>
  <c r="AY45" i="115"/>
  <c r="AL45" i="115" s="1"/>
  <c r="AY44" i="115"/>
  <c r="AL44" i="115" s="1"/>
  <c r="AW44" i="115"/>
  <c r="AM17" i="115"/>
  <c r="AI16" i="115"/>
  <c r="AI17" i="115" s="1"/>
  <c r="AW48" i="115"/>
  <c r="AY48" i="115"/>
  <c r="AL48" i="115" s="1"/>
  <c r="AW41" i="115"/>
  <c r="AY41" i="115"/>
  <c r="AL41" i="115" s="1"/>
  <c r="AM9" i="108"/>
  <c r="N16" i="108"/>
  <c r="N17" i="108" s="1"/>
  <c r="H16" i="108"/>
  <c r="H17" i="108" s="1"/>
  <c r="AM15" i="108"/>
  <c r="AK9" i="108"/>
  <c r="AV47" i="108"/>
  <c r="AV45" i="108"/>
  <c r="AV43" i="108"/>
  <c r="AB8" i="108"/>
  <c r="AV44" i="108"/>
  <c r="AB9" i="108"/>
  <c r="AV48" i="108"/>
  <c r="AM16" i="108"/>
  <c r="AX41" i="108"/>
  <c r="AX42" i="108" s="1"/>
  <c r="AX43" i="108" s="1"/>
  <c r="AX44" i="108" s="1"/>
  <c r="AX45" i="108" s="1"/>
  <c r="AX46" i="108" s="1"/>
  <c r="AX47" i="108" s="1"/>
  <c r="AX48" i="108" s="1"/>
  <c r="AV46" i="108"/>
  <c r="AV41" i="108"/>
  <c r="AV42" i="108"/>
  <c r="K16" i="108"/>
  <c r="K17" i="108" s="1"/>
  <c r="AL9" i="108"/>
  <c r="H16" i="106"/>
  <c r="H17" i="106" s="1"/>
  <c r="AK9" i="106"/>
  <c r="AM15" i="106"/>
  <c r="AX41" i="106"/>
  <c r="AX42" i="106" s="1"/>
  <c r="AX43" i="106" s="1"/>
  <c r="AX44" i="106" s="1"/>
  <c r="AX45" i="106" s="1"/>
  <c r="AX46" i="106" s="1"/>
  <c r="AX47" i="106" s="1"/>
  <c r="AX48" i="106" s="1"/>
  <c r="AV44" i="106"/>
  <c r="AV46" i="106"/>
  <c r="AM16" i="106"/>
  <c r="AV42" i="106"/>
  <c r="AB9" i="106"/>
  <c r="AV48" i="106"/>
  <c r="AV41" i="106"/>
  <c r="AV43" i="106"/>
  <c r="AV47" i="106"/>
  <c r="AV45" i="106"/>
  <c r="AB8" i="106"/>
  <c r="K16" i="106"/>
  <c r="K17" i="106" s="1"/>
  <c r="AL9" i="106"/>
  <c r="N16" i="106"/>
  <c r="N17" i="106" s="1"/>
  <c r="AM9" i="106"/>
  <c r="AM16" i="105"/>
  <c r="AM9" i="105"/>
  <c r="N16" i="105"/>
  <c r="N17" i="105" s="1"/>
  <c r="H16" i="105"/>
  <c r="H17" i="105" s="1"/>
  <c r="AM15" i="105"/>
  <c r="AK9" i="105"/>
  <c r="AV44" i="105"/>
  <c r="AV48" i="105"/>
  <c r="AV45" i="105"/>
  <c r="AB8" i="105"/>
  <c r="AV41" i="105"/>
  <c r="AB9" i="105"/>
  <c r="AI15" i="105" s="1"/>
  <c r="AV43" i="105"/>
  <c r="AV47" i="105"/>
  <c r="AV42" i="105"/>
  <c r="AX41" i="105"/>
  <c r="AX42" i="105" s="1"/>
  <c r="AX43" i="105" s="1"/>
  <c r="AX44" i="105" s="1"/>
  <c r="AX45" i="105" s="1"/>
  <c r="AX46" i="105" s="1"/>
  <c r="AX47" i="105" s="1"/>
  <c r="AX48" i="105" s="1"/>
  <c r="AV46" i="105"/>
  <c r="AL9" i="105"/>
  <c r="K16" i="105"/>
  <c r="K17" i="105" s="1"/>
  <c r="H15" i="104"/>
  <c r="AB16" i="104"/>
  <c r="AB17" i="104" s="1"/>
  <c r="K15" i="104"/>
  <c r="N15" i="104"/>
  <c r="AI17" i="117" l="1"/>
  <c r="AM17" i="108"/>
  <c r="AI16" i="108"/>
  <c r="AY44" i="108"/>
  <c r="AL44" i="108" s="1"/>
  <c r="AW44" i="108"/>
  <c r="AY43" i="108"/>
  <c r="AL43" i="108" s="1"/>
  <c r="AW43" i="108"/>
  <c r="AY45" i="108"/>
  <c r="AL45" i="108" s="1"/>
  <c r="AW45" i="108"/>
  <c r="AY42" i="108"/>
  <c r="AL42" i="108" s="1"/>
  <c r="AW42" i="108"/>
  <c r="AP11" i="108"/>
  <c r="AI15" i="108"/>
  <c r="AI17" i="108" s="1"/>
  <c r="X17" i="108"/>
  <c r="AY47" i="108"/>
  <c r="AL47" i="108" s="1"/>
  <c r="AW47" i="108"/>
  <c r="AW41" i="108"/>
  <c r="AY41" i="108"/>
  <c r="AL41" i="108" s="1"/>
  <c r="AY46" i="108"/>
  <c r="AL46" i="108" s="1"/>
  <c r="AW46" i="108"/>
  <c r="AY48" i="108"/>
  <c r="AL48" i="108" s="1"/>
  <c r="AW48" i="108"/>
  <c r="AW41" i="106"/>
  <c r="AY41" i="106"/>
  <c r="AL41" i="106" s="1"/>
  <c r="AY48" i="106"/>
  <c r="AL48" i="106" s="1"/>
  <c r="AW48" i="106"/>
  <c r="AY42" i="106"/>
  <c r="AL42" i="106" s="1"/>
  <c r="AW42" i="106"/>
  <c r="AY46" i="106"/>
  <c r="AL46" i="106" s="1"/>
  <c r="AW46" i="106"/>
  <c r="AP11" i="106"/>
  <c r="AI16" i="106"/>
  <c r="AM17" i="106"/>
  <c r="AY44" i="106"/>
  <c r="AL44" i="106" s="1"/>
  <c r="AW44" i="106"/>
  <c r="AI15" i="106"/>
  <c r="AY45" i="106"/>
  <c r="AL45" i="106" s="1"/>
  <c r="AW45" i="106"/>
  <c r="AW47" i="106"/>
  <c r="AY47" i="106"/>
  <c r="AL47" i="106" s="1"/>
  <c r="AY43" i="106"/>
  <c r="AL43" i="106" s="1"/>
  <c r="AW43" i="106"/>
  <c r="X17" i="106"/>
  <c r="AY44" i="105"/>
  <c r="AL44" i="105" s="1"/>
  <c r="AW44" i="105"/>
  <c r="AM17" i="105"/>
  <c r="AI16" i="105"/>
  <c r="AI17" i="105" s="1"/>
  <c r="AY41" i="105"/>
  <c r="AL41" i="105" s="1"/>
  <c r="AW41" i="105"/>
  <c r="AY45" i="105"/>
  <c r="AL45" i="105" s="1"/>
  <c r="AW45" i="105"/>
  <c r="AY48" i="105"/>
  <c r="AL48" i="105" s="1"/>
  <c r="AW48" i="105"/>
  <c r="AP11" i="105"/>
  <c r="AY46" i="105"/>
  <c r="AL46" i="105" s="1"/>
  <c r="AW46" i="105"/>
  <c r="AY42" i="105"/>
  <c r="AL42" i="105" s="1"/>
  <c r="AW42" i="105"/>
  <c r="X17" i="105"/>
  <c r="AY47" i="105"/>
  <c r="AL47" i="105" s="1"/>
  <c r="AW47" i="105"/>
  <c r="AY43" i="105"/>
  <c r="AL43" i="105" s="1"/>
  <c r="AW43" i="105"/>
  <c r="AM9" i="104"/>
  <c r="N16" i="104"/>
  <c r="N17" i="104" s="1"/>
  <c r="AL9" i="104"/>
  <c r="K16" i="104"/>
  <c r="K17" i="104" s="1"/>
  <c r="AM15" i="104"/>
  <c r="AK9" i="104"/>
  <c r="AP11" i="104" s="1"/>
  <c r="H16" i="104"/>
  <c r="H17" i="104" s="1"/>
  <c r="X17" i="104" s="1"/>
  <c r="AV47" i="104"/>
  <c r="AV48" i="104"/>
  <c r="AB9" i="104"/>
  <c r="AV44" i="104"/>
  <c r="AV46" i="104"/>
  <c r="AB8" i="104"/>
  <c r="AV43" i="104"/>
  <c r="AV45" i="104"/>
  <c r="AX41" i="104"/>
  <c r="AX42" i="104" s="1"/>
  <c r="AX43" i="104" s="1"/>
  <c r="AX44" i="104" s="1"/>
  <c r="AX45" i="104" s="1"/>
  <c r="AX46" i="104" s="1"/>
  <c r="AX47" i="104" s="1"/>
  <c r="AX48" i="104" s="1"/>
  <c r="AV42" i="104"/>
  <c r="AM16" i="104"/>
  <c r="AV41" i="104"/>
  <c r="AI17" i="106" l="1"/>
  <c r="AY44" i="104"/>
  <c r="AL44" i="104" s="1"/>
  <c r="AW44" i="104"/>
  <c r="AY48" i="104"/>
  <c r="AL48" i="104" s="1"/>
  <c r="AW48" i="104"/>
  <c r="AY42" i="104"/>
  <c r="AL42" i="104" s="1"/>
  <c r="AW42" i="104"/>
  <c r="AI16" i="104"/>
  <c r="AM17" i="104"/>
  <c r="AY47" i="104"/>
  <c r="AL47" i="104" s="1"/>
  <c r="AW47" i="104"/>
  <c r="AY41" i="104"/>
  <c r="AL41" i="104" s="1"/>
  <c r="AW41" i="104"/>
  <c r="AY45" i="104"/>
  <c r="AL45" i="104" s="1"/>
  <c r="AW45" i="104"/>
  <c r="AI15" i="104"/>
  <c r="AY43" i="104"/>
  <c r="AL43" i="104" s="1"/>
  <c r="AW43" i="104"/>
  <c r="AY46" i="104"/>
  <c r="AL46" i="104" s="1"/>
  <c r="AW46" i="104"/>
  <c r="AI17" i="104" l="1"/>
  <c r="AK48" i="103"/>
  <c r="AK47" i="103"/>
  <c r="AQ46" i="103"/>
  <c r="AN46" i="103"/>
  <c r="AS46" i="103" s="1"/>
  <c r="AK46" i="103"/>
  <c r="AQ45" i="103"/>
  <c r="AN45" i="103"/>
  <c r="AS45" i="103" s="1"/>
  <c r="AK45" i="103"/>
  <c r="AQ44" i="103"/>
  <c r="AN44" i="103"/>
  <c r="AS44" i="103" s="1"/>
  <c r="AK44" i="103"/>
  <c r="AQ43" i="103"/>
  <c r="AN43" i="103"/>
  <c r="AS43" i="103" s="1"/>
  <c r="AK43" i="103"/>
  <c r="AQ42" i="103"/>
  <c r="AN42" i="103"/>
  <c r="AS42" i="103" s="1"/>
  <c r="AK42" i="103"/>
  <c r="AQ41" i="103"/>
  <c r="AN41" i="103"/>
  <c r="AS41" i="103" s="1"/>
  <c r="AK41" i="103"/>
  <c r="AX31" i="103"/>
  <c r="AT31" i="103"/>
  <c r="AS31" i="103"/>
  <c r="AO31" i="103"/>
  <c r="AK31" i="103"/>
  <c r="AJ31" i="103"/>
  <c r="AX30" i="103"/>
  <c r="AO30" i="103"/>
  <c r="AQ29" i="103"/>
  <c r="AX28" i="103" a="1"/>
  <c r="AX29" i="103" s="1"/>
  <c r="AQ28" i="103"/>
  <c r="AO28" i="103" a="1"/>
  <c r="AO29" i="103" s="1"/>
  <c r="AX27" i="103"/>
  <c r="AQ27" i="103"/>
  <c r="AO27" i="103"/>
  <c r="W27" i="103"/>
  <c r="X27" i="103" s="1"/>
  <c r="AX26" i="103"/>
  <c r="AW26" i="103"/>
  <c r="AV26" i="103"/>
  <c r="AU26" i="103"/>
  <c r="AQ26" i="103"/>
  <c r="AO26" i="103"/>
  <c r="AN26" i="103"/>
  <c r="AM26" i="103"/>
  <c r="AL26" i="103"/>
  <c r="I8" i="103" s="1"/>
  <c r="W26" i="103"/>
  <c r="X26" i="103" s="1"/>
  <c r="AX25" i="103"/>
  <c r="AW25" i="103"/>
  <c r="AV25" i="103"/>
  <c r="AU25" i="103"/>
  <c r="AQ25" i="103"/>
  <c r="AO25" i="103"/>
  <c r="AN25" i="103"/>
  <c r="AM25" i="103"/>
  <c r="AL25" i="103"/>
  <c r="W25" i="103"/>
  <c r="X25" i="103" s="1"/>
  <c r="AQ24" i="103"/>
  <c r="X24" i="103"/>
  <c r="W24" i="103"/>
  <c r="AW23" i="103"/>
  <c r="AV23" i="103"/>
  <c r="AU23" i="103"/>
  <c r="AQ23" i="103"/>
  <c r="AO23" i="103"/>
  <c r="AN23" i="103"/>
  <c r="G8" i="103" s="1"/>
  <c r="AM23" i="103"/>
  <c r="AL23" i="103"/>
  <c r="W23" i="103"/>
  <c r="X23" i="103" s="1"/>
  <c r="AW22" i="103"/>
  <c r="AV22" i="103"/>
  <c r="AU22" i="103"/>
  <c r="AQ22" i="103"/>
  <c r="AN22" i="103"/>
  <c r="AM22" i="103"/>
  <c r="AL22" i="103"/>
  <c r="X22" i="103"/>
  <c r="W22" i="103"/>
  <c r="AQ21" i="103"/>
  <c r="W21" i="103"/>
  <c r="X21" i="103" s="1"/>
  <c r="AD17" i="103"/>
  <c r="AD16" i="103"/>
  <c r="X16" i="103"/>
  <c r="AB15" i="103"/>
  <c r="C15" i="103"/>
  <c r="X14" i="103"/>
  <c r="P14" i="103"/>
  <c r="N14" i="103"/>
  <c r="K14" i="103"/>
  <c r="H14" i="103"/>
  <c r="F14" i="103"/>
  <c r="C14" i="103"/>
  <c r="AF8" i="103"/>
  <c r="AF9" i="103" s="1"/>
  <c r="AP7" i="103"/>
  <c r="AO7" i="103"/>
  <c r="AN7" i="103"/>
  <c r="AM7" i="103"/>
  <c r="AL7" i="103"/>
  <c r="AK7" i="103"/>
  <c r="AJ7" i="103"/>
  <c r="AI7" i="103"/>
  <c r="AK48" i="102"/>
  <c r="AK47" i="102"/>
  <c r="AQ46" i="102"/>
  <c r="AN46" i="102"/>
  <c r="AS46" i="102" s="1"/>
  <c r="AK46" i="102"/>
  <c r="AQ45" i="102"/>
  <c r="AN45" i="102"/>
  <c r="AS45" i="102" s="1"/>
  <c r="AK45" i="102"/>
  <c r="AQ44" i="102"/>
  <c r="AN44" i="102"/>
  <c r="AS44" i="102" s="1"/>
  <c r="AK44" i="102"/>
  <c r="AQ43" i="102"/>
  <c r="AN43" i="102"/>
  <c r="AS43" i="102" s="1"/>
  <c r="AK43" i="102"/>
  <c r="AQ42" i="102"/>
  <c r="AN42" i="102"/>
  <c r="AS42" i="102" s="1"/>
  <c r="AK42" i="102"/>
  <c r="AQ41" i="102"/>
  <c r="AN41" i="102"/>
  <c r="AS41" i="102" s="1"/>
  <c r="AK41" i="102"/>
  <c r="AX31" i="102"/>
  <c r="AS31" i="102"/>
  <c r="AT31" i="102" s="1"/>
  <c r="AO31" i="102"/>
  <c r="AK31" i="102"/>
  <c r="AJ31" i="102"/>
  <c r="AX30" i="102"/>
  <c r="AO30" i="102"/>
  <c r="AQ29" i="102"/>
  <c r="AX28" i="102" a="1"/>
  <c r="AX29" i="102" s="1"/>
  <c r="AQ28" i="102"/>
  <c r="AO28" i="102" a="1"/>
  <c r="AO29" i="102" s="1"/>
  <c r="AX27" i="102"/>
  <c r="AQ27" i="102"/>
  <c r="AO27" i="102"/>
  <c r="W27" i="102"/>
  <c r="X27" i="102" s="1"/>
  <c r="AX26" i="102"/>
  <c r="AW26" i="102"/>
  <c r="AV26" i="102"/>
  <c r="AU26" i="102"/>
  <c r="AQ26" i="102"/>
  <c r="AO26" i="102"/>
  <c r="AN26" i="102"/>
  <c r="AM26" i="102"/>
  <c r="AL26" i="102"/>
  <c r="I8" i="102" s="1"/>
  <c r="W26" i="102"/>
  <c r="X26" i="102" s="1"/>
  <c r="AX25" i="102"/>
  <c r="AW25" i="102"/>
  <c r="AV25" i="102"/>
  <c r="AU25" i="102"/>
  <c r="AQ25" i="102"/>
  <c r="AO25" i="102"/>
  <c r="AN25" i="102"/>
  <c r="AM25" i="102"/>
  <c r="AL25" i="102"/>
  <c r="W25" i="102"/>
  <c r="X25" i="102" s="1"/>
  <c r="AQ24" i="102"/>
  <c r="X24" i="102"/>
  <c r="W24" i="102"/>
  <c r="AW23" i="102"/>
  <c r="AV23" i="102"/>
  <c r="AU23" i="102"/>
  <c r="AQ23" i="102"/>
  <c r="AO23" i="102"/>
  <c r="AN23" i="102"/>
  <c r="AM23" i="102"/>
  <c r="AL23" i="102"/>
  <c r="W23" i="102"/>
  <c r="X23" i="102" s="1"/>
  <c r="AW22" i="102"/>
  <c r="AV22" i="102"/>
  <c r="AU22" i="102"/>
  <c r="AQ22" i="102"/>
  <c r="AN22" i="102"/>
  <c r="AM22" i="102"/>
  <c r="AL22" i="102"/>
  <c r="W22" i="102"/>
  <c r="X22" i="102" s="1"/>
  <c r="AQ21" i="102"/>
  <c r="W21" i="102"/>
  <c r="X21" i="102" s="1"/>
  <c r="AD17" i="102"/>
  <c r="AD16" i="102"/>
  <c r="X16" i="102"/>
  <c r="AB15" i="102"/>
  <c r="Y15" i="102"/>
  <c r="Y16" i="102" s="1"/>
  <c r="Y17" i="102" s="1"/>
  <c r="C15" i="102"/>
  <c r="C16" i="102" s="1"/>
  <c r="C17" i="102" s="1"/>
  <c r="X14" i="102"/>
  <c r="P14" i="102"/>
  <c r="N14" i="102"/>
  <c r="K14" i="102"/>
  <c r="H14" i="102"/>
  <c r="F14" i="102"/>
  <c r="C14" i="102"/>
  <c r="AI9" i="102"/>
  <c r="AF8" i="102"/>
  <c r="AF9" i="102" s="1"/>
  <c r="M8" i="102"/>
  <c r="G8" i="102"/>
  <c r="F8" i="102"/>
  <c r="AP7" i="102"/>
  <c r="AO7" i="102"/>
  <c r="AN7" i="102"/>
  <c r="AM7" i="102"/>
  <c r="AL7" i="102"/>
  <c r="AK7" i="102"/>
  <c r="AJ7" i="102"/>
  <c r="AI7" i="102"/>
  <c r="AK48" i="101"/>
  <c r="AK47" i="101"/>
  <c r="AQ46" i="101"/>
  <c r="AN46" i="101"/>
  <c r="AS46" i="101" s="1"/>
  <c r="AK46" i="101"/>
  <c r="AQ45" i="101"/>
  <c r="AN45" i="101"/>
  <c r="AS45" i="101" s="1"/>
  <c r="AK45" i="101"/>
  <c r="AQ44" i="101"/>
  <c r="AN44" i="101"/>
  <c r="AS44" i="101" s="1"/>
  <c r="AK44" i="101"/>
  <c r="AQ43" i="101"/>
  <c r="AN43" i="101"/>
  <c r="AS43" i="101" s="1"/>
  <c r="AK43" i="101"/>
  <c r="AQ42" i="101"/>
  <c r="AN42" i="101"/>
  <c r="AS42" i="101" s="1"/>
  <c r="AK42" i="101"/>
  <c r="AQ41" i="101"/>
  <c r="AN41" i="101"/>
  <c r="AS41" i="101" s="1"/>
  <c r="AK41" i="101"/>
  <c r="AX31" i="101"/>
  <c r="AS31" i="101"/>
  <c r="AT31" i="101" s="1"/>
  <c r="AO31" i="101"/>
  <c r="AJ31" i="101"/>
  <c r="AK31" i="101" s="1"/>
  <c r="AX30" i="101"/>
  <c r="AO30" i="101"/>
  <c r="AQ29" i="101"/>
  <c r="AX28" i="101" a="1"/>
  <c r="AX29" i="101" s="1"/>
  <c r="AQ28" i="101"/>
  <c r="AO28" i="101" a="1"/>
  <c r="AO29" i="101" s="1"/>
  <c r="AX27" i="101"/>
  <c r="AQ27" i="101"/>
  <c r="AO27" i="101"/>
  <c r="W27" i="101"/>
  <c r="X27" i="101" s="1"/>
  <c r="Y27" i="101" s="1"/>
  <c r="AX26" i="101"/>
  <c r="AW26" i="101"/>
  <c r="AV26" i="101"/>
  <c r="AU26" i="101"/>
  <c r="AQ26" i="101"/>
  <c r="AO26" i="101"/>
  <c r="AN26" i="101"/>
  <c r="AM26" i="101"/>
  <c r="AL26" i="101"/>
  <c r="I8" i="101" s="1"/>
  <c r="W26" i="101"/>
  <c r="X26" i="101" s="1"/>
  <c r="AX25" i="101"/>
  <c r="AW25" i="101"/>
  <c r="AV25" i="101"/>
  <c r="AU25" i="101"/>
  <c r="AQ25" i="101"/>
  <c r="AO25" i="101"/>
  <c r="AN25" i="101"/>
  <c r="AM25" i="101"/>
  <c r="AL25" i="101"/>
  <c r="W25" i="101"/>
  <c r="X25" i="101" s="1"/>
  <c r="AQ24" i="101"/>
  <c r="W24" i="101"/>
  <c r="X24" i="101" s="1"/>
  <c r="AW23" i="101"/>
  <c r="AV23" i="101"/>
  <c r="AU23" i="101"/>
  <c r="AQ23" i="101"/>
  <c r="AO23" i="101"/>
  <c r="AN23" i="101"/>
  <c r="AM23" i="101"/>
  <c r="AL23" i="101"/>
  <c r="W23" i="101"/>
  <c r="X23" i="101" s="1"/>
  <c r="AW22" i="101"/>
  <c r="AV22" i="101"/>
  <c r="AU22" i="101"/>
  <c r="AQ22" i="101"/>
  <c r="AN22" i="101"/>
  <c r="AM22" i="101"/>
  <c r="AL22" i="101"/>
  <c r="W22" i="101"/>
  <c r="X22" i="101" s="1"/>
  <c r="Y22" i="101" s="1"/>
  <c r="AQ21" i="101"/>
  <c r="W21" i="101"/>
  <c r="X21" i="101" s="1"/>
  <c r="AD17" i="101"/>
  <c r="AD16" i="101"/>
  <c r="X16" i="101"/>
  <c r="AB15" i="101"/>
  <c r="Y15" i="101"/>
  <c r="Y16" i="101" s="1"/>
  <c r="Y17" i="101" s="1"/>
  <c r="C15" i="101"/>
  <c r="F15" i="101" s="1"/>
  <c r="X14" i="101"/>
  <c r="P14" i="101"/>
  <c r="N14" i="101"/>
  <c r="K14" i="101"/>
  <c r="H14" i="101"/>
  <c r="F14" i="101"/>
  <c r="C14" i="101"/>
  <c r="AI9" i="101"/>
  <c r="AF8" i="101"/>
  <c r="AF9" i="101" s="1"/>
  <c r="M8" i="101"/>
  <c r="G8" i="101"/>
  <c r="F8" i="101"/>
  <c r="AP7" i="101"/>
  <c r="AO7" i="101"/>
  <c r="AN7" i="101"/>
  <c r="AM7" i="101"/>
  <c r="AL7" i="101"/>
  <c r="AK7" i="101"/>
  <c r="AJ7" i="101"/>
  <c r="AI7" i="101"/>
  <c r="Y26" i="103" l="1"/>
  <c r="V15" i="103"/>
  <c r="R15" i="103"/>
  <c r="P15" i="103"/>
  <c r="Y22" i="103"/>
  <c r="AI9" i="103"/>
  <c r="Y15" i="103"/>
  <c r="Y16" i="103" s="1"/>
  <c r="Y17" i="103" s="1"/>
  <c r="F15" i="103"/>
  <c r="C16" i="103"/>
  <c r="C17" i="103" s="1"/>
  <c r="Y22" i="102"/>
  <c r="Y24" i="102"/>
  <c r="V15" i="102"/>
  <c r="R15" i="102"/>
  <c r="P15" i="102"/>
  <c r="F15" i="102"/>
  <c r="Y25" i="101"/>
  <c r="Y23" i="101"/>
  <c r="F16" i="101"/>
  <c r="F17" i="101" s="1"/>
  <c r="D8" i="101"/>
  <c r="Z15" i="101"/>
  <c r="Z16" i="101" s="1"/>
  <c r="Z17" i="101" s="1"/>
  <c r="AJ9" i="101"/>
  <c r="Y24" i="101"/>
  <c r="Y26" i="101"/>
  <c r="P15" i="101"/>
  <c r="V15" i="101"/>
  <c r="R15" i="101"/>
  <c r="Y21" i="101"/>
  <c r="C16" i="101"/>
  <c r="C17" i="101" s="1"/>
  <c r="F16" i="103" l="1"/>
  <c r="F17" i="103" s="1"/>
  <c r="D8" i="103"/>
  <c r="AF6" i="103"/>
  <c r="AF7" i="103" s="1"/>
  <c r="AJ9" i="103"/>
  <c r="Y21" i="103"/>
  <c r="Y23" i="103"/>
  <c r="Y25" i="103"/>
  <c r="Y27" i="103"/>
  <c r="AO9" i="103"/>
  <c r="R16" i="103"/>
  <c r="R17" i="103" s="1"/>
  <c r="Y24" i="103"/>
  <c r="Z15" i="103"/>
  <c r="Z16" i="103" s="1"/>
  <c r="Z17" i="103" s="1"/>
  <c r="AN9" i="103"/>
  <c r="P16" i="103"/>
  <c r="P17" i="103" s="1"/>
  <c r="V16" i="103"/>
  <c r="V17" i="103" s="1"/>
  <c r="AP9" i="103"/>
  <c r="AO9" i="102"/>
  <c r="R16" i="102"/>
  <c r="R17" i="102" s="1"/>
  <c r="F16" i="102"/>
  <c r="F17" i="102" s="1"/>
  <c r="Z15" i="102"/>
  <c r="Z16" i="102" s="1"/>
  <c r="Z17" i="102" s="1"/>
  <c r="AJ9" i="102"/>
  <c r="D8" i="102"/>
  <c r="AF6" i="102"/>
  <c r="AF7" i="102" s="1"/>
  <c r="Y23" i="102"/>
  <c r="Y26" i="102"/>
  <c r="AN9" i="102"/>
  <c r="P16" i="102"/>
  <c r="P17" i="102" s="1"/>
  <c r="Y27" i="102"/>
  <c r="AP9" i="102"/>
  <c r="V16" i="102"/>
  <c r="V17" i="102" s="1"/>
  <c r="Y21" i="102"/>
  <c r="Y25" i="102"/>
  <c r="AO9" i="101"/>
  <c r="R16" i="101"/>
  <c r="R17" i="101" s="1"/>
  <c r="V16" i="101"/>
  <c r="V17" i="101" s="1"/>
  <c r="AP9" i="101"/>
  <c r="P16" i="101"/>
  <c r="P17" i="101" s="1"/>
  <c r="AN9" i="101"/>
  <c r="AF6" i="101"/>
  <c r="AF7" i="101" s="1"/>
  <c r="H15" i="103" l="1"/>
  <c r="AB16" i="103"/>
  <c r="AB17" i="103" s="1"/>
  <c r="K15" i="103"/>
  <c r="N15" i="103"/>
  <c r="H15" i="102"/>
  <c r="K15" i="102"/>
  <c r="N15" i="102"/>
  <c r="AB16" i="102"/>
  <c r="AB17" i="102" s="1"/>
  <c r="H15" i="101"/>
  <c r="N15" i="101"/>
  <c r="K15" i="101"/>
  <c r="AB16" i="101"/>
  <c r="AB17" i="101" s="1"/>
  <c r="AM9" i="103" l="1"/>
  <c r="N16" i="103"/>
  <c r="N17" i="103" s="1"/>
  <c r="AL9" i="103"/>
  <c r="K16" i="103"/>
  <c r="K17" i="103" s="1"/>
  <c r="AM15" i="103"/>
  <c r="AK9" i="103"/>
  <c r="H16" i="103"/>
  <c r="H17" i="103" s="1"/>
  <c r="X17" i="103" s="1"/>
  <c r="AX41" i="103"/>
  <c r="AX42" i="103" s="1"/>
  <c r="AX43" i="103" s="1"/>
  <c r="AX44" i="103" s="1"/>
  <c r="AX45" i="103" s="1"/>
  <c r="AX46" i="103" s="1"/>
  <c r="AX47" i="103" s="1"/>
  <c r="AX48" i="103" s="1"/>
  <c r="AV47" i="103"/>
  <c r="AV42" i="103"/>
  <c r="AV44" i="103"/>
  <c r="AV46" i="103"/>
  <c r="AB9" i="103"/>
  <c r="AI15" i="103" s="1"/>
  <c r="AV48" i="103"/>
  <c r="AV45" i="103"/>
  <c r="AV41" i="103"/>
  <c r="AB8" i="103"/>
  <c r="AV43" i="103"/>
  <c r="AM16" i="103"/>
  <c r="N16" i="102"/>
  <c r="N17" i="102" s="1"/>
  <c r="AM9" i="102"/>
  <c r="AL9" i="102"/>
  <c r="K16" i="102"/>
  <c r="K17" i="102" s="1"/>
  <c r="AK9" i="102"/>
  <c r="AM15" i="102"/>
  <c r="H16" i="102"/>
  <c r="H17" i="102" s="1"/>
  <c r="AV45" i="102"/>
  <c r="AX41" i="102"/>
  <c r="AX42" i="102" s="1"/>
  <c r="AX43" i="102" s="1"/>
  <c r="AX44" i="102" s="1"/>
  <c r="AX45" i="102" s="1"/>
  <c r="AX46" i="102" s="1"/>
  <c r="AX47" i="102" s="1"/>
  <c r="AX48" i="102" s="1"/>
  <c r="AV41" i="102"/>
  <c r="AV43" i="102"/>
  <c r="AV46" i="102"/>
  <c r="AB9" i="102"/>
  <c r="AI15" i="102" s="1"/>
  <c r="AM16" i="102"/>
  <c r="AV44" i="102"/>
  <c r="AV47" i="102"/>
  <c r="AV42" i="102"/>
  <c r="AV48" i="102"/>
  <c r="AB8" i="102"/>
  <c r="AL9" i="101"/>
  <c r="K16" i="101"/>
  <c r="K17" i="101" s="1"/>
  <c r="N16" i="101"/>
  <c r="N17" i="101" s="1"/>
  <c r="AM9" i="101"/>
  <c r="AK9" i="101"/>
  <c r="AM15" i="101"/>
  <c r="AI15" i="101"/>
  <c r="H16" i="101"/>
  <c r="H17" i="101" s="1"/>
  <c r="AB8" i="101"/>
  <c r="AV47" i="101"/>
  <c r="AV41" i="101"/>
  <c r="AV48" i="101"/>
  <c r="AV42" i="101"/>
  <c r="AV44" i="101"/>
  <c r="AV46" i="101"/>
  <c r="AV45" i="101"/>
  <c r="AB9" i="101"/>
  <c r="AV43" i="101"/>
  <c r="AX41" i="101"/>
  <c r="AX42" i="101" s="1"/>
  <c r="AX43" i="101" s="1"/>
  <c r="AX44" i="101" s="1"/>
  <c r="AX45" i="101" s="1"/>
  <c r="AX46" i="101" s="1"/>
  <c r="AX47" i="101" s="1"/>
  <c r="AX48" i="101" s="1"/>
  <c r="AM16" i="101"/>
  <c r="AP11" i="103" l="1"/>
  <c r="AY44" i="103"/>
  <c r="AL44" i="103" s="1"/>
  <c r="AW44" i="103"/>
  <c r="AW42" i="103"/>
  <c r="AY42" i="103"/>
  <c r="AL42" i="103" s="1"/>
  <c r="AY47" i="103"/>
  <c r="AL47" i="103" s="1"/>
  <c r="AW47" i="103"/>
  <c r="AY43" i="103"/>
  <c r="AL43" i="103" s="1"/>
  <c r="AW43" i="103"/>
  <c r="AI17" i="103"/>
  <c r="AY45" i="103"/>
  <c r="AL45" i="103" s="1"/>
  <c r="AW45" i="103"/>
  <c r="AY48" i="103"/>
  <c r="AL48" i="103" s="1"/>
  <c r="AW48" i="103"/>
  <c r="AM17" i="103"/>
  <c r="AI16" i="103"/>
  <c r="AY41" i="103"/>
  <c r="AL41" i="103" s="1"/>
  <c r="AW41" i="103"/>
  <c r="AY46" i="103"/>
  <c r="AL46" i="103" s="1"/>
  <c r="AW46" i="103"/>
  <c r="X17" i="102"/>
  <c r="AP11" i="102"/>
  <c r="AY43" i="102"/>
  <c r="AL43" i="102" s="1"/>
  <c r="AW43" i="102"/>
  <c r="AY41" i="102"/>
  <c r="AL41" i="102" s="1"/>
  <c r="AW41" i="102"/>
  <c r="AY45" i="102"/>
  <c r="AL45" i="102" s="1"/>
  <c r="AW45" i="102"/>
  <c r="AY48" i="102"/>
  <c r="AL48" i="102" s="1"/>
  <c r="AW48" i="102"/>
  <c r="AW42" i="102"/>
  <c r="AY42" i="102"/>
  <c r="AL42" i="102" s="1"/>
  <c r="AY44" i="102"/>
  <c r="AL44" i="102" s="1"/>
  <c r="AW44" i="102"/>
  <c r="AM17" i="102"/>
  <c r="AI16" i="102"/>
  <c r="AI17" i="102" s="1"/>
  <c r="AY47" i="102"/>
  <c r="AL47" i="102" s="1"/>
  <c r="AW47" i="102"/>
  <c r="AW46" i="102"/>
  <c r="AY46" i="102"/>
  <c r="AL46" i="102" s="1"/>
  <c r="AY46" i="101"/>
  <c r="AL46" i="101" s="1"/>
  <c r="AW46" i="101"/>
  <c r="AY44" i="101"/>
  <c r="AL44" i="101" s="1"/>
  <c r="AW44" i="101"/>
  <c r="AY42" i="101"/>
  <c r="AL42" i="101" s="1"/>
  <c r="AW42" i="101"/>
  <c r="AY48" i="101"/>
  <c r="AL48" i="101" s="1"/>
  <c r="AW48" i="101"/>
  <c r="AY41" i="101"/>
  <c r="AL41" i="101" s="1"/>
  <c r="AW41" i="101"/>
  <c r="AY47" i="101"/>
  <c r="AL47" i="101" s="1"/>
  <c r="AW47" i="101"/>
  <c r="X17" i="101"/>
  <c r="AW43" i="101"/>
  <c r="AY43" i="101"/>
  <c r="AL43" i="101" s="1"/>
  <c r="AM17" i="101"/>
  <c r="AI16" i="101"/>
  <c r="AI17" i="101" s="1"/>
  <c r="AP11" i="101"/>
  <c r="AW45" i="101"/>
  <c r="AY45" i="101"/>
  <c r="AL45" i="101" s="1"/>
  <c r="AK48" i="100" l="1"/>
  <c r="AK47" i="100"/>
  <c r="AS46" i="100"/>
  <c r="AQ46" i="100"/>
  <c r="AN46" i="100"/>
  <c r="AK46" i="100"/>
  <c r="AQ45" i="100"/>
  <c r="AN45" i="100"/>
  <c r="AS45" i="100" s="1"/>
  <c r="AK45" i="100"/>
  <c r="AS44" i="100"/>
  <c r="AQ44" i="100"/>
  <c r="AN44" i="100"/>
  <c r="AK44" i="100"/>
  <c r="AQ43" i="100"/>
  <c r="AN43" i="100"/>
  <c r="AS43" i="100" s="1"/>
  <c r="AK43" i="100"/>
  <c r="AS42" i="100"/>
  <c r="AQ42" i="100"/>
  <c r="AN42" i="100"/>
  <c r="AK42" i="100"/>
  <c r="AQ41" i="100"/>
  <c r="AN41" i="100"/>
  <c r="AS41" i="100" s="1"/>
  <c r="AK41" i="100"/>
  <c r="AX31" i="100"/>
  <c r="AS31" i="100"/>
  <c r="AT31" i="100" s="1"/>
  <c r="AO31" i="100"/>
  <c r="AJ31" i="100"/>
  <c r="AK31" i="100" s="1"/>
  <c r="AX30" i="100"/>
  <c r="AO30" i="100"/>
  <c r="AQ29" i="100"/>
  <c r="AX28" i="100" a="1"/>
  <c r="AX29" i="100" s="1"/>
  <c r="AQ28" i="100"/>
  <c r="AO28" i="100" a="1"/>
  <c r="AO29" i="100" s="1"/>
  <c r="AX27" i="100"/>
  <c r="AQ27" i="100"/>
  <c r="AO27" i="100"/>
  <c r="W27" i="100"/>
  <c r="X27" i="100" s="1"/>
  <c r="AX26" i="100"/>
  <c r="AW26" i="100"/>
  <c r="AV26" i="100"/>
  <c r="AU26" i="100"/>
  <c r="AQ26" i="100"/>
  <c r="AO26" i="100"/>
  <c r="AN26" i="100"/>
  <c r="AM26" i="100"/>
  <c r="AL26" i="100"/>
  <c r="I8" i="100" s="1"/>
  <c r="W26" i="100"/>
  <c r="X26" i="100" s="1"/>
  <c r="AX25" i="100"/>
  <c r="AW25" i="100"/>
  <c r="AV25" i="100"/>
  <c r="AU25" i="100"/>
  <c r="AQ25" i="100"/>
  <c r="AO25" i="100"/>
  <c r="AN25" i="100"/>
  <c r="AM25" i="100"/>
  <c r="AL25" i="100"/>
  <c r="W25" i="100"/>
  <c r="X25" i="100" s="1"/>
  <c r="AQ24" i="100"/>
  <c r="X24" i="100"/>
  <c r="W24" i="100"/>
  <c r="AW23" i="100"/>
  <c r="AV23" i="100"/>
  <c r="AU23" i="100"/>
  <c r="AQ23" i="100"/>
  <c r="AO23" i="100"/>
  <c r="AN23" i="100"/>
  <c r="AM23" i="100"/>
  <c r="AL23" i="100"/>
  <c r="W23" i="100"/>
  <c r="X23" i="100" s="1"/>
  <c r="AW22" i="100"/>
  <c r="AV22" i="100"/>
  <c r="AU22" i="100"/>
  <c r="AQ22" i="100"/>
  <c r="AN22" i="100"/>
  <c r="AM22" i="100"/>
  <c r="AL22" i="100"/>
  <c r="W22" i="100"/>
  <c r="X22" i="100" s="1"/>
  <c r="AQ21" i="100"/>
  <c r="W21" i="100"/>
  <c r="X21" i="100" s="1"/>
  <c r="AD16" i="100"/>
  <c r="AD17" i="100" s="1"/>
  <c r="X16" i="100"/>
  <c r="AB15" i="100"/>
  <c r="R15" i="100"/>
  <c r="R16" i="100" s="1"/>
  <c r="R17" i="100" s="1"/>
  <c r="C15" i="100"/>
  <c r="X14" i="100"/>
  <c r="P14" i="100"/>
  <c r="N14" i="100"/>
  <c r="K14" i="100"/>
  <c r="H14" i="100"/>
  <c r="F14" i="100"/>
  <c r="C14" i="100"/>
  <c r="AF9" i="100"/>
  <c r="V15" i="100" s="1"/>
  <c r="AF8" i="100"/>
  <c r="M8" i="100"/>
  <c r="G8" i="100"/>
  <c r="F8" i="100"/>
  <c r="AP7" i="100"/>
  <c r="AO7" i="100"/>
  <c r="AN7" i="100"/>
  <c r="AM7" i="100"/>
  <c r="AL7" i="100"/>
  <c r="AK7" i="100"/>
  <c r="AJ7" i="100"/>
  <c r="AI7" i="100"/>
  <c r="M8" i="99"/>
  <c r="F8" i="99"/>
  <c r="C15" i="99"/>
  <c r="C15" i="98"/>
  <c r="F15" i="98" s="1"/>
  <c r="AK48" i="99"/>
  <c r="AK47" i="99"/>
  <c r="AQ46" i="99"/>
  <c r="AN46" i="99"/>
  <c r="AS46" i="99" s="1"/>
  <c r="AK46" i="99"/>
  <c r="AQ45" i="99"/>
  <c r="AN45" i="99"/>
  <c r="AS45" i="99" s="1"/>
  <c r="AK45" i="99"/>
  <c r="AS44" i="99"/>
  <c r="AQ44" i="99"/>
  <c r="AN44" i="99"/>
  <c r="AK44" i="99"/>
  <c r="AQ43" i="99"/>
  <c r="AN43" i="99"/>
  <c r="AS43" i="99" s="1"/>
  <c r="AK43" i="99"/>
  <c r="AQ42" i="99"/>
  <c r="AN42" i="99"/>
  <c r="AS42" i="99" s="1"/>
  <c r="AK42" i="99"/>
  <c r="AQ41" i="99"/>
  <c r="AN41" i="99"/>
  <c r="AS41" i="99" s="1"/>
  <c r="AK41" i="99"/>
  <c r="AX31" i="99"/>
  <c r="AS31" i="99"/>
  <c r="AT31" i="99" s="1"/>
  <c r="AO31" i="99"/>
  <c r="AJ31" i="99"/>
  <c r="AK31" i="99" s="1"/>
  <c r="AX30" i="99"/>
  <c r="AO30" i="99"/>
  <c r="AX29" i="99"/>
  <c r="AQ29" i="99"/>
  <c r="AX28" i="99" a="1"/>
  <c r="AQ28" i="99"/>
  <c r="AO28" i="99" a="1"/>
  <c r="AO29" i="99" s="1"/>
  <c r="AX27" i="99"/>
  <c r="AQ27" i="99"/>
  <c r="AO27" i="99"/>
  <c r="W27" i="99"/>
  <c r="X27" i="99" s="1"/>
  <c r="AX26" i="99"/>
  <c r="AW26" i="99"/>
  <c r="AV26" i="99"/>
  <c r="AU26" i="99"/>
  <c r="AQ26" i="99"/>
  <c r="AO26" i="99"/>
  <c r="AN26" i="99"/>
  <c r="AM26" i="99"/>
  <c r="AL26" i="99"/>
  <c r="W26" i="99"/>
  <c r="X26" i="99" s="1"/>
  <c r="AX25" i="99"/>
  <c r="AW25" i="99"/>
  <c r="AV25" i="99"/>
  <c r="AU25" i="99"/>
  <c r="AQ25" i="99"/>
  <c r="AO25" i="99"/>
  <c r="AN25" i="99"/>
  <c r="AM25" i="99"/>
  <c r="AL25" i="99"/>
  <c r="W25" i="99"/>
  <c r="X25" i="99" s="1"/>
  <c r="AQ24" i="99"/>
  <c r="W24" i="99"/>
  <c r="X24" i="99" s="1"/>
  <c r="AW23" i="99"/>
  <c r="AV23" i="99"/>
  <c r="AU23" i="99"/>
  <c r="AQ23" i="99"/>
  <c r="AO23" i="99"/>
  <c r="AN23" i="99"/>
  <c r="G8" i="99" s="1"/>
  <c r="AM23" i="99"/>
  <c r="AL23" i="99"/>
  <c r="X23" i="99"/>
  <c r="W23" i="99"/>
  <c r="AW22" i="99"/>
  <c r="AV22" i="99"/>
  <c r="AU22" i="99"/>
  <c r="AQ22" i="99"/>
  <c r="AN22" i="99"/>
  <c r="AM22" i="99"/>
  <c r="AL22" i="99"/>
  <c r="X22" i="99"/>
  <c r="W22" i="99"/>
  <c r="AQ21" i="99"/>
  <c r="W21" i="99"/>
  <c r="X21" i="99" s="1"/>
  <c r="AD16" i="99"/>
  <c r="AD17" i="99" s="1"/>
  <c r="X16" i="99"/>
  <c r="AB15" i="99"/>
  <c r="X14" i="99"/>
  <c r="P14" i="99"/>
  <c r="N14" i="99"/>
  <c r="K14" i="99"/>
  <c r="H14" i="99"/>
  <c r="F14" i="99"/>
  <c r="C14" i="99"/>
  <c r="AF8" i="99"/>
  <c r="AF9" i="99" s="1"/>
  <c r="I8" i="99"/>
  <c r="AP7" i="99"/>
  <c r="AO7" i="99"/>
  <c r="AN7" i="99"/>
  <c r="AM7" i="99"/>
  <c r="AL7" i="99"/>
  <c r="AK7" i="99"/>
  <c r="AJ7" i="99"/>
  <c r="AI7" i="99"/>
  <c r="AK48" i="98"/>
  <c r="AK47" i="98"/>
  <c r="AQ46" i="98"/>
  <c r="AN46" i="98"/>
  <c r="AS46" i="98" s="1"/>
  <c r="AK46" i="98"/>
  <c r="AQ45" i="98"/>
  <c r="AN45" i="98"/>
  <c r="AS45" i="98" s="1"/>
  <c r="AK45" i="98"/>
  <c r="AQ44" i="98"/>
  <c r="AN44" i="98"/>
  <c r="AS44" i="98" s="1"/>
  <c r="AK44" i="98"/>
  <c r="AQ43" i="98"/>
  <c r="AN43" i="98"/>
  <c r="AS43" i="98" s="1"/>
  <c r="AK43" i="98"/>
  <c r="AQ42" i="98"/>
  <c r="AN42" i="98"/>
  <c r="AS42" i="98" s="1"/>
  <c r="AK42" i="98"/>
  <c r="AQ41" i="98"/>
  <c r="AN41" i="98"/>
  <c r="AS41" i="98" s="1"/>
  <c r="AK41" i="98"/>
  <c r="AX31" i="98"/>
  <c r="AS31" i="98"/>
  <c r="AT31" i="98" s="1"/>
  <c r="AO31" i="98"/>
  <c r="AJ31" i="98"/>
  <c r="AK31" i="98" s="1"/>
  <c r="AX30" i="98"/>
  <c r="AO30" i="98"/>
  <c r="AQ29" i="98"/>
  <c r="AX28" i="98" a="1"/>
  <c r="AX29" i="98" s="1"/>
  <c r="AQ28" i="98"/>
  <c r="AO28" i="98" a="1"/>
  <c r="AO29" i="98" s="1"/>
  <c r="AX27" i="98"/>
  <c r="AQ27" i="98"/>
  <c r="AO27" i="98"/>
  <c r="W27" i="98"/>
  <c r="X27" i="98" s="1"/>
  <c r="AX26" i="98"/>
  <c r="AW26" i="98"/>
  <c r="AV26" i="98"/>
  <c r="AU26" i="98"/>
  <c r="AQ26" i="98"/>
  <c r="AO26" i="98"/>
  <c r="AN26" i="98"/>
  <c r="AM26" i="98"/>
  <c r="AL26" i="98"/>
  <c r="I8" i="98" s="1"/>
  <c r="W26" i="98"/>
  <c r="X26" i="98" s="1"/>
  <c r="AX25" i="98"/>
  <c r="AW25" i="98"/>
  <c r="AV25" i="98"/>
  <c r="AU25" i="98"/>
  <c r="AQ25" i="98"/>
  <c r="AO25" i="98"/>
  <c r="AN25" i="98"/>
  <c r="AM25" i="98"/>
  <c r="AL25" i="98"/>
  <c r="W25" i="98"/>
  <c r="X25" i="98" s="1"/>
  <c r="AQ24" i="98"/>
  <c r="X24" i="98"/>
  <c r="W24" i="98"/>
  <c r="AW23" i="98"/>
  <c r="AV23" i="98"/>
  <c r="AU23" i="98"/>
  <c r="AQ23" i="98"/>
  <c r="AO23" i="98"/>
  <c r="AN23" i="98"/>
  <c r="AM23" i="98"/>
  <c r="AL23" i="98"/>
  <c r="W23" i="98"/>
  <c r="X23" i="98" s="1"/>
  <c r="AW22" i="98"/>
  <c r="AV22" i="98"/>
  <c r="AU22" i="98"/>
  <c r="AQ22" i="98"/>
  <c r="AN22" i="98"/>
  <c r="AM22" i="98"/>
  <c r="AL22" i="98"/>
  <c r="W22" i="98"/>
  <c r="X22" i="98" s="1"/>
  <c r="AQ21" i="98"/>
  <c r="X21" i="98"/>
  <c r="W21" i="98"/>
  <c r="AD16" i="98"/>
  <c r="AD17" i="98" s="1"/>
  <c r="X16" i="98"/>
  <c r="AB15" i="98"/>
  <c r="Y15" i="98"/>
  <c r="Y16" i="98" s="1"/>
  <c r="Y17" i="98" s="1"/>
  <c r="X14" i="98"/>
  <c r="P14" i="98"/>
  <c r="N14" i="98"/>
  <c r="K14" i="98"/>
  <c r="H14" i="98"/>
  <c r="F14" i="98"/>
  <c r="C14" i="98"/>
  <c r="AF8" i="98"/>
  <c r="AF9" i="98" s="1"/>
  <c r="R15" i="98" s="1"/>
  <c r="G8" i="98"/>
  <c r="AP7" i="98"/>
  <c r="AO7" i="98"/>
  <c r="AN7" i="98"/>
  <c r="AM7" i="98"/>
  <c r="AL7" i="98"/>
  <c r="AK7" i="98"/>
  <c r="AJ7" i="98"/>
  <c r="AI7" i="98"/>
  <c r="AQ36" i="95"/>
  <c r="AP36" i="95"/>
  <c r="AP35" i="95"/>
  <c r="AT9" i="95"/>
  <c r="AK48" i="96"/>
  <c r="AK47" i="96"/>
  <c r="AQ46" i="96"/>
  <c r="AN46" i="96"/>
  <c r="AS46" i="96" s="1"/>
  <c r="AK46" i="96"/>
  <c r="AS45" i="96"/>
  <c r="AQ45" i="96"/>
  <c r="AN45" i="96"/>
  <c r="AK45" i="96"/>
  <c r="AQ44" i="96"/>
  <c r="AN44" i="96"/>
  <c r="AS44" i="96" s="1"/>
  <c r="AK44" i="96"/>
  <c r="AQ43" i="96"/>
  <c r="AN43" i="96"/>
  <c r="AS43" i="96" s="1"/>
  <c r="AK43" i="96"/>
  <c r="AQ42" i="96"/>
  <c r="AN42" i="96"/>
  <c r="AS42" i="96" s="1"/>
  <c r="AK42" i="96"/>
  <c r="AS41" i="96"/>
  <c r="AQ41" i="96"/>
  <c r="AN41" i="96"/>
  <c r="AK41" i="96"/>
  <c r="AX31" i="96"/>
  <c r="AS31" i="96"/>
  <c r="AT31" i="96" s="1"/>
  <c r="AO31" i="96"/>
  <c r="AJ31" i="96"/>
  <c r="AK31" i="96" s="1"/>
  <c r="AX30" i="96"/>
  <c r="AO30" i="96"/>
  <c r="AQ29" i="96"/>
  <c r="AX28" i="96" a="1"/>
  <c r="AX29" i="96" s="1"/>
  <c r="AQ28" i="96"/>
  <c r="AO28" i="96" a="1"/>
  <c r="AO29" i="96" s="1"/>
  <c r="AX27" i="96"/>
  <c r="AQ27" i="96"/>
  <c r="AO27" i="96"/>
  <c r="X27" i="96"/>
  <c r="Y27" i="96" s="1"/>
  <c r="W27" i="96"/>
  <c r="AX26" i="96"/>
  <c r="AW26" i="96"/>
  <c r="AV26" i="96"/>
  <c r="AU26" i="96"/>
  <c r="AQ26" i="96"/>
  <c r="AO26" i="96"/>
  <c r="AN26" i="96"/>
  <c r="AM26" i="96"/>
  <c r="AL26" i="96"/>
  <c r="I8" i="96" s="1"/>
  <c r="X26" i="96"/>
  <c r="Y26" i="96" s="1"/>
  <c r="W26" i="96"/>
  <c r="AX25" i="96"/>
  <c r="AW25" i="96"/>
  <c r="AV25" i="96"/>
  <c r="AU25" i="96"/>
  <c r="AQ25" i="96"/>
  <c r="AO25" i="96"/>
  <c r="AN25" i="96"/>
  <c r="AM25" i="96"/>
  <c r="AL25" i="96"/>
  <c r="X25" i="96"/>
  <c r="Y25" i="96" s="1"/>
  <c r="W25" i="96"/>
  <c r="AQ24" i="96"/>
  <c r="W24" i="96"/>
  <c r="X24" i="96" s="1"/>
  <c r="Y24" i="96" s="1"/>
  <c r="AW23" i="96"/>
  <c r="AV23" i="96"/>
  <c r="AU23" i="96"/>
  <c r="AQ23" i="96"/>
  <c r="AO23" i="96"/>
  <c r="AN23" i="96"/>
  <c r="G8" i="96" s="1"/>
  <c r="AM23" i="96"/>
  <c r="AL23" i="96"/>
  <c r="W23" i="96"/>
  <c r="X23" i="96" s="1"/>
  <c r="Y23" i="96" s="1"/>
  <c r="AW22" i="96"/>
  <c r="AV22" i="96"/>
  <c r="AU22" i="96"/>
  <c r="AQ22" i="96"/>
  <c r="AN22" i="96"/>
  <c r="AM22" i="96"/>
  <c r="AL22" i="96"/>
  <c r="Y22" i="96"/>
  <c r="X22" i="96"/>
  <c r="W22" i="96"/>
  <c r="AQ21" i="96"/>
  <c r="W21" i="96"/>
  <c r="X21" i="96" s="1"/>
  <c r="Y21" i="96" s="1"/>
  <c r="AD17" i="96"/>
  <c r="C17" i="96"/>
  <c r="AD16" i="96"/>
  <c r="X16" i="96"/>
  <c r="C16" i="96"/>
  <c r="AB15" i="96"/>
  <c r="Z15" i="96"/>
  <c r="Z16" i="96" s="1"/>
  <c r="Z17" i="96" s="1"/>
  <c r="Y15" i="96"/>
  <c r="Y16" i="96" s="1"/>
  <c r="Y17" i="96" s="1"/>
  <c r="F15" i="96"/>
  <c r="F16" i="96" s="1"/>
  <c r="F17" i="96" s="1"/>
  <c r="C15" i="96"/>
  <c r="X14" i="96"/>
  <c r="P14" i="96"/>
  <c r="N14" i="96"/>
  <c r="K14" i="96"/>
  <c r="H14" i="96"/>
  <c r="F14" i="96"/>
  <c r="C14" i="96"/>
  <c r="AJ9" i="96"/>
  <c r="AI9" i="96"/>
  <c r="AF8" i="96"/>
  <c r="AF9" i="96" s="1"/>
  <c r="D8" i="96"/>
  <c r="AP7" i="96"/>
  <c r="AO7" i="96"/>
  <c r="AN7" i="96"/>
  <c r="AM7" i="96"/>
  <c r="AL7" i="96"/>
  <c r="AK7" i="96"/>
  <c r="AJ7" i="96"/>
  <c r="AI7" i="96"/>
  <c r="AK48" i="95"/>
  <c r="AK47" i="95"/>
  <c r="AQ46" i="95"/>
  <c r="AN46" i="95"/>
  <c r="AS46" i="95" s="1"/>
  <c r="AK46" i="95"/>
  <c r="AQ45" i="95"/>
  <c r="AN45" i="95"/>
  <c r="AS45" i="95" s="1"/>
  <c r="AK45" i="95"/>
  <c r="AQ44" i="95"/>
  <c r="AN44" i="95"/>
  <c r="AS44" i="95" s="1"/>
  <c r="AK44" i="95"/>
  <c r="AQ43" i="95"/>
  <c r="AN43" i="95"/>
  <c r="AS43" i="95" s="1"/>
  <c r="AK43" i="95"/>
  <c r="AQ42" i="95"/>
  <c r="AN42" i="95"/>
  <c r="AS42" i="95" s="1"/>
  <c r="AK42" i="95"/>
  <c r="AQ41" i="95"/>
  <c r="AN41" i="95"/>
  <c r="AS41" i="95" s="1"/>
  <c r="AK41" i="95"/>
  <c r="AX31" i="95"/>
  <c r="AS31" i="95"/>
  <c r="AT31" i="95" s="1"/>
  <c r="AO31" i="95"/>
  <c r="AJ31" i="95"/>
  <c r="AK31" i="95" s="1"/>
  <c r="AX30" i="95"/>
  <c r="AO30" i="95"/>
  <c r="AQ29" i="95"/>
  <c r="AX28" i="95" a="1"/>
  <c r="AX29" i="95" s="1"/>
  <c r="AQ28" i="95"/>
  <c r="AO28" i="95" a="1"/>
  <c r="AO29" i="95" s="1"/>
  <c r="AX27" i="95"/>
  <c r="AQ27" i="95"/>
  <c r="AO27" i="95"/>
  <c r="W27" i="95"/>
  <c r="X27" i="95" s="1"/>
  <c r="AX26" i="95"/>
  <c r="AW26" i="95"/>
  <c r="AV26" i="95"/>
  <c r="AU26" i="95"/>
  <c r="AQ26" i="95"/>
  <c r="AO26" i="95"/>
  <c r="AN26" i="95"/>
  <c r="AM26" i="95"/>
  <c r="AL26" i="95"/>
  <c r="I8" i="95" s="1"/>
  <c r="W26" i="95"/>
  <c r="X26" i="95" s="1"/>
  <c r="AX25" i="95"/>
  <c r="AW25" i="95"/>
  <c r="AV25" i="95"/>
  <c r="AU25" i="95"/>
  <c r="AQ25" i="95"/>
  <c r="AO25" i="95"/>
  <c r="AN25" i="95"/>
  <c r="AM25" i="95"/>
  <c r="AL25" i="95"/>
  <c r="W25" i="95"/>
  <c r="X25" i="95" s="1"/>
  <c r="AQ24" i="95"/>
  <c r="X24" i="95"/>
  <c r="W24" i="95"/>
  <c r="AW23" i="95"/>
  <c r="AV23" i="95"/>
  <c r="AU23" i="95"/>
  <c r="AQ23" i="95"/>
  <c r="AO23" i="95"/>
  <c r="AN23" i="95"/>
  <c r="G8" i="95" s="1"/>
  <c r="AM23" i="95"/>
  <c r="AL23" i="95"/>
  <c r="W23" i="95"/>
  <c r="X23" i="95" s="1"/>
  <c r="AW22" i="95"/>
  <c r="AV22" i="95"/>
  <c r="AU22" i="95"/>
  <c r="AQ22" i="95"/>
  <c r="AN22" i="95"/>
  <c r="AM22" i="95"/>
  <c r="AL22" i="95"/>
  <c r="W22" i="95"/>
  <c r="X22" i="95" s="1"/>
  <c r="AQ21" i="95"/>
  <c r="X21" i="95"/>
  <c r="W21" i="95"/>
  <c r="AD17" i="95"/>
  <c r="AD16" i="95"/>
  <c r="X16" i="95"/>
  <c r="AB15" i="95"/>
  <c r="C15" i="95"/>
  <c r="C16" i="95" s="1"/>
  <c r="C17" i="95" s="1"/>
  <c r="X14" i="95"/>
  <c r="P14" i="95"/>
  <c r="N14" i="95"/>
  <c r="K14" i="95"/>
  <c r="H14" i="95"/>
  <c r="F14" i="95"/>
  <c r="C14" i="95"/>
  <c r="AF8" i="95"/>
  <c r="AF9" i="95" s="1"/>
  <c r="AP7" i="95"/>
  <c r="AO7" i="95"/>
  <c r="AN7" i="95"/>
  <c r="AM7" i="95"/>
  <c r="AL7" i="95"/>
  <c r="AK7" i="95"/>
  <c r="AJ7" i="95"/>
  <c r="AI7" i="95"/>
  <c r="AK48" i="94"/>
  <c r="AK47" i="94"/>
  <c r="AQ46" i="94"/>
  <c r="AN46" i="94"/>
  <c r="AS46" i="94" s="1"/>
  <c r="AK46" i="94"/>
  <c r="AQ45" i="94"/>
  <c r="AN45" i="94"/>
  <c r="AS45" i="94" s="1"/>
  <c r="AK45" i="94"/>
  <c r="AS44" i="94"/>
  <c r="AQ44" i="94"/>
  <c r="AN44" i="94"/>
  <c r="AK44" i="94"/>
  <c r="AQ43" i="94"/>
  <c r="AN43" i="94"/>
  <c r="AS43" i="94" s="1"/>
  <c r="AK43" i="94"/>
  <c r="AQ42" i="94"/>
  <c r="AN42" i="94"/>
  <c r="AS42" i="94" s="1"/>
  <c r="AK42" i="94"/>
  <c r="AQ41" i="94"/>
  <c r="AN41" i="94"/>
  <c r="AS41" i="94" s="1"/>
  <c r="AK41" i="94"/>
  <c r="AX31" i="94"/>
  <c r="AS31" i="94"/>
  <c r="AT31" i="94" s="1"/>
  <c r="AO31" i="94"/>
  <c r="AJ31" i="94"/>
  <c r="AK31" i="94" s="1"/>
  <c r="AX30" i="94"/>
  <c r="AO30" i="94"/>
  <c r="AQ29" i="94"/>
  <c r="AX28" i="94" a="1"/>
  <c r="AX29" i="94" s="1"/>
  <c r="AQ28" i="94"/>
  <c r="AO28" i="94" a="1"/>
  <c r="AO29" i="94" s="1"/>
  <c r="AX27" i="94"/>
  <c r="AQ27" i="94"/>
  <c r="AO27" i="94"/>
  <c r="W27" i="94"/>
  <c r="X27" i="94" s="1"/>
  <c r="Y27" i="94" s="1"/>
  <c r="AX26" i="94"/>
  <c r="AW26" i="94"/>
  <c r="AV26" i="94"/>
  <c r="AU26" i="94"/>
  <c r="AQ26" i="94"/>
  <c r="AO26" i="94"/>
  <c r="AN26" i="94"/>
  <c r="AM26" i="94"/>
  <c r="AL26" i="94"/>
  <c r="I8" i="94" s="1"/>
  <c r="W26" i="94"/>
  <c r="X26" i="94" s="1"/>
  <c r="Y26" i="94" s="1"/>
  <c r="AX25" i="94"/>
  <c r="AW25" i="94"/>
  <c r="AV25" i="94"/>
  <c r="AU25" i="94"/>
  <c r="AQ25" i="94"/>
  <c r="AO25" i="94"/>
  <c r="AN25" i="94"/>
  <c r="AM25" i="94"/>
  <c r="AL25" i="94"/>
  <c r="W25" i="94"/>
  <c r="X25" i="94" s="1"/>
  <c r="Y25" i="94" s="1"/>
  <c r="AQ24" i="94"/>
  <c r="X24" i="94"/>
  <c r="Y24" i="94" s="1"/>
  <c r="W24" i="94"/>
  <c r="AW23" i="94"/>
  <c r="AV23" i="94"/>
  <c r="AU23" i="94"/>
  <c r="AQ23" i="94"/>
  <c r="AO23" i="94"/>
  <c r="AN23" i="94"/>
  <c r="G8" i="94" s="1"/>
  <c r="AM23" i="94"/>
  <c r="AL23" i="94"/>
  <c r="W23" i="94"/>
  <c r="X23" i="94" s="1"/>
  <c r="Y23" i="94" s="1"/>
  <c r="AW22" i="94"/>
  <c r="AV22" i="94"/>
  <c r="AU22" i="94"/>
  <c r="AQ22" i="94"/>
  <c r="AN22" i="94"/>
  <c r="AM22" i="94"/>
  <c r="AL22" i="94"/>
  <c r="W22" i="94"/>
  <c r="X22" i="94" s="1"/>
  <c r="Y22" i="94" s="1"/>
  <c r="AQ21" i="94"/>
  <c r="W21" i="94"/>
  <c r="X21" i="94" s="1"/>
  <c r="Y21" i="94" s="1"/>
  <c r="AD16" i="94"/>
  <c r="AD17" i="94" s="1"/>
  <c r="X16" i="94"/>
  <c r="F16" i="94"/>
  <c r="F17" i="94" s="1"/>
  <c r="C16" i="94"/>
  <c r="C17" i="94" s="1"/>
  <c r="AB15" i="94"/>
  <c r="Z15" i="94"/>
  <c r="Z16" i="94" s="1"/>
  <c r="Z17" i="94" s="1"/>
  <c r="Y15" i="94"/>
  <c r="Y16" i="94" s="1"/>
  <c r="Y17" i="94" s="1"/>
  <c r="F15" i="94"/>
  <c r="C15" i="94"/>
  <c r="X14" i="94"/>
  <c r="P14" i="94"/>
  <c r="N14" i="94"/>
  <c r="K14" i="94"/>
  <c r="H14" i="94"/>
  <c r="F14" i="94"/>
  <c r="C14" i="94"/>
  <c r="AJ9" i="94"/>
  <c r="AI9" i="94"/>
  <c r="AF9" i="94"/>
  <c r="V15" i="94" s="1"/>
  <c r="AF8" i="94"/>
  <c r="D8" i="94"/>
  <c r="AP7" i="94"/>
  <c r="AO7" i="94"/>
  <c r="AN7" i="94"/>
  <c r="AM7" i="94"/>
  <c r="AL7" i="94"/>
  <c r="AK7" i="94"/>
  <c r="AJ7" i="94"/>
  <c r="AI7" i="94"/>
  <c r="AX28" i="93"/>
  <c r="AS22" i="93"/>
  <c r="AS23" i="93"/>
  <c r="AW23" i="93" s="1"/>
  <c r="AS24" i="93"/>
  <c r="AS25" i="93"/>
  <c r="AS26" i="93"/>
  <c r="AV26" i="93" s="1"/>
  <c r="AS27" i="93"/>
  <c r="AS28" i="93"/>
  <c r="AS29" i="93"/>
  <c r="AS21" i="93"/>
  <c r="AX31" i="93"/>
  <c r="AS31" i="93"/>
  <c r="AT31" i="93" s="1"/>
  <c r="AX25" i="93"/>
  <c r="AW25" i="93"/>
  <c r="AV25" i="93"/>
  <c r="AU25" i="93"/>
  <c r="AW22" i="93"/>
  <c r="AV22" i="93"/>
  <c r="AU22" i="93"/>
  <c r="G8" i="93"/>
  <c r="AK48" i="93"/>
  <c r="AK47" i="93"/>
  <c r="AQ46" i="93"/>
  <c r="AN46" i="93"/>
  <c r="AS46" i="93" s="1"/>
  <c r="AK46" i="93"/>
  <c r="AQ45" i="93"/>
  <c r="AN45" i="93"/>
  <c r="AS45" i="93" s="1"/>
  <c r="AK45" i="93"/>
  <c r="AS44" i="93"/>
  <c r="AQ44" i="93"/>
  <c r="AN44" i="93"/>
  <c r="AK44" i="93"/>
  <c r="AQ43" i="93"/>
  <c r="AN43" i="93"/>
  <c r="AS43" i="93" s="1"/>
  <c r="AK43" i="93"/>
  <c r="AQ42" i="93"/>
  <c r="AN42" i="93"/>
  <c r="AS42" i="93" s="1"/>
  <c r="AK42" i="93"/>
  <c r="AQ41" i="93"/>
  <c r="AN41" i="93"/>
  <c r="AS41" i="93" s="1"/>
  <c r="AK41" i="93"/>
  <c r="AO31" i="93"/>
  <c r="AJ31" i="93"/>
  <c r="AK31" i="93" s="1"/>
  <c r="AO30" i="93"/>
  <c r="AO28" i="93" a="1"/>
  <c r="AO29" i="93" s="1"/>
  <c r="AO27" i="93"/>
  <c r="W27" i="93"/>
  <c r="X27" i="93" s="1"/>
  <c r="AO26" i="93"/>
  <c r="AN26" i="93"/>
  <c r="AM26" i="93"/>
  <c r="AL26" i="93"/>
  <c r="W26" i="93"/>
  <c r="X26" i="93" s="1"/>
  <c r="AO25" i="93"/>
  <c r="AN25" i="93"/>
  <c r="AM25" i="93"/>
  <c r="AL25" i="93"/>
  <c r="W25" i="93"/>
  <c r="X25" i="93" s="1"/>
  <c r="X24" i="93"/>
  <c r="W24" i="93"/>
  <c r="AO23" i="93"/>
  <c r="AN23" i="93"/>
  <c r="AM23" i="93"/>
  <c r="AL23" i="93"/>
  <c r="W23" i="93"/>
  <c r="X23" i="93" s="1"/>
  <c r="AN22" i="93"/>
  <c r="AM22" i="93"/>
  <c r="AL22" i="93"/>
  <c r="W22" i="93"/>
  <c r="X22" i="93" s="1"/>
  <c r="X21" i="93"/>
  <c r="W21" i="93"/>
  <c r="AD16" i="93"/>
  <c r="AD17" i="93" s="1"/>
  <c r="X16" i="93"/>
  <c r="AB15" i="93"/>
  <c r="Y15" i="93"/>
  <c r="Y16" i="93" s="1"/>
  <c r="Y17" i="93" s="1"/>
  <c r="C15" i="93"/>
  <c r="C16" i="93" s="1"/>
  <c r="C17" i="93" s="1"/>
  <c r="X14" i="93"/>
  <c r="P14" i="93"/>
  <c r="P15" i="93" s="1"/>
  <c r="K14" i="93"/>
  <c r="H14" i="93"/>
  <c r="F14" i="93"/>
  <c r="C14" i="93"/>
  <c r="AI9" i="93"/>
  <c r="AF8" i="93"/>
  <c r="AF9" i="93" s="1"/>
  <c r="AP7" i="93"/>
  <c r="AO7" i="93"/>
  <c r="AN7" i="93"/>
  <c r="AM7" i="93"/>
  <c r="AL7" i="93"/>
  <c r="AK7" i="93"/>
  <c r="AJ7" i="93"/>
  <c r="AI7" i="93"/>
  <c r="AK48" i="92"/>
  <c r="AK47" i="92"/>
  <c r="AQ46" i="92"/>
  <c r="AN46" i="92"/>
  <c r="AS46" i="92" s="1"/>
  <c r="AK46" i="92"/>
  <c r="AQ45" i="92"/>
  <c r="AN45" i="92"/>
  <c r="AS45" i="92" s="1"/>
  <c r="AK45" i="92"/>
  <c r="AQ44" i="92"/>
  <c r="AN44" i="92"/>
  <c r="AS44" i="92" s="1"/>
  <c r="AK44" i="92"/>
  <c r="AQ43" i="92"/>
  <c r="AN43" i="92"/>
  <c r="AS43" i="92" s="1"/>
  <c r="AK43" i="92"/>
  <c r="AQ42" i="92"/>
  <c r="AN42" i="92"/>
  <c r="AS42" i="92" s="1"/>
  <c r="AK42" i="92"/>
  <c r="AQ41" i="92"/>
  <c r="AN41" i="92"/>
  <c r="AS41" i="92" s="1"/>
  <c r="AK41" i="92"/>
  <c r="AX31" i="92"/>
  <c r="AS31" i="92"/>
  <c r="AT31" i="92" s="1"/>
  <c r="AO31" i="92"/>
  <c r="AJ31" i="92"/>
  <c r="AK31" i="92" s="1"/>
  <c r="AX30" i="92"/>
  <c r="AO30" i="92"/>
  <c r="AQ29" i="92"/>
  <c r="AX28" i="92" a="1"/>
  <c r="AX29" i="92" s="1"/>
  <c r="AQ28" i="92"/>
  <c r="AO28" i="92" a="1"/>
  <c r="AO29" i="92" s="1"/>
  <c r="AX27" i="92"/>
  <c r="AQ27" i="92"/>
  <c r="AO27" i="92"/>
  <c r="W27" i="92"/>
  <c r="X27" i="92" s="1"/>
  <c r="AX26" i="92"/>
  <c r="AW26" i="92"/>
  <c r="AV26" i="92"/>
  <c r="AU26" i="92"/>
  <c r="AQ26" i="92"/>
  <c r="AO26" i="92"/>
  <c r="AN26" i="92"/>
  <c r="AM26" i="92"/>
  <c r="AL26" i="92"/>
  <c r="W26" i="92"/>
  <c r="X26" i="92" s="1"/>
  <c r="AX25" i="92"/>
  <c r="AW25" i="92"/>
  <c r="AV25" i="92"/>
  <c r="AU25" i="92"/>
  <c r="AQ25" i="92"/>
  <c r="AO25" i="92"/>
  <c r="AN25" i="92"/>
  <c r="AM25" i="92"/>
  <c r="AL25" i="92"/>
  <c r="W25" i="92"/>
  <c r="X25" i="92" s="1"/>
  <c r="AQ24" i="92"/>
  <c r="X24" i="92"/>
  <c r="W24" i="92"/>
  <c r="AW23" i="92"/>
  <c r="AV23" i="92"/>
  <c r="AU23" i="92"/>
  <c r="AQ23" i="92"/>
  <c r="AO23" i="92"/>
  <c r="AN23" i="92"/>
  <c r="AM23" i="92"/>
  <c r="AL23" i="92"/>
  <c r="W23" i="92"/>
  <c r="X23" i="92" s="1"/>
  <c r="AW22" i="92"/>
  <c r="AV22" i="92"/>
  <c r="AU22" i="92"/>
  <c r="AQ22" i="92"/>
  <c r="AN22" i="92"/>
  <c r="AM22" i="92"/>
  <c r="AL22" i="92"/>
  <c r="X22" i="92"/>
  <c r="W22" i="92"/>
  <c r="AQ21" i="92"/>
  <c r="W21" i="92"/>
  <c r="X21" i="92" s="1"/>
  <c r="AD16" i="92"/>
  <c r="AD17" i="92" s="1"/>
  <c r="X16" i="92"/>
  <c r="AB15" i="92"/>
  <c r="C15" i="92"/>
  <c r="C16" i="92" s="1"/>
  <c r="C17" i="92" s="1"/>
  <c r="X14" i="92"/>
  <c r="P14" i="92"/>
  <c r="N14" i="92"/>
  <c r="K14" i="92"/>
  <c r="H14" i="92"/>
  <c r="F14" i="92"/>
  <c r="C14" i="92"/>
  <c r="AF8" i="92"/>
  <c r="AF9" i="92" s="1"/>
  <c r="I8" i="92"/>
  <c r="G8" i="92"/>
  <c r="AP7" i="92"/>
  <c r="AO7" i="92"/>
  <c r="AN7" i="92"/>
  <c r="AM7" i="92"/>
  <c r="AL7" i="92"/>
  <c r="AK7" i="92"/>
  <c r="AJ7" i="92"/>
  <c r="AI7" i="92"/>
  <c r="Y21" i="100" l="1"/>
  <c r="AP9" i="100"/>
  <c r="V16" i="100"/>
  <c r="V17" i="100" s="1"/>
  <c r="Y22" i="100"/>
  <c r="Y23" i="100"/>
  <c r="F15" i="100"/>
  <c r="Y26" i="100" s="1"/>
  <c r="C16" i="100"/>
  <c r="C17" i="100" s="1"/>
  <c r="AO9" i="100"/>
  <c r="P15" i="100"/>
  <c r="AI9" i="100"/>
  <c r="Y15" i="100"/>
  <c r="Y16" i="100" s="1"/>
  <c r="Y17" i="100" s="1"/>
  <c r="V15" i="98"/>
  <c r="AI9" i="98"/>
  <c r="Y25" i="99"/>
  <c r="Y23" i="99"/>
  <c r="Y22" i="99"/>
  <c r="Y27" i="99"/>
  <c r="V15" i="99"/>
  <c r="R15" i="99"/>
  <c r="P15" i="99"/>
  <c r="AI9" i="99"/>
  <c r="Y15" i="99"/>
  <c r="Y16" i="99" s="1"/>
  <c r="Y17" i="99" s="1"/>
  <c r="Z15" i="99"/>
  <c r="Z16" i="99" s="1"/>
  <c r="Z17" i="99" s="1"/>
  <c r="F15" i="99"/>
  <c r="C16" i="99"/>
  <c r="C17" i="99" s="1"/>
  <c r="P15" i="98"/>
  <c r="Y22" i="98"/>
  <c r="C16" i="98"/>
  <c r="C17" i="98" s="1"/>
  <c r="P15" i="96"/>
  <c r="V15" i="96"/>
  <c r="R15" i="96"/>
  <c r="V15" i="95"/>
  <c r="R15" i="95"/>
  <c r="P15" i="95"/>
  <c r="Y23" i="95"/>
  <c r="Y22" i="95"/>
  <c r="AI9" i="95"/>
  <c r="Y15" i="95"/>
  <c r="Y16" i="95" s="1"/>
  <c r="Y17" i="95" s="1"/>
  <c r="F15" i="95"/>
  <c r="AP9" i="94"/>
  <c r="V16" i="94"/>
  <c r="V17" i="94" s="1"/>
  <c r="P15" i="94"/>
  <c r="R15" i="94"/>
  <c r="AW26" i="93"/>
  <c r="AX26" i="93"/>
  <c r="AU23" i="93"/>
  <c r="AV23" i="93"/>
  <c r="AU26" i="93"/>
  <c r="AX27" i="93"/>
  <c r="AX29" i="93"/>
  <c r="AX30" i="93"/>
  <c r="AX23" i="93"/>
  <c r="R15" i="93"/>
  <c r="V15" i="93"/>
  <c r="Y24" i="93"/>
  <c r="Y23" i="93"/>
  <c r="Y27" i="93"/>
  <c r="Y26" i="93"/>
  <c r="F15" i="93"/>
  <c r="Y27" i="92"/>
  <c r="P15" i="92"/>
  <c r="V15" i="92"/>
  <c r="R15" i="92"/>
  <c r="Y23" i="92"/>
  <c r="Y26" i="92"/>
  <c r="Y25" i="92"/>
  <c r="AI9" i="92"/>
  <c r="Y15" i="92"/>
  <c r="Y16" i="92" s="1"/>
  <c r="Y17" i="92" s="1"/>
  <c r="F15" i="92"/>
  <c r="P16" i="100" l="1"/>
  <c r="P17" i="100" s="1"/>
  <c r="AN9" i="100"/>
  <c r="F16" i="100"/>
  <c r="F17" i="100" s="1"/>
  <c r="D8" i="100"/>
  <c r="Z15" i="100"/>
  <c r="Z16" i="100" s="1"/>
  <c r="Z17" i="100" s="1"/>
  <c r="AJ9" i="100"/>
  <c r="AF6" i="100"/>
  <c r="AF7" i="100" s="1"/>
  <c r="Y27" i="100"/>
  <c r="Y25" i="100"/>
  <c r="Y24" i="100"/>
  <c r="AN9" i="99"/>
  <c r="P16" i="99"/>
  <c r="P17" i="99" s="1"/>
  <c r="AO9" i="99"/>
  <c r="R16" i="99"/>
  <c r="R17" i="99" s="1"/>
  <c r="AP9" i="99"/>
  <c r="V16" i="99"/>
  <c r="V17" i="99" s="1"/>
  <c r="AF6" i="99"/>
  <c r="AF7" i="99" s="1"/>
  <c r="F16" i="99"/>
  <c r="F17" i="99" s="1"/>
  <c r="D8" i="99"/>
  <c r="AJ9" i="99"/>
  <c r="Y21" i="99"/>
  <c r="Y26" i="99"/>
  <c r="Y24" i="99"/>
  <c r="Y21" i="98"/>
  <c r="F16" i="98"/>
  <c r="F17" i="98" s="1"/>
  <c r="Z15" i="98"/>
  <c r="Z16" i="98" s="1"/>
  <c r="Z17" i="98" s="1"/>
  <c r="D8" i="98"/>
  <c r="AJ9" i="98"/>
  <c r="Y23" i="98"/>
  <c r="Y24" i="98"/>
  <c r="Y26" i="98"/>
  <c r="Y25" i="98"/>
  <c r="AN9" i="98"/>
  <c r="P16" i="98"/>
  <c r="P17" i="98" s="1"/>
  <c r="AO9" i="98"/>
  <c r="R16" i="98"/>
  <c r="R17" i="98" s="1"/>
  <c r="Y27" i="98"/>
  <c r="AP9" i="98"/>
  <c r="V16" i="98"/>
  <c r="V17" i="98" s="1"/>
  <c r="AF6" i="98"/>
  <c r="AF7" i="98" s="1"/>
  <c r="AO9" i="96"/>
  <c r="R16" i="96"/>
  <c r="R17" i="96" s="1"/>
  <c r="V16" i="96"/>
  <c r="V17" i="96" s="1"/>
  <c r="AP9" i="96"/>
  <c r="AN9" i="96"/>
  <c r="AF6" i="96"/>
  <c r="AF7" i="96" s="1"/>
  <c r="P16" i="96"/>
  <c r="P17" i="96" s="1"/>
  <c r="AF6" i="95"/>
  <c r="AF7" i="95" s="1"/>
  <c r="F16" i="95"/>
  <c r="F17" i="95" s="1"/>
  <c r="D8" i="95"/>
  <c r="Y21" i="95"/>
  <c r="Z15" i="95"/>
  <c r="Z16" i="95" s="1"/>
  <c r="Z17" i="95" s="1"/>
  <c r="AJ9" i="95"/>
  <c r="Y25" i="95"/>
  <c r="AN9" i="95"/>
  <c r="P16" i="95"/>
  <c r="P17" i="95" s="1"/>
  <c r="AP9" i="95"/>
  <c r="V16" i="95"/>
  <c r="V17" i="95" s="1"/>
  <c r="Y24" i="95"/>
  <c r="AO9" i="95"/>
  <c r="R16" i="95"/>
  <c r="R17" i="95" s="1"/>
  <c r="Y26" i="95"/>
  <c r="Y27" i="95"/>
  <c r="AO9" i="94"/>
  <c r="R16" i="94"/>
  <c r="R17" i="94" s="1"/>
  <c r="AN9" i="94"/>
  <c r="P16" i="94"/>
  <c r="P17" i="94" s="1"/>
  <c r="AF6" i="94"/>
  <c r="AF7" i="94" s="1"/>
  <c r="AP9" i="93"/>
  <c r="V16" i="93"/>
  <c r="V17" i="93" s="1"/>
  <c r="AN9" i="93"/>
  <c r="P16" i="93"/>
  <c r="P17" i="93" s="1"/>
  <c r="AF6" i="93"/>
  <c r="AF7" i="93" s="1"/>
  <c r="F16" i="93"/>
  <c r="F17" i="93" s="1"/>
  <c r="Y21" i="93"/>
  <c r="D8" i="93"/>
  <c r="Z15" i="93"/>
  <c r="Z16" i="93" s="1"/>
  <c r="Z17" i="93" s="1"/>
  <c r="AJ9" i="93"/>
  <c r="AO9" i="93"/>
  <c r="R16" i="93"/>
  <c r="R17" i="93" s="1"/>
  <c r="Y25" i="93"/>
  <c r="Y22" i="93"/>
  <c r="F16" i="92"/>
  <c r="F17" i="92" s="1"/>
  <c r="D8" i="92"/>
  <c r="AJ9" i="92"/>
  <c r="AF6" i="92"/>
  <c r="AF7" i="92" s="1"/>
  <c r="Y24" i="92"/>
  <c r="AO9" i="92"/>
  <c r="R16" i="92"/>
  <c r="R17" i="92" s="1"/>
  <c r="Z15" i="92"/>
  <c r="Z16" i="92" s="1"/>
  <c r="Z17" i="92" s="1"/>
  <c r="V16" i="92"/>
  <c r="V17" i="92" s="1"/>
  <c r="AP9" i="92"/>
  <c r="AN9" i="92"/>
  <c r="P16" i="92"/>
  <c r="P17" i="92" s="1"/>
  <c r="Y21" i="92"/>
  <c r="Y22" i="92"/>
  <c r="AK48" i="91"/>
  <c r="AK47" i="91"/>
  <c r="AS46" i="91"/>
  <c r="AQ46" i="91"/>
  <c r="AN46" i="91"/>
  <c r="AK46" i="91"/>
  <c r="AQ45" i="91"/>
  <c r="AN45" i="91"/>
  <c r="AS45" i="91" s="1"/>
  <c r="AK45" i="91"/>
  <c r="AQ44" i="91"/>
  <c r="AN44" i="91"/>
  <c r="AS44" i="91" s="1"/>
  <c r="AK44" i="91"/>
  <c r="AQ43" i="91"/>
  <c r="AN43" i="91"/>
  <c r="AS43" i="91" s="1"/>
  <c r="AK43" i="91"/>
  <c r="AS42" i="91"/>
  <c r="AQ42" i="91"/>
  <c r="AN42" i="91"/>
  <c r="AK42" i="91"/>
  <c r="AQ41" i="91"/>
  <c r="AN41" i="91"/>
  <c r="AS41" i="91" s="1"/>
  <c r="AK41" i="91"/>
  <c r="AX31" i="91"/>
  <c r="AS31" i="91"/>
  <c r="AT31" i="91" s="1"/>
  <c r="AO31" i="91"/>
  <c r="AK31" i="91"/>
  <c r="AJ31" i="91"/>
  <c r="AX30" i="91"/>
  <c r="AO30" i="91"/>
  <c r="AQ29" i="91"/>
  <c r="AX28" i="91" a="1"/>
  <c r="AX29" i="91" s="1"/>
  <c r="AQ28" i="91"/>
  <c r="AO28" i="91" a="1"/>
  <c r="AO29" i="91" s="1"/>
  <c r="AX27" i="91"/>
  <c r="AQ27" i="91"/>
  <c r="AO27" i="91"/>
  <c r="W27" i="91"/>
  <c r="X27" i="91" s="1"/>
  <c r="AX26" i="91"/>
  <c r="AW26" i="91"/>
  <c r="AV26" i="91"/>
  <c r="AU26" i="91"/>
  <c r="AQ26" i="91"/>
  <c r="AO26" i="91"/>
  <c r="AN26" i="91"/>
  <c r="AM26" i="91"/>
  <c r="AL26" i="91"/>
  <c r="I8" i="91" s="1"/>
  <c r="W26" i="91"/>
  <c r="X26" i="91" s="1"/>
  <c r="AX25" i="91"/>
  <c r="AW25" i="91"/>
  <c r="AV25" i="91"/>
  <c r="AU25" i="91"/>
  <c r="AQ25" i="91"/>
  <c r="AO25" i="91"/>
  <c r="AN25" i="91"/>
  <c r="AM25" i="91"/>
  <c r="AL25" i="91"/>
  <c r="W25" i="91"/>
  <c r="X25" i="91" s="1"/>
  <c r="AQ24" i="91"/>
  <c r="X24" i="91"/>
  <c r="W24" i="91"/>
  <c r="AW23" i="91"/>
  <c r="AV23" i="91"/>
  <c r="AU23" i="91"/>
  <c r="AQ23" i="91"/>
  <c r="AO23" i="91"/>
  <c r="AN23" i="91"/>
  <c r="G8" i="91" s="1"/>
  <c r="AM23" i="91"/>
  <c r="AL23" i="91"/>
  <c r="W23" i="91"/>
  <c r="X23" i="91" s="1"/>
  <c r="AW22" i="91"/>
  <c r="AV22" i="91"/>
  <c r="AU22" i="91"/>
  <c r="AQ22" i="91"/>
  <c r="AN22" i="91"/>
  <c r="AM22" i="91"/>
  <c r="AL22" i="91"/>
  <c r="X22" i="91"/>
  <c r="W22" i="91"/>
  <c r="AQ21" i="91"/>
  <c r="W21" i="91"/>
  <c r="X21" i="91" s="1"/>
  <c r="AD16" i="91"/>
  <c r="AD17" i="91" s="1"/>
  <c r="X16" i="91"/>
  <c r="AB15" i="91"/>
  <c r="C15" i="91"/>
  <c r="X14" i="91"/>
  <c r="P14" i="91"/>
  <c r="N14" i="91"/>
  <c r="K14" i="91"/>
  <c r="H14" i="91"/>
  <c r="F14" i="91"/>
  <c r="C14" i="91"/>
  <c r="AF8" i="91"/>
  <c r="AF9" i="91" s="1"/>
  <c r="AP7" i="91"/>
  <c r="AO7" i="91"/>
  <c r="AN7" i="91"/>
  <c r="AM7" i="91"/>
  <c r="AL7" i="91"/>
  <c r="AK7" i="91"/>
  <c r="AJ7" i="91"/>
  <c r="AI7" i="91"/>
  <c r="AK48" i="90"/>
  <c r="AK47" i="90"/>
  <c r="AQ46" i="90"/>
  <c r="AN46" i="90"/>
  <c r="AS46" i="90" s="1"/>
  <c r="AK46" i="90"/>
  <c r="AQ45" i="90"/>
  <c r="AN45" i="90"/>
  <c r="AS45" i="90" s="1"/>
  <c r="AK45" i="90"/>
  <c r="AQ44" i="90"/>
  <c r="AN44" i="90"/>
  <c r="AS44" i="90" s="1"/>
  <c r="AK44" i="90"/>
  <c r="AQ43" i="90"/>
  <c r="AN43" i="90"/>
  <c r="AS43" i="90" s="1"/>
  <c r="AK43" i="90"/>
  <c r="AQ42" i="90"/>
  <c r="AN42" i="90"/>
  <c r="AS42" i="90" s="1"/>
  <c r="AK42" i="90"/>
  <c r="AQ41" i="90"/>
  <c r="AN41" i="90"/>
  <c r="AS41" i="90" s="1"/>
  <c r="AK41" i="90"/>
  <c r="AX31" i="90"/>
  <c r="AS31" i="90"/>
  <c r="AT31" i="90" s="1"/>
  <c r="AO31" i="90"/>
  <c r="AJ31" i="90"/>
  <c r="AK31" i="90" s="1"/>
  <c r="AX30" i="90"/>
  <c r="AO30" i="90"/>
  <c r="AQ29" i="90"/>
  <c r="AX28" i="90" a="1"/>
  <c r="AX29" i="90" s="1"/>
  <c r="AQ28" i="90"/>
  <c r="AO28" i="90" a="1"/>
  <c r="AO29" i="90" s="1"/>
  <c r="AX27" i="90"/>
  <c r="AQ27" i="90"/>
  <c r="AO27" i="90"/>
  <c r="W27" i="90"/>
  <c r="X27" i="90" s="1"/>
  <c r="Y27" i="90" s="1"/>
  <c r="AX26" i="90"/>
  <c r="AW26" i="90"/>
  <c r="AV26" i="90"/>
  <c r="AU26" i="90"/>
  <c r="AQ26" i="90"/>
  <c r="AO26" i="90"/>
  <c r="AN26" i="90"/>
  <c r="AM26" i="90"/>
  <c r="AL26" i="90"/>
  <c r="I8" i="90" s="1"/>
  <c r="W26" i="90"/>
  <c r="X26" i="90" s="1"/>
  <c r="Y26" i="90" s="1"/>
  <c r="AX25" i="90"/>
  <c r="AW25" i="90"/>
  <c r="AV25" i="90"/>
  <c r="AU25" i="90"/>
  <c r="AQ25" i="90"/>
  <c r="AO25" i="90"/>
  <c r="AN25" i="90"/>
  <c r="AM25" i="90"/>
  <c r="AL25" i="90"/>
  <c r="W25" i="90"/>
  <c r="X25" i="90" s="1"/>
  <c r="Y25" i="90" s="1"/>
  <c r="AQ24" i="90"/>
  <c r="X24" i="90"/>
  <c r="Y24" i="90" s="1"/>
  <c r="W24" i="90"/>
  <c r="AW23" i="90"/>
  <c r="AV23" i="90"/>
  <c r="AU23" i="90"/>
  <c r="AQ23" i="90"/>
  <c r="AN23" i="90"/>
  <c r="G8" i="90" s="1"/>
  <c r="AM23" i="90"/>
  <c r="AL23" i="90"/>
  <c r="W23" i="90"/>
  <c r="X23" i="90" s="1"/>
  <c r="Y23" i="90" s="1"/>
  <c r="AW22" i="90"/>
  <c r="AV22" i="90"/>
  <c r="AU22" i="90"/>
  <c r="AQ22" i="90"/>
  <c r="AN22" i="90"/>
  <c r="AM22" i="90"/>
  <c r="AL22" i="90"/>
  <c r="W22" i="90"/>
  <c r="X22" i="90" s="1"/>
  <c r="Y22" i="90" s="1"/>
  <c r="AQ21" i="90"/>
  <c r="X21" i="90"/>
  <c r="Y21" i="90" s="1"/>
  <c r="W21" i="90"/>
  <c r="AD17" i="90"/>
  <c r="F17" i="90"/>
  <c r="C17" i="90"/>
  <c r="AD16" i="90"/>
  <c r="X16" i="90"/>
  <c r="F16" i="90"/>
  <c r="C16" i="90"/>
  <c r="AB15" i="90"/>
  <c r="Y15" i="90"/>
  <c r="Y16" i="90" s="1"/>
  <c r="Y17" i="90" s="1"/>
  <c r="F15" i="90"/>
  <c r="Z15" i="90" s="1"/>
  <c r="Z16" i="90" s="1"/>
  <c r="Z17" i="90" s="1"/>
  <c r="C15" i="90"/>
  <c r="X14" i="90"/>
  <c r="P14" i="90"/>
  <c r="N14" i="90"/>
  <c r="K14" i="90"/>
  <c r="H14" i="90"/>
  <c r="F14" i="90"/>
  <c r="C14" i="90"/>
  <c r="AI9" i="90"/>
  <c r="AF8" i="90"/>
  <c r="AF9" i="90" s="1"/>
  <c r="D8" i="90"/>
  <c r="AP7" i="90"/>
  <c r="AO7" i="90"/>
  <c r="AN7" i="90"/>
  <c r="AM7" i="90"/>
  <c r="AL7" i="90"/>
  <c r="AK7" i="90"/>
  <c r="AJ7" i="90"/>
  <c r="AI7" i="90"/>
  <c r="AK48" i="89"/>
  <c r="AK47" i="89"/>
  <c r="AS46" i="89"/>
  <c r="AQ46" i="89"/>
  <c r="AN46" i="89"/>
  <c r="AK46" i="89"/>
  <c r="AQ45" i="89"/>
  <c r="AN45" i="89"/>
  <c r="AS45" i="89" s="1"/>
  <c r="AK45" i="89"/>
  <c r="AS44" i="89"/>
  <c r="AQ44" i="89"/>
  <c r="AN44" i="89"/>
  <c r="AK44" i="89"/>
  <c r="AQ43" i="89"/>
  <c r="AN43" i="89"/>
  <c r="AS43" i="89" s="1"/>
  <c r="AK43" i="89"/>
  <c r="AS42" i="89"/>
  <c r="AQ42" i="89"/>
  <c r="AN42" i="89"/>
  <c r="AK42" i="89"/>
  <c r="AQ41" i="89"/>
  <c r="AN41" i="89"/>
  <c r="AS41" i="89" s="1"/>
  <c r="AK41" i="89"/>
  <c r="AX31" i="89"/>
  <c r="AS31" i="89"/>
  <c r="AT31" i="89" s="1"/>
  <c r="AO31" i="89"/>
  <c r="AJ31" i="89"/>
  <c r="AK31" i="89" s="1"/>
  <c r="AX30" i="89"/>
  <c r="AO30" i="89"/>
  <c r="AQ29" i="89"/>
  <c r="AX29" i="89" s="1"/>
  <c r="AX28" i="89" a="1"/>
  <c r="AQ28" i="89"/>
  <c r="AO28" i="89" a="1"/>
  <c r="AO29" i="89" s="1"/>
  <c r="AX27" i="89"/>
  <c r="AQ27" i="89"/>
  <c r="AO27" i="89"/>
  <c r="W27" i="89"/>
  <c r="X27" i="89" s="1"/>
  <c r="AX26" i="89"/>
  <c r="AW26" i="89"/>
  <c r="AV26" i="89"/>
  <c r="AU26" i="89"/>
  <c r="AQ26" i="89"/>
  <c r="AO26" i="89"/>
  <c r="AN26" i="89"/>
  <c r="AM26" i="89"/>
  <c r="AL26" i="89"/>
  <c r="I8" i="89" s="1"/>
  <c r="W26" i="89"/>
  <c r="X26" i="89" s="1"/>
  <c r="AX25" i="89"/>
  <c r="AW25" i="89"/>
  <c r="AV25" i="89"/>
  <c r="AU25" i="89"/>
  <c r="AQ25" i="89"/>
  <c r="AO25" i="89"/>
  <c r="AN25" i="89"/>
  <c r="AM25" i="89"/>
  <c r="AL25" i="89"/>
  <c r="W25" i="89"/>
  <c r="X25" i="89" s="1"/>
  <c r="AQ24" i="89"/>
  <c r="W24" i="89"/>
  <c r="X24" i="89" s="1"/>
  <c r="AW23" i="89"/>
  <c r="AV23" i="89"/>
  <c r="AU23" i="89"/>
  <c r="AQ23" i="89"/>
  <c r="AN23" i="89"/>
  <c r="AM23" i="89"/>
  <c r="AL23" i="89"/>
  <c r="W23" i="89"/>
  <c r="X23" i="89" s="1"/>
  <c r="AW22" i="89"/>
  <c r="AV22" i="89"/>
  <c r="AU22" i="89"/>
  <c r="AQ22" i="89"/>
  <c r="AN22" i="89"/>
  <c r="AM22" i="89"/>
  <c r="AL22" i="89"/>
  <c r="W22" i="89"/>
  <c r="X22" i="89" s="1"/>
  <c r="AQ21" i="89"/>
  <c r="W21" i="89"/>
  <c r="X21" i="89" s="1"/>
  <c r="AD17" i="89"/>
  <c r="AD16" i="89"/>
  <c r="X16" i="89"/>
  <c r="AB15" i="89"/>
  <c r="C15" i="89"/>
  <c r="X14" i="89"/>
  <c r="P14" i="89"/>
  <c r="N14" i="89"/>
  <c r="K14" i="89"/>
  <c r="H14" i="89"/>
  <c r="F14" i="89"/>
  <c r="C14" i="89"/>
  <c r="AF8" i="89"/>
  <c r="AF9" i="89" s="1"/>
  <c r="G8" i="89"/>
  <c r="AP7" i="89"/>
  <c r="AO7" i="89"/>
  <c r="AN7" i="89"/>
  <c r="AM7" i="89"/>
  <c r="AL7" i="89"/>
  <c r="AK7" i="89"/>
  <c r="AJ7" i="89"/>
  <c r="AI7" i="89"/>
  <c r="Y15" i="88"/>
  <c r="Y16" i="88" s="1"/>
  <c r="Y17" i="88" s="1"/>
  <c r="AK48" i="88"/>
  <c r="AK47" i="88"/>
  <c r="AQ46" i="88"/>
  <c r="AN46" i="88"/>
  <c r="AS46" i="88" s="1"/>
  <c r="AK46" i="88"/>
  <c r="AQ45" i="88"/>
  <c r="AN45" i="88"/>
  <c r="AS45" i="88" s="1"/>
  <c r="AK45" i="88"/>
  <c r="AS44" i="88"/>
  <c r="AQ44" i="88"/>
  <c r="AN44" i="88"/>
  <c r="AK44" i="88"/>
  <c r="AQ43" i="88"/>
  <c r="AN43" i="88"/>
  <c r="AS43" i="88" s="1"/>
  <c r="AK43" i="88"/>
  <c r="AS42" i="88"/>
  <c r="AQ42" i="88"/>
  <c r="AN42" i="88"/>
  <c r="AK42" i="88"/>
  <c r="AQ41" i="88"/>
  <c r="AN41" i="88"/>
  <c r="AS41" i="88" s="1"/>
  <c r="AK41" i="88"/>
  <c r="AX31" i="88"/>
  <c r="AS31" i="88"/>
  <c r="AT31" i="88" s="1"/>
  <c r="AO31" i="88"/>
  <c r="AJ31" i="88"/>
  <c r="AK31" i="88" s="1"/>
  <c r="AX30" i="88"/>
  <c r="AO30" i="88"/>
  <c r="AQ29" i="88"/>
  <c r="AX28" i="88" a="1"/>
  <c r="AX29" i="88" s="1"/>
  <c r="AQ28" i="88"/>
  <c r="AO28" i="88" a="1"/>
  <c r="AO29" i="88" s="1"/>
  <c r="AX27" i="88"/>
  <c r="AQ27" i="88"/>
  <c r="AO27" i="88"/>
  <c r="X27" i="88"/>
  <c r="Y27" i="88" s="1"/>
  <c r="W27" i="88"/>
  <c r="AX26" i="88"/>
  <c r="AW26" i="88"/>
  <c r="AV26" i="88"/>
  <c r="AU26" i="88"/>
  <c r="AQ26" i="88"/>
  <c r="AO26" i="88"/>
  <c r="AN26" i="88"/>
  <c r="AM26" i="88"/>
  <c r="AL26" i="88"/>
  <c r="I8" i="88" s="1"/>
  <c r="X26" i="88"/>
  <c r="Y26" i="88" s="1"/>
  <c r="W26" i="88"/>
  <c r="AX25" i="88"/>
  <c r="AW25" i="88"/>
  <c r="AV25" i="88"/>
  <c r="AU25" i="88"/>
  <c r="AQ25" i="88"/>
  <c r="AO25" i="88"/>
  <c r="AN25" i="88"/>
  <c r="AM25" i="88"/>
  <c r="AL25" i="88"/>
  <c r="X25" i="88"/>
  <c r="Y25" i="88" s="1"/>
  <c r="W25" i="88"/>
  <c r="AQ24" i="88"/>
  <c r="W24" i="88"/>
  <c r="X24" i="88" s="1"/>
  <c r="Y24" i="88" s="1"/>
  <c r="AW23" i="88"/>
  <c r="AV23" i="88"/>
  <c r="AU23" i="88"/>
  <c r="AQ23" i="88"/>
  <c r="AO23" i="88"/>
  <c r="AN23" i="88"/>
  <c r="G8" i="88" s="1"/>
  <c r="AM23" i="88"/>
  <c r="AL23" i="88"/>
  <c r="W23" i="88"/>
  <c r="X23" i="88" s="1"/>
  <c r="Y23" i="88" s="1"/>
  <c r="AW22" i="88"/>
  <c r="AV22" i="88"/>
  <c r="AU22" i="88"/>
  <c r="AQ22" i="88"/>
  <c r="AN22" i="88"/>
  <c r="AM22" i="88"/>
  <c r="AL22" i="88"/>
  <c r="W22" i="88"/>
  <c r="X22" i="88" s="1"/>
  <c r="Y22" i="88" s="1"/>
  <c r="AQ21" i="88"/>
  <c r="W21" i="88"/>
  <c r="X21" i="88" s="1"/>
  <c r="Y21" i="88" s="1"/>
  <c r="C17" i="88"/>
  <c r="AD16" i="88"/>
  <c r="AD17" i="88" s="1"/>
  <c r="X16" i="88"/>
  <c r="C16" i="88"/>
  <c r="AB15" i="88"/>
  <c r="Z15" i="88"/>
  <c r="Z16" i="88" s="1"/>
  <c r="Z17" i="88" s="1"/>
  <c r="F15" i="88"/>
  <c r="F16" i="88" s="1"/>
  <c r="F17" i="88" s="1"/>
  <c r="C15" i="88"/>
  <c r="X14" i="88"/>
  <c r="P14" i="88"/>
  <c r="N14" i="88"/>
  <c r="K14" i="88"/>
  <c r="H14" i="88"/>
  <c r="F14" i="88"/>
  <c r="C14" i="88"/>
  <c r="AJ9" i="88"/>
  <c r="AI9" i="88"/>
  <c r="AF8" i="88"/>
  <c r="AF9" i="88" s="1"/>
  <c r="D8" i="88"/>
  <c r="AP7" i="88"/>
  <c r="AO7" i="88"/>
  <c r="AN7" i="88"/>
  <c r="AM7" i="88"/>
  <c r="AL7" i="88"/>
  <c r="AK7" i="88"/>
  <c r="AJ7" i="88"/>
  <c r="AI7" i="88"/>
  <c r="C15" i="87"/>
  <c r="AO23" i="87"/>
  <c r="AK48" i="87"/>
  <c r="AK47" i="87"/>
  <c r="AQ46" i="87"/>
  <c r="AN46" i="87"/>
  <c r="AS46" i="87" s="1"/>
  <c r="AK46" i="87"/>
  <c r="AQ45" i="87"/>
  <c r="AN45" i="87"/>
  <c r="AS45" i="87" s="1"/>
  <c r="AK45" i="87"/>
  <c r="AQ44" i="87"/>
  <c r="AN44" i="87"/>
  <c r="AS44" i="87" s="1"/>
  <c r="AK44" i="87"/>
  <c r="AQ43" i="87"/>
  <c r="AN43" i="87"/>
  <c r="AS43" i="87" s="1"/>
  <c r="AK43" i="87"/>
  <c r="AQ42" i="87"/>
  <c r="AN42" i="87"/>
  <c r="AS42" i="87" s="1"/>
  <c r="AK42" i="87"/>
  <c r="AQ41" i="87"/>
  <c r="AN41" i="87"/>
  <c r="AS41" i="87" s="1"/>
  <c r="AK41" i="87"/>
  <c r="AX31" i="87"/>
  <c r="AS31" i="87"/>
  <c r="AT31" i="87" s="1"/>
  <c r="AO31" i="87"/>
  <c r="AJ31" i="87"/>
  <c r="AK31" i="87" s="1"/>
  <c r="AX30" i="87"/>
  <c r="AO30" i="87"/>
  <c r="AQ29" i="87"/>
  <c r="AX28" i="87" a="1"/>
  <c r="AX29" i="87" s="1"/>
  <c r="AQ28" i="87"/>
  <c r="AO28" i="87" a="1"/>
  <c r="AO29" i="87" s="1"/>
  <c r="AX27" i="87"/>
  <c r="AQ27" i="87"/>
  <c r="AO27" i="87"/>
  <c r="X27" i="87"/>
  <c r="W27" i="87"/>
  <c r="AX26" i="87"/>
  <c r="AW26" i="87"/>
  <c r="AV26" i="87"/>
  <c r="AU26" i="87"/>
  <c r="AQ26" i="87"/>
  <c r="AO26" i="87"/>
  <c r="AN26" i="87"/>
  <c r="AM26" i="87"/>
  <c r="AL26" i="87"/>
  <c r="I8" i="87" s="1"/>
  <c r="X26" i="87"/>
  <c r="W26" i="87"/>
  <c r="AX25" i="87"/>
  <c r="AW25" i="87"/>
  <c r="AV25" i="87"/>
  <c r="AU25" i="87"/>
  <c r="AQ25" i="87"/>
  <c r="AO25" i="87"/>
  <c r="AN25" i="87"/>
  <c r="AM25" i="87"/>
  <c r="AL25" i="87"/>
  <c r="X25" i="87"/>
  <c r="W25" i="87"/>
  <c r="AQ24" i="87"/>
  <c r="X24" i="87"/>
  <c r="W24" i="87"/>
  <c r="AW23" i="87"/>
  <c r="AV23" i="87"/>
  <c r="AU23" i="87"/>
  <c r="AQ23" i="87"/>
  <c r="AN23" i="87"/>
  <c r="G8" i="87" s="1"/>
  <c r="AM23" i="87"/>
  <c r="AL23" i="87"/>
  <c r="W23" i="87"/>
  <c r="X23" i="87" s="1"/>
  <c r="AW22" i="87"/>
  <c r="AV22" i="87"/>
  <c r="AU22" i="87"/>
  <c r="AQ22" i="87"/>
  <c r="AN22" i="87"/>
  <c r="AM22" i="87"/>
  <c r="AL22" i="87"/>
  <c r="X22" i="87"/>
  <c r="W22" i="87"/>
  <c r="AQ21" i="87"/>
  <c r="X21" i="87"/>
  <c r="W21" i="87"/>
  <c r="AD17" i="87"/>
  <c r="AD16" i="87"/>
  <c r="X16" i="87"/>
  <c r="AB15" i="87"/>
  <c r="X14" i="87"/>
  <c r="P14" i="87"/>
  <c r="N14" i="87"/>
  <c r="K14" i="87"/>
  <c r="H14" i="87"/>
  <c r="F14" i="87"/>
  <c r="C14" i="87"/>
  <c r="AF8" i="87"/>
  <c r="AF9" i="87" s="1"/>
  <c r="AP7" i="87"/>
  <c r="AO7" i="87"/>
  <c r="AN7" i="87"/>
  <c r="AM7" i="87"/>
  <c r="AL7" i="87"/>
  <c r="AK7" i="87"/>
  <c r="AJ7" i="87"/>
  <c r="AI7" i="87"/>
  <c r="K15" i="100" l="1"/>
  <c r="N15" i="100"/>
  <c r="H15" i="100"/>
  <c r="AB16" i="100"/>
  <c r="AB17" i="100" s="1"/>
  <c r="H15" i="98"/>
  <c r="K15" i="98"/>
  <c r="K15" i="99"/>
  <c r="AB16" i="99"/>
  <c r="AB17" i="99" s="1"/>
  <c r="H15" i="99"/>
  <c r="N15" i="99"/>
  <c r="N15" i="98"/>
  <c r="AB16" i="98"/>
  <c r="AB17" i="98" s="1"/>
  <c r="H15" i="96"/>
  <c r="N15" i="96"/>
  <c r="K15" i="96"/>
  <c r="AB16" i="96"/>
  <c r="AB17" i="96" s="1"/>
  <c r="K15" i="95"/>
  <c r="H15" i="95"/>
  <c r="AB16" i="95"/>
  <c r="AB17" i="95" s="1"/>
  <c r="N15" i="95"/>
  <c r="K15" i="94"/>
  <c r="H15" i="94"/>
  <c r="N15" i="94"/>
  <c r="AB16" i="94"/>
  <c r="AB17" i="94" s="1"/>
  <c r="K15" i="93"/>
  <c r="AB16" i="93"/>
  <c r="AB17" i="93" s="1"/>
  <c r="H15" i="92"/>
  <c r="AB16" i="92"/>
  <c r="AB17" i="92" s="1"/>
  <c r="K15" i="92"/>
  <c r="N15" i="92"/>
  <c r="Y26" i="91"/>
  <c r="Y24" i="91"/>
  <c r="Y22" i="91"/>
  <c r="P15" i="91"/>
  <c r="AF6" i="91" s="1"/>
  <c r="AF7" i="91" s="1"/>
  <c r="R15" i="91"/>
  <c r="V15" i="91"/>
  <c r="F15" i="91"/>
  <c r="Y21" i="91" s="1"/>
  <c r="C16" i="91"/>
  <c r="C17" i="91" s="1"/>
  <c r="AI9" i="91"/>
  <c r="Y15" i="91"/>
  <c r="Y16" i="91" s="1"/>
  <c r="Y17" i="91" s="1"/>
  <c r="V15" i="90"/>
  <c r="R15" i="90"/>
  <c r="P15" i="90"/>
  <c r="AJ9" i="90"/>
  <c r="Y24" i="89"/>
  <c r="Y25" i="89"/>
  <c r="Y22" i="89"/>
  <c r="P15" i="89"/>
  <c r="V15" i="89"/>
  <c r="R15" i="89"/>
  <c r="Y21" i="89"/>
  <c r="Y27" i="89"/>
  <c r="AI9" i="89"/>
  <c r="Y15" i="89"/>
  <c r="Y16" i="89" s="1"/>
  <c r="Y17" i="89" s="1"/>
  <c r="F15" i="89"/>
  <c r="Y26" i="89" s="1"/>
  <c r="C16" i="89"/>
  <c r="C17" i="89" s="1"/>
  <c r="V15" i="88"/>
  <c r="R15" i="88"/>
  <c r="P15" i="88"/>
  <c r="P15" i="87"/>
  <c r="V15" i="87"/>
  <c r="R15" i="87"/>
  <c r="Y26" i="87"/>
  <c r="Y25" i="87"/>
  <c r="Y21" i="87"/>
  <c r="Y24" i="87"/>
  <c r="Y27" i="87"/>
  <c r="Y22" i="87"/>
  <c r="Y15" i="87"/>
  <c r="Y16" i="87" s="1"/>
  <c r="Y17" i="87" s="1"/>
  <c r="AI9" i="87"/>
  <c r="Z15" i="87"/>
  <c r="Z16" i="87" s="1"/>
  <c r="Z17" i="87" s="1"/>
  <c r="F15" i="87"/>
  <c r="C16" i="87"/>
  <c r="C17" i="87" s="1"/>
  <c r="AO27" i="86"/>
  <c r="AK48" i="86"/>
  <c r="AK47" i="86"/>
  <c r="AQ46" i="86"/>
  <c r="AN46" i="86"/>
  <c r="AS46" i="86" s="1"/>
  <c r="AK46" i="86"/>
  <c r="AQ45" i="86"/>
  <c r="AN45" i="86"/>
  <c r="AS45" i="86" s="1"/>
  <c r="AK45" i="86"/>
  <c r="AQ44" i="86"/>
  <c r="AN44" i="86"/>
  <c r="AS44" i="86" s="1"/>
  <c r="AK44" i="86"/>
  <c r="AQ43" i="86"/>
  <c r="AN43" i="86"/>
  <c r="AS43" i="86" s="1"/>
  <c r="AK43" i="86"/>
  <c r="AQ42" i="86"/>
  <c r="AN42" i="86"/>
  <c r="AS42" i="86" s="1"/>
  <c r="AK42" i="86"/>
  <c r="AQ41" i="86"/>
  <c r="AN41" i="86"/>
  <c r="AS41" i="86" s="1"/>
  <c r="AK41" i="86"/>
  <c r="AX31" i="86"/>
  <c r="AS31" i="86"/>
  <c r="AT31" i="86" s="1"/>
  <c r="AO31" i="86"/>
  <c r="AJ31" i="86"/>
  <c r="AK31" i="86" s="1"/>
  <c r="AX30" i="86"/>
  <c r="AO30" i="86"/>
  <c r="AQ29" i="86"/>
  <c r="AX28" i="86" a="1"/>
  <c r="AX29" i="86" s="1"/>
  <c r="AQ28" i="86"/>
  <c r="AO28" i="86" a="1"/>
  <c r="AO29" i="86" s="1"/>
  <c r="AX27" i="86"/>
  <c r="AQ27" i="86"/>
  <c r="W27" i="86"/>
  <c r="X27" i="86" s="1"/>
  <c r="AX26" i="86"/>
  <c r="AW26" i="86"/>
  <c r="AV26" i="86"/>
  <c r="AU26" i="86"/>
  <c r="AQ26" i="86"/>
  <c r="AO26" i="86"/>
  <c r="AN26" i="86"/>
  <c r="AM26" i="86"/>
  <c r="AL26" i="86"/>
  <c r="I8" i="86" s="1"/>
  <c r="W26" i="86"/>
  <c r="X26" i="86" s="1"/>
  <c r="AX25" i="86"/>
  <c r="AW25" i="86"/>
  <c r="AV25" i="86"/>
  <c r="AU25" i="86"/>
  <c r="AQ25" i="86"/>
  <c r="AO25" i="86"/>
  <c r="AN25" i="86"/>
  <c r="AM25" i="86"/>
  <c r="AL25" i="86"/>
  <c r="W25" i="86"/>
  <c r="X25" i="86" s="1"/>
  <c r="AQ24" i="86"/>
  <c r="X24" i="86"/>
  <c r="W24" i="86"/>
  <c r="AW23" i="86"/>
  <c r="AV23" i="86"/>
  <c r="AU23" i="86"/>
  <c r="AQ23" i="86"/>
  <c r="AN23" i="86"/>
  <c r="AM23" i="86"/>
  <c r="AL23" i="86"/>
  <c r="W23" i="86"/>
  <c r="X23" i="86" s="1"/>
  <c r="AW22" i="86"/>
  <c r="AV22" i="86"/>
  <c r="AU22" i="86"/>
  <c r="AQ22" i="86"/>
  <c r="AN22" i="86"/>
  <c r="AM22" i="86"/>
  <c r="AL22" i="86"/>
  <c r="W22" i="86"/>
  <c r="X22" i="86" s="1"/>
  <c r="AQ21" i="86"/>
  <c r="X21" i="86"/>
  <c r="W21" i="86"/>
  <c r="AD17" i="86"/>
  <c r="AD16" i="86"/>
  <c r="X16" i="86"/>
  <c r="AB15" i="86"/>
  <c r="C15" i="86"/>
  <c r="C16" i="86" s="1"/>
  <c r="C17" i="86" s="1"/>
  <c r="X14" i="86"/>
  <c r="P14" i="86"/>
  <c r="N14" i="86"/>
  <c r="K14" i="86"/>
  <c r="H14" i="86"/>
  <c r="F14" i="86"/>
  <c r="C14" i="86"/>
  <c r="AI9" i="86"/>
  <c r="AF8" i="86"/>
  <c r="AF9" i="86" s="1"/>
  <c r="G8" i="86"/>
  <c r="AP7" i="86"/>
  <c r="AO7" i="86"/>
  <c r="AN7" i="86"/>
  <c r="AM7" i="86"/>
  <c r="AL7" i="86"/>
  <c r="AK7" i="86"/>
  <c r="AJ7" i="86"/>
  <c r="AI7" i="86"/>
  <c r="AX31" i="83"/>
  <c r="AS31" i="83"/>
  <c r="AT31" i="83" s="1"/>
  <c r="AX30" i="83"/>
  <c r="AX28" i="83" a="1"/>
  <c r="AX29" i="83" s="1"/>
  <c r="AX27" i="83"/>
  <c r="AX26" i="83"/>
  <c r="AW26" i="83"/>
  <c r="AV26" i="83"/>
  <c r="AU26" i="83"/>
  <c r="AX25" i="83"/>
  <c r="AW25" i="83"/>
  <c r="AV25" i="83"/>
  <c r="AU25" i="83"/>
  <c r="AW23" i="83"/>
  <c r="AV23" i="83"/>
  <c r="AU23" i="83"/>
  <c r="AW22" i="83"/>
  <c r="AV22" i="83"/>
  <c r="AU22" i="83"/>
  <c r="AO27" i="83"/>
  <c r="N16" i="100" l="1"/>
  <c r="N17" i="100" s="1"/>
  <c r="AM9" i="100"/>
  <c r="H16" i="100"/>
  <c r="H17" i="100" s="1"/>
  <c r="AK9" i="100"/>
  <c r="AM15" i="100"/>
  <c r="AB8" i="100"/>
  <c r="AV42" i="100"/>
  <c r="AV46" i="100"/>
  <c r="AV43" i="100"/>
  <c r="AX41" i="100"/>
  <c r="AX42" i="100" s="1"/>
  <c r="AX43" i="100" s="1"/>
  <c r="AX44" i="100" s="1"/>
  <c r="AX45" i="100" s="1"/>
  <c r="AX46" i="100" s="1"/>
  <c r="AX47" i="100" s="1"/>
  <c r="AX48" i="100" s="1"/>
  <c r="AB9" i="100"/>
  <c r="AV48" i="100"/>
  <c r="AM16" i="100"/>
  <c r="AV45" i="100"/>
  <c r="AV41" i="100"/>
  <c r="AV44" i="100"/>
  <c r="AV47" i="100"/>
  <c r="K16" i="100"/>
  <c r="K17" i="100" s="1"/>
  <c r="AL9" i="100"/>
  <c r="AM9" i="99"/>
  <c r="N16" i="99"/>
  <c r="N17" i="99" s="1"/>
  <c r="H16" i="99"/>
  <c r="H17" i="99" s="1"/>
  <c r="AM15" i="99"/>
  <c r="AK9" i="99"/>
  <c r="AV43" i="99"/>
  <c r="AV47" i="99"/>
  <c r="AX41" i="99"/>
  <c r="AX42" i="99" s="1"/>
  <c r="AX43" i="99" s="1"/>
  <c r="AX44" i="99" s="1"/>
  <c r="AX45" i="99" s="1"/>
  <c r="AX46" i="99" s="1"/>
  <c r="AX47" i="99" s="1"/>
  <c r="AX48" i="99" s="1"/>
  <c r="AV44" i="99"/>
  <c r="AV45" i="99"/>
  <c r="AB9" i="99"/>
  <c r="AV48" i="99"/>
  <c r="AV42" i="99"/>
  <c r="AM16" i="99"/>
  <c r="AB8" i="99"/>
  <c r="AV46" i="99"/>
  <c r="AV41" i="99"/>
  <c r="K16" i="99"/>
  <c r="K17" i="99" s="1"/>
  <c r="AL9" i="99"/>
  <c r="AL9" i="98"/>
  <c r="K16" i="98"/>
  <c r="K17" i="98" s="1"/>
  <c r="AM9" i="98"/>
  <c r="N16" i="98"/>
  <c r="N17" i="98" s="1"/>
  <c r="H16" i="98"/>
  <c r="H17" i="98" s="1"/>
  <c r="AK9" i="98"/>
  <c r="AM15" i="98"/>
  <c r="AV46" i="98"/>
  <c r="AX41" i="98"/>
  <c r="AX42" i="98" s="1"/>
  <c r="AX43" i="98" s="1"/>
  <c r="AX44" i="98" s="1"/>
  <c r="AX45" i="98" s="1"/>
  <c r="AX46" i="98" s="1"/>
  <c r="AX47" i="98" s="1"/>
  <c r="AX48" i="98" s="1"/>
  <c r="AV45" i="98"/>
  <c r="AV43" i="98"/>
  <c r="AV42" i="98"/>
  <c r="AV44" i="98"/>
  <c r="AV47" i="98"/>
  <c r="AM16" i="98"/>
  <c r="AB9" i="98"/>
  <c r="AI15" i="98" s="1"/>
  <c r="AB8" i="98"/>
  <c r="AV48" i="98"/>
  <c r="AV41" i="98"/>
  <c r="K16" i="96"/>
  <c r="K17" i="96" s="1"/>
  <c r="AL9" i="96"/>
  <c r="N16" i="96"/>
  <c r="N17" i="96" s="1"/>
  <c r="AM9" i="96"/>
  <c r="AV45" i="96"/>
  <c r="AV44" i="96"/>
  <c r="AB8" i="96"/>
  <c r="H16" i="96"/>
  <c r="H17" i="96" s="1"/>
  <c r="AM15" i="96"/>
  <c r="AK9" i="96"/>
  <c r="AB9" i="96"/>
  <c r="AV41" i="96"/>
  <c r="AV43" i="96"/>
  <c r="AV46" i="96"/>
  <c r="AV42" i="96"/>
  <c r="AX41" i="96"/>
  <c r="AX42" i="96" s="1"/>
  <c r="AX43" i="96" s="1"/>
  <c r="AX44" i="96" s="1"/>
  <c r="AX45" i="96" s="1"/>
  <c r="AX46" i="96" s="1"/>
  <c r="AX47" i="96" s="1"/>
  <c r="AX48" i="96" s="1"/>
  <c r="AV47" i="96"/>
  <c r="AV48" i="96"/>
  <c r="AM16" i="96"/>
  <c r="AM9" i="95"/>
  <c r="N16" i="95"/>
  <c r="N17" i="95" s="1"/>
  <c r="H16" i="95"/>
  <c r="H17" i="95" s="1"/>
  <c r="AM15" i="95"/>
  <c r="AK9" i="95"/>
  <c r="AV48" i="95"/>
  <c r="AV41" i="95"/>
  <c r="AM16" i="95"/>
  <c r="AV47" i="95"/>
  <c r="AV44" i="95"/>
  <c r="AX41" i="95"/>
  <c r="AX42" i="95" s="1"/>
  <c r="AX43" i="95" s="1"/>
  <c r="AX44" i="95" s="1"/>
  <c r="AX45" i="95" s="1"/>
  <c r="AX46" i="95" s="1"/>
  <c r="AX47" i="95" s="1"/>
  <c r="AX48" i="95" s="1"/>
  <c r="AV43" i="95"/>
  <c r="AB8" i="95"/>
  <c r="AB9" i="95"/>
  <c r="AI15" i="95" s="1"/>
  <c r="AV46" i="95"/>
  <c r="AV42" i="95"/>
  <c r="AV45" i="95"/>
  <c r="AL9" i="95"/>
  <c r="K16" i="95"/>
  <c r="K17" i="95" s="1"/>
  <c r="AM9" i="94"/>
  <c r="N16" i="94"/>
  <c r="N17" i="94" s="1"/>
  <c r="H16" i="94"/>
  <c r="H17" i="94" s="1"/>
  <c r="AM15" i="94"/>
  <c r="AK9" i="94"/>
  <c r="AB8" i="94"/>
  <c r="AV41" i="94"/>
  <c r="AX41" i="94"/>
  <c r="AX42" i="94" s="1"/>
  <c r="AX43" i="94" s="1"/>
  <c r="AX44" i="94" s="1"/>
  <c r="AX45" i="94" s="1"/>
  <c r="AX46" i="94" s="1"/>
  <c r="AX47" i="94" s="1"/>
  <c r="AX48" i="94" s="1"/>
  <c r="AB9" i="94"/>
  <c r="AV45" i="94"/>
  <c r="AV42" i="94"/>
  <c r="AV48" i="94"/>
  <c r="AV46" i="94"/>
  <c r="AV47" i="94"/>
  <c r="AV43" i="94"/>
  <c r="AV44" i="94"/>
  <c r="AM16" i="94"/>
  <c r="AL9" i="94"/>
  <c r="K16" i="94"/>
  <c r="K17" i="94" s="1"/>
  <c r="AM9" i="93"/>
  <c r="N16" i="93"/>
  <c r="N17" i="93" s="1"/>
  <c r="H16" i="93"/>
  <c r="H17" i="93" s="1"/>
  <c r="AM15" i="93"/>
  <c r="AK9" i="93"/>
  <c r="AV42" i="93"/>
  <c r="AV46" i="93"/>
  <c r="AX41" i="93"/>
  <c r="AX42" i="93" s="1"/>
  <c r="AX43" i="93" s="1"/>
  <c r="AX44" i="93" s="1"/>
  <c r="AX45" i="93" s="1"/>
  <c r="AX46" i="93" s="1"/>
  <c r="AX47" i="93" s="1"/>
  <c r="AX48" i="93" s="1"/>
  <c r="AM16" i="93"/>
  <c r="AB8" i="93"/>
  <c r="AV48" i="93"/>
  <c r="AB9" i="93"/>
  <c r="AI15" i="93" s="1"/>
  <c r="AV45" i="93"/>
  <c r="AV44" i="93"/>
  <c r="AV41" i="93"/>
  <c r="AV43" i="93"/>
  <c r="AV47" i="93"/>
  <c r="AL9" i="93"/>
  <c r="K16" i="93"/>
  <c r="K17" i="93" s="1"/>
  <c r="AM9" i="92"/>
  <c r="N16" i="92"/>
  <c r="N17" i="92" s="1"/>
  <c r="AL9" i="92"/>
  <c r="K16" i="92"/>
  <c r="K17" i="92" s="1"/>
  <c r="AM15" i="92"/>
  <c r="AI15" i="92"/>
  <c r="AK9" i="92"/>
  <c r="AP11" i="92" s="1"/>
  <c r="H16" i="92"/>
  <c r="H17" i="92" s="1"/>
  <c r="X17" i="92" s="1"/>
  <c r="AV47" i="92"/>
  <c r="AV41" i="92"/>
  <c r="AV45" i="92"/>
  <c r="AB8" i="92"/>
  <c r="AV44" i="92"/>
  <c r="AV42" i="92"/>
  <c r="AV43" i="92"/>
  <c r="AB9" i="92"/>
  <c r="AM16" i="92"/>
  <c r="AX41" i="92"/>
  <c r="AX42" i="92" s="1"/>
  <c r="AX43" i="92" s="1"/>
  <c r="AX44" i="92" s="1"/>
  <c r="AX45" i="92" s="1"/>
  <c r="AX46" i="92" s="1"/>
  <c r="AX47" i="92" s="1"/>
  <c r="AX48" i="92" s="1"/>
  <c r="AV46" i="92"/>
  <c r="AV48" i="92"/>
  <c r="AB16" i="91"/>
  <c r="AB17" i="91" s="1"/>
  <c r="K15" i="91"/>
  <c r="H15" i="91"/>
  <c r="N15" i="91"/>
  <c r="V16" i="91"/>
  <c r="V17" i="91" s="1"/>
  <c r="AP9" i="91"/>
  <c r="R16" i="91"/>
  <c r="R17" i="91" s="1"/>
  <c r="AO9" i="91"/>
  <c r="P16" i="91"/>
  <c r="P17" i="91" s="1"/>
  <c r="AM16" i="91"/>
  <c r="AN9" i="91"/>
  <c r="AJ9" i="91"/>
  <c r="F16" i="91"/>
  <c r="F17" i="91" s="1"/>
  <c r="D8" i="91"/>
  <c r="Y23" i="91"/>
  <c r="AV41" i="91"/>
  <c r="Y27" i="91"/>
  <c r="AV45" i="91"/>
  <c r="Z15" i="91"/>
  <c r="Z16" i="91" s="1"/>
  <c r="Z17" i="91" s="1"/>
  <c r="Y25" i="91"/>
  <c r="AV44" i="91"/>
  <c r="V16" i="90"/>
  <c r="V17" i="90" s="1"/>
  <c r="AP9" i="90"/>
  <c r="AN9" i="90"/>
  <c r="P16" i="90"/>
  <c r="P17" i="90" s="1"/>
  <c r="R16" i="90"/>
  <c r="R17" i="90" s="1"/>
  <c r="AO9" i="90"/>
  <c r="AF6" i="90"/>
  <c r="AF7" i="90" s="1"/>
  <c r="Y23" i="89"/>
  <c r="AF6" i="89"/>
  <c r="AF7" i="89" s="1"/>
  <c r="AO9" i="89"/>
  <c r="R16" i="89"/>
  <c r="R17" i="89" s="1"/>
  <c r="V16" i="89"/>
  <c r="V17" i="89" s="1"/>
  <c r="AP9" i="89"/>
  <c r="F16" i="89"/>
  <c r="F17" i="89" s="1"/>
  <c r="D8" i="89"/>
  <c r="AJ9" i="89"/>
  <c r="Z15" i="89"/>
  <c r="Z16" i="89" s="1"/>
  <c r="Z17" i="89" s="1"/>
  <c r="AN9" i="89"/>
  <c r="P16" i="89"/>
  <c r="P17" i="89" s="1"/>
  <c r="AF6" i="88"/>
  <c r="AF7" i="88" s="1"/>
  <c r="AB16" i="88" s="1"/>
  <c r="AB17" i="88" s="1"/>
  <c r="H15" i="88"/>
  <c r="AN9" i="88"/>
  <c r="P16" i="88"/>
  <c r="P17" i="88" s="1"/>
  <c r="AO9" i="88"/>
  <c r="R16" i="88"/>
  <c r="R17" i="88" s="1"/>
  <c r="AP9" i="88"/>
  <c r="V16" i="88"/>
  <c r="V17" i="88" s="1"/>
  <c r="AF6" i="87"/>
  <c r="AF7" i="87" s="1"/>
  <c r="N15" i="87" s="1"/>
  <c r="AO9" i="87"/>
  <c r="R16" i="87"/>
  <c r="R17" i="87" s="1"/>
  <c r="D8" i="87"/>
  <c r="F16" i="87"/>
  <c r="F17" i="87" s="1"/>
  <c r="AJ9" i="87"/>
  <c r="Y23" i="87"/>
  <c r="V16" i="87"/>
  <c r="V17" i="87" s="1"/>
  <c r="AP9" i="87"/>
  <c r="AN9" i="87"/>
  <c r="P16" i="87"/>
  <c r="P17" i="87" s="1"/>
  <c r="P15" i="86"/>
  <c r="V15" i="86"/>
  <c r="R15" i="86"/>
  <c r="F15" i="86"/>
  <c r="Y23" i="86" s="1"/>
  <c r="AK48" i="83"/>
  <c r="AK47" i="83"/>
  <c r="AS46" i="83"/>
  <c r="AQ46" i="83"/>
  <c r="AN46" i="83"/>
  <c r="AK46" i="83"/>
  <c r="AQ45" i="83"/>
  <c r="AN45" i="83"/>
  <c r="AS45" i="83" s="1"/>
  <c r="AK45" i="83"/>
  <c r="AS44" i="83"/>
  <c r="AQ44" i="83"/>
  <c r="AN44" i="83"/>
  <c r="AK44" i="83"/>
  <c r="AS43" i="83"/>
  <c r="AQ43" i="83"/>
  <c r="AN43" i="83"/>
  <c r="AK43" i="83"/>
  <c r="AQ42" i="83"/>
  <c r="AN42" i="83"/>
  <c r="AS42" i="83" s="1"/>
  <c r="AK42" i="83"/>
  <c r="AQ41" i="83"/>
  <c r="AN41" i="83"/>
  <c r="AS41" i="83" s="1"/>
  <c r="AK41" i="83"/>
  <c r="AO31" i="83"/>
  <c r="AJ31" i="83"/>
  <c r="AK31" i="83" s="1"/>
  <c r="AO30" i="83"/>
  <c r="AQ29" i="83"/>
  <c r="AQ28" i="83"/>
  <c r="AO28" i="83" a="1"/>
  <c r="AO29" i="83" s="1"/>
  <c r="AQ27" i="83"/>
  <c r="X27" i="83"/>
  <c r="W27" i="83"/>
  <c r="AQ26" i="83"/>
  <c r="AO26" i="83"/>
  <c r="AN26" i="83"/>
  <c r="AM26" i="83"/>
  <c r="AL26" i="83"/>
  <c r="I8" i="83" s="1"/>
  <c r="X26" i="83"/>
  <c r="W26" i="83"/>
  <c r="AQ25" i="83"/>
  <c r="AO25" i="83"/>
  <c r="AN25" i="83"/>
  <c r="AM25" i="83"/>
  <c r="AL25" i="83"/>
  <c r="X25" i="83"/>
  <c r="W25" i="83"/>
  <c r="AQ24" i="83"/>
  <c r="X24" i="83"/>
  <c r="W24" i="83"/>
  <c r="AQ23" i="83"/>
  <c r="AN23" i="83"/>
  <c r="G8" i="83" s="1"/>
  <c r="AM23" i="83"/>
  <c r="AL23" i="83"/>
  <c r="W23" i="83"/>
  <c r="X23" i="83" s="1"/>
  <c r="AQ22" i="83"/>
  <c r="AN22" i="83"/>
  <c r="AM22" i="83"/>
  <c r="AL22" i="83"/>
  <c r="W22" i="83"/>
  <c r="X22" i="83" s="1"/>
  <c r="AQ21" i="83"/>
  <c r="W21" i="83"/>
  <c r="X21" i="83" s="1"/>
  <c r="AD16" i="83"/>
  <c r="AD17" i="83" s="1"/>
  <c r="X16" i="83"/>
  <c r="AB15" i="83"/>
  <c r="C15" i="83"/>
  <c r="X14" i="83"/>
  <c r="P14" i="83"/>
  <c r="N14" i="83"/>
  <c r="K14" i="83"/>
  <c r="H14" i="83"/>
  <c r="F14" i="83"/>
  <c r="C14" i="83"/>
  <c r="AF8" i="83"/>
  <c r="AF9" i="83" s="1"/>
  <c r="AP7" i="83"/>
  <c r="AO7" i="83"/>
  <c r="AN7" i="83"/>
  <c r="AM7" i="83"/>
  <c r="AL7" i="83"/>
  <c r="AK7" i="83"/>
  <c r="AJ7" i="83"/>
  <c r="AI7" i="83"/>
  <c r="AK48" i="82"/>
  <c r="AK47" i="82"/>
  <c r="AQ46" i="82"/>
  <c r="AN46" i="82"/>
  <c r="AS46" i="82" s="1"/>
  <c r="AK46" i="82"/>
  <c r="AQ45" i="82"/>
  <c r="AN45" i="82"/>
  <c r="AS45" i="82" s="1"/>
  <c r="AK45" i="82"/>
  <c r="AQ44" i="82"/>
  <c r="AN44" i="82"/>
  <c r="AS44" i="82" s="1"/>
  <c r="AK44" i="82"/>
  <c r="AQ43" i="82"/>
  <c r="AN43" i="82"/>
  <c r="AS43" i="82" s="1"/>
  <c r="AK43" i="82"/>
  <c r="AQ42" i="82"/>
  <c r="AN42" i="82"/>
  <c r="AS42" i="82" s="1"/>
  <c r="AK42" i="82"/>
  <c r="AQ41" i="82"/>
  <c r="AN41" i="82"/>
  <c r="AS41" i="82" s="1"/>
  <c r="AK41" i="82"/>
  <c r="AO31" i="82"/>
  <c r="AJ31" i="82"/>
  <c r="AK31" i="82" s="1"/>
  <c r="AO30" i="82"/>
  <c r="AQ29" i="82"/>
  <c r="AQ28" i="82"/>
  <c r="AO28" i="82" a="1"/>
  <c r="AO29" i="82" s="1"/>
  <c r="AQ27" i="82"/>
  <c r="AO27" i="82" a="1"/>
  <c r="W27" i="82"/>
  <c r="X27" i="82" s="1"/>
  <c r="AQ26" i="82"/>
  <c r="AO26" i="82"/>
  <c r="AN26" i="82"/>
  <c r="AM26" i="82"/>
  <c r="AL26" i="82"/>
  <c r="X26" i="82"/>
  <c r="W26" i="82"/>
  <c r="AQ25" i="82"/>
  <c r="AO25" i="82"/>
  <c r="AN25" i="82"/>
  <c r="AM25" i="82"/>
  <c r="AL25" i="82"/>
  <c r="W25" i="82"/>
  <c r="X25" i="82" s="1"/>
  <c r="AQ24" i="82"/>
  <c r="X24" i="82"/>
  <c r="W24" i="82"/>
  <c r="AQ23" i="82"/>
  <c r="AN23" i="82"/>
  <c r="G8" i="82" s="1"/>
  <c r="AM23" i="82"/>
  <c r="AL23" i="82"/>
  <c r="W23" i="82"/>
  <c r="X23" i="82" s="1"/>
  <c r="AQ22" i="82"/>
  <c r="AN22" i="82"/>
  <c r="AM22" i="82"/>
  <c r="AL22" i="82"/>
  <c r="W22" i="82"/>
  <c r="X22" i="82" s="1"/>
  <c r="AQ21" i="82"/>
  <c r="W21" i="82"/>
  <c r="X21" i="82" s="1"/>
  <c r="AD17" i="82"/>
  <c r="AD16" i="82"/>
  <c r="X16" i="82"/>
  <c r="AB15" i="82"/>
  <c r="C15" i="82"/>
  <c r="C16" i="82" s="1"/>
  <c r="C17" i="82" s="1"/>
  <c r="X14" i="82"/>
  <c r="P14" i="82"/>
  <c r="N14" i="82"/>
  <c r="K14" i="82"/>
  <c r="H14" i="82"/>
  <c r="F14" i="82"/>
  <c r="C14" i="82"/>
  <c r="AF8" i="82"/>
  <c r="AF9" i="82" s="1"/>
  <c r="I8" i="82"/>
  <c r="AP7" i="82"/>
  <c r="AO7" i="82"/>
  <c r="AN7" i="82"/>
  <c r="AM7" i="82"/>
  <c r="AL7" i="82"/>
  <c r="AK7" i="82"/>
  <c r="AJ7" i="82"/>
  <c r="AI7" i="82"/>
  <c r="AO27" i="81" a="1"/>
  <c r="AP11" i="100" l="1"/>
  <c r="AY48" i="100"/>
  <c r="AL48" i="100" s="1"/>
  <c r="AW48" i="100"/>
  <c r="AI16" i="100"/>
  <c r="AM17" i="100"/>
  <c r="AW43" i="100"/>
  <c r="AY43" i="100"/>
  <c r="AL43" i="100" s="1"/>
  <c r="AY42" i="100"/>
  <c r="AL42" i="100" s="1"/>
  <c r="AW42" i="100"/>
  <c r="AI15" i="100"/>
  <c r="AY44" i="100"/>
  <c r="AL44" i="100" s="1"/>
  <c r="AW44" i="100"/>
  <c r="AW41" i="100"/>
  <c r="AY41" i="100"/>
  <c r="AL41" i="100" s="1"/>
  <c r="AY45" i="100"/>
  <c r="AL45" i="100" s="1"/>
  <c r="AW45" i="100"/>
  <c r="X17" i="100"/>
  <c r="AY46" i="100"/>
  <c r="AL46" i="100" s="1"/>
  <c r="AW46" i="100"/>
  <c r="AY47" i="100"/>
  <c r="AL47" i="100" s="1"/>
  <c r="AW47" i="100"/>
  <c r="AP11" i="98"/>
  <c r="AM17" i="99"/>
  <c r="AI16" i="99"/>
  <c r="AW45" i="99"/>
  <c r="AY45" i="99"/>
  <c r="AL45" i="99" s="1"/>
  <c r="AY44" i="99"/>
  <c r="AL44" i="99" s="1"/>
  <c r="AW44" i="99"/>
  <c r="AY47" i="99"/>
  <c r="AL47" i="99" s="1"/>
  <c r="AW47" i="99"/>
  <c r="AY43" i="99"/>
  <c r="AL43" i="99" s="1"/>
  <c r="AW43" i="99"/>
  <c r="AW41" i="99"/>
  <c r="AY41" i="99"/>
  <c r="AL41" i="99" s="1"/>
  <c r="AP11" i="99"/>
  <c r="AY46" i="99"/>
  <c r="AL46" i="99" s="1"/>
  <c r="AW46" i="99"/>
  <c r="AI15" i="99"/>
  <c r="X17" i="99"/>
  <c r="AY42" i="99"/>
  <c r="AL42" i="99" s="1"/>
  <c r="AW42" i="99"/>
  <c r="AY48" i="99"/>
  <c r="AL48" i="99" s="1"/>
  <c r="AW48" i="99"/>
  <c r="AY45" i="98"/>
  <c r="AL45" i="98" s="1"/>
  <c r="AW45" i="98"/>
  <c r="AY43" i="98"/>
  <c r="AL43" i="98" s="1"/>
  <c r="AW43" i="98"/>
  <c r="AM17" i="98"/>
  <c r="AI16" i="98"/>
  <c r="AI17" i="98" s="1"/>
  <c r="X17" i="98"/>
  <c r="AY46" i="98"/>
  <c r="AL46" i="98" s="1"/>
  <c r="AW46" i="98"/>
  <c r="AY41" i="98"/>
  <c r="AL41" i="98" s="1"/>
  <c r="AW41" i="98"/>
  <c r="AY44" i="98"/>
  <c r="AL44" i="98" s="1"/>
  <c r="AW44" i="98"/>
  <c r="AY48" i="98"/>
  <c r="AL48" i="98" s="1"/>
  <c r="AW48" i="98"/>
  <c r="AY47" i="98"/>
  <c r="AL47" i="98" s="1"/>
  <c r="AW47" i="98"/>
  <c r="AY42" i="98"/>
  <c r="AL42" i="98" s="1"/>
  <c r="AW42" i="98"/>
  <c r="AP11" i="96"/>
  <c r="X17" i="96"/>
  <c r="AM17" i="96"/>
  <c r="AI16" i="96"/>
  <c r="AY48" i="96"/>
  <c r="AL48" i="96" s="1"/>
  <c r="AW48" i="96"/>
  <c r="AY44" i="96"/>
  <c r="AL44" i="96" s="1"/>
  <c r="AW44" i="96"/>
  <c r="AY45" i="96"/>
  <c r="AL45" i="96" s="1"/>
  <c r="AW45" i="96"/>
  <c r="AY47" i="96"/>
  <c r="AL47" i="96" s="1"/>
  <c r="AW47" i="96"/>
  <c r="AY42" i="96"/>
  <c r="AL42" i="96" s="1"/>
  <c r="AW42" i="96"/>
  <c r="AY46" i="96"/>
  <c r="AL46" i="96" s="1"/>
  <c r="AW46" i="96"/>
  <c r="AI15" i="96"/>
  <c r="AY43" i="96"/>
  <c r="AL43" i="96" s="1"/>
  <c r="AW43" i="96"/>
  <c r="AW41" i="96"/>
  <c r="AY41" i="96"/>
  <c r="AL41" i="96" s="1"/>
  <c r="AY47" i="95"/>
  <c r="AL47" i="95" s="1"/>
  <c r="AW47" i="95"/>
  <c r="AY41" i="95"/>
  <c r="AL41" i="95" s="1"/>
  <c r="AW41" i="95"/>
  <c r="AY44" i="95"/>
  <c r="AL44" i="95" s="1"/>
  <c r="AW44" i="95"/>
  <c r="AY48" i="95"/>
  <c r="AL48" i="95" s="1"/>
  <c r="AW48" i="95"/>
  <c r="AY45" i="95"/>
  <c r="AL45" i="95" s="1"/>
  <c r="AW45" i="95"/>
  <c r="AP11" i="95"/>
  <c r="AY46" i="95"/>
  <c r="AL46" i="95" s="1"/>
  <c r="AW46" i="95"/>
  <c r="AI16" i="95"/>
  <c r="AI17" i="95" s="1"/>
  <c r="AM17" i="95"/>
  <c r="X17" i="95"/>
  <c r="AY42" i="95"/>
  <c r="AL42" i="95" s="1"/>
  <c r="AW42" i="95"/>
  <c r="AY43" i="95"/>
  <c r="AL43" i="95" s="1"/>
  <c r="AW43" i="95"/>
  <c r="AP11" i="94"/>
  <c r="AY42" i="94"/>
  <c r="AL42" i="94" s="1"/>
  <c r="AW42" i="94"/>
  <c r="AY45" i="94"/>
  <c r="AL45" i="94" s="1"/>
  <c r="AW45" i="94"/>
  <c r="AM17" i="94"/>
  <c r="AI16" i="94"/>
  <c r="AY41" i="94"/>
  <c r="AL41" i="94" s="1"/>
  <c r="AW41" i="94"/>
  <c r="AY44" i="94"/>
  <c r="AL44" i="94" s="1"/>
  <c r="AW44" i="94"/>
  <c r="AI15" i="94"/>
  <c r="AI17" i="94" s="1"/>
  <c r="AY43" i="94"/>
  <c r="AL43" i="94" s="1"/>
  <c r="AW43" i="94"/>
  <c r="AY47" i="94"/>
  <c r="AL47" i="94" s="1"/>
  <c r="AW47" i="94"/>
  <c r="X17" i="94"/>
  <c r="AY46" i="94"/>
  <c r="AL46" i="94" s="1"/>
  <c r="AW46" i="94"/>
  <c r="AY48" i="94"/>
  <c r="AL48" i="94" s="1"/>
  <c r="AW48" i="94"/>
  <c r="AY48" i="93"/>
  <c r="AL48" i="93" s="1"/>
  <c r="AW48" i="93"/>
  <c r="AY46" i="93"/>
  <c r="AL46" i="93" s="1"/>
  <c r="AW46" i="93"/>
  <c r="AW41" i="93"/>
  <c r="AY41" i="93"/>
  <c r="AL41" i="93" s="1"/>
  <c r="AY42" i="93"/>
  <c r="AL42" i="93" s="1"/>
  <c r="AW42" i="93"/>
  <c r="AY43" i="93"/>
  <c r="AL43" i="93" s="1"/>
  <c r="AW43" i="93"/>
  <c r="AY44" i="93"/>
  <c r="AL44" i="93" s="1"/>
  <c r="AW44" i="93"/>
  <c r="X17" i="93"/>
  <c r="AY47" i="93"/>
  <c r="AL47" i="93" s="1"/>
  <c r="AW47" i="93"/>
  <c r="AW45" i="93"/>
  <c r="AY45" i="93"/>
  <c r="AL45" i="93" s="1"/>
  <c r="AP11" i="93"/>
  <c r="AM17" i="93"/>
  <c r="AI16" i="93"/>
  <c r="AI17" i="93" s="1"/>
  <c r="AY47" i="92"/>
  <c r="AL47" i="92" s="1"/>
  <c r="AW47" i="92"/>
  <c r="AY45" i="92"/>
  <c r="AL45" i="92" s="1"/>
  <c r="AW45" i="92"/>
  <c r="AY41" i="92"/>
  <c r="AL41" i="92" s="1"/>
  <c r="AW41" i="92"/>
  <c r="AY48" i="92"/>
  <c r="AL48" i="92" s="1"/>
  <c r="AW48" i="92"/>
  <c r="AY46" i="92"/>
  <c r="AL46" i="92" s="1"/>
  <c r="AW46" i="92"/>
  <c r="AI17" i="92"/>
  <c r="AM17" i="92"/>
  <c r="AI16" i="92"/>
  <c r="AY43" i="92"/>
  <c r="AL43" i="92" s="1"/>
  <c r="AW43" i="92"/>
  <c r="AY42" i="92"/>
  <c r="AL42" i="92" s="1"/>
  <c r="AW42" i="92"/>
  <c r="AY44" i="92"/>
  <c r="AL44" i="92" s="1"/>
  <c r="AW44" i="92"/>
  <c r="AW44" i="91"/>
  <c r="AW45" i="91"/>
  <c r="AW41" i="91"/>
  <c r="AM9" i="91"/>
  <c r="N16" i="91"/>
  <c r="N17" i="91" s="1"/>
  <c r="AM15" i="91"/>
  <c r="AK9" i="91"/>
  <c r="H16" i="91"/>
  <c r="H17" i="91" s="1"/>
  <c r="AV46" i="91"/>
  <c r="AV48" i="91"/>
  <c r="AB8" i="91"/>
  <c r="AV42" i="91"/>
  <c r="AX41" i="91"/>
  <c r="AX42" i="91" s="1"/>
  <c r="AX43" i="91" s="1"/>
  <c r="AX44" i="91" s="1"/>
  <c r="AX45" i="91" s="1"/>
  <c r="AX46" i="91" s="1"/>
  <c r="AX47" i="91" s="1"/>
  <c r="AX48" i="91" s="1"/>
  <c r="AV47" i="91"/>
  <c r="AV43" i="91"/>
  <c r="AB9" i="91"/>
  <c r="AI15" i="91" s="1"/>
  <c r="AL9" i="91"/>
  <c r="K16" i="91"/>
  <c r="K17" i="91" s="1"/>
  <c r="N15" i="90"/>
  <c r="K15" i="90"/>
  <c r="H15" i="90"/>
  <c r="AB16" i="90"/>
  <c r="AB17" i="90" s="1"/>
  <c r="H15" i="89"/>
  <c r="N15" i="89"/>
  <c r="K15" i="89"/>
  <c r="AB16" i="89"/>
  <c r="AB17" i="89" s="1"/>
  <c r="K15" i="88"/>
  <c r="N15" i="88"/>
  <c r="AM9" i="88" s="1"/>
  <c r="H16" i="88"/>
  <c r="H17" i="88" s="1"/>
  <c r="AK9" i="88"/>
  <c r="K16" i="88"/>
  <c r="K17" i="88" s="1"/>
  <c r="AB16" i="87"/>
  <c r="AB17" i="87" s="1"/>
  <c r="K15" i="87"/>
  <c r="K16" i="87" s="1"/>
  <c r="K17" i="87" s="1"/>
  <c r="H15" i="87"/>
  <c r="AV42" i="87" s="1"/>
  <c r="AX41" i="87"/>
  <c r="AX42" i="87" s="1"/>
  <c r="AX43" i="87" s="1"/>
  <c r="AX44" i="87" s="1"/>
  <c r="AX45" i="87" s="1"/>
  <c r="AX46" i="87" s="1"/>
  <c r="AX47" i="87" s="1"/>
  <c r="AX48" i="87" s="1"/>
  <c r="AV45" i="87"/>
  <c r="AV48" i="87"/>
  <c r="AV46" i="87"/>
  <c r="AB9" i="87"/>
  <c r="AM9" i="87"/>
  <c r="N16" i="87"/>
  <c r="N17" i="87" s="1"/>
  <c r="Y26" i="86"/>
  <c r="Y27" i="86"/>
  <c r="AO9" i="86"/>
  <c r="R16" i="86"/>
  <c r="R17" i="86" s="1"/>
  <c r="F16" i="86"/>
  <c r="F17" i="86" s="1"/>
  <c r="AF6" i="86"/>
  <c r="AF7" i="86" s="1"/>
  <c r="D8" i="86"/>
  <c r="Y15" i="86"/>
  <c r="Y16" i="86" s="1"/>
  <c r="Y17" i="86" s="1"/>
  <c r="Z15" i="86"/>
  <c r="Z16" i="86" s="1"/>
  <c r="Z17" i="86" s="1"/>
  <c r="AJ9" i="86"/>
  <c r="AP9" i="86"/>
  <c r="V16" i="86"/>
  <c r="V17" i="86" s="1"/>
  <c r="AN9" i="86"/>
  <c r="P16" i="86"/>
  <c r="P17" i="86" s="1"/>
  <c r="Y22" i="86"/>
  <c r="Y25" i="86"/>
  <c r="Y21" i="86"/>
  <c r="Y24" i="86"/>
  <c r="R15" i="83"/>
  <c r="V15" i="83"/>
  <c r="P15" i="83"/>
  <c r="AI9" i="83"/>
  <c r="Y15" i="83"/>
  <c r="Y16" i="83" s="1"/>
  <c r="Y17" i="83" s="1"/>
  <c r="F15" i="83"/>
  <c r="C16" i="83"/>
  <c r="C17" i="83" s="1"/>
  <c r="P15" i="82"/>
  <c r="V15" i="82"/>
  <c r="R15" i="82"/>
  <c r="Y22" i="82"/>
  <c r="AI9" i="82"/>
  <c r="F15" i="82"/>
  <c r="AK48" i="81"/>
  <c r="AK47" i="81"/>
  <c r="AS46" i="81"/>
  <c r="AQ46" i="81"/>
  <c r="AN46" i="81"/>
  <c r="AK46" i="81"/>
  <c r="AQ45" i="81"/>
  <c r="AN45" i="81"/>
  <c r="AS45" i="81" s="1"/>
  <c r="AK45" i="81"/>
  <c r="AQ44" i="81"/>
  <c r="AN44" i="81"/>
  <c r="AS44" i="81" s="1"/>
  <c r="AK44" i="81"/>
  <c r="AQ43" i="81"/>
  <c r="AN43" i="81"/>
  <c r="AS43" i="81" s="1"/>
  <c r="AK43" i="81"/>
  <c r="AS42" i="81"/>
  <c r="AQ42" i="81"/>
  <c r="AN42" i="81"/>
  <c r="AK42" i="81"/>
  <c r="AQ41" i="81"/>
  <c r="AN41" i="81"/>
  <c r="AS41" i="81" s="1"/>
  <c r="AK41" i="81"/>
  <c r="AO31" i="81"/>
  <c r="AJ31" i="81"/>
  <c r="AK31" i="81" s="1"/>
  <c r="AO30" i="81"/>
  <c r="AQ29" i="81"/>
  <c r="AQ28" i="81"/>
  <c r="AO28" i="81" a="1"/>
  <c r="AO29" i="81" s="1"/>
  <c r="AQ27" i="81"/>
  <c r="W27" i="81"/>
  <c r="X27" i="81" s="1"/>
  <c r="AQ26" i="81"/>
  <c r="AO26" i="81"/>
  <c r="AN26" i="81"/>
  <c r="AM26" i="81"/>
  <c r="AL26" i="81"/>
  <c r="I8" i="81" s="1"/>
  <c r="X26" i="81"/>
  <c r="W26" i="81"/>
  <c r="AQ25" i="81"/>
  <c r="AO25" i="81"/>
  <c r="AN25" i="81"/>
  <c r="AM25" i="81"/>
  <c r="AL25" i="81"/>
  <c r="X25" i="81"/>
  <c r="W25" i="81"/>
  <c r="AQ24" i="81"/>
  <c r="X24" i="81"/>
  <c r="W24" i="81"/>
  <c r="AQ23" i="81"/>
  <c r="AN23" i="81"/>
  <c r="G8" i="81" s="1"/>
  <c r="AM23" i="81"/>
  <c r="AL23" i="81"/>
  <c r="W23" i="81"/>
  <c r="X23" i="81" s="1"/>
  <c r="AQ22" i="81"/>
  <c r="AN22" i="81"/>
  <c r="AM22" i="81"/>
  <c r="AL22" i="81"/>
  <c r="X22" i="81"/>
  <c r="W22" i="81"/>
  <c r="AQ21" i="81"/>
  <c r="W21" i="81"/>
  <c r="X21" i="81" s="1"/>
  <c r="AD17" i="81"/>
  <c r="AD16" i="81"/>
  <c r="X16" i="81"/>
  <c r="AB15" i="81"/>
  <c r="C15" i="81"/>
  <c r="X14" i="81"/>
  <c r="P14" i="81"/>
  <c r="N14" i="81"/>
  <c r="K14" i="81"/>
  <c r="H14" i="81"/>
  <c r="F14" i="81"/>
  <c r="C14" i="81"/>
  <c r="AF8" i="81"/>
  <c r="AF9" i="81" s="1"/>
  <c r="AP7" i="81"/>
  <c r="AO7" i="81"/>
  <c r="AN7" i="81"/>
  <c r="AM7" i="81"/>
  <c r="AL7" i="81"/>
  <c r="AK7" i="81"/>
  <c r="AJ7" i="81"/>
  <c r="AI7" i="81"/>
  <c r="AO28" i="74"/>
  <c r="AK48" i="80"/>
  <c r="AK47" i="80"/>
  <c r="AQ46" i="80"/>
  <c r="AN46" i="80"/>
  <c r="AS46" i="80" s="1"/>
  <c r="AK46" i="80"/>
  <c r="AQ45" i="80"/>
  <c r="AN45" i="80"/>
  <c r="AS45" i="80" s="1"/>
  <c r="AK45" i="80"/>
  <c r="AS44" i="80"/>
  <c r="AQ44" i="80"/>
  <c r="AN44" i="80"/>
  <c r="AK44" i="80"/>
  <c r="AQ43" i="80"/>
  <c r="AN43" i="80"/>
  <c r="AS43" i="80" s="1"/>
  <c r="AK43" i="80"/>
  <c r="AQ42" i="80"/>
  <c r="AN42" i="80"/>
  <c r="AS42" i="80" s="1"/>
  <c r="AK42" i="80"/>
  <c r="AQ41" i="80"/>
  <c r="AN41" i="80"/>
  <c r="AS41" i="80" s="1"/>
  <c r="AK41" i="80"/>
  <c r="AO31" i="80"/>
  <c r="AJ31" i="80"/>
  <c r="AK31" i="80" s="1"/>
  <c r="AO30" i="80"/>
  <c r="AQ29" i="80"/>
  <c r="AQ28" i="80"/>
  <c r="AO28" i="80" a="1"/>
  <c r="AO29" i="80" s="1"/>
  <c r="AQ27" i="80"/>
  <c r="AO27" i="80" a="1"/>
  <c r="W27" i="80"/>
  <c r="X27" i="80" s="1"/>
  <c r="AQ26" i="80"/>
  <c r="AO26" i="80"/>
  <c r="AN26" i="80"/>
  <c r="AM26" i="80"/>
  <c r="AL26" i="80"/>
  <c r="I8" i="80" s="1"/>
  <c r="P15" i="80" s="1"/>
  <c r="W26" i="80"/>
  <c r="X26" i="80" s="1"/>
  <c r="AQ25" i="80"/>
  <c r="AO25" i="80"/>
  <c r="AN25" i="80"/>
  <c r="AM25" i="80"/>
  <c r="AL25" i="80"/>
  <c r="X25" i="80"/>
  <c r="W25" i="80"/>
  <c r="AQ24" i="80"/>
  <c r="W24" i="80"/>
  <c r="X24" i="80" s="1"/>
  <c r="AQ23" i="80"/>
  <c r="AN23" i="80"/>
  <c r="G8" i="80" s="1"/>
  <c r="AM23" i="80"/>
  <c r="AL23" i="80"/>
  <c r="W23" i="80"/>
  <c r="X23" i="80" s="1"/>
  <c r="AQ22" i="80"/>
  <c r="AN22" i="80"/>
  <c r="AM22" i="80"/>
  <c r="AL22" i="80"/>
  <c r="W22" i="80"/>
  <c r="X22" i="80" s="1"/>
  <c r="AQ21" i="80"/>
  <c r="X21" i="80"/>
  <c r="W21" i="80"/>
  <c r="AD17" i="80"/>
  <c r="AD16" i="80"/>
  <c r="X16" i="80"/>
  <c r="AB15" i="80"/>
  <c r="C15" i="80"/>
  <c r="C16" i="80" s="1"/>
  <c r="C17" i="80" s="1"/>
  <c r="X14" i="80"/>
  <c r="V14" i="80"/>
  <c r="R14" i="80"/>
  <c r="P14" i="80"/>
  <c r="N14" i="80"/>
  <c r="K14" i="80"/>
  <c r="H14" i="80"/>
  <c r="F14" i="80"/>
  <c r="C14" i="80"/>
  <c r="AI9" i="80"/>
  <c r="AF9" i="80"/>
  <c r="V15" i="80" s="1"/>
  <c r="AF8" i="80"/>
  <c r="AP7" i="80"/>
  <c r="AO7" i="80"/>
  <c r="AN7" i="80"/>
  <c r="AM7" i="80"/>
  <c r="AL7" i="80"/>
  <c r="AK7" i="80"/>
  <c r="AJ7" i="80"/>
  <c r="AI7" i="80"/>
  <c r="AO27" i="74" a="1"/>
  <c r="AK48" i="79"/>
  <c r="AK47" i="79"/>
  <c r="AQ46" i="79"/>
  <c r="AN46" i="79"/>
  <c r="AS46" i="79" s="1"/>
  <c r="AK46" i="79"/>
  <c r="AQ45" i="79"/>
  <c r="AN45" i="79"/>
  <c r="AS45" i="79" s="1"/>
  <c r="AK45" i="79"/>
  <c r="AQ44" i="79"/>
  <c r="AN44" i="79"/>
  <c r="AS44" i="79" s="1"/>
  <c r="AK44" i="79"/>
  <c r="AQ43" i="79"/>
  <c r="AN43" i="79"/>
  <c r="AS43" i="79" s="1"/>
  <c r="AK43" i="79"/>
  <c r="AQ42" i="79"/>
  <c r="AN42" i="79"/>
  <c r="AS42" i="79" s="1"/>
  <c r="AK42" i="79"/>
  <c r="AQ41" i="79"/>
  <c r="AN41" i="79"/>
  <c r="AS41" i="79" s="1"/>
  <c r="AK41" i="79"/>
  <c r="AO31" i="79"/>
  <c r="AJ31" i="79"/>
  <c r="AK31" i="79" s="1"/>
  <c r="AO30" i="79"/>
  <c r="AO28" i="79"/>
  <c r="AO29" i="79" s="1"/>
  <c r="AO27" i="79"/>
  <c r="W27" i="79"/>
  <c r="X27" i="79" s="1"/>
  <c r="AO26" i="79"/>
  <c r="AN26" i="79"/>
  <c r="AM26" i="79"/>
  <c r="AL26" i="79"/>
  <c r="X26" i="79"/>
  <c r="W26" i="79"/>
  <c r="AO25" i="79"/>
  <c r="AN25" i="79"/>
  <c r="AM25" i="79"/>
  <c r="AL25" i="79"/>
  <c r="W25" i="79"/>
  <c r="X25" i="79" s="1"/>
  <c r="X24" i="79"/>
  <c r="W24" i="79"/>
  <c r="AN23" i="79"/>
  <c r="AM23" i="79"/>
  <c r="AL23" i="79"/>
  <c r="X23" i="79"/>
  <c r="W23" i="79"/>
  <c r="AN22" i="79"/>
  <c r="AM22" i="79"/>
  <c r="AL22" i="79"/>
  <c r="X22" i="79"/>
  <c r="W22" i="79"/>
  <c r="W21" i="79"/>
  <c r="X21" i="79" s="1"/>
  <c r="AD16" i="79"/>
  <c r="AD17" i="79" s="1"/>
  <c r="X16" i="79"/>
  <c r="AB15" i="79"/>
  <c r="C15" i="79"/>
  <c r="C16" i="79" s="1"/>
  <c r="C17" i="79" s="1"/>
  <c r="X14" i="79"/>
  <c r="V14" i="79"/>
  <c r="R14" i="79"/>
  <c r="P14" i="79"/>
  <c r="N14" i="79"/>
  <c r="K14" i="79"/>
  <c r="H14" i="79"/>
  <c r="F14" i="79"/>
  <c r="C14" i="79"/>
  <c r="AF8" i="79"/>
  <c r="AF9" i="79" s="1"/>
  <c r="R15" i="79" s="1"/>
  <c r="I8" i="79"/>
  <c r="G8" i="79"/>
  <c r="AP7" i="79"/>
  <c r="AO7" i="79"/>
  <c r="AN7" i="79"/>
  <c r="AM7" i="79"/>
  <c r="AL7" i="79"/>
  <c r="AK7" i="79"/>
  <c r="AJ7" i="79"/>
  <c r="AI7" i="79"/>
  <c r="AK48" i="78"/>
  <c r="AK47" i="78"/>
  <c r="AS46" i="78"/>
  <c r="AQ46" i="78"/>
  <c r="AN46" i="78"/>
  <c r="AK46" i="78"/>
  <c r="AQ45" i="78"/>
  <c r="AN45" i="78"/>
  <c r="AS45" i="78" s="1"/>
  <c r="AK45" i="78"/>
  <c r="AQ44" i="78"/>
  <c r="AN44" i="78"/>
  <c r="AS44" i="78" s="1"/>
  <c r="AK44" i="78"/>
  <c r="AQ43" i="78"/>
  <c r="AN43" i="78"/>
  <c r="AS43" i="78" s="1"/>
  <c r="AK43" i="78"/>
  <c r="AS42" i="78"/>
  <c r="AQ42" i="78"/>
  <c r="AN42" i="78"/>
  <c r="AK42" i="78"/>
  <c r="AQ41" i="78"/>
  <c r="AN41" i="78"/>
  <c r="AS41" i="78" s="1"/>
  <c r="AK41" i="78"/>
  <c r="AO31" i="78"/>
  <c r="AJ31" i="78"/>
  <c r="AK31" i="78" s="1"/>
  <c r="AO30" i="78"/>
  <c r="AO28" i="78"/>
  <c r="AO29" i="78" s="1"/>
  <c r="AO27" i="78"/>
  <c r="W27" i="78"/>
  <c r="X27" i="78" s="1"/>
  <c r="AO26" i="78"/>
  <c r="AN26" i="78"/>
  <c r="AM26" i="78"/>
  <c r="AL26" i="78"/>
  <c r="I8" i="78" s="1"/>
  <c r="X26" i="78"/>
  <c r="W26" i="78"/>
  <c r="AO25" i="78"/>
  <c r="AN25" i="78"/>
  <c r="AM25" i="78"/>
  <c r="AL25" i="78"/>
  <c r="X25" i="78"/>
  <c r="W25" i="78"/>
  <c r="W24" i="78"/>
  <c r="X24" i="78" s="1"/>
  <c r="AN23" i="78"/>
  <c r="AM23" i="78"/>
  <c r="AL23" i="78"/>
  <c r="X23" i="78"/>
  <c r="W23" i="78"/>
  <c r="AN22" i="78"/>
  <c r="AM22" i="78"/>
  <c r="AL22" i="78"/>
  <c r="W22" i="78"/>
  <c r="X22" i="78" s="1"/>
  <c r="W21" i="78"/>
  <c r="X21" i="78" s="1"/>
  <c r="AD16" i="78"/>
  <c r="AD17" i="78" s="1"/>
  <c r="X16" i="78"/>
  <c r="AB15" i="78"/>
  <c r="C15" i="78"/>
  <c r="X14" i="78"/>
  <c r="V14" i="78"/>
  <c r="R14" i="78"/>
  <c r="P14" i="78"/>
  <c r="N14" i="78"/>
  <c r="K14" i="78"/>
  <c r="H14" i="78"/>
  <c r="F14" i="78"/>
  <c r="C14" i="78"/>
  <c r="AF8" i="78"/>
  <c r="AF9" i="78" s="1"/>
  <c r="G8" i="78"/>
  <c r="AP7" i="78"/>
  <c r="AO7" i="78"/>
  <c r="AN7" i="78"/>
  <c r="AM7" i="78"/>
  <c r="AL7" i="78"/>
  <c r="AK7" i="78"/>
  <c r="AJ7" i="78"/>
  <c r="AI7" i="78"/>
  <c r="AK48" i="77"/>
  <c r="AK47" i="77"/>
  <c r="AQ46" i="77"/>
  <c r="AN46" i="77"/>
  <c r="AS46" i="77" s="1"/>
  <c r="AK46" i="77"/>
  <c r="AQ45" i="77"/>
  <c r="AN45" i="77"/>
  <c r="AS45" i="77" s="1"/>
  <c r="AK45" i="77"/>
  <c r="AQ44" i="77"/>
  <c r="AN44" i="77"/>
  <c r="AS44" i="77" s="1"/>
  <c r="AK44" i="77"/>
  <c r="AQ43" i="77"/>
  <c r="AN43" i="77"/>
  <c r="AS43" i="77" s="1"/>
  <c r="AK43" i="77"/>
  <c r="AQ42" i="77"/>
  <c r="AN42" i="77"/>
  <c r="AS42" i="77" s="1"/>
  <c r="AK42" i="77"/>
  <c r="AQ41" i="77"/>
  <c r="AN41" i="77"/>
  <c r="AS41" i="77" s="1"/>
  <c r="AK41" i="77"/>
  <c r="AO31" i="77"/>
  <c r="AJ31" i="77"/>
  <c r="AK31" i="77" s="1"/>
  <c r="AO30" i="77"/>
  <c r="AQ29" i="77"/>
  <c r="AQ28" i="77"/>
  <c r="AO28" i="77"/>
  <c r="AO29" i="77" s="1"/>
  <c r="AQ27" i="77"/>
  <c r="AO27" i="77"/>
  <c r="W27" i="77"/>
  <c r="X27" i="77" s="1"/>
  <c r="AQ26" i="77"/>
  <c r="AO26" i="77"/>
  <c r="AN26" i="77"/>
  <c r="AM26" i="77"/>
  <c r="AL26" i="77"/>
  <c r="I8" i="77" s="1"/>
  <c r="X26" i="77"/>
  <c r="W26" i="77"/>
  <c r="AQ25" i="77"/>
  <c r="AO25" i="77"/>
  <c r="AN25" i="77"/>
  <c r="AM25" i="77"/>
  <c r="AL25" i="77"/>
  <c r="X25" i="77"/>
  <c r="W25" i="77"/>
  <c r="AQ24" i="77"/>
  <c r="X24" i="77"/>
  <c r="W24" i="77"/>
  <c r="AQ23" i="77"/>
  <c r="AN23" i="77"/>
  <c r="AM23" i="77"/>
  <c r="AL23" i="77"/>
  <c r="X23" i="77"/>
  <c r="W23" i="77"/>
  <c r="AQ22" i="77"/>
  <c r="AN22" i="77"/>
  <c r="AM22" i="77"/>
  <c r="AL22" i="77"/>
  <c r="X22" i="77"/>
  <c r="W22" i="77"/>
  <c r="AQ21" i="77"/>
  <c r="W21" i="77"/>
  <c r="X21" i="77" s="1"/>
  <c r="AD16" i="77"/>
  <c r="AD17" i="77" s="1"/>
  <c r="X16" i="77"/>
  <c r="AB15" i="77"/>
  <c r="C15" i="77"/>
  <c r="X14" i="77"/>
  <c r="V14" i="77"/>
  <c r="R14" i="77"/>
  <c r="P14" i="77"/>
  <c r="N14" i="77"/>
  <c r="K14" i="77"/>
  <c r="F14" i="77"/>
  <c r="AF8" i="77"/>
  <c r="AF9" i="77" s="1"/>
  <c r="V15" i="77" s="1"/>
  <c r="G8" i="77"/>
  <c r="AP7" i="77"/>
  <c r="AO7" i="77"/>
  <c r="AN7" i="77"/>
  <c r="AM7" i="77"/>
  <c r="AL7" i="77"/>
  <c r="AK7" i="77"/>
  <c r="AJ7" i="77"/>
  <c r="AI7" i="77"/>
  <c r="AK48" i="76"/>
  <c r="AK47" i="76"/>
  <c r="AQ46" i="76"/>
  <c r="AN46" i="76"/>
  <c r="AS46" i="76" s="1"/>
  <c r="AK46" i="76"/>
  <c r="AQ45" i="76"/>
  <c r="AN45" i="76"/>
  <c r="AS45" i="76" s="1"/>
  <c r="AK45" i="76"/>
  <c r="AQ44" i="76"/>
  <c r="AN44" i="76"/>
  <c r="AS44" i="76" s="1"/>
  <c r="AK44" i="76"/>
  <c r="AQ43" i="76"/>
  <c r="AN43" i="76"/>
  <c r="AS43" i="76" s="1"/>
  <c r="AK43" i="76"/>
  <c r="AQ42" i="76"/>
  <c r="AN42" i="76"/>
  <c r="AS42" i="76" s="1"/>
  <c r="AK42" i="76"/>
  <c r="AQ41" i="76"/>
  <c r="AN41" i="76"/>
  <c r="AS41" i="76" s="1"/>
  <c r="AK41" i="76"/>
  <c r="AO31" i="76"/>
  <c r="AJ31" i="76"/>
  <c r="AK31" i="76" s="1"/>
  <c r="AO30" i="76"/>
  <c r="AQ29" i="76"/>
  <c r="AQ28" i="76"/>
  <c r="AO28" i="76"/>
  <c r="AO29" i="76" s="1"/>
  <c r="AQ27" i="76"/>
  <c r="AO27" i="76"/>
  <c r="W27" i="76"/>
  <c r="X27" i="76" s="1"/>
  <c r="AQ26" i="76"/>
  <c r="AO26" i="76"/>
  <c r="AN26" i="76"/>
  <c r="AM26" i="76"/>
  <c r="AL26" i="76"/>
  <c r="I8" i="76" s="1"/>
  <c r="X26" i="76"/>
  <c r="W26" i="76"/>
  <c r="AQ25" i="76"/>
  <c r="AO25" i="76"/>
  <c r="AN25" i="76"/>
  <c r="AM25" i="76"/>
  <c r="AL25" i="76"/>
  <c r="W25" i="76"/>
  <c r="X25" i="76" s="1"/>
  <c r="AQ24" i="76"/>
  <c r="X24" i="76"/>
  <c r="W24" i="76"/>
  <c r="AQ23" i="76"/>
  <c r="AN23" i="76"/>
  <c r="G8" i="76" s="1"/>
  <c r="AM23" i="76"/>
  <c r="AL23" i="76"/>
  <c r="X23" i="76"/>
  <c r="W23" i="76"/>
  <c r="AQ22" i="76"/>
  <c r="AN22" i="76"/>
  <c r="AM22" i="76"/>
  <c r="AL22" i="76"/>
  <c r="W22" i="76"/>
  <c r="X22" i="76" s="1"/>
  <c r="AQ21" i="76"/>
  <c r="W21" i="76"/>
  <c r="X21" i="76" s="1"/>
  <c r="AD16" i="76"/>
  <c r="AD17" i="76" s="1"/>
  <c r="X16" i="76"/>
  <c r="AB15" i="76"/>
  <c r="C15" i="76"/>
  <c r="X14" i="76"/>
  <c r="V14" i="76"/>
  <c r="R14" i="76"/>
  <c r="P14" i="76"/>
  <c r="N14" i="76"/>
  <c r="K14" i="76"/>
  <c r="F14" i="76"/>
  <c r="AF8" i="76"/>
  <c r="AF9" i="76" s="1"/>
  <c r="AP7" i="76"/>
  <c r="AO7" i="76"/>
  <c r="AN7" i="76"/>
  <c r="AM7" i="76"/>
  <c r="AL7" i="76"/>
  <c r="AK7" i="76"/>
  <c r="AJ7" i="76"/>
  <c r="AI7" i="76"/>
  <c r="C15" i="75"/>
  <c r="AK48" i="75"/>
  <c r="AK47" i="75"/>
  <c r="AS46" i="75"/>
  <c r="AQ46" i="75"/>
  <c r="AN46" i="75"/>
  <c r="AK46" i="75"/>
  <c r="AS45" i="75"/>
  <c r="AQ45" i="75"/>
  <c r="AN45" i="75"/>
  <c r="AK45" i="75"/>
  <c r="AQ44" i="75"/>
  <c r="AN44" i="75"/>
  <c r="AS44" i="75" s="1"/>
  <c r="AK44" i="75"/>
  <c r="AQ43" i="75"/>
  <c r="AN43" i="75"/>
  <c r="AS43" i="75" s="1"/>
  <c r="AK43" i="75"/>
  <c r="AS42" i="75"/>
  <c r="AQ42" i="75"/>
  <c r="AN42" i="75"/>
  <c r="AK42" i="75"/>
  <c r="AS41" i="75"/>
  <c r="AQ41" i="75"/>
  <c r="AN41" i="75"/>
  <c r="AK41" i="75"/>
  <c r="AO31" i="75"/>
  <c r="AJ31" i="75"/>
  <c r="AK31" i="75" s="1"/>
  <c r="AO30" i="75"/>
  <c r="AQ29" i="75"/>
  <c r="AQ28" i="75"/>
  <c r="AO28" i="75"/>
  <c r="AO29" i="75" s="1"/>
  <c r="AQ27" i="75"/>
  <c r="AO27" i="75"/>
  <c r="X27" i="75"/>
  <c r="W27" i="75"/>
  <c r="AQ26" i="75"/>
  <c r="AO26" i="75"/>
  <c r="AN26" i="75"/>
  <c r="AM26" i="75"/>
  <c r="AL26" i="75"/>
  <c r="I8" i="75" s="1"/>
  <c r="W26" i="75"/>
  <c r="X26" i="75" s="1"/>
  <c r="AQ25" i="75"/>
  <c r="AO25" i="75"/>
  <c r="AN25" i="75"/>
  <c r="AM25" i="75"/>
  <c r="AL25" i="75"/>
  <c r="W25" i="75"/>
  <c r="X25" i="75" s="1"/>
  <c r="AQ24" i="75"/>
  <c r="W24" i="75"/>
  <c r="X24" i="75" s="1"/>
  <c r="AQ23" i="75"/>
  <c r="AN23" i="75"/>
  <c r="G8" i="75" s="1"/>
  <c r="AM23" i="75"/>
  <c r="AL23" i="75"/>
  <c r="X23" i="75"/>
  <c r="W23" i="75"/>
  <c r="AQ22" i="75"/>
  <c r="AN22" i="75"/>
  <c r="AM22" i="75"/>
  <c r="AL22" i="75"/>
  <c r="W22" i="75"/>
  <c r="X22" i="75" s="1"/>
  <c r="AQ21" i="75"/>
  <c r="W21" i="75"/>
  <c r="X21" i="75" s="1"/>
  <c r="AD16" i="75"/>
  <c r="AD17" i="75" s="1"/>
  <c r="X16" i="75"/>
  <c r="AB15" i="75"/>
  <c r="X14" i="75"/>
  <c r="V14" i="75"/>
  <c r="R14" i="75"/>
  <c r="P14" i="75"/>
  <c r="N14" i="75"/>
  <c r="K14" i="75"/>
  <c r="F14" i="75"/>
  <c r="AF8" i="75"/>
  <c r="AF9" i="75" s="1"/>
  <c r="V15" i="75" s="1"/>
  <c r="AP7" i="75"/>
  <c r="AO7" i="75"/>
  <c r="AN7" i="75"/>
  <c r="AM7" i="75"/>
  <c r="AL7" i="75"/>
  <c r="AK7" i="75"/>
  <c r="AJ7" i="75"/>
  <c r="AI7" i="75"/>
  <c r="AQ22" i="74"/>
  <c r="AQ23" i="74"/>
  <c r="AQ24" i="74"/>
  <c r="AQ25" i="74"/>
  <c r="AQ26" i="74"/>
  <c r="AQ27" i="74"/>
  <c r="AQ28" i="74"/>
  <c r="AQ29" i="74"/>
  <c r="AQ21" i="74"/>
  <c r="AK48" i="74"/>
  <c r="AK47" i="74"/>
  <c r="AS46" i="74"/>
  <c r="AQ46" i="74"/>
  <c r="AN46" i="74"/>
  <c r="AK46" i="74"/>
  <c r="AQ45" i="74"/>
  <c r="AN45" i="74"/>
  <c r="AS45" i="74" s="1"/>
  <c r="AK45" i="74"/>
  <c r="AS44" i="74"/>
  <c r="AQ44" i="74"/>
  <c r="AN44" i="74"/>
  <c r="AK44" i="74"/>
  <c r="AQ43" i="74"/>
  <c r="AN43" i="74"/>
  <c r="AS43" i="74" s="1"/>
  <c r="AK43" i="74"/>
  <c r="AS42" i="74"/>
  <c r="AQ42" i="74"/>
  <c r="AN42" i="74"/>
  <c r="AK42" i="74"/>
  <c r="AQ41" i="74"/>
  <c r="AN41" i="74"/>
  <c r="AS41" i="74" s="1"/>
  <c r="AK41" i="74"/>
  <c r="AO31" i="74"/>
  <c r="AJ31" i="74"/>
  <c r="AK31" i="74" s="1"/>
  <c r="AO30" i="74"/>
  <c r="AO29" i="74"/>
  <c r="W27" i="74"/>
  <c r="X27" i="74" s="1"/>
  <c r="Y27" i="74" s="1"/>
  <c r="AO26" i="74"/>
  <c r="AN26" i="74"/>
  <c r="AM26" i="74"/>
  <c r="AL26" i="74"/>
  <c r="I8" i="74" s="1"/>
  <c r="Y26" i="74"/>
  <c r="X26" i="74"/>
  <c r="W26" i="74"/>
  <c r="AO25" i="74"/>
  <c r="AN25" i="74"/>
  <c r="AM25" i="74"/>
  <c r="AL25" i="74"/>
  <c r="Y25" i="74"/>
  <c r="X25" i="74"/>
  <c r="W25" i="74"/>
  <c r="W24" i="74"/>
  <c r="X24" i="74" s="1"/>
  <c r="Y24" i="74" s="1"/>
  <c r="AN23" i="74"/>
  <c r="G8" i="74" s="1"/>
  <c r="AM23" i="74"/>
  <c r="AL23" i="74"/>
  <c r="W23" i="74"/>
  <c r="X23" i="74" s="1"/>
  <c r="Y23" i="74" s="1"/>
  <c r="AN22" i="74"/>
  <c r="AM22" i="74"/>
  <c r="AL22" i="74"/>
  <c r="W22" i="74"/>
  <c r="X22" i="74" s="1"/>
  <c r="Y22" i="74" s="1"/>
  <c r="W21" i="74"/>
  <c r="X21" i="74" s="1"/>
  <c r="Y21" i="74" s="1"/>
  <c r="AD17" i="74"/>
  <c r="F17" i="74"/>
  <c r="C17" i="74"/>
  <c r="AD16" i="74"/>
  <c r="X16" i="74"/>
  <c r="F16" i="74"/>
  <c r="C16" i="74"/>
  <c r="AB15" i="74"/>
  <c r="Z15" i="74"/>
  <c r="Z16" i="74" s="1"/>
  <c r="Z17" i="74" s="1"/>
  <c r="Y15" i="74"/>
  <c r="Y16" i="74" s="1"/>
  <c r="Y17" i="74" s="1"/>
  <c r="F15" i="74"/>
  <c r="D8" i="74" s="1"/>
  <c r="C15" i="74"/>
  <c r="X14" i="74"/>
  <c r="V14" i="74"/>
  <c r="R14" i="74"/>
  <c r="P14" i="74"/>
  <c r="N14" i="74"/>
  <c r="K14" i="74"/>
  <c r="H14" i="74"/>
  <c r="F14" i="74"/>
  <c r="C14" i="74"/>
  <c r="AJ9" i="74"/>
  <c r="AF8" i="74"/>
  <c r="AF9" i="74" s="1"/>
  <c r="AP7" i="74"/>
  <c r="AO7" i="74"/>
  <c r="AN7" i="74"/>
  <c r="AM7" i="74"/>
  <c r="AL7" i="74"/>
  <c r="AK7" i="74"/>
  <c r="AJ7" i="74"/>
  <c r="AI7" i="74"/>
  <c r="AK48" i="73"/>
  <c r="AK47" i="73"/>
  <c r="AQ46" i="73"/>
  <c r="AN46" i="73"/>
  <c r="AS46" i="73" s="1"/>
  <c r="AK46" i="73"/>
  <c r="AQ45" i="73"/>
  <c r="AN45" i="73"/>
  <c r="AS45" i="73" s="1"/>
  <c r="AK45" i="73"/>
  <c r="AS44" i="73"/>
  <c r="AQ44" i="73"/>
  <c r="AN44" i="73"/>
  <c r="AK44" i="73"/>
  <c r="AQ43" i="73"/>
  <c r="AN43" i="73"/>
  <c r="AS43" i="73" s="1"/>
  <c r="AK43" i="73"/>
  <c r="AQ42" i="73"/>
  <c r="AN42" i="73"/>
  <c r="AS42" i="73" s="1"/>
  <c r="AK42" i="73"/>
  <c r="AQ41" i="73"/>
  <c r="AN41" i="73"/>
  <c r="AS41" i="73" s="1"/>
  <c r="AK41" i="73"/>
  <c r="AO31" i="73"/>
  <c r="AJ31" i="73"/>
  <c r="AK31" i="73" s="1"/>
  <c r="AO30" i="73"/>
  <c r="AO28" i="73"/>
  <c r="AO29" i="73" s="1"/>
  <c r="AO27" i="73"/>
  <c r="X27" i="73"/>
  <c r="W27" i="73"/>
  <c r="AO26" i="73"/>
  <c r="AN26" i="73"/>
  <c r="AM26" i="73"/>
  <c r="AL26" i="73"/>
  <c r="I8" i="73" s="1"/>
  <c r="W26" i="73"/>
  <c r="X26" i="73" s="1"/>
  <c r="AO25" i="73"/>
  <c r="AN25" i="73"/>
  <c r="AM25" i="73"/>
  <c r="AL25" i="73"/>
  <c r="W25" i="73"/>
  <c r="X25" i="73" s="1"/>
  <c r="W24" i="73"/>
  <c r="X24" i="73" s="1"/>
  <c r="AN23" i="73"/>
  <c r="G8" i="73" s="1"/>
  <c r="AM23" i="73"/>
  <c r="AL23" i="73"/>
  <c r="W23" i="73"/>
  <c r="X23" i="73" s="1"/>
  <c r="AN22" i="73"/>
  <c r="AM22" i="73"/>
  <c r="AL22" i="73"/>
  <c r="W22" i="73"/>
  <c r="X22" i="73" s="1"/>
  <c r="W21" i="73"/>
  <c r="X21" i="73" s="1"/>
  <c r="AD16" i="73"/>
  <c r="AD17" i="73" s="1"/>
  <c r="X16" i="73"/>
  <c r="AB15" i="73"/>
  <c r="C15" i="73"/>
  <c r="X14" i="73"/>
  <c r="V14" i="73"/>
  <c r="R14" i="73"/>
  <c r="P14" i="73"/>
  <c r="N14" i="73"/>
  <c r="K14" i="73"/>
  <c r="H14" i="73"/>
  <c r="F14" i="73"/>
  <c r="C14" i="73"/>
  <c r="AF8" i="73"/>
  <c r="AF9" i="73" s="1"/>
  <c r="AP7" i="73"/>
  <c r="AO7" i="73"/>
  <c r="AN7" i="73"/>
  <c r="AM7" i="73"/>
  <c r="AL7" i="73"/>
  <c r="AK7" i="73"/>
  <c r="AJ7" i="73"/>
  <c r="AI7" i="73"/>
  <c r="AK48" i="72"/>
  <c r="AK47" i="72"/>
  <c r="AS46" i="72"/>
  <c r="AQ46" i="72"/>
  <c r="AN46" i="72"/>
  <c r="AK46" i="72"/>
  <c r="AS45" i="72"/>
  <c r="AQ45" i="72"/>
  <c r="AN45" i="72"/>
  <c r="AK45" i="72"/>
  <c r="AS44" i="72"/>
  <c r="AQ44" i="72"/>
  <c r="AN44" i="72"/>
  <c r="AK44" i="72"/>
  <c r="AQ43" i="72"/>
  <c r="AN43" i="72"/>
  <c r="AS43" i="72" s="1"/>
  <c r="AK43" i="72"/>
  <c r="AS42" i="72"/>
  <c r="AQ42" i="72"/>
  <c r="AN42" i="72"/>
  <c r="AK42" i="72"/>
  <c r="AS41" i="72"/>
  <c r="AQ41" i="72"/>
  <c r="AN41" i="72"/>
  <c r="AK41" i="72"/>
  <c r="AO31" i="72"/>
  <c r="AJ31" i="72"/>
  <c r="AK31" i="72" s="1"/>
  <c r="AO30" i="72"/>
  <c r="AO28" i="72"/>
  <c r="AO29" i="72" s="1"/>
  <c r="AO27" i="72"/>
  <c r="X27" i="72"/>
  <c r="Y27" i="72" s="1"/>
  <c r="W27" i="72"/>
  <c r="AO26" i="72"/>
  <c r="AN26" i="72"/>
  <c r="AM26" i="72"/>
  <c r="AL26" i="72"/>
  <c r="I8" i="72" s="1"/>
  <c r="W26" i="72"/>
  <c r="X26" i="72" s="1"/>
  <c r="Y26" i="72" s="1"/>
  <c r="AO25" i="72"/>
  <c r="AN25" i="72"/>
  <c r="AM25" i="72"/>
  <c r="AL25" i="72"/>
  <c r="W25" i="72"/>
  <c r="X25" i="72" s="1"/>
  <c r="Y25" i="72" s="1"/>
  <c r="W24" i="72"/>
  <c r="X24" i="72" s="1"/>
  <c r="Y24" i="72" s="1"/>
  <c r="AN23" i="72"/>
  <c r="G8" i="72" s="1"/>
  <c r="AM23" i="72"/>
  <c r="AL23" i="72"/>
  <c r="W23" i="72"/>
  <c r="X23" i="72" s="1"/>
  <c r="Y23" i="72" s="1"/>
  <c r="AN22" i="72"/>
  <c r="AM22" i="72"/>
  <c r="AL22" i="72"/>
  <c r="W22" i="72"/>
  <c r="X22" i="72" s="1"/>
  <c r="Y22" i="72" s="1"/>
  <c r="W21" i="72"/>
  <c r="X21" i="72" s="1"/>
  <c r="Y21" i="72" s="1"/>
  <c r="AD16" i="72"/>
  <c r="AD17" i="72" s="1"/>
  <c r="X16" i="72"/>
  <c r="C16" i="72"/>
  <c r="C17" i="72" s="1"/>
  <c r="AB15" i="72"/>
  <c r="F15" i="72"/>
  <c r="F16" i="72" s="1"/>
  <c r="F17" i="72" s="1"/>
  <c r="C15" i="72"/>
  <c r="X14" i="72"/>
  <c r="V14" i="72"/>
  <c r="V15" i="72" s="1"/>
  <c r="R14" i="72"/>
  <c r="P14" i="72"/>
  <c r="N14" i="72"/>
  <c r="K14" i="72"/>
  <c r="H14" i="72"/>
  <c r="F14" i="72"/>
  <c r="C14" i="72"/>
  <c r="AF9" i="72"/>
  <c r="R15" i="72" s="1"/>
  <c r="AF8" i="72"/>
  <c r="AP7" i="72"/>
  <c r="AO7" i="72"/>
  <c r="AN7" i="72"/>
  <c r="AM7" i="72"/>
  <c r="AL7" i="72"/>
  <c r="AK7" i="72"/>
  <c r="AJ7" i="72"/>
  <c r="AI7" i="72"/>
  <c r="AK48" i="71"/>
  <c r="AK47" i="71"/>
  <c r="AS46" i="71"/>
  <c r="AQ46" i="71"/>
  <c r="AN46" i="71"/>
  <c r="AK46" i="71"/>
  <c r="AQ45" i="71"/>
  <c r="AN45" i="71"/>
  <c r="AS45" i="71" s="1"/>
  <c r="AK45" i="71"/>
  <c r="AQ44" i="71"/>
  <c r="AN44" i="71"/>
  <c r="AS44" i="71" s="1"/>
  <c r="AK44" i="71"/>
  <c r="AS43" i="71"/>
  <c r="AQ43" i="71"/>
  <c r="AN43" i="71"/>
  <c r="AK43" i="71"/>
  <c r="AS42" i="71"/>
  <c r="AQ42" i="71"/>
  <c r="AN42" i="71"/>
  <c r="AK42" i="71"/>
  <c r="AQ41" i="71"/>
  <c r="AN41" i="71"/>
  <c r="AS41" i="71" s="1"/>
  <c r="AK41" i="71"/>
  <c r="AO31" i="71"/>
  <c r="AK31" i="71"/>
  <c r="AJ31" i="71"/>
  <c r="AO30" i="71"/>
  <c r="AO28" i="71"/>
  <c r="AO29" i="71" s="1"/>
  <c r="AO27" i="71"/>
  <c r="X27" i="71"/>
  <c r="Y27" i="71" s="1"/>
  <c r="W27" i="71"/>
  <c r="AO26" i="71"/>
  <c r="AN26" i="71"/>
  <c r="AM26" i="71"/>
  <c r="AL26" i="71"/>
  <c r="I8" i="71" s="1"/>
  <c r="Y26" i="71"/>
  <c r="X26" i="71"/>
  <c r="W26" i="71"/>
  <c r="AO25" i="71"/>
  <c r="AN25" i="71"/>
  <c r="AM25" i="71"/>
  <c r="AL25" i="71"/>
  <c r="X25" i="71"/>
  <c r="Y25" i="71" s="1"/>
  <c r="W25" i="71"/>
  <c r="W24" i="71"/>
  <c r="X24" i="71" s="1"/>
  <c r="Y24" i="71" s="1"/>
  <c r="AN23" i="71"/>
  <c r="G8" i="71" s="1"/>
  <c r="AM23" i="71"/>
  <c r="AL23" i="71"/>
  <c r="W23" i="71"/>
  <c r="X23" i="71" s="1"/>
  <c r="Y23" i="71" s="1"/>
  <c r="AN22" i="71"/>
  <c r="AM22" i="71"/>
  <c r="AL22" i="71"/>
  <c r="W22" i="71"/>
  <c r="X22" i="71" s="1"/>
  <c r="Y22" i="71" s="1"/>
  <c r="W21" i="71"/>
  <c r="X21" i="71" s="1"/>
  <c r="Y21" i="71" s="1"/>
  <c r="AD17" i="71"/>
  <c r="C17" i="71"/>
  <c r="AD16" i="71"/>
  <c r="X16" i="71"/>
  <c r="F16" i="71"/>
  <c r="F17" i="71" s="1"/>
  <c r="C16" i="71"/>
  <c r="AB15" i="71"/>
  <c r="F15" i="71"/>
  <c r="D8" i="71" s="1"/>
  <c r="C15" i="71"/>
  <c r="X14" i="71"/>
  <c r="V14" i="71"/>
  <c r="R14" i="71"/>
  <c r="P14" i="71"/>
  <c r="N14" i="71"/>
  <c r="K14" i="71"/>
  <c r="H14" i="71"/>
  <c r="F14" i="71"/>
  <c r="C14" i="71"/>
  <c r="AJ9" i="71"/>
  <c r="AF8" i="71"/>
  <c r="AF9" i="71" s="1"/>
  <c r="AP7" i="71"/>
  <c r="AO7" i="71"/>
  <c r="AN7" i="71"/>
  <c r="AM7" i="71"/>
  <c r="AL7" i="71"/>
  <c r="AK7" i="71"/>
  <c r="AJ7" i="71"/>
  <c r="AI7" i="71"/>
  <c r="AK48" i="70"/>
  <c r="AK47" i="70"/>
  <c r="AQ46" i="70"/>
  <c r="AN46" i="70"/>
  <c r="AS46" i="70" s="1"/>
  <c r="AK46" i="70"/>
  <c r="AQ45" i="70"/>
  <c r="AN45" i="70"/>
  <c r="AS45" i="70" s="1"/>
  <c r="AK45" i="70"/>
  <c r="AQ44" i="70"/>
  <c r="AN44" i="70"/>
  <c r="AS44" i="70" s="1"/>
  <c r="AK44" i="70"/>
  <c r="AQ43" i="70"/>
  <c r="AN43" i="70"/>
  <c r="AS43" i="70" s="1"/>
  <c r="AK43" i="70"/>
  <c r="AQ42" i="70"/>
  <c r="AN42" i="70"/>
  <c r="AS42" i="70" s="1"/>
  <c r="AK42" i="70"/>
  <c r="AQ41" i="70"/>
  <c r="AN41" i="70"/>
  <c r="AS41" i="70" s="1"/>
  <c r="AK41" i="70"/>
  <c r="AO31" i="70"/>
  <c r="AJ31" i="70"/>
  <c r="AK31" i="70" s="1"/>
  <c r="AO30" i="70"/>
  <c r="AO28" i="70"/>
  <c r="AO29" i="70" s="1"/>
  <c r="AO27" i="70"/>
  <c r="X27" i="70"/>
  <c r="W27" i="70"/>
  <c r="AO26" i="70"/>
  <c r="AN26" i="70"/>
  <c r="AM26" i="70"/>
  <c r="AL26" i="70"/>
  <c r="I8" i="70" s="1"/>
  <c r="X26" i="70"/>
  <c r="W26" i="70"/>
  <c r="AO25" i="70"/>
  <c r="AN25" i="70"/>
  <c r="AM25" i="70"/>
  <c r="AL25" i="70"/>
  <c r="X25" i="70"/>
  <c r="W25" i="70"/>
  <c r="W24" i="70"/>
  <c r="X24" i="70" s="1"/>
  <c r="AN23" i="70"/>
  <c r="G8" i="70" s="1"/>
  <c r="AM23" i="70"/>
  <c r="AL23" i="70"/>
  <c r="W23" i="70"/>
  <c r="X23" i="70" s="1"/>
  <c r="AN22" i="70"/>
  <c r="AM22" i="70"/>
  <c r="AL22" i="70"/>
  <c r="W22" i="70"/>
  <c r="X22" i="70" s="1"/>
  <c r="W21" i="70"/>
  <c r="X21" i="70" s="1"/>
  <c r="AD17" i="70"/>
  <c r="AD16" i="70"/>
  <c r="X16" i="70"/>
  <c r="AB15" i="70"/>
  <c r="C15" i="70"/>
  <c r="X14" i="70"/>
  <c r="V14" i="70"/>
  <c r="R14" i="70"/>
  <c r="P14" i="70"/>
  <c r="N14" i="70"/>
  <c r="K14" i="70"/>
  <c r="H14" i="70"/>
  <c r="F14" i="70"/>
  <c r="C14" i="70"/>
  <c r="AF8" i="70"/>
  <c r="AF9" i="70" s="1"/>
  <c r="AP7" i="70"/>
  <c r="AO7" i="70"/>
  <c r="AN7" i="70"/>
  <c r="AM7" i="70"/>
  <c r="AL7" i="70"/>
  <c r="AK7" i="70"/>
  <c r="AJ7" i="70"/>
  <c r="AI7" i="70"/>
  <c r="AK48" i="69"/>
  <c r="AK47" i="69"/>
  <c r="AS46" i="69"/>
  <c r="AQ46" i="69"/>
  <c r="AN46" i="69"/>
  <c r="AK46" i="69"/>
  <c r="AQ45" i="69"/>
  <c r="AN45" i="69"/>
  <c r="AS45" i="69" s="1"/>
  <c r="AK45" i="69"/>
  <c r="AQ44" i="69"/>
  <c r="AN44" i="69"/>
  <c r="AS44" i="69" s="1"/>
  <c r="AK44" i="69"/>
  <c r="AQ43" i="69"/>
  <c r="AN43" i="69"/>
  <c r="AS43" i="69" s="1"/>
  <c r="AK43" i="69"/>
  <c r="AS42" i="69"/>
  <c r="AQ42" i="69"/>
  <c r="AN42" i="69"/>
  <c r="AK42" i="69"/>
  <c r="AQ41" i="69"/>
  <c r="AN41" i="69"/>
  <c r="AS41" i="69" s="1"/>
  <c r="AK41" i="69"/>
  <c r="AO31" i="69"/>
  <c r="AJ31" i="69"/>
  <c r="AK31" i="69" s="1"/>
  <c r="AO30" i="69"/>
  <c r="AO28" i="69"/>
  <c r="AO29" i="69" s="1"/>
  <c r="AO27" i="69"/>
  <c r="W27" i="69"/>
  <c r="X27" i="69" s="1"/>
  <c r="AO26" i="69"/>
  <c r="AN26" i="69"/>
  <c r="AM26" i="69"/>
  <c r="AL26" i="69"/>
  <c r="I8" i="69" s="1"/>
  <c r="X26" i="69"/>
  <c r="W26" i="69"/>
  <c r="AO25" i="69"/>
  <c r="AN25" i="69"/>
  <c r="AM25" i="69"/>
  <c r="AL25" i="69"/>
  <c r="X25" i="69"/>
  <c r="W25" i="69"/>
  <c r="X24" i="69"/>
  <c r="W24" i="69"/>
  <c r="AN23" i="69"/>
  <c r="G8" i="69" s="1"/>
  <c r="AM23" i="69"/>
  <c r="AL23" i="69"/>
  <c r="X23" i="69"/>
  <c r="W23" i="69"/>
  <c r="AN22" i="69"/>
  <c r="AM22" i="69"/>
  <c r="AL22" i="69"/>
  <c r="X22" i="69"/>
  <c r="W22" i="69"/>
  <c r="X21" i="69"/>
  <c r="W21" i="69"/>
  <c r="AD16" i="69"/>
  <c r="AD17" i="69" s="1"/>
  <c r="X16" i="69"/>
  <c r="AB15" i="69"/>
  <c r="C15" i="69"/>
  <c r="X14" i="69"/>
  <c r="V14" i="69"/>
  <c r="R14" i="69"/>
  <c r="P14" i="69"/>
  <c r="N14" i="69"/>
  <c r="K14" i="69"/>
  <c r="H14" i="69"/>
  <c r="F14" i="69"/>
  <c r="C14" i="69"/>
  <c r="AF8" i="69"/>
  <c r="AF9" i="69" s="1"/>
  <c r="AP7" i="69"/>
  <c r="AO7" i="69"/>
  <c r="AN7" i="69"/>
  <c r="AM7" i="69"/>
  <c r="AL7" i="69"/>
  <c r="AK7" i="69"/>
  <c r="AJ7" i="69"/>
  <c r="AI7" i="69"/>
  <c r="AK48" i="68"/>
  <c r="AK47" i="68"/>
  <c r="AQ46" i="68"/>
  <c r="AN46" i="68"/>
  <c r="AS46" i="68" s="1"/>
  <c r="AK46" i="68"/>
  <c r="AQ45" i="68"/>
  <c r="AN45" i="68"/>
  <c r="AS45" i="68" s="1"/>
  <c r="AK45" i="68"/>
  <c r="AS44" i="68"/>
  <c r="AQ44" i="68"/>
  <c r="AN44" i="68"/>
  <c r="AK44" i="68"/>
  <c r="AS43" i="68"/>
  <c r="AQ43" i="68"/>
  <c r="AN43" i="68"/>
  <c r="AK43" i="68"/>
  <c r="AS42" i="68"/>
  <c r="AQ42" i="68"/>
  <c r="AN42" i="68"/>
  <c r="AK42" i="68"/>
  <c r="AQ41" i="68"/>
  <c r="AN41" i="68"/>
  <c r="AS41" i="68" s="1"/>
  <c r="AK41" i="68"/>
  <c r="AO31" i="68"/>
  <c r="AJ31" i="68"/>
  <c r="AK31" i="68" s="1"/>
  <c r="AO30" i="68"/>
  <c r="AO28" i="68"/>
  <c r="AO29" i="68" s="1"/>
  <c r="AO27" i="68"/>
  <c r="W27" i="68"/>
  <c r="X27" i="68" s="1"/>
  <c r="AO26" i="68"/>
  <c r="AN26" i="68"/>
  <c r="AM26" i="68"/>
  <c r="AL26" i="68"/>
  <c r="I8" i="68" s="1"/>
  <c r="W26" i="68"/>
  <c r="X26" i="68" s="1"/>
  <c r="AO25" i="68"/>
  <c r="AN25" i="68"/>
  <c r="AM25" i="68"/>
  <c r="AL25" i="68"/>
  <c r="X25" i="68"/>
  <c r="W25" i="68"/>
  <c r="X24" i="68"/>
  <c r="W24" i="68"/>
  <c r="AN23" i="68"/>
  <c r="AM23" i="68"/>
  <c r="AL23" i="68"/>
  <c r="W23" i="68"/>
  <c r="X23" i="68" s="1"/>
  <c r="AN22" i="68"/>
  <c r="AM22" i="68"/>
  <c r="AL22" i="68"/>
  <c r="X22" i="68"/>
  <c r="W22" i="68"/>
  <c r="W21" i="68"/>
  <c r="X21" i="68" s="1"/>
  <c r="AD16" i="68"/>
  <c r="AD17" i="68" s="1"/>
  <c r="X16" i="68"/>
  <c r="AB15" i="68"/>
  <c r="C15" i="68"/>
  <c r="X14" i="68"/>
  <c r="V14" i="68"/>
  <c r="R14" i="68"/>
  <c r="P14" i="68"/>
  <c r="N14" i="68"/>
  <c r="K14" i="68"/>
  <c r="H14" i="68"/>
  <c r="F14" i="68"/>
  <c r="C14" i="68"/>
  <c r="AF8" i="68"/>
  <c r="AF9" i="68" s="1"/>
  <c r="G8" i="68"/>
  <c r="AP7" i="68"/>
  <c r="AO7" i="68"/>
  <c r="AN7" i="68"/>
  <c r="AM7" i="68"/>
  <c r="AL7" i="68"/>
  <c r="AK7" i="68"/>
  <c r="AJ7" i="68"/>
  <c r="AI7" i="68"/>
  <c r="AQ23" i="66"/>
  <c r="AK48" i="66"/>
  <c r="AK47" i="66"/>
  <c r="AQ46" i="66"/>
  <c r="AN46" i="66"/>
  <c r="AS46" i="66" s="1"/>
  <c r="AK46" i="66"/>
  <c r="AQ45" i="66"/>
  <c r="AN45" i="66"/>
  <c r="AS45" i="66" s="1"/>
  <c r="AK45" i="66"/>
  <c r="AQ44" i="66"/>
  <c r="AN44" i="66"/>
  <c r="AS44" i="66" s="1"/>
  <c r="AK44" i="66"/>
  <c r="AQ43" i="66"/>
  <c r="AN43" i="66"/>
  <c r="AS43" i="66" s="1"/>
  <c r="AK43" i="66"/>
  <c r="AQ42" i="66"/>
  <c r="AN42" i="66"/>
  <c r="AS42" i="66" s="1"/>
  <c r="AK42" i="66"/>
  <c r="AQ41" i="66"/>
  <c r="AN41" i="66"/>
  <c r="AS41" i="66" s="1"/>
  <c r="AK41" i="66"/>
  <c r="AO31" i="66"/>
  <c r="AJ31" i="66"/>
  <c r="AK31" i="66" s="1"/>
  <c r="AO30" i="66"/>
  <c r="AO28" i="66"/>
  <c r="AO29" i="66" s="1"/>
  <c r="AO27" i="66"/>
  <c r="W27" i="66"/>
  <c r="X27" i="66" s="1"/>
  <c r="AO26" i="66"/>
  <c r="AN26" i="66"/>
  <c r="AM26" i="66"/>
  <c r="AL26" i="66"/>
  <c r="I8" i="66" s="1"/>
  <c r="X26" i="66"/>
  <c r="W26" i="66"/>
  <c r="AO25" i="66"/>
  <c r="AN25" i="66"/>
  <c r="AM25" i="66"/>
  <c r="AL25" i="66"/>
  <c r="X25" i="66"/>
  <c r="W25" i="66"/>
  <c r="X24" i="66"/>
  <c r="W24" i="66"/>
  <c r="AN23" i="66"/>
  <c r="G8" i="66" s="1"/>
  <c r="AM23" i="66"/>
  <c r="AL23" i="66"/>
  <c r="W23" i="66"/>
  <c r="X23" i="66" s="1"/>
  <c r="AN22" i="66"/>
  <c r="AM22" i="66"/>
  <c r="AL22" i="66"/>
  <c r="X22" i="66"/>
  <c r="W22" i="66"/>
  <c r="X21" i="66"/>
  <c r="W21" i="66"/>
  <c r="AD16" i="66"/>
  <c r="AD17" i="66" s="1"/>
  <c r="X16" i="66"/>
  <c r="AB15" i="66"/>
  <c r="C15" i="66"/>
  <c r="C16" i="66" s="1"/>
  <c r="C17" i="66" s="1"/>
  <c r="X14" i="66"/>
  <c r="V14" i="66"/>
  <c r="R14" i="66"/>
  <c r="P14" i="66"/>
  <c r="N14" i="66"/>
  <c r="K14" i="66"/>
  <c r="H14" i="66"/>
  <c r="F14" i="66"/>
  <c r="C14" i="66"/>
  <c r="AF8" i="66"/>
  <c r="AF9" i="66" s="1"/>
  <c r="AP7" i="66"/>
  <c r="AO7" i="66"/>
  <c r="AN7" i="66"/>
  <c r="AM7" i="66"/>
  <c r="AL7" i="66"/>
  <c r="AK7" i="66"/>
  <c r="AJ7" i="66"/>
  <c r="AI7" i="66"/>
  <c r="AK48" i="65"/>
  <c r="AK47" i="65"/>
  <c r="AQ46" i="65"/>
  <c r="AN46" i="65"/>
  <c r="AS46" i="65" s="1"/>
  <c r="AK46" i="65"/>
  <c r="AQ45" i="65"/>
  <c r="AN45" i="65"/>
  <c r="AS45" i="65" s="1"/>
  <c r="AK45" i="65"/>
  <c r="AQ44" i="65"/>
  <c r="AN44" i="65"/>
  <c r="AS44" i="65" s="1"/>
  <c r="AK44" i="65"/>
  <c r="AQ43" i="65"/>
  <c r="AN43" i="65"/>
  <c r="AS43" i="65" s="1"/>
  <c r="AK43" i="65"/>
  <c r="AQ42" i="65"/>
  <c r="AN42" i="65"/>
  <c r="AS42" i="65" s="1"/>
  <c r="AK42" i="65"/>
  <c r="AQ41" i="65"/>
  <c r="AN41" i="65"/>
  <c r="AS41" i="65" s="1"/>
  <c r="AK41" i="65"/>
  <c r="AO31" i="65"/>
  <c r="AK31" i="65"/>
  <c r="AJ31" i="65"/>
  <c r="AO30" i="65"/>
  <c r="AO28" i="65"/>
  <c r="AO29" i="65" s="1"/>
  <c r="AO27" i="65"/>
  <c r="W27" i="65"/>
  <c r="X27" i="65" s="1"/>
  <c r="AO26" i="65"/>
  <c r="AN26" i="65"/>
  <c r="AM26" i="65"/>
  <c r="AL26" i="65"/>
  <c r="I8" i="65" s="1"/>
  <c r="X26" i="65"/>
  <c r="W26" i="65"/>
  <c r="AO25" i="65"/>
  <c r="AN25" i="65"/>
  <c r="AM25" i="65"/>
  <c r="AL25" i="65"/>
  <c r="W25" i="65"/>
  <c r="X25" i="65" s="1"/>
  <c r="X24" i="65"/>
  <c r="W24" i="65"/>
  <c r="AN23" i="65"/>
  <c r="G8" i="65" s="1"/>
  <c r="AM23" i="65"/>
  <c r="AL23" i="65"/>
  <c r="X23" i="65"/>
  <c r="W23" i="65"/>
  <c r="AN22" i="65"/>
  <c r="AM22" i="65"/>
  <c r="AL22" i="65"/>
  <c r="X22" i="65"/>
  <c r="W22" i="65"/>
  <c r="W21" i="65"/>
  <c r="X21" i="65" s="1"/>
  <c r="AD17" i="65"/>
  <c r="AD16" i="65"/>
  <c r="X16" i="65"/>
  <c r="AB15" i="65"/>
  <c r="C15" i="65"/>
  <c r="X14" i="65"/>
  <c r="V14" i="65"/>
  <c r="R14" i="65"/>
  <c r="P14" i="65"/>
  <c r="N14" i="65"/>
  <c r="K14" i="65"/>
  <c r="H14" i="65"/>
  <c r="F14" i="65"/>
  <c r="C14" i="65"/>
  <c r="AF8" i="65"/>
  <c r="AF9" i="65" s="1"/>
  <c r="AP7" i="65"/>
  <c r="AO7" i="65"/>
  <c r="AN7" i="65"/>
  <c r="AM7" i="65"/>
  <c r="AL7" i="65"/>
  <c r="AK7" i="65"/>
  <c r="AJ7" i="65"/>
  <c r="AI7" i="65"/>
  <c r="AK48" i="64"/>
  <c r="AK47" i="64"/>
  <c r="AQ46" i="64"/>
  <c r="AN46" i="64"/>
  <c r="AS46" i="64" s="1"/>
  <c r="AK46" i="64"/>
  <c r="AQ45" i="64"/>
  <c r="AN45" i="64"/>
  <c r="AS45" i="64" s="1"/>
  <c r="AK45" i="64"/>
  <c r="AS44" i="64"/>
  <c r="AQ44" i="64"/>
  <c r="AN44" i="64"/>
  <c r="AK44" i="64"/>
  <c r="AQ43" i="64"/>
  <c r="AN43" i="64"/>
  <c r="AS43" i="64" s="1"/>
  <c r="AK43" i="64"/>
  <c r="AQ42" i="64"/>
  <c r="AN42" i="64"/>
  <c r="AS42" i="64" s="1"/>
  <c r="AK42" i="64"/>
  <c r="AQ41" i="64"/>
  <c r="AN41" i="64"/>
  <c r="AS41" i="64" s="1"/>
  <c r="AK41" i="64"/>
  <c r="AO31" i="64"/>
  <c r="AJ31" i="64"/>
  <c r="AK31" i="64" s="1"/>
  <c r="AO30" i="64"/>
  <c r="AO28" i="64"/>
  <c r="AO29" i="64" s="1"/>
  <c r="AO27" i="64"/>
  <c r="W27" i="64"/>
  <c r="X27" i="64" s="1"/>
  <c r="AO26" i="64"/>
  <c r="AN26" i="64"/>
  <c r="AM26" i="64"/>
  <c r="AL26" i="64"/>
  <c r="I8" i="64" s="1"/>
  <c r="X26" i="64"/>
  <c r="W26" i="64"/>
  <c r="AO25" i="64"/>
  <c r="AN25" i="64"/>
  <c r="AM25" i="64"/>
  <c r="AL25" i="64"/>
  <c r="W25" i="64"/>
  <c r="X25" i="64" s="1"/>
  <c r="W24" i="64"/>
  <c r="X24" i="64" s="1"/>
  <c r="AN23" i="64"/>
  <c r="G8" i="64" s="1"/>
  <c r="AM23" i="64"/>
  <c r="AL23" i="64"/>
  <c r="W23" i="64"/>
  <c r="X23" i="64" s="1"/>
  <c r="AN22" i="64"/>
  <c r="AM22" i="64"/>
  <c r="AL22" i="64"/>
  <c r="W22" i="64"/>
  <c r="X22" i="64" s="1"/>
  <c r="X21" i="64"/>
  <c r="W21" i="64"/>
  <c r="AD16" i="64"/>
  <c r="AD17" i="64" s="1"/>
  <c r="X16" i="64"/>
  <c r="AB15" i="64"/>
  <c r="C15" i="64"/>
  <c r="X14" i="64"/>
  <c r="V14" i="64"/>
  <c r="R14" i="64"/>
  <c r="P14" i="64"/>
  <c r="N14" i="64"/>
  <c r="K14" i="64"/>
  <c r="H14" i="64"/>
  <c r="F14" i="64"/>
  <c r="C14" i="64"/>
  <c r="AF8" i="64"/>
  <c r="AF9" i="64" s="1"/>
  <c r="AP7" i="64"/>
  <c r="AO7" i="64"/>
  <c r="AN7" i="64"/>
  <c r="AM7" i="64"/>
  <c r="AL7" i="64"/>
  <c r="AK7" i="64"/>
  <c r="AJ7" i="64"/>
  <c r="AI7" i="64"/>
  <c r="AI17" i="100" l="1"/>
  <c r="AI17" i="99"/>
  <c r="AI17" i="96"/>
  <c r="X17" i="91"/>
  <c r="AP11" i="91"/>
  <c r="AM17" i="91"/>
  <c r="AI16" i="91"/>
  <c r="AI17" i="91" s="1"/>
  <c r="AY43" i="91"/>
  <c r="AL43" i="91" s="1"/>
  <c r="AW43" i="91"/>
  <c r="AY47" i="91"/>
  <c r="AL47" i="91" s="1"/>
  <c r="AW47" i="91"/>
  <c r="AY41" i="91"/>
  <c r="AL41" i="91" s="1"/>
  <c r="AY42" i="91"/>
  <c r="AL42" i="91" s="1"/>
  <c r="AW42" i="91"/>
  <c r="AY45" i="91"/>
  <c r="AL45" i="91" s="1"/>
  <c r="AY48" i="91"/>
  <c r="AL48" i="91" s="1"/>
  <c r="AW48" i="91"/>
  <c r="AY46" i="91"/>
  <c r="AL46" i="91" s="1"/>
  <c r="AW46" i="91"/>
  <c r="AY44" i="91"/>
  <c r="AL44" i="91" s="1"/>
  <c r="AM15" i="90"/>
  <c r="AV42" i="90"/>
  <c r="AK9" i="90"/>
  <c r="AV43" i="90"/>
  <c r="AB9" i="90"/>
  <c r="AI15" i="90" s="1"/>
  <c r="H16" i="90"/>
  <c r="H17" i="90" s="1"/>
  <c r="AB8" i="90"/>
  <c r="AV48" i="90"/>
  <c r="AX41" i="90"/>
  <c r="AX42" i="90" s="1"/>
  <c r="AX43" i="90" s="1"/>
  <c r="AX44" i="90" s="1"/>
  <c r="AX45" i="90" s="1"/>
  <c r="AX46" i="90" s="1"/>
  <c r="AX47" i="90" s="1"/>
  <c r="AX48" i="90" s="1"/>
  <c r="AV45" i="90"/>
  <c r="AV41" i="90"/>
  <c r="AV46" i="90"/>
  <c r="AV44" i="90"/>
  <c r="AV47" i="90"/>
  <c r="AM16" i="90"/>
  <c r="AL9" i="90"/>
  <c r="K16" i="90"/>
  <c r="K17" i="90" s="1"/>
  <c r="AM9" i="90"/>
  <c r="N16" i="90"/>
  <c r="N17" i="90" s="1"/>
  <c r="AL9" i="89"/>
  <c r="K16" i="89"/>
  <c r="K17" i="89" s="1"/>
  <c r="AM9" i="89"/>
  <c r="N16" i="89"/>
  <c r="N17" i="89" s="1"/>
  <c r="AM15" i="89"/>
  <c r="AI15" i="89"/>
  <c r="AK9" i="89"/>
  <c r="H16" i="89"/>
  <c r="H17" i="89" s="1"/>
  <c r="X17" i="89" s="1"/>
  <c r="AV46" i="89"/>
  <c r="AB8" i="89"/>
  <c r="AV43" i="89"/>
  <c r="AV47" i="89"/>
  <c r="AV42" i="89"/>
  <c r="AB9" i="89"/>
  <c r="AV41" i="89"/>
  <c r="AM16" i="89"/>
  <c r="AX41" i="89"/>
  <c r="AX42" i="89" s="1"/>
  <c r="AX43" i="89" s="1"/>
  <c r="AX44" i="89" s="1"/>
  <c r="AX45" i="89" s="1"/>
  <c r="AX46" i="89" s="1"/>
  <c r="AX47" i="89" s="1"/>
  <c r="AX48" i="89" s="1"/>
  <c r="AV44" i="89"/>
  <c r="AV45" i="89"/>
  <c r="AV48" i="89"/>
  <c r="AV42" i="88"/>
  <c r="AV46" i="88"/>
  <c r="AW46" i="88" s="1"/>
  <c r="AV48" i="88"/>
  <c r="AW48" i="88" s="1"/>
  <c r="AB8" i="88"/>
  <c r="AM15" i="88"/>
  <c r="AV45" i="88"/>
  <c r="AV41" i="88"/>
  <c r="AW41" i="88" s="1"/>
  <c r="AB9" i="88"/>
  <c r="AI15" i="88" s="1"/>
  <c r="AL9" i="88"/>
  <c r="AP11" i="88" s="1"/>
  <c r="AV44" i="88"/>
  <c r="AX41" i="88"/>
  <c r="AX42" i="88" s="1"/>
  <c r="AX43" i="88" s="1"/>
  <c r="AX44" i="88" s="1"/>
  <c r="AX45" i="88" s="1"/>
  <c r="AX46" i="88" s="1"/>
  <c r="AX47" i="88" s="1"/>
  <c r="AX48" i="88" s="1"/>
  <c r="AY48" i="88" s="1"/>
  <c r="AL48" i="88" s="1"/>
  <c r="AV47" i="88"/>
  <c r="AW47" i="88" s="1"/>
  <c r="AV43" i="88"/>
  <c r="AW43" i="88" s="1"/>
  <c r="AM16" i="88"/>
  <c r="N16" i="88"/>
  <c r="N17" i="88" s="1"/>
  <c r="X17" i="88" s="1"/>
  <c r="AW42" i="88"/>
  <c r="AM15" i="87"/>
  <c r="AV43" i="87"/>
  <c r="AW43" i="87" s="1"/>
  <c r="AV47" i="87"/>
  <c r="AY47" i="87" s="1"/>
  <c r="AL47" i="87" s="1"/>
  <c r="H16" i="87"/>
  <c r="H17" i="87" s="1"/>
  <c r="AK9" i="87"/>
  <c r="AL9" i="87"/>
  <c r="AV41" i="87"/>
  <c r="AY41" i="87" s="1"/>
  <c r="AL41" i="87" s="1"/>
  <c r="AB8" i="87"/>
  <c r="AV44" i="87"/>
  <c r="AY44" i="87" s="1"/>
  <c r="AL44" i="87" s="1"/>
  <c r="AM16" i="87"/>
  <c r="AP11" i="87"/>
  <c r="AY43" i="87"/>
  <c r="AL43" i="87" s="1"/>
  <c r="AY45" i="87"/>
  <c r="AL45" i="87" s="1"/>
  <c r="AW45" i="87"/>
  <c r="AY42" i="87"/>
  <c r="AL42" i="87" s="1"/>
  <c r="AW42" i="87"/>
  <c r="X17" i="87"/>
  <c r="AM17" i="87"/>
  <c r="AI16" i="87"/>
  <c r="AI15" i="87"/>
  <c r="AY46" i="87"/>
  <c r="AL46" i="87" s="1"/>
  <c r="AW46" i="87"/>
  <c r="AY48" i="87"/>
  <c r="AL48" i="87" s="1"/>
  <c r="AW48" i="87"/>
  <c r="H15" i="86"/>
  <c r="K15" i="86"/>
  <c r="N15" i="86"/>
  <c r="AB16" i="86"/>
  <c r="AB17" i="86" s="1"/>
  <c r="Z15" i="83"/>
  <c r="Z16" i="83" s="1"/>
  <c r="Z17" i="83" s="1"/>
  <c r="Y23" i="83"/>
  <c r="Y21" i="83"/>
  <c r="AN9" i="83"/>
  <c r="P16" i="83"/>
  <c r="P17" i="83" s="1"/>
  <c r="V16" i="83"/>
  <c r="V17" i="83" s="1"/>
  <c r="AP9" i="83"/>
  <c r="R16" i="83"/>
  <c r="R17" i="83" s="1"/>
  <c r="AO9" i="83"/>
  <c r="Y26" i="83"/>
  <c r="AF6" i="83"/>
  <c r="AF7" i="83" s="1"/>
  <c r="Y27" i="83"/>
  <c r="D8" i="83"/>
  <c r="AJ9" i="83"/>
  <c r="F16" i="83"/>
  <c r="F17" i="83" s="1"/>
  <c r="Y25" i="83"/>
  <c r="Y22" i="83"/>
  <c r="Y24" i="83"/>
  <c r="AO9" i="82"/>
  <c r="R16" i="82"/>
  <c r="R17" i="82" s="1"/>
  <c r="D8" i="82"/>
  <c r="Z15" i="82"/>
  <c r="Z16" i="82" s="1"/>
  <c r="Z17" i="82" s="1"/>
  <c r="AJ9" i="82"/>
  <c r="F16" i="82"/>
  <c r="F17" i="82" s="1"/>
  <c r="AF6" i="82"/>
  <c r="AF7" i="82" s="1"/>
  <c r="V16" i="82"/>
  <c r="V17" i="82" s="1"/>
  <c r="AP9" i="82"/>
  <c r="Y15" i="82"/>
  <c r="Y16" i="82" s="1"/>
  <c r="Y17" i="82" s="1"/>
  <c r="AN9" i="82"/>
  <c r="P16" i="82"/>
  <c r="P17" i="82" s="1"/>
  <c r="Y25" i="82"/>
  <c r="Y27" i="82"/>
  <c r="Y24" i="82"/>
  <c r="Y21" i="82"/>
  <c r="Y23" i="82"/>
  <c r="Y26" i="82"/>
  <c r="P15" i="81"/>
  <c r="V15" i="81"/>
  <c r="R15" i="81"/>
  <c r="AI9" i="81"/>
  <c r="F15" i="81"/>
  <c r="Y27" i="81" s="1"/>
  <c r="C16" i="81"/>
  <c r="C17" i="81" s="1"/>
  <c r="AN9" i="80"/>
  <c r="P16" i="80"/>
  <c r="P17" i="80" s="1"/>
  <c r="Y24" i="80"/>
  <c r="Y22" i="80"/>
  <c r="Y25" i="80"/>
  <c r="AP9" i="80"/>
  <c r="V16" i="80"/>
  <c r="V17" i="80" s="1"/>
  <c r="R15" i="80"/>
  <c r="F15" i="80"/>
  <c r="Y23" i="80" s="1"/>
  <c r="F15" i="79"/>
  <c r="F16" i="79" s="1"/>
  <c r="F17" i="79" s="1"/>
  <c r="Y26" i="79"/>
  <c r="Y21" i="79"/>
  <c r="Y27" i="79"/>
  <c r="Y25" i="79"/>
  <c r="AO9" i="79"/>
  <c r="R16" i="79"/>
  <c r="R17" i="79" s="1"/>
  <c r="AJ9" i="79"/>
  <c r="V15" i="79"/>
  <c r="Y15" i="79"/>
  <c r="Y16" i="79" s="1"/>
  <c r="Y17" i="79" s="1"/>
  <c r="Z15" i="79"/>
  <c r="Z16" i="79" s="1"/>
  <c r="Z17" i="79" s="1"/>
  <c r="D8" i="79"/>
  <c r="Y22" i="79"/>
  <c r="Y24" i="79"/>
  <c r="P15" i="79"/>
  <c r="AI9" i="79"/>
  <c r="Y23" i="79"/>
  <c r="R15" i="78"/>
  <c r="P15" i="78"/>
  <c r="V15" i="78"/>
  <c r="F15" i="78"/>
  <c r="Y27" i="78" s="1"/>
  <c r="C16" i="78"/>
  <c r="C17" i="78" s="1"/>
  <c r="AI9" i="78"/>
  <c r="AP9" i="77"/>
  <c r="V16" i="77"/>
  <c r="V17" i="77" s="1"/>
  <c r="Y27" i="77"/>
  <c r="Y22" i="77"/>
  <c r="Y23" i="77"/>
  <c r="P15" i="77"/>
  <c r="R15" i="77"/>
  <c r="AI9" i="77"/>
  <c r="Y15" i="77"/>
  <c r="Y16" i="77" s="1"/>
  <c r="Y17" i="77" s="1"/>
  <c r="F15" i="77"/>
  <c r="Y24" i="77" s="1"/>
  <c r="C16" i="77"/>
  <c r="C17" i="77" s="1"/>
  <c r="V15" i="76"/>
  <c r="R15" i="76"/>
  <c r="P15" i="76"/>
  <c r="AI9" i="76"/>
  <c r="F15" i="76"/>
  <c r="D8" i="76" s="1"/>
  <c r="C16" i="76"/>
  <c r="C17" i="76" s="1"/>
  <c r="F15" i="75"/>
  <c r="F16" i="75" s="1"/>
  <c r="F17" i="75" s="1"/>
  <c r="AI9" i="75"/>
  <c r="C16" i="75"/>
  <c r="C17" i="75" s="1"/>
  <c r="AP9" i="75"/>
  <c r="V16" i="75"/>
  <c r="V17" i="75" s="1"/>
  <c r="P15" i="75"/>
  <c r="R15" i="75"/>
  <c r="R15" i="74"/>
  <c r="V15" i="74"/>
  <c r="P15" i="74"/>
  <c r="AI9" i="74"/>
  <c r="R15" i="73"/>
  <c r="P15" i="73"/>
  <c r="V15" i="73"/>
  <c r="F15" i="73"/>
  <c r="Y25" i="73" s="1"/>
  <c r="C16" i="73"/>
  <c r="C17" i="73" s="1"/>
  <c r="AI9" i="73"/>
  <c r="AP9" i="72"/>
  <c r="V16" i="72"/>
  <c r="V17" i="72" s="1"/>
  <c r="AO9" i="72"/>
  <c r="R16" i="72"/>
  <c r="R17" i="72" s="1"/>
  <c r="Y15" i="72"/>
  <c r="Y16" i="72" s="1"/>
  <c r="Y17" i="72" s="1"/>
  <c r="AJ9" i="72"/>
  <c r="Z15" i="72"/>
  <c r="Z16" i="72" s="1"/>
  <c r="Z17" i="72" s="1"/>
  <c r="D8" i="72"/>
  <c r="P15" i="72"/>
  <c r="AI9" i="72"/>
  <c r="R15" i="71"/>
  <c r="P15" i="71"/>
  <c r="V15" i="71"/>
  <c r="Y15" i="71"/>
  <c r="Y16" i="71" s="1"/>
  <c r="Y17" i="71" s="1"/>
  <c r="Z15" i="71"/>
  <c r="Z16" i="71" s="1"/>
  <c r="Z17" i="71" s="1"/>
  <c r="AI9" i="71"/>
  <c r="R15" i="70"/>
  <c r="P15" i="70"/>
  <c r="V15" i="70"/>
  <c r="Y24" i="70"/>
  <c r="F15" i="70"/>
  <c r="C16" i="70"/>
  <c r="C17" i="70" s="1"/>
  <c r="AI9" i="70"/>
  <c r="R15" i="69"/>
  <c r="P15" i="69"/>
  <c r="V15" i="69"/>
  <c r="F15" i="69"/>
  <c r="Y27" i="69" s="1"/>
  <c r="C16" i="69"/>
  <c r="C17" i="69" s="1"/>
  <c r="AI9" i="69"/>
  <c r="R15" i="68"/>
  <c r="P15" i="68"/>
  <c r="V15" i="68"/>
  <c r="Y15" i="68"/>
  <c r="Y16" i="68" s="1"/>
  <c r="Y17" i="68" s="1"/>
  <c r="F15" i="68"/>
  <c r="C16" i="68"/>
  <c r="C17" i="68" s="1"/>
  <c r="AI9" i="68"/>
  <c r="V15" i="66"/>
  <c r="R15" i="66"/>
  <c r="P15" i="66"/>
  <c r="Y23" i="66"/>
  <c r="Y26" i="66"/>
  <c r="Y24" i="66"/>
  <c r="Y27" i="66"/>
  <c r="AI9" i="66"/>
  <c r="F15" i="66"/>
  <c r="P15" i="65"/>
  <c r="AF6" i="65" s="1"/>
  <c r="AF7" i="65" s="1"/>
  <c r="V15" i="65"/>
  <c r="R15" i="65"/>
  <c r="Y15" i="65"/>
  <c r="Y16" i="65" s="1"/>
  <c r="Y17" i="65" s="1"/>
  <c r="AI9" i="65"/>
  <c r="F15" i="65"/>
  <c r="C16" i="65"/>
  <c r="C17" i="65" s="1"/>
  <c r="R15" i="64"/>
  <c r="P15" i="64"/>
  <c r="V15" i="64"/>
  <c r="Y27" i="64"/>
  <c r="Y24" i="64"/>
  <c r="F15" i="64"/>
  <c r="C16" i="64"/>
  <c r="C17" i="64" s="1"/>
  <c r="AI9" i="64"/>
  <c r="X17" i="90" l="1"/>
  <c r="AY45" i="90"/>
  <c r="AL45" i="90" s="1"/>
  <c r="AW45" i="90"/>
  <c r="AY48" i="90"/>
  <c r="AL48" i="90" s="1"/>
  <c r="AW48" i="90"/>
  <c r="AY43" i="90"/>
  <c r="AL43" i="90" s="1"/>
  <c r="AW43" i="90"/>
  <c r="AP11" i="90"/>
  <c r="AY41" i="90"/>
  <c r="AL41" i="90" s="1"/>
  <c r="AW41" i="90"/>
  <c r="AY47" i="90"/>
  <c r="AL47" i="90" s="1"/>
  <c r="AW47" i="90"/>
  <c r="AY42" i="90"/>
  <c r="AL42" i="90" s="1"/>
  <c r="AW42" i="90"/>
  <c r="AY44" i="90"/>
  <c r="AL44" i="90" s="1"/>
  <c r="AW44" i="90"/>
  <c r="AM17" i="90"/>
  <c r="AI16" i="90"/>
  <c r="AI17" i="90" s="1"/>
  <c r="AY46" i="90"/>
  <c r="AL46" i="90" s="1"/>
  <c r="AW46" i="90"/>
  <c r="AY47" i="89"/>
  <c r="AL47" i="89" s="1"/>
  <c r="AW47" i="89"/>
  <c r="AY43" i="89"/>
  <c r="AL43" i="89" s="1"/>
  <c r="AW43" i="89"/>
  <c r="AY46" i="89"/>
  <c r="AL46" i="89" s="1"/>
  <c r="AW46" i="89"/>
  <c r="AY45" i="89"/>
  <c r="AL45" i="89" s="1"/>
  <c r="AW45" i="89"/>
  <c r="AP11" i="89"/>
  <c r="AI17" i="89"/>
  <c r="AY41" i="89"/>
  <c r="AL41" i="89" s="1"/>
  <c r="AW41" i="89"/>
  <c r="AY42" i="89"/>
  <c r="AL42" i="89" s="1"/>
  <c r="AW42" i="89"/>
  <c r="AY48" i="89"/>
  <c r="AL48" i="89" s="1"/>
  <c r="AW48" i="89"/>
  <c r="AY44" i="89"/>
  <c r="AL44" i="89" s="1"/>
  <c r="AW44" i="89"/>
  <c r="AI16" i="89"/>
  <c r="AM17" i="89"/>
  <c r="AY44" i="88"/>
  <c r="AL44" i="88" s="1"/>
  <c r="AY45" i="88"/>
  <c r="AL45" i="88" s="1"/>
  <c r="AW45" i="88"/>
  <c r="AY47" i="88"/>
  <c r="AL47" i="88" s="1"/>
  <c r="AW44" i="88"/>
  <c r="AI16" i="88"/>
  <c r="AI17" i="88" s="1"/>
  <c r="AY46" i="88"/>
  <c r="AL46" i="88" s="1"/>
  <c r="AM17" i="88"/>
  <c r="AY42" i="88"/>
  <c r="AL42" i="88" s="1"/>
  <c r="AY43" i="88"/>
  <c r="AL43" i="88" s="1"/>
  <c r="AY41" i="88"/>
  <c r="AL41" i="88" s="1"/>
  <c r="AW41" i="87"/>
  <c r="AW47" i="87"/>
  <c r="AW44" i="87"/>
  <c r="AI17" i="87"/>
  <c r="N16" i="86"/>
  <c r="N17" i="86" s="1"/>
  <c r="AM9" i="86"/>
  <c r="AL9" i="86"/>
  <c r="K16" i="86"/>
  <c r="K17" i="86" s="1"/>
  <c r="H16" i="86"/>
  <c r="H17" i="86" s="1"/>
  <c r="AM15" i="86"/>
  <c r="AK9" i="86"/>
  <c r="AP11" i="86" s="1"/>
  <c r="AV47" i="86"/>
  <c r="AV48" i="86"/>
  <c r="AV43" i="86"/>
  <c r="AB9" i="86"/>
  <c r="AV44" i="86"/>
  <c r="AV41" i="86"/>
  <c r="AM16" i="86"/>
  <c r="AB8" i="86"/>
  <c r="AV42" i="86"/>
  <c r="AV46" i="86"/>
  <c r="AX41" i="86"/>
  <c r="AX42" i="86" s="1"/>
  <c r="AX43" i="86" s="1"/>
  <c r="AX44" i="86" s="1"/>
  <c r="AX45" i="86" s="1"/>
  <c r="AX46" i="86" s="1"/>
  <c r="AX47" i="86" s="1"/>
  <c r="AX48" i="86" s="1"/>
  <c r="AV45" i="86"/>
  <c r="H15" i="83"/>
  <c r="AB16" i="83"/>
  <c r="AB17" i="83" s="1"/>
  <c r="N15" i="83"/>
  <c r="K15" i="83"/>
  <c r="N15" i="82"/>
  <c r="K15" i="82"/>
  <c r="H15" i="82"/>
  <c r="AB16" i="82"/>
  <c r="AB17" i="82" s="1"/>
  <c r="Y21" i="81"/>
  <c r="AO9" i="81"/>
  <c r="R16" i="81"/>
  <c r="R17" i="81" s="1"/>
  <c r="AP9" i="81"/>
  <c r="V16" i="81"/>
  <c r="V17" i="81" s="1"/>
  <c r="Y26" i="81"/>
  <c r="Y24" i="81"/>
  <c r="F16" i="81"/>
  <c r="F17" i="81" s="1"/>
  <c r="D8" i="81"/>
  <c r="AJ9" i="81"/>
  <c r="AF6" i="81"/>
  <c r="AF7" i="81" s="1"/>
  <c r="Y25" i="81"/>
  <c r="AN9" i="81"/>
  <c r="P16" i="81"/>
  <c r="P17" i="81" s="1"/>
  <c r="Z15" i="81"/>
  <c r="Z16" i="81" s="1"/>
  <c r="Z17" i="81" s="1"/>
  <c r="Y23" i="81"/>
  <c r="Y15" i="81"/>
  <c r="Y16" i="81" s="1"/>
  <c r="Y17" i="81" s="1"/>
  <c r="Y22" i="81"/>
  <c r="Y21" i="80"/>
  <c r="AO9" i="80"/>
  <c r="R16" i="80"/>
  <c r="R17" i="80" s="1"/>
  <c r="F16" i="80"/>
  <c r="F17" i="80" s="1"/>
  <c r="D8" i="80"/>
  <c r="Z15" i="80"/>
  <c r="Z16" i="80" s="1"/>
  <c r="Z17" i="80" s="1"/>
  <c r="Y15" i="80"/>
  <c r="Y16" i="80" s="1"/>
  <c r="Y17" i="80" s="1"/>
  <c r="AJ9" i="80"/>
  <c r="AF6" i="80"/>
  <c r="AF7" i="80" s="1"/>
  <c r="Y27" i="80"/>
  <c r="Y26" i="80"/>
  <c r="AP9" i="79"/>
  <c r="V16" i="79"/>
  <c r="V17" i="79" s="1"/>
  <c r="P16" i="79"/>
  <c r="P17" i="79" s="1"/>
  <c r="AF6" i="79"/>
  <c r="AF7" i="79" s="1"/>
  <c r="AN9" i="79"/>
  <c r="Y25" i="78"/>
  <c r="Y22" i="78"/>
  <c r="Y21" i="78"/>
  <c r="AF6" i="78"/>
  <c r="AF7" i="78" s="1"/>
  <c r="N15" i="78" s="1"/>
  <c r="F16" i="78"/>
  <c r="F17" i="78" s="1"/>
  <c r="D8" i="78"/>
  <c r="AJ9" i="78"/>
  <c r="Y24" i="78"/>
  <c r="AO9" i="78"/>
  <c r="R16" i="78"/>
  <c r="R17" i="78" s="1"/>
  <c r="AP9" i="78"/>
  <c r="V16" i="78"/>
  <c r="V17" i="78" s="1"/>
  <c r="Y26" i="78"/>
  <c r="Z15" i="78"/>
  <c r="Z16" i="78" s="1"/>
  <c r="Z17" i="78" s="1"/>
  <c r="Y15" i="78"/>
  <c r="Y16" i="78" s="1"/>
  <c r="Y17" i="78" s="1"/>
  <c r="Y23" i="78"/>
  <c r="P16" i="78"/>
  <c r="P17" i="78" s="1"/>
  <c r="AN9" i="78"/>
  <c r="AF6" i="77"/>
  <c r="AF7" i="77" s="1"/>
  <c r="K15" i="77" s="1"/>
  <c r="Y25" i="77"/>
  <c r="AO9" i="77"/>
  <c r="R16" i="77"/>
  <c r="R17" i="77" s="1"/>
  <c r="F16" i="77"/>
  <c r="F17" i="77" s="1"/>
  <c r="D8" i="77"/>
  <c r="Z15" i="77"/>
  <c r="Z16" i="77" s="1"/>
  <c r="Z17" i="77" s="1"/>
  <c r="AJ9" i="77"/>
  <c r="Y26" i="77"/>
  <c r="AN9" i="77"/>
  <c r="P16" i="77"/>
  <c r="P17" i="77" s="1"/>
  <c r="Y21" i="77"/>
  <c r="Y15" i="69"/>
  <c r="Y16" i="69" s="1"/>
  <c r="Y17" i="69" s="1"/>
  <c r="Z15" i="76"/>
  <c r="Z16" i="76" s="1"/>
  <c r="Z17" i="76" s="1"/>
  <c r="Y15" i="76"/>
  <c r="Y16" i="76" s="1"/>
  <c r="Y17" i="76" s="1"/>
  <c r="Y27" i="76"/>
  <c r="Y22" i="76"/>
  <c r="Y25" i="76"/>
  <c r="Y21" i="76"/>
  <c r="Y23" i="76"/>
  <c r="Y24" i="76"/>
  <c r="Y26" i="76"/>
  <c r="AN9" i="76"/>
  <c r="P16" i="76"/>
  <c r="P17" i="76" s="1"/>
  <c r="AO9" i="76"/>
  <c r="R16" i="76"/>
  <c r="R17" i="76" s="1"/>
  <c r="AF6" i="76"/>
  <c r="AF7" i="76" s="1"/>
  <c r="AP9" i="76"/>
  <c r="V16" i="76"/>
  <c r="V17" i="76" s="1"/>
  <c r="F16" i="76"/>
  <c r="F17" i="76" s="1"/>
  <c r="AJ9" i="76"/>
  <c r="AJ9" i="75"/>
  <c r="Y25" i="75"/>
  <c r="Y26" i="75"/>
  <c r="Y21" i="75"/>
  <c r="Y23" i="75"/>
  <c r="D8" i="75"/>
  <c r="Z15" i="75"/>
  <c r="Z16" i="75" s="1"/>
  <c r="Z17" i="75" s="1"/>
  <c r="Y15" i="75"/>
  <c r="Y16" i="75" s="1"/>
  <c r="Y17" i="75" s="1"/>
  <c r="Y27" i="75"/>
  <c r="Y22" i="75"/>
  <c r="Y24" i="75"/>
  <c r="AO9" i="75"/>
  <c r="R16" i="75"/>
  <c r="R17" i="75" s="1"/>
  <c r="AF6" i="75"/>
  <c r="AF7" i="75" s="1"/>
  <c r="AN9" i="75"/>
  <c r="P16" i="75"/>
  <c r="P17" i="75" s="1"/>
  <c r="AF6" i="74"/>
  <c r="AF7" i="74" s="1"/>
  <c r="H15" i="74" s="1"/>
  <c r="AP9" i="74"/>
  <c r="V16" i="74"/>
  <c r="V17" i="74" s="1"/>
  <c r="P16" i="74"/>
  <c r="P17" i="74" s="1"/>
  <c r="AN9" i="74"/>
  <c r="AO9" i="74"/>
  <c r="R16" i="74"/>
  <c r="R17" i="74" s="1"/>
  <c r="P16" i="73"/>
  <c r="P17" i="73" s="1"/>
  <c r="AN9" i="73"/>
  <c r="Y22" i="73"/>
  <c r="Y24" i="73"/>
  <c r="V16" i="73"/>
  <c r="V17" i="73" s="1"/>
  <c r="AP9" i="73"/>
  <c r="Z15" i="73"/>
  <c r="Z16" i="73" s="1"/>
  <c r="Z17" i="73" s="1"/>
  <c r="F16" i="73"/>
  <c r="F17" i="73" s="1"/>
  <c r="D8" i="73"/>
  <c r="Y15" i="73"/>
  <c r="Y16" i="73" s="1"/>
  <c r="Y17" i="73" s="1"/>
  <c r="AJ9" i="73"/>
  <c r="AF6" i="73"/>
  <c r="AF7" i="73" s="1"/>
  <c r="Y27" i="73"/>
  <c r="Y26" i="73"/>
  <c r="R16" i="73"/>
  <c r="R17" i="73" s="1"/>
  <c r="AO9" i="73"/>
  <c r="Y23" i="73"/>
  <c r="Y21" i="73"/>
  <c r="P16" i="72"/>
  <c r="P17" i="72" s="1"/>
  <c r="AF6" i="72"/>
  <c r="AF7" i="72" s="1"/>
  <c r="AN9" i="72"/>
  <c r="AO9" i="71"/>
  <c r="R16" i="71"/>
  <c r="R17" i="71" s="1"/>
  <c r="AP9" i="71"/>
  <c r="V16" i="71"/>
  <c r="V17" i="71" s="1"/>
  <c r="P16" i="71"/>
  <c r="P17" i="71" s="1"/>
  <c r="AN9" i="71"/>
  <c r="AF6" i="71"/>
  <c r="AF7" i="71" s="1"/>
  <c r="AP9" i="70"/>
  <c r="V16" i="70"/>
  <c r="V17" i="70" s="1"/>
  <c r="F16" i="70"/>
  <c r="F17" i="70" s="1"/>
  <c r="Z15" i="70"/>
  <c r="Z16" i="70" s="1"/>
  <c r="Z17" i="70" s="1"/>
  <c r="Y15" i="70"/>
  <c r="Y16" i="70" s="1"/>
  <c r="Y17" i="70" s="1"/>
  <c r="D8" i="70"/>
  <c r="Y26" i="70"/>
  <c r="AJ9" i="70"/>
  <c r="AF6" i="70"/>
  <c r="AF7" i="70" s="1"/>
  <c r="P16" i="70"/>
  <c r="P17" i="70" s="1"/>
  <c r="AN9" i="70"/>
  <c r="Y21" i="70"/>
  <c r="Y25" i="70"/>
  <c r="Y22" i="70"/>
  <c r="AO9" i="70"/>
  <c r="R16" i="70"/>
  <c r="R17" i="70" s="1"/>
  <c r="Y23" i="70"/>
  <c r="Y27" i="70"/>
  <c r="AP9" i="69"/>
  <c r="V16" i="69"/>
  <c r="V17" i="69" s="1"/>
  <c r="AO9" i="69"/>
  <c r="R16" i="69"/>
  <c r="R17" i="69" s="1"/>
  <c r="Y26" i="69"/>
  <c r="AF6" i="69"/>
  <c r="AF7" i="69" s="1"/>
  <c r="Y24" i="69"/>
  <c r="P16" i="69"/>
  <c r="P17" i="69" s="1"/>
  <c r="AN9" i="69"/>
  <c r="Y25" i="69"/>
  <c r="F16" i="69"/>
  <c r="F17" i="69" s="1"/>
  <c r="D8" i="69"/>
  <c r="Y21" i="69"/>
  <c r="Z15" i="69"/>
  <c r="Z16" i="69" s="1"/>
  <c r="Z17" i="69" s="1"/>
  <c r="AJ9" i="69"/>
  <c r="Y22" i="69"/>
  <c r="Y23" i="69"/>
  <c r="D8" i="68"/>
  <c r="F16" i="68"/>
  <c r="F17" i="68" s="1"/>
  <c r="AJ9" i="68"/>
  <c r="Y25" i="68"/>
  <c r="AF6" i="68"/>
  <c r="AF7" i="68" s="1"/>
  <c r="Y24" i="68"/>
  <c r="Y22" i="68"/>
  <c r="Y21" i="68"/>
  <c r="Z15" i="68"/>
  <c r="Z16" i="68" s="1"/>
  <c r="Z17" i="68" s="1"/>
  <c r="Y27" i="68"/>
  <c r="AP9" i="68"/>
  <c r="V16" i="68"/>
  <c r="V17" i="68" s="1"/>
  <c r="R16" i="68"/>
  <c r="R17" i="68" s="1"/>
  <c r="AO9" i="68"/>
  <c r="Y26" i="68"/>
  <c r="P16" i="68"/>
  <c r="P17" i="68" s="1"/>
  <c r="AN9" i="68"/>
  <c r="Y23" i="68"/>
  <c r="F16" i="66"/>
  <c r="F17" i="66" s="1"/>
  <c r="D8" i="66"/>
  <c r="Y21" i="66"/>
  <c r="Z15" i="66"/>
  <c r="Z16" i="66" s="1"/>
  <c r="Z17" i="66" s="1"/>
  <c r="Y15" i="66"/>
  <c r="Y16" i="66" s="1"/>
  <c r="Y17" i="66" s="1"/>
  <c r="AJ9" i="66"/>
  <c r="Y25" i="66"/>
  <c r="AN9" i="66"/>
  <c r="P16" i="66"/>
  <c r="P17" i="66" s="1"/>
  <c r="AF6" i="66"/>
  <c r="AF7" i="66" s="1"/>
  <c r="AP9" i="66"/>
  <c r="V16" i="66"/>
  <c r="V17" i="66" s="1"/>
  <c r="AO9" i="66"/>
  <c r="R16" i="66"/>
  <c r="R17" i="66" s="1"/>
  <c r="Y22" i="66"/>
  <c r="F16" i="65"/>
  <c r="F17" i="65" s="1"/>
  <c r="D8" i="65"/>
  <c r="AJ9" i="65"/>
  <c r="Y25" i="65"/>
  <c r="Y27" i="65"/>
  <c r="Y21" i="65"/>
  <c r="Y26" i="65"/>
  <c r="N15" i="65"/>
  <c r="H15" i="65"/>
  <c r="K15" i="65"/>
  <c r="AB16" i="65"/>
  <c r="AB17" i="65" s="1"/>
  <c r="Z15" i="65"/>
  <c r="Z16" i="65" s="1"/>
  <c r="Z17" i="65" s="1"/>
  <c r="AO9" i="65"/>
  <c r="R16" i="65"/>
  <c r="R17" i="65" s="1"/>
  <c r="Y22" i="65"/>
  <c r="AP9" i="65"/>
  <c r="V16" i="65"/>
  <c r="V17" i="65" s="1"/>
  <c r="Y23" i="65"/>
  <c r="Y24" i="65"/>
  <c r="AN9" i="65"/>
  <c r="P16" i="65"/>
  <c r="P17" i="65" s="1"/>
  <c r="AP9" i="64"/>
  <c r="V16" i="64"/>
  <c r="V17" i="64" s="1"/>
  <c r="P16" i="64"/>
  <c r="P17" i="64" s="1"/>
  <c r="AN9" i="64"/>
  <c r="AO9" i="64"/>
  <c r="R16" i="64"/>
  <c r="R17" i="64" s="1"/>
  <c r="Z15" i="64"/>
  <c r="Z16" i="64" s="1"/>
  <c r="Z17" i="64" s="1"/>
  <c r="F16" i="64"/>
  <c r="F17" i="64" s="1"/>
  <c r="D8" i="64"/>
  <c r="AJ9" i="64"/>
  <c r="Y15" i="64"/>
  <c r="Y16" i="64" s="1"/>
  <c r="Y17" i="64" s="1"/>
  <c r="AF6" i="64"/>
  <c r="AF7" i="64" s="1"/>
  <c r="Y21" i="64"/>
  <c r="Y23" i="64"/>
  <c r="Y26" i="64"/>
  <c r="Y25" i="64"/>
  <c r="Y22" i="64"/>
  <c r="X17" i="86" l="1"/>
  <c r="AY47" i="86"/>
  <c r="AL47" i="86" s="1"/>
  <c r="AW47" i="86"/>
  <c r="AY45" i="86"/>
  <c r="AL45" i="86" s="1"/>
  <c r="AW45" i="86"/>
  <c r="AY43" i="86"/>
  <c r="AL43" i="86" s="1"/>
  <c r="AW43" i="86"/>
  <c r="AM17" i="86"/>
  <c r="AI16" i="86"/>
  <c r="AY46" i="86"/>
  <c r="AL46" i="86" s="1"/>
  <c r="AW46" i="86"/>
  <c r="AI15" i="86"/>
  <c r="AI17" i="86" s="1"/>
  <c r="AY48" i="86"/>
  <c r="AL48" i="86" s="1"/>
  <c r="AW48" i="86"/>
  <c r="AY42" i="86"/>
  <c r="AL42" i="86" s="1"/>
  <c r="AW42" i="86"/>
  <c r="AY41" i="86"/>
  <c r="AL41" i="86" s="1"/>
  <c r="AW41" i="86"/>
  <c r="AY44" i="86"/>
  <c r="AL44" i="86" s="1"/>
  <c r="AW44" i="86"/>
  <c r="AL9" i="83"/>
  <c r="K16" i="83"/>
  <c r="K17" i="83" s="1"/>
  <c r="AM9" i="83"/>
  <c r="N16" i="83"/>
  <c r="N17" i="83" s="1"/>
  <c r="AK9" i="83"/>
  <c r="H16" i="83"/>
  <c r="H17" i="83" s="1"/>
  <c r="AM15" i="83"/>
  <c r="AV41" i="83"/>
  <c r="AV48" i="83"/>
  <c r="AV46" i="83"/>
  <c r="AV42" i="83"/>
  <c r="AV45" i="83"/>
  <c r="AV43" i="83"/>
  <c r="AB9" i="83"/>
  <c r="AI15" i="83" s="1"/>
  <c r="AX41" i="83"/>
  <c r="AX42" i="83" s="1"/>
  <c r="AX43" i="83" s="1"/>
  <c r="AX44" i="83" s="1"/>
  <c r="AX45" i="83" s="1"/>
  <c r="AX46" i="83" s="1"/>
  <c r="AX47" i="83" s="1"/>
  <c r="AX48" i="83" s="1"/>
  <c r="AV47" i="83"/>
  <c r="AB8" i="83"/>
  <c r="AV44" i="83"/>
  <c r="AM16" i="83"/>
  <c r="AM15" i="82"/>
  <c r="AK9" i="82"/>
  <c r="H16" i="82"/>
  <c r="H17" i="82" s="1"/>
  <c r="AV46" i="82"/>
  <c r="AV41" i="82"/>
  <c r="AV47" i="82"/>
  <c r="AV48" i="82"/>
  <c r="AB9" i="82"/>
  <c r="AV42" i="82"/>
  <c r="AV43" i="82"/>
  <c r="AV45" i="82"/>
  <c r="AV44" i="82"/>
  <c r="AB8" i="82"/>
  <c r="AM16" i="82"/>
  <c r="AX41" i="82"/>
  <c r="AX42" i="82" s="1"/>
  <c r="AX43" i="82" s="1"/>
  <c r="AX44" i="82" s="1"/>
  <c r="AX45" i="82" s="1"/>
  <c r="AX46" i="82" s="1"/>
  <c r="AX47" i="82" s="1"/>
  <c r="AX48" i="82" s="1"/>
  <c r="K16" i="82"/>
  <c r="K17" i="82" s="1"/>
  <c r="AL9" i="82"/>
  <c r="AM9" i="82"/>
  <c r="N16" i="82"/>
  <c r="N17" i="82" s="1"/>
  <c r="N15" i="81"/>
  <c r="K15" i="81"/>
  <c r="H15" i="81"/>
  <c r="AB16" i="81"/>
  <c r="AB17" i="81" s="1"/>
  <c r="N15" i="80"/>
  <c r="K15" i="80"/>
  <c r="H15" i="80"/>
  <c r="AB16" i="80"/>
  <c r="AB17" i="80" s="1"/>
  <c r="N15" i="79"/>
  <c r="K15" i="79"/>
  <c r="H15" i="79"/>
  <c r="AB16" i="79"/>
  <c r="AB17" i="79" s="1"/>
  <c r="H15" i="78"/>
  <c r="K15" i="78"/>
  <c r="AV42" i="78" s="1"/>
  <c r="AB16" i="78"/>
  <c r="AB17" i="78" s="1"/>
  <c r="AV48" i="78"/>
  <c r="H16" i="78"/>
  <c r="H17" i="78" s="1"/>
  <c r="AK9" i="78"/>
  <c r="AV46" i="78"/>
  <c r="AB8" i="78"/>
  <c r="AV43" i="78"/>
  <c r="N16" i="78"/>
  <c r="N17" i="78" s="1"/>
  <c r="AM9" i="78"/>
  <c r="K16" i="78"/>
  <c r="K17" i="78" s="1"/>
  <c r="AL9" i="78"/>
  <c r="N15" i="77"/>
  <c r="AM9" i="77" s="1"/>
  <c r="AB16" i="77"/>
  <c r="AB17" i="77" s="1"/>
  <c r="H15" i="77"/>
  <c r="AV46" i="77" s="1"/>
  <c r="AW46" i="77" s="1"/>
  <c r="N16" i="77"/>
  <c r="N17" i="77" s="1"/>
  <c r="AL9" i="77"/>
  <c r="K16" i="77"/>
  <c r="K17" i="77" s="1"/>
  <c r="K15" i="76"/>
  <c r="H15" i="76"/>
  <c r="N15" i="76"/>
  <c r="AB16" i="76"/>
  <c r="AB17" i="76" s="1"/>
  <c r="K15" i="75"/>
  <c r="H15" i="75"/>
  <c r="N15" i="75"/>
  <c r="AB16" i="75"/>
  <c r="AB17" i="75" s="1"/>
  <c r="AB16" i="74"/>
  <c r="AB17" i="74" s="1"/>
  <c r="K15" i="74"/>
  <c r="N15" i="74"/>
  <c r="AM9" i="74" s="1"/>
  <c r="AK9" i="74"/>
  <c r="H16" i="74"/>
  <c r="H17" i="74" s="1"/>
  <c r="N15" i="73"/>
  <c r="K15" i="73"/>
  <c r="H15" i="73"/>
  <c r="AB16" i="73"/>
  <c r="AB17" i="73" s="1"/>
  <c r="K15" i="72"/>
  <c r="H15" i="72"/>
  <c r="N15" i="72"/>
  <c r="AB16" i="72"/>
  <c r="AB17" i="72" s="1"/>
  <c r="N15" i="71"/>
  <c r="K15" i="71"/>
  <c r="H15" i="71"/>
  <c r="AB16" i="71"/>
  <c r="AB17" i="71" s="1"/>
  <c r="N15" i="70"/>
  <c r="K15" i="70"/>
  <c r="H15" i="70"/>
  <c r="AB16" i="70"/>
  <c r="AB17" i="70" s="1"/>
  <c r="N15" i="69"/>
  <c r="K15" i="69"/>
  <c r="H15" i="69"/>
  <c r="AB16" i="69"/>
  <c r="AB17" i="69" s="1"/>
  <c r="N15" i="68"/>
  <c r="AB16" i="68"/>
  <c r="AB17" i="68" s="1"/>
  <c r="K15" i="68"/>
  <c r="H15" i="68"/>
  <c r="N15" i="66"/>
  <c r="H15" i="66"/>
  <c r="K15" i="66"/>
  <c r="AB16" i="66"/>
  <c r="AB17" i="66" s="1"/>
  <c r="H16" i="65"/>
  <c r="H17" i="65" s="1"/>
  <c r="AM15" i="65"/>
  <c r="AK9" i="65"/>
  <c r="AV41" i="65"/>
  <c r="AB8" i="65"/>
  <c r="AV42" i="65"/>
  <c r="AX41" i="65"/>
  <c r="AX42" i="65" s="1"/>
  <c r="AX43" i="65" s="1"/>
  <c r="AX44" i="65" s="1"/>
  <c r="AX45" i="65" s="1"/>
  <c r="AX46" i="65" s="1"/>
  <c r="AX47" i="65" s="1"/>
  <c r="AX48" i="65" s="1"/>
  <c r="AV45" i="65"/>
  <c r="AV46" i="65"/>
  <c r="AB9" i="65"/>
  <c r="N16" i="65"/>
  <c r="N17" i="65" s="1"/>
  <c r="AM9" i="65"/>
  <c r="K16" i="65"/>
  <c r="K17" i="65" s="1"/>
  <c r="AL9" i="65"/>
  <c r="AV44" i="65"/>
  <c r="AM16" i="65"/>
  <c r="AV43" i="65"/>
  <c r="AV47" i="65"/>
  <c r="AV48" i="65"/>
  <c r="H15" i="64"/>
  <c r="K15" i="64"/>
  <c r="N15" i="64"/>
  <c r="AB16" i="64"/>
  <c r="AB17" i="64" s="1"/>
  <c r="AP11" i="83" l="1"/>
  <c r="X17" i="83"/>
  <c r="AY48" i="83"/>
  <c r="AL48" i="83" s="1"/>
  <c r="AW48" i="83"/>
  <c r="AY41" i="83"/>
  <c r="AL41" i="83" s="1"/>
  <c r="AW41" i="83"/>
  <c r="AY46" i="83"/>
  <c r="AL46" i="83" s="1"/>
  <c r="AW46" i="83"/>
  <c r="AY44" i="83"/>
  <c r="AL44" i="83" s="1"/>
  <c r="AW44" i="83"/>
  <c r="AI16" i="83"/>
  <c r="AI17" i="83" s="1"/>
  <c r="AM17" i="83"/>
  <c r="AY42" i="83"/>
  <c r="AL42" i="83" s="1"/>
  <c r="AW42" i="83"/>
  <c r="AY47" i="83"/>
  <c r="AL47" i="83" s="1"/>
  <c r="AW47" i="83"/>
  <c r="AW43" i="83"/>
  <c r="AY43" i="83"/>
  <c r="AL43" i="83" s="1"/>
  <c r="AY45" i="83"/>
  <c r="AL45" i="83" s="1"/>
  <c r="AW45" i="83"/>
  <c r="AY43" i="82"/>
  <c r="AL43" i="82" s="1"/>
  <c r="AW43" i="82"/>
  <c r="X17" i="82"/>
  <c r="AY44" i="82"/>
  <c r="AL44" i="82" s="1"/>
  <c r="AW44" i="82"/>
  <c r="AY45" i="82"/>
  <c r="AL45" i="82" s="1"/>
  <c r="AW45" i="82"/>
  <c r="AY42" i="82"/>
  <c r="AL42" i="82" s="1"/>
  <c r="AW42" i="82"/>
  <c r="AY48" i="82"/>
  <c r="AL48" i="82" s="1"/>
  <c r="AW48" i="82"/>
  <c r="AY41" i="82"/>
  <c r="AL41" i="82" s="1"/>
  <c r="AW41" i="82"/>
  <c r="AP11" i="82"/>
  <c r="AM17" i="82"/>
  <c r="AI16" i="82"/>
  <c r="AY47" i="82"/>
  <c r="AL47" i="82" s="1"/>
  <c r="AW47" i="82"/>
  <c r="AY46" i="82"/>
  <c r="AL46" i="82" s="1"/>
  <c r="AW46" i="82"/>
  <c r="AI15" i="82"/>
  <c r="H16" i="81"/>
  <c r="H17" i="81" s="1"/>
  <c r="AM15" i="81"/>
  <c r="AK9" i="81"/>
  <c r="AV47" i="81"/>
  <c r="AB8" i="81"/>
  <c r="AV42" i="81"/>
  <c r="AV46" i="81"/>
  <c r="AV43" i="81"/>
  <c r="AV48" i="81"/>
  <c r="AM16" i="81"/>
  <c r="AB9" i="81"/>
  <c r="AV44" i="81"/>
  <c r="AV45" i="81"/>
  <c r="AV41" i="81"/>
  <c r="AX41" i="81"/>
  <c r="AX42" i="81" s="1"/>
  <c r="AX43" i="81" s="1"/>
  <c r="AX44" i="81" s="1"/>
  <c r="AX45" i="81" s="1"/>
  <c r="AX46" i="81" s="1"/>
  <c r="AX47" i="81" s="1"/>
  <c r="AX48" i="81" s="1"/>
  <c r="K16" i="81"/>
  <c r="K17" i="81" s="1"/>
  <c r="AL9" i="81"/>
  <c r="N16" i="81"/>
  <c r="N17" i="81" s="1"/>
  <c r="AM9" i="81"/>
  <c r="H16" i="80"/>
  <c r="H17" i="80" s="1"/>
  <c r="AK9" i="80"/>
  <c r="AM15" i="80"/>
  <c r="AV41" i="80"/>
  <c r="AV43" i="80"/>
  <c r="AV42" i="80"/>
  <c r="AV45" i="80"/>
  <c r="AV48" i="80"/>
  <c r="AV47" i="80"/>
  <c r="AV44" i="80"/>
  <c r="AB9" i="80"/>
  <c r="AM16" i="80"/>
  <c r="AV46" i="80"/>
  <c r="AB8" i="80"/>
  <c r="AX41" i="80"/>
  <c r="AX42" i="80" s="1"/>
  <c r="AX43" i="80" s="1"/>
  <c r="AX44" i="80" s="1"/>
  <c r="AX45" i="80" s="1"/>
  <c r="AX46" i="80" s="1"/>
  <c r="AX47" i="80" s="1"/>
  <c r="AX48" i="80" s="1"/>
  <c r="AM9" i="80"/>
  <c r="N16" i="80"/>
  <c r="N17" i="80" s="1"/>
  <c r="K16" i="80"/>
  <c r="K17" i="80" s="1"/>
  <c r="AL9" i="80"/>
  <c r="AV48" i="77"/>
  <c r="AW48" i="77" s="1"/>
  <c r="AB9" i="79"/>
  <c r="AI15" i="79" s="1"/>
  <c r="H16" i="79"/>
  <c r="H17" i="79" s="1"/>
  <c r="AB8" i="79"/>
  <c r="AM15" i="79"/>
  <c r="AK9" i="79"/>
  <c r="AV45" i="79"/>
  <c r="AV46" i="79"/>
  <c r="AV47" i="79"/>
  <c r="AV44" i="79"/>
  <c r="AV42" i="79"/>
  <c r="AV48" i="79"/>
  <c r="AV43" i="79"/>
  <c r="AV41" i="79"/>
  <c r="AX41" i="79"/>
  <c r="AX42" i="79" s="1"/>
  <c r="AX43" i="79" s="1"/>
  <c r="AX44" i="79" s="1"/>
  <c r="AX45" i="79" s="1"/>
  <c r="AX46" i="79" s="1"/>
  <c r="AX47" i="79" s="1"/>
  <c r="AX48" i="79" s="1"/>
  <c r="AM16" i="79"/>
  <c r="K16" i="79"/>
  <c r="K17" i="79" s="1"/>
  <c r="AL9" i="79"/>
  <c r="N16" i="79"/>
  <c r="N17" i="79" s="1"/>
  <c r="AM9" i="79"/>
  <c r="H16" i="77"/>
  <c r="H17" i="77" s="1"/>
  <c r="X17" i="77" s="1"/>
  <c r="AM16" i="77"/>
  <c r="AV41" i="77"/>
  <c r="AW41" i="77" s="1"/>
  <c r="AV45" i="77"/>
  <c r="AW45" i="77" s="1"/>
  <c r="AB8" i="77"/>
  <c r="AV43" i="77"/>
  <c r="AX41" i="77"/>
  <c r="AX42" i="77" s="1"/>
  <c r="AX43" i="77" s="1"/>
  <c r="AX44" i="77" s="1"/>
  <c r="AX45" i="77" s="1"/>
  <c r="AX46" i="77" s="1"/>
  <c r="AX47" i="77" s="1"/>
  <c r="AX48" i="77" s="1"/>
  <c r="AY48" i="77" s="1"/>
  <c r="AL48" i="77" s="1"/>
  <c r="AV42" i="77"/>
  <c r="AV47" i="77"/>
  <c r="AB9" i="77"/>
  <c r="AI15" i="77" s="1"/>
  <c r="AV44" i="77"/>
  <c r="AK9" i="77"/>
  <c r="AP11" i="77" s="1"/>
  <c r="AM15" i="78"/>
  <c r="AV47" i="78"/>
  <c r="AV45" i="78"/>
  <c r="AM16" i="78"/>
  <c r="AX41" i="78"/>
  <c r="AX42" i="78" s="1"/>
  <c r="AX43" i="78" s="1"/>
  <c r="AX44" i="78" s="1"/>
  <c r="AX45" i="78" s="1"/>
  <c r="AX46" i="78" s="1"/>
  <c r="AX47" i="78" s="1"/>
  <c r="AX48" i="78" s="1"/>
  <c r="AB9" i="78"/>
  <c r="AI15" i="78" s="1"/>
  <c r="AV44" i="78"/>
  <c r="AW44" i="78" s="1"/>
  <c r="AV41" i="78"/>
  <c r="AY41" i="78" s="1"/>
  <c r="AL41" i="78" s="1"/>
  <c r="AP11" i="78"/>
  <c r="AY48" i="78"/>
  <c r="AL48" i="78" s="1"/>
  <c r="AW48" i="78"/>
  <c r="AY44" i="78"/>
  <c r="AL44" i="78" s="1"/>
  <c r="AW46" i="78"/>
  <c r="AW45" i="78"/>
  <c r="AY47" i="78"/>
  <c r="AL47" i="78" s="1"/>
  <c r="AW47" i="78"/>
  <c r="AY42" i="78"/>
  <c r="AL42" i="78" s="1"/>
  <c r="AW42" i="78"/>
  <c r="X17" i="78"/>
  <c r="AM17" i="78"/>
  <c r="AI16" i="78"/>
  <c r="AI17" i="78" s="1"/>
  <c r="AY43" i="78"/>
  <c r="AL43" i="78" s="1"/>
  <c r="AW43" i="78"/>
  <c r="AM15" i="77"/>
  <c r="AY47" i="77"/>
  <c r="AL47" i="77" s="1"/>
  <c r="AW47" i="77"/>
  <c r="H16" i="76"/>
  <c r="H17" i="76" s="1"/>
  <c r="AM15" i="76"/>
  <c r="AK9" i="76"/>
  <c r="AV45" i="76"/>
  <c r="AB8" i="76"/>
  <c r="AX41" i="76"/>
  <c r="AX42" i="76" s="1"/>
  <c r="AX43" i="76" s="1"/>
  <c r="AX44" i="76" s="1"/>
  <c r="AX45" i="76" s="1"/>
  <c r="AX46" i="76" s="1"/>
  <c r="AX47" i="76" s="1"/>
  <c r="AX48" i="76" s="1"/>
  <c r="AV47" i="76"/>
  <c r="AV44" i="76"/>
  <c r="AB9" i="76"/>
  <c r="AV41" i="76"/>
  <c r="AV43" i="76"/>
  <c r="AV42" i="76"/>
  <c r="AM16" i="76"/>
  <c r="AV46" i="76"/>
  <c r="AV48" i="76"/>
  <c r="AM9" i="76"/>
  <c r="N16" i="76"/>
  <c r="N17" i="76" s="1"/>
  <c r="AL9" i="76"/>
  <c r="K16" i="76"/>
  <c r="K17" i="76" s="1"/>
  <c r="AM9" i="75"/>
  <c r="N16" i="75"/>
  <c r="N17" i="75" s="1"/>
  <c r="H16" i="75"/>
  <c r="H17" i="75" s="1"/>
  <c r="AM15" i="75"/>
  <c r="AK9" i="75"/>
  <c r="AV45" i="75"/>
  <c r="AB9" i="75"/>
  <c r="AX41" i="75"/>
  <c r="AX42" i="75" s="1"/>
  <c r="AX43" i="75" s="1"/>
  <c r="AX44" i="75" s="1"/>
  <c r="AX45" i="75" s="1"/>
  <c r="AX46" i="75" s="1"/>
  <c r="AX47" i="75" s="1"/>
  <c r="AX48" i="75" s="1"/>
  <c r="AV42" i="75"/>
  <c r="AV41" i="75"/>
  <c r="AV46" i="75"/>
  <c r="AB8" i="75"/>
  <c r="AV47" i="75"/>
  <c r="AV43" i="75"/>
  <c r="AV44" i="75"/>
  <c r="AV48" i="75"/>
  <c r="AM16" i="75"/>
  <c r="AL9" i="75"/>
  <c r="K16" i="75"/>
  <c r="K17" i="75" s="1"/>
  <c r="AB9" i="74"/>
  <c r="AI15" i="74" s="1"/>
  <c r="AV44" i="74"/>
  <c r="AW44" i="74" s="1"/>
  <c r="AV46" i="74"/>
  <c r="AW46" i="74" s="1"/>
  <c r="N16" i="74"/>
  <c r="N17" i="74" s="1"/>
  <c r="AV42" i="74"/>
  <c r="AW42" i="74" s="1"/>
  <c r="AM15" i="74"/>
  <c r="AB8" i="74"/>
  <c r="AV47" i="74"/>
  <c r="AW47" i="74" s="1"/>
  <c r="AV48" i="74"/>
  <c r="K16" i="74"/>
  <c r="K17" i="74" s="1"/>
  <c r="AX41" i="74"/>
  <c r="AX42" i="74" s="1"/>
  <c r="AX43" i="74" s="1"/>
  <c r="AX44" i="74" s="1"/>
  <c r="AX45" i="74" s="1"/>
  <c r="AX46" i="74" s="1"/>
  <c r="AX47" i="74" s="1"/>
  <c r="AX48" i="74" s="1"/>
  <c r="AM16" i="74"/>
  <c r="AV41" i="74"/>
  <c r="AW41" i="74" s="1"/>
  <c r="AV45" i="74"/>
  <c r="AW45" i="74" s="1"/>
  <c r="AV43" i="74"/>
  <c r="AL9" i="74"/>
  <c r="AP11" i="74" s="1"/>
  <c r="H16" i="73"/>
  <c r="H17" i="73" s="1"/>
  <c r="AK9" i="73"/>
  <c r="AM15" i="73"/>
  <c r="AB8" i="73"/>
  <c r="AV41" i="73"/>
  <c r="AX41" i="73"/>
  <c r="AX42" i="73" s="1"/>
  <c r="AX43" i="73" s="1"/>
  <c r="AX44" i="73" s="1"/>
  <c r="AX45" i="73" s="1"/>
  <c r="AX46" i="73" s="1"/>
  <c r="AX47" i="73" s="1"/>
  <c r="AX48" i="73" s="1"/>
  <c r="AB9" i="73"/>
  <c r="AI15" i="73" s="1"/>
  <c r="AV45" i="73"/>
  <c r="AV42" i="73"/>
  <c r="AM16" i="73"/>
  <c r="AV43" i="73"/>
  <c r="AV48" i="73"/>
  <c r="AV46" i="73"/>
  <c r="AV44" i="73"/>
  <c r="AV47" i="73"/>
  <c r="K16" i="73"/>
  <c r="K17" i="73" s="1"/>
  <c r="AL9" i="73"/>
  <c r="N16" i="73"/>
  <c r="N17" i="73" s="1"/>
  <c r="AM9" i="73"/>
  <c r="N16" i="72"/>
  <c r="N17" i="72" s="1"/>
  <c r="AM9" i="72"/>
  <c r="H16" i="72"/>
  <c r="H17" i="72" s="1"/>
  <c r="AM15" i="72"/>
  <c r="AK9" i="72"/>
  <c r="AB8" i="72"/>
  <c r="AV41" i="72"/>
  <c r="AV44" i="72"/>
  <c r="AV47" i="72"/>
  <c r="AX41" i="72"/>
  <c r="AX42" i="72" s="1"/>
  <c r="AX43" i="72" s="1"/>
  <c r="AX44" i="72" s="1"/>
  <c r="AX45" i="72" s="1"/>
  <c r="AX46" i="72" s="1"/>
  <c r="AX47" i="72" s="1"/>
  <c r="AX48" i="72" s="1"/>
  <c r="AB9" i="72"/>
  <c r="AV48" i="72"/>
  <c r="AV46" i="72"/>
  <c r="AV43" i="72"/>
  <c r="AV45" i="72"/>
  <c r="AV42" i="72"/>
  <c r="AM16" i="72"/>
  <c r="AL9" i="72"/>
  <c r="K16" i="72"/>
  <c r="K17" i="72" s="1"/>
  <c r="AB9" i="71"/>
  <c r="AI15" i="71" s="1"/>
  <c r="AV48" i="71"/>
  <c r="AV46" i="71"/>
  <c r="AV42" i="71"/>
  <c r="H16" i="71"/>
  <c r="H17" i="71" s="1"/>
  <c r="AB8" i="71"/>
  <c r="AM15" i="71"/>
  <c r="AK9" i="71"/>
  <c r="AX41" i="71"/>
  <c r="AX42" i="71" s="1"/>
  <c r="AX43" i="71" s="1"/>
  <c r="AX44" i="71" s="1"/>
  <c r="AX45" i="71" s="1"/>
  <c r="AX46" i="71" s="1"/>
  <c r="AX47" i="71" s="1"/>
  <c r="AX48" i="71" s="1"/>
  <c r="AV44" i="71"/>
  <c r="AV41" i="71"/>
  <c r="AV43" i="71"/>
  <c r="AV47" i="71"/>
  <c r="AV45" i="71"/>
  <c r="AM16" i="71"/>
  <c r="K16" i="71"/>
  <c r="K17" i="71" s="1"/>
  <c r="AL9" i="71"/>
  <c r="N16" i="71"/>
  <c r="N17" i="71" s="1"/>
  <c r="AM9" i="71"/>
  <c r="K16" i="70"/>
  <c r="K17" i="70" s="1"/>
  <c r="AL9" i="70"/>
  <c r="H16" i="70"/>
  <c r="H17" i="70" s="1"/>
  <c r="AM15" i="70"/>
  <c r="AK9" i="70"/>
  <c r="AX41" i="70"/>
  <c r="AX42" i="70" s="1"/>
  <c r="AX43" i="70" s="1"/>
  <c r="AX44" i="70" s="1"/>
  <c r="AX45" i="70" s="1"/>
  <c r="AX46" i="70" s="1"/>
  <c r="AX47" i="70" s="1"/>
  <c r="AX48" i="70" s="1"/>
  <c r="AB9" i="70"/>
  <c r="AI15" i="70" s="1"/>
  <c r="AV48" i="70"/>
  <c r="AM16" i="70"/>
  <c r="AB8" i="70"/>
  <c r="AV41" i="70"/>
  <c r="AV47" i="70"/>
  <c r="AV45" i="70"/>
  <c r="AV46" i="70"/>
  <c r="AV43" i="70"/>
  <c r="AV42" i="70"/>
  <c r="AV44" i="70"/>
  <c r="N16" i="70"/>
  <c r="N17" i="70" s="1"/>
  <c r="AM9" i="70"/>
  <c r="K16" i="69"/>
  <c r="K17" i="69" s="1"/>
  <c r="AL9" i="69"/>
  <c r="H16" i="69"/>
  <c r="H17" i="69" s="1"/>
  <c r="AM15" i="69"/>
  <c r="AK9" i="69"/>
  <c r="AV47" i="69"/>
  <c r="AV48" i="69"/>
  <c r="AB9" i="69"/>
  <c r="AX41" i="69"/>
  <c r="AX42" i="69" s="1"/>
  <c r="AX43" i="69" s="1"/>
  <c r="AX44" i="69" s="1"/>
  <c r="AX45" i="69" s="1"/>
  <c r="AX46" i="69" s="1"/>
  <c r="AX47" i="69" s="1"/>
  <c r="AX48" i="69" s="1"/>
  <c r="AV46" i="69"/>
  <c r="AV42" i="69"/>
  <c r="AV44" i="69"/>
  <c r="AB8" i="69"/>
  <c r="AV45" i="69"/>
  <c r="AV43" i="69"/>
  <c r="AM16" i="69"/>
  <c r="AV41" i="69"/>
  <c r="N16" i="69"/>
  <c r="N17" i="69" s="1"/>
  <c r="AM9" i="69"/>
  <c r="H16" i="68"/>
  <c r="H17" i="68" s="1"/>
  <c r="AM15" i="68"/>
  <c r="AK9" i="68"/>
  <c r="AB9" i="68"/>
  <c r="AI15" i="68" s="1"/>
  <c r="AV48" i="68"/>
  <c r="AV42" i="68"/>
  <c r="AV43" i="68"/>
  <c r="AX41" i="68"/>
  <c r="AX42" i="68" s="1"/>
  <c r="AX43" i="68" s="1"/>
  <c r="AX44" i="68" s="1"/>
  <c r="AX45" i="68" s="1"/>
  <c r="AX46" i="68" s="1"/>
  <c r="AX47" i="68" s="1"/>
  <c r="AX48" i="68" s="1"/>
  <c r="AV45" i="68"/>
  <c r="AV41" i="68"/>
  <c r="AV44" i="68"/>
  <c r="AV46" i="68"/>
  <c r="AM16" i="68"/>
  <c r="AV47" i="68"/>
  <c r="AB8" i="68"/>
  <c r="N16" i="68"/>
  <c r="N17" i="68" s="1"/>
  <c r="AM9" i="68"/>
  <c r="K16" i="68"/>
  <c r="K17" i="68" s="1"/>
  <c r="AL9" i="68"/>
  <c r="AM15" i="66"/>
  <c r="AK9" i="66"/>
  <c r="H16" i="66"/>
  <c r="H17" i="66" s="1"/>
  <c r="AV46" i="66"/>
  <c r="AV41" i="66"/>
  <c r="AX41" i="66"/>
  <c r="AX42" i="66" s="1"/>
  <c r="AX43" i="66" s="1"/>
  <c r="AX44" i="66" s="1"/>
  <c r="AX45" i="66" s="1"/>
  <c r="AX46" i="66" s="1"/>
  <c r="AX47" i="66" s="1"/>
  <c r="AX48" i="66" s="1"/>
  <c r="AV43" i="66"/>
  <c r="AB9" i="66"/>
  <c r="AI15" i="66" s="1"/>
  <c r="AV47" i="66"/>
  <c r="AV42" i="66"/>
  <c r="AV45" i="66"/>
  <c r="AM16" i="66"/>
  <c r="AV48" i="66"/>
  <c r="AV44" i="66"/>
  <c r="AB8" i="66"/>
  <c r="K16" i="66"/>
  <c r="K17" i="66" s="1"/>
  <c r="AL9" i="66"/>
  <c r="AM9" i="66"/>
  <c r="N16" i="66"/>
  <c r="N17" i="66" s="1"/>
  <c r="AP11" i="65"/>
  <c r="AM17" i="65"/>
  <c r="AI16" i="65"/>
  <c r="AY46" i="65"/>
  <c r="AL46" i="65" s="1"/>
  <c r="AW46" i="65"/>
  <c r="AY45" i="65"/>
  <c r="AL45" i="65" s="1"/>
  <c r="AW45" i="65"/>
  <c r="AY48" i="65"/>
  <c r="AL48" i="65" s="1"/>
  <c r="AW48" i="65"/>
  <c r="AY47" i="65"/>
  <c r="AL47" i="65" s="1"/>
  <c r="AW47" i="65"/>
  <c r="AW42" i="65"/>
  <c r="AY42" i="65"/>
  <c r="AL42" i="65" s="1"/>
  <c r="AY43" i="65"/>
  <c r="AL43" i="65" s="1"/>
  <c r="AW43" i="65"/>
  <c r="AY41" i="65"/>
  <c r="AL41" i="65" s="1"/>
  <c r="AW41" i="65"/>
  <c r="AY44" i="65"/>
  <c r="AL44" i="65" s="1"/>
  <c r="AW44" i="65"/>
  <c r="AI15" i="65"/>
  <c r="X17" i="65"/>
  <c r="N16" i="64"/>
  <c r="N17" i="64" s="1"/>
  <c r="AM9" i="64"/>
  <c r="K16" i="64"/>
  <c r="K17" i="64" s="1"/>
  <c r="AL9" i="64"/>
  <c r="H16" i="64"/>
  <c r="H17" i="64" s="1"/>
  <c r="AM15" i="64"/>
  <c r="AK9" i="64"/>
  <c r="AV45" i="64"/>
  <c r="AX41" i="64"/>
  <c r="AX42" i="64" s="1"/>
  <c r="AX43" i="64" s="1"/>
  <c r="AX44" i="64" s="1"/>
  <c r="AX45" i="64" s="1"/>
  <c r="AX46" i="64" s="1"/>
  <c r="AX47" i="64" s="1"/>
  <c r="AX48" i="64" s="1"/>
  <c r="AV47" i="64"/>
  <c r="AB9" i="64"/>
  <c r="AI15" i="64" s="1"/>
  <c r="AV44" i="64"/>
  <c r="AB8" i="64"/>
  <c r="AV46" i="64"/>
  <c r="AM16" i="64"/>
  <c r="AV42" i="64"/>
  <c r="AV48" i="64"/>
  <c r="AV41" i="64"/>
  <c r="AV43" i="64"/>
  <c r="AI17" i="82" l="1"/>
  <c r="AM17" i="81"/>
  <c r="AI16" i="81"/>
  <c r="AY48" i="81"/>
  <c r="AL48" i="81" s="1"/>
  <c r="AW48" i="81"/>
  <c r="AY43" i="81"/>
  <c r="AL43" i="81" s="1"/>
  <c r="AW43" i="81"/>
  <c r="AY46" i="81"/>
  <c r="AL46" i="81" s="1"/>
  <c r="AW46" i="81"/>
  <c r="AY42" i="81"/>
  <c r="AL42" i="81" s="1"/>
  <c r="AW42" i="81"/>
  <c r="AY47" i="81"/>
  <c r="AL47" i="81" s="1"/>
  <c r="AW47" i="81"/>
  <c r="AP11" i="81"/>
  <c r="AY41" i="81"/>
  <c r="AL41" i="81" s="1"/>
  <c r="AW41" i="81"/>
  <c r="AI15" i="81"/>
  <c r="AY45" i="81"/>
  <c r="AL45" i="81" s="1"/>
  <c r="AW45" i="81"/>
  <c r="AY44" i="81"/>
  <c r="AL44" i="81" s="1"/>
  <c r="AW44" i="81"/>
  <c r="X17" i="81"/>
  <c r="AY48" i="80"/>
  <c r="AL48" i="80" s="1"/>
  <c r="AW48" i="80"/>
  <c r="AI16" i="80"/>
  <c r="AM17" i="80"/>
  <c r="AY47" i="80"/>
  <c r="AL47" i="80" s="1"/>
  <c r="AW47" i="80"/>
  <c r="AY42" i="80"/>
  <c r="AL42" i="80" s="1"/>
  <c r="AW42" i="80"/>
  <c r="AY43" i="80"/>
  <c r="AL43" i="80" s="1"/>
  <c r="AW43" i="80"/>
  <c r="AY41" i="80"/>
  <c r="AL41" i="80" s="1"/>
  <c r="AW41" i="80"/>
  <c r="AP11" i="80"/>
  <c r="AY44" i="80"/>
  <c r="AL44" i="80" s="1"/>
  <c r="AW44" i="80"/>
  <c r="AY46" i="80"/>
  <c r="AL46" i="80" s="1"/>
  <c r="AW46" i="80"/>
  <c r="AI15" i="80"/>
  <c r="AI17" i="80" s="1"/>
  <c r="AY45" i="80"/>
  <c r="AL45" i="80" s="1"/>
  <c r="AW45" i="80"/>
  <c r="X17" i="80"/>
  <c r="AY41" i="77"/>
  <c r="AL41" i="77" s="1"/>
  <c r="AY43" i="77"/>
  <c r="AL43" i="77" s="1"/>
  <c r="AY44" i="77"/>
  <c r="AL44" i="77" s="1"/>
  <c r="AY42" i="77"/>
  <c r="AL42" i="77" s="1"/>
  <c r="AY44" i="79"/>
  <c r="AL44" i="79" s="1"/>
  <c r="AW44" i="79"/>
  <c r="AY48" i="79"/>
  <c r="AL48" i="79" s="1"/>
  <c r="AW48" i="79"/>
  <c r="AY46" i="79"/>
  <c r="AL46" i="79" s="1"/>
  <c r="AW46" i="79"/>
  <c r="AP11" i="79"/>
  <c r="AY47" i="79"/>
  <c r="AL47" i="79" s="1"/>
  <c r="AW47" i="79"/>
  <c r="AY41" i="79"/>
  <c r="AL41" i="79" s="1"/>
  <c r="AW41" i="79"/>
  <c r="X17" i="79"/>
  <c r="AY42" i="79"/>
  <c r="AL42" i="79" s="1"/>
  <c r="AW42" i="79"/>
  <c r="AY45" i="79"/>
  <c r="AL45" i="79" s="1"/>
  <c r="AW45" i="79"/>
  <c r="AY43" i="79"/>
  <c r="AL43" i="79" s="1"/>
  <c r="AW43" i="79"/>
  <c r="AM17" i="79"/>
  <c r="AI16" i="79"/>
  <c r="AI17" i="79" s="1"/>
  <c r="AY46" i="77"/>
  <c r="AL46" i="77" s="1"/>
  <c r="AW44" i="77"/>
  <c r="AM17" i="77"/>
  <c r="AI16" i="77"/>
  <c r="AW43" i="77"/>
  <c r="AW42" i="77"/>
  <c r="AY45" i="77"/>
  <c r="AL45" i="77" s="1"/>
  <c r="AY45" i="78"/>
  <c r="AL45" i="78" s="1"/>
  <c r="AW41" i="78"/>
  <c r="AY46" i="78"/>
  <c r="AL46" i="78" s="1"/>
  <c r="AI17" i="77"/>
  <c r="AY43" i="76"/>
  <c r="AL43" i="76" s="1"/>
  <c r="AW43" i="76"/>
  <c r="AY41" i="76"/>
  <c r="AL41" i="76" s="1"/>
  <c r="AW41" i="76"/>
  <c r="AM17" i="76"/>
  <c r="AI16" i="76"/>
  <c r="AY44" i="76"/>
  <c r="AL44" i="76" s="1"/>
  <c r="AW44" i="76"/>
  <c r="AY47" i="76"/>
  <c r="AL47" i="76" s="1"/>
  <c r="AW47" i="76"/>
  <c r="AY45" i="76"/>
  <c r="AL45" i="76" s="1"/>
  <c r="AW45" i="76"/>
  <c r="AY48" i="76"/>
  <c r="AL48" i="76" s="1"/>
  <c r="AW48" i="76"/>
  <c r="AP11" i="76"/>
  <c r="AY46" i="76"/>
  <c r="AL46" i="76" s="1"/>
  <c r="AW46" i="76"/>
  <c r="AI15" i="76"/>
  <c r="AY42" i="76"/>
  <c r="AL42" i="76" s="1"/>
  <c r="AW42" i="76"/>
  <c r="X17" i="76"/>
  <c r="AY46" i="75"/>
  <c r="AL46" i="75" s="1"/>
  <c r="AW46" i="75"/>
  <c r="AM17" i="75"/>
  <c r="AI16" i="75"/>
  <c r="AY41" i="75"/>
  <c r="AL41" i="75" s="1"/>
  <c r="AW41" i="75"/>
  <c r="AP11" i="75"/>
  <c r="AY48" i="75"/>
  <c r="AL48" i="75" s="1"/>
  <c r="AW48" i="75"/>
  <c r="AI15" i="75"/>
  <c r="AY44" i="75"/>
  <c r="AL44" i="75" s="1"/>
  <c r="AW44" i="75"/>
  <c r="X17" i="75"/>
  <c r="AY42" i="75"/>
  <c r="AL42" i="75" s="1"/>
  <c r="AW42" i="75"/>
  <c r="AY45" i="75"/>
  <c r="AL45" i="75" s="1"/>
  <c r="AW45" i="75"/>
  <c r="AY43" i="75"/>
  <c r="AL43" i="75" s="1"/>
  <c r="AW43" i="75"/>
  <c r="AY47" i="75"/>
  <c r="AL47" i="75" s="1"/>
  <c r="AW47" i="75"/>
  <c r="X17" i="74"/>
  <c r="AI16" i="74"/>
  <c r="AI17" i="74" s="1"/>
  <c r="AM17" i="74"/>
  <c r="AY41" i="74"/>
  <c r="AL41" i="74" s="1"/>
  <c r="AY48" i="74"/>
  <c r="AL48" i="74" s="1"/>
  <c r="AY43" i="74"/>
  <c r="AL43" i="74" s="1"/>
  <c r="AY44" i="74"/>
  <c r="AL44" i="74" s="1"/>
  <c r="AY42" i="74"/>
  <c r="AL42" i="74" s="1"/>
  <c r="AW43" i="74"/>
  <c r="AY47" i="74"/>
  <c r="AL47" i="74" s="1"/>
  <c r="AW48" i="74"/>
  <c r="AY46" i="74"/>
  <c r="AL46" i="74" s="1"/>
  <c r="AY45" i="74"/>
  <c r="AL45" i="74" s="1"/>
  <c r="AY42" i="73"/>
  <c r="AL42" i="73" s="1"/>
  <c r="AW42" i="73"/>
  <c r="AY43" i="73"/>
  <c r="AL43" i="73" s="1"/>
  <c r="AW43" i="73"/>
  <c r="AW45" i="73"/>
  <c r="AY45" i="73"/>
  <c r="AL45" i="73" s="1"/>
  <c r="AY41" i="73"/>
  <c r="AL41" i="73" s="1"/>
  <c r="AW41" i="73"/>
  <c r="AW44" i="73"/>
  <c r="AY44" i="73"/>
  <c r="AL44" i="73" s="1"/>
  <c r="AW47" i="73"/>
  <c r="AY47" i="73"/>
  <c r="AL47" i="73" s="1"/>
  <c r="AM17" i="73"/>
  <c r="AI16" i="73"/>
  <c r="AI17" i="73" s="1"/>
  <c r="AP11" i="73"/>
  <c r="AY46" i="73"/>
  <c r="AL46" i="73" s="1"/>
  <c r="AW46" i="73"/>
  <c r="AY48" i="73"/>
  <c r="AL48" i="73" s="1"/>
  <c r="AW48" i="73"/>
  <c r="X17" i="73"/>
  <c r="AM17" i="72"/>
  <c r="AI16" i="72"/>
  <c r="AY47" i="72"/>
  <c r="AL47" i="72" s="1"/>
  <c r="AW47" i="72"/>
  <c r="AY44" i="72"/>
  <c r="AL44" i="72" s="1"/>
  <c r="AW44" i="72"/>
  <c r="AI15" i="72"/>
  <c r="AY46" i="72"/>
  <c r="AL46" i="72" s="1"/>
  <c r="AW46" i="72"/>
  <c r="AY41" i="72"/>
  <c r="AL41" i="72" s="1"/>
  <c r="AW41" i="72"/>
  <c r="AP11" i="72"/>
  <c r="AY42" i="72"/>
  <c r="AL42" i="72" s="1"/>
  <c r="AW42" i="72"/>
  <c r="AY45" i="72"/>
  <c r="AL45" i="72" s="1"/>
  <c r="AW45" i="72"/>
  <c r="AY43" i="72"/>
  <c r="AL43" i="72" s="1"/>
  <c r="AW43" i="72"/>
  <c r="X17" i="72"/>
  <c r="AY48" i="72"/>
  <c r="AL48" i="72" s="1"/>
  <c r="AW48" i="72"/>
  <c r="AP11" i="71"/>
  <c r="AY41" i="71"/>
  <c r="AL41" i="71" s="1"/>
  <c r="AW41" i="71"/>
  <c r="X17" i="71"/>
  <c r="AY42" i="71"/>
  <c r="AL42" i="71" s="1"/>
  <c r="AW42" i="71"/>
  <c r="AY44" i="71"/>
  <c r="AL44" i="71" s="1"/>
  <c r="AW44" i="71"/>
  <c r="AY45" i="71"/>
  <c r="AL45" i="71" s="1"/>
  <c r="AW45" i="71"/>
  <c r="AY46" i="71"/>
  <c r="AL46" i="71" s="1"/>
  <c r="AW46" i="71"/>
  <c r="AY47" i="71"/>
  <c r="AL47" i="71" s="1"/>
  <c r="AW47" i="71"/>
  <c r="AY48" i="71"/>
  <c r="AL48" i="71" s="1"/>
  <c r="AW48" i="71"/>
  <c r="AY43" i="71"/>
  <c r="AL43" i="71" s="1"/>
  <c r="AW43" i="71"/>
  <c r="AM17" i="71"/>
  <c r="AI16" i="71"/>
  <c r="AI17" i="71" s="1"/>
  <c r="AY44" i="70"/>
  <c r="AL44" i="70" s="1"/>
  <c r="AW44" i="70"/>
  <c r="AY42" i="70"/>
  <c r="AL42" i="70" s="1"/>
  <c r="AW42" i="70"/>
  <c r="AP11" i="70"/>
  <c r="AM17" i="70"/>
  <c r="AI16" i="70"/>
  <c r="AI17" i="70" s="1"/>
  <c r="AY46" i="70"/>
  <c r="AL46" i="70" s="1"/>
  <c r="AW46" i="70"/>
  <c r="X17" i="70"/>
  <c r="AW41" i="70"/>
  <c r="AY41" i="70"/>
  <c r="AL41" i="70" s="1"/>
  <c r="AY48" i="70"/>
  <c r="AL48" i="70" s="1"/>
  <c r="AW48" i="70"/>
  <c r="AW45" i="70"/>
  <c r="AY45" i="70"/>
  <c r="AL45" i="70" s="1"/>
  <c r="AY43" i="70"/>
  <c r="AL43" i="70" s="1"/>
  <c r="AW43" i="70"/>
  <c r="AY47" i="70"/>
  <c r="AL47" i="70" s="1"/>
  <c r="AW47" i="70"/>
  <c r="AY46" i="69"/>
  <c r="AL46" i="69" s="1"/>
  <c r="AW46" i="69"/>
  <c r="AY42" i="69"/>
  <c r="AL42" i="69" s="1"/>
  <c r="AW42" i="69"/>
  <c r="AP11" i="69"/>
  <c r="AY43" i="69"/>
  <c r="AL43" i="69" s="1"/>
  <c r="AW43" i="69"/>
  <c r="X17" i="69"/>
  <c r="AM17" i="69"/>
  <c r="AI16" i="69"/>
  <c r="AY48" i="69"/>
  <c r="AL48" i="69" s="1"/>
  <c r="AW48" i="69"/>
  <c r="AY47" i="69"/>
  <c r="AL47" i="69" s="1"/>
  <c r="AW47" i="69"/>
  <c r="AY41" i="69"/>
  <c r="AL41" i="69" s="1"/>
  <c r="AW41" i="69"/>
  <c r="AI15" i="69"/>
  <c r="AY45" i="69"/>
  <c r="AL45" i="69" s="1"/>
  <c r="AW45" i="69"/>
  <c r="AY44" i="69"/>
  <c r="AL44" i="69" s="1"/>
  <c r="AW44" i="69"/>
  <c r="AY44" i="68"/>
  <c r="AL44" i="68" s="1"/>
  <c r="AW44" i="68"/>
  <c r="AY45" i="68"/>
  <c r="AL45" i="68" s="1"/>
  <c r="AW45" i="68"/>
  <c r="AY48" i="68"/>
  <c r="AL48" i="68" s="1"/>
  <c r="AW48" i="68"/>
  <c r="AY41" i="68"/>
  <c r="AL41" i="68" s="1"/>
  <c r="AW41" i="68"/>
  <c r="AW43" i="68"/>
  <c r="AY43" i="68"/>
  <c r="AL43" i="68" s="1"/>
  <c r="AY46" i="68"/>
  <c r="AL46" i="68" s="1"/>
  <c r="AW46" i="68"/>
  <c r="AY42" i="68"/>
  <c r="AL42" i="68" s="1"/>
  <c r="AW42" i="68"/>
  <c r="AI16" i="68"/>
  <c r="AI17" i="68" s="1"/>
  <c r="AM17" i="68"/>
  <c r="AP11" i="68"/>
  <c r="AY47" i="68"/>
  <c r="AL47" i="68" s="1"/>
  <c r="AW47" i="68"/>
  <c r="X17" i="68"/>
  <c r="AY45" i="66"/>
  <c r="AL45" i="66" s="1"/>
  <c r="AW45" i="66"/>
  <c r="AY42" i="66"/>
  <c r="AL42" i="66" s="1"/>
  <c r="AW42" i="66"/>
  <c r="AY46" i="66"/>
  <c r="AL46" i="66" s="1"/>
  <c r="AW46" i="66"/>
  <c r="AY43" i="66"/>
  <c r="AL43" i="66" s="1"/>
  <c r="AW43" i="66"/>
  <c r="X17" i="66"/>
  <c r="AY47" i="66"/>
  <c r="AL47" i="66" s="1"/>
  <c r="AW47" i="66"/>
  <c r="AP11" i="66"/>
  <c r="AY48" i="66"/>
  <c r="AL48" i="66" s="1"/>
  <c r="AW48" i="66"/>
  <c r="AI16" i="66"/>
  <c r="AI17" i="66" s="1"/>
  <c r="AM17" i="66"/>
  <c r="AY41" i="66"/>
  <c r="AL41" i="66" s="1"/>
  <c r="AW41" i="66"/>
  <c r="AY44" i="66"/>
  <c r="AL44" i="66" s="1"/>
  <c r="AW44" i="66"/>
  <c r="AI17" i="65"/>
  <c r="AP11" i="64"/>
  <c r="X17" i="64"/>
  <c r="AY48" i="64"/>
  <c r="AL48" i="64" s="1"/>
  <c r="AW48" i="64"/>
  <c r="AI16" i="64"/>
  <c r="AI17" i="64" s="1"/>
  <c r="AM17" i="64"/>
  <c r="AY45" i="64"/>
  <c r="AL45" i="64" s="1"/>
  <c r="AW45" i="64"/>
  <c r="AY42" i="64"/>
  <c r="AL42" i="64" s="1"/>
  <c r="AW42" i="64"/>
  <c r="AY41" i="64"/>
  <c r="AL41" i="64" s="1"/>
  <c r="AW41" i="64"/>
  <c r="AY46" i="64"/>
  <c r="AL46" i="64" s="1"/>
  <c r="AW46" i="64"/>
  <c r="AY47" i="64"/>
  <c r="AL47" i="64" s="1"/>
  <c r="AW47" i="64"/>
  <c r="AY43" i="64"/>
  <c r="AL43" i="64" s="1"/>
  <c r="AW43" i="64"/>
  <c r="AW44" i="64"/>
  <c r="AY44" i="64"/>
  <c r="AL44" i="64" s="1"/>
  <c r="AI17" i="81" l="1"/>
  <c r="AI17" i="76"/>
  <c r="AI17" i="75"/>
  <c r="AI17" i="72"/>
  <c r="AI17" i="69"/>
  <c r="AK48" i="63"/>
  <c r="AK47" i="63"/>
  <c r="AQ46" i="63"/>
  <c r="AN46" i="63"/>
  <c r="AS46" i="63" s="1"/>
  <c r="AK46" i="63"/>
  <c r="AQ45" i="63"/>
  <c r="AN45" i="63"/>
  <c r="AS45" i="63" s="1"/>
  <c r="AK45" i="63"/>
  <c r="AQ44" i="63"/>
  <c r="AN44" i="63"/>
  <c r="AS44" i="63" s="1"/>
  <c r="AK44" i="63"/>
  <c r="AQ43" i="63"/>
  <c r="AN43" i="63"/>
  <c r="AS43" i="63" s="1"/>
  <c r="AK43" i="63"/>
  <c r="AQ42" i="63"/>
  <c r="AN42" i="63"/>
  <c r="AS42" i="63" s="1"/>
  <c r="AK42" i="63"/>
  <c r="AQ41" i="63"/>
  <c r="AN41" i="63"/>
  <c r="AS41" i="63" s="1"/>
  <c r="AK41" i="63"/>
  <c r="AO31" i="63"/>
  <c r="AJ31" i="63"/>
  <c r="AK31" i="63" s="1"/>
  <c r="AO30" i="63"/>
  <c r="AO28" i="63"/>
  <c r="AO29" i="63" s="1"/>
  <c r="AO27" i="63"/>
  <c r="X27" i="63"/>
  <c r="W27" i="63"/>
  <c r="AO26" i="63"/>
  <c r="AN26" i="63"/>
  <c r="AM26" i="63"/>
  <c r="AL26" i="63"/>
  <c r="W26" i="63"/>
  <c r="X26" i="63" s="1"/>
  <c r="AO25" i="63"/>
  <c r="AN25" i="63"/>
  <c r="AM25" i="63"/>
  <c r="AL25" i="63"/>
  <c r="W25" i="63"/>
  <c r="X25" i="63" s="1"/>
  <c r="X24" i="63"/>
  <c r="W24" i="63"/>
  <c r="AN23" i="63"/>
  <c r="G8" i="63" s="1"/>
  <c r="AM23" i="63"/>
  <c r="AL23" i="63"/>
  <c r="W23" i="63"/>
  <c r="X23" i="63" s="1"/>
  <c r="AN22" i="63"/>
  <c r="AM22" i="63"/>
  <c r="AL22" i="63"/>
  <c r="X22" i="63"/>
  <c r="W22" i="63"/>
  <c r="W21" i="63"/>
  <c r="X21" i="63" s="1"/>
  <c r="AD16" i="63"/>
  <c r="AD17" i="63" s="1"/>
  <c r="X16" i="63"/>
  <c r="AB15" i="63"/>
  <c r="C15" i="63"/>
  <c r="X14" i="63"/>
  <c r="V14" i="63"/>
  <c r="R14" i="63"/>
  <c r="P14" i="63"/>
  <c r="N14" i="63"/>
  <c r="K14" i="63"/>
  <c r="H14" i="63"/>
  <c r="F14" i="63"/>
  <c r="C14" i="63"/>
  <c r="AF8" i="63"/>
  <c r="AF9" i="63" s="1"/>
  <c r="I8" i="63"/>
  <c r="AP7" i="63"/>
  <c r="AO7" i="63"/>
  <c r="AN7" i="63"/>
  <c r="AM7" i="63"/>
  <c r="AL7" i="63"/>
  <c r="AK7" i="63"/>
  <c r="AJ7" i="63"/>
  <c r="AI7" i="63"/>
  <c r="AK48" i="62"/>
  <c r="AK47" i="62"/>
  <c r="AQ46" i="62"/>
  <c r="AN46" i="62"/>
  <c r="AS46" i="62" s="1"/>
  <c r="AK46" i="62"/>
  <c r="AQ45" i="62"/>
  <c r="AN45" i="62"/>
  <c r="AS45" i="62" s="1"/>
  <c r="AK45" i="62"/>
  <c r="AS44" i="62"/>
  <c r="AQ44" i="62"/>
  <c r="AN44" i="62"/>
  <c r="AK44" i="62"/>
  <c r="AS43" i="62"/>
  <c r="AQ43" i="62"/>
  <c r="AN43" i="62"/>
  <c r="AK43" i="62"/>
  <c r="AQ42" i="62"/>
  <c r="AN42" i="62"/>
  <c r="AS42" i="62" s="1"/>
  <c r="AK42" i="62"/>
  <c r="AQ41" i="62"/>
  <c r="AN41" i="62"/>
  <c r="AS41" i="62" s="1"/>
  <c r="AK41" i="62"/>
  <c r="AO31" i="62"/>
  <c r="AK31" i="62"/>
  <c r="AJ31" i="62"/>
  <c r="AO30" i="62"/>
  <c r="AO28" i="62"/>
  <c r="AO29" i="62" s="1"/>
  <c r="AO27" i="62"/>
  <c r="W27" i="62"/>
  <c r="X27" i="62" s="1"/>
  <c r="AO26" i="62"/>
  <c r="AN26" i="62"/>
  <c r="AM26" i="62"/>
  <c r="AL26" i="62"/>
  <c r="I8" i="62" s="1"/>
  <c r="W26" i="62"/>
  <c r="X26" i="62" s="1"/>
  <c r="AO25" i="62"/>
  <c r="AN25" i="62"/>
  <c r="AM25" i="62"/>
  <c r="AL25" i="62"/>
  <c r="W25" i="62"/>
  <c r="X25" i="62" s="1"/>
  <c r="X24" i="62"/>
  <c r="W24" i="62"/>
  <c r="AN23" i="62"/>
  <c r="G8" i="62" s="1"/>
  <c r="AM23" i="62"/>
  <c r="AL23" i="62"/>
  <c r="W23" i="62"/>
  <c r="X23" i="62" s="1"/>
  <c r="AN22" i="62"/>
  <c r="AM22" i="62"/>
  <c r="AL22" i="62"/>
  <c r="X22" i="62"/>
  <c r="W22" i="62"/>
  <c r="W21" i="62"/>
  <c r="X21" i="62" s="1"/>
  <c r="AD16" i="62"/>
  <c r="AD17" i="62" s="1"/>
  <c r="X16" i="62"/>
  <c r="AB15" i="62"/>
  <c r="C15" i="62"/>
  <c r="X14" i="62"/>
  <c r="V14" i="62"/>
  <c r="R14" i="62"/>
  <c r="P14" i="62"/>
  <c r="N14" i="62"/>
  <c r="K14" i="62"/>
  <c r="H14" i="62"/>
  <c r="F14" i="62"/>
  <c r="C14" i="62"/>
  <c r="AF8" i="62"/>
  <c r="AF9" i="62" s="1"/>
  <c r="AP7" i="62"/>
  <c r="AO7" i="62"/>
  <c r="AN7" i="62"/>
  <c r="AM7" i="62"/>
  <c r="AL7" i="62"/>
  <c r="AK7" i="62"/>
  <c r="AJ7" i="62"/>
  <c r="AI7" i="62"/>
  <c r="R15" i="63" l="1"/>
  <c r="P15" i="63"/>
  <c r="V15" i="63"/>
  <c r="Y27" i="63"/>
  <c r="F15" i="63"/>
  <c r="C16" i="63"/>
  <c r="C17" i="63" s="1"/>
  <c r="Y15" i="63"/>
  <c r="Y16" i="63" s="1"/>
  <c r="Y17" i="63" s="1"/>
  <c r="Z15" i="63"/>
  <c r="Z16" i="63" s="1"/>
  <c r="Z17" i="63" s="1"/>
  <c r="AI9" i="63"/>
  <c r="R15" i="62"/>
  <c r="P15" i="62"/>
  <c r="V15" i="62"/>
  <c r="F15" i="62"/>
  <c r="C16" i="62"/>
  <c r="C17" i="62" s="1"/>
  <c r="AI9" i="62"/>
  <c r="V16" i="63" l="1"/>
  <c r="V17" i="63" s="1"/>
  <c r="AP9" i="63"/>
  <c r="P16" i="63"/>
  <c r="P17" i="63" s="1"/>
  <c r="AN9" i="63"/>
  <c r="Y25" i="63"/>
  <c r="Y21" i="63"/>
  <c r="F16" i="63"/>
  <c r="F17" i="63" s="1"/>
  <c r="Y22" i="63"/>
  <c r="D8" i="63"/>
  <c r="AJ9" i="63"/>
  <c r="Y24" i="63"/>
  <c r="AF6" i="63"/>
  <c r="AF7" i="63" s="1"/>
  <c r="AO9" i="63"/>
  <c r="R16" i="63"/>
  <c r="R17" i="63" s="1"/>
  <c r="Y23" i="63"/>
  <c r="Y26" i="63"/>
  <c r="AO9" i="62"/>
  <c r="R16" i="62"/>
  <c r="R17" i="62" s="1"/>
  <c r="AJ9" i="62"/>
  <c r="Y15" i="62"/>
  <c r="Y16" i="62" s="1"/>
  <c r="Y17" i="62" s="1"/>
  <c r="D8" i="62"/>
  <c r="Z15" i="62"/>
  <c r="Z16" i="62" s="1"/>
  <c r="Z17" i="62" s="1"/>
  <c r="F16" i="62"/>
  <c r="F17" i="62" s="1"/>
  <c r="AF6" i="62"/>
  <c r="AF7" i="62" s="1"/>
  <c r="Y27" i="62"/>
  <c r="Y22" i="62"/>
  <c r="P16" i="62"/>
  <c r="P17" i="62" s="1"/>
  <c r="AN9" i="62"/>
  <c r="Y24" i="62"/>
  <c r="Y26" i="62"/>
  <c r="Y25" i="62"/>
  <c r="Y23" i="62"/>
  <c r="AP9" i="62"/>
  <c r="V16" i="62"/>
  <c r="V17" i="62" s="1"/>
  <c r="Y21" i="62"/>
  <c r="N15" i="63" l="1"/>
  <c r="H15" i="63"/>
  <c r="K15" i="63"/>
  <c r="AB16" i="63"/>
  <c r="AB17" i="63" s="1"/>
  <c r="N15" i="62"/>
  <c r="K15" i="62"/>
  <c r="H15" i="62"/>
  <c r="AB16" i="62"/>
  <c r="AB17" i="62" s="1"/>
  <c r="K16" i="63" l="1"/>
  <c r="K17" i="63" s="1"/>
  <c r="AL9" i="63"/>
  <c r="H16" i="63"/>
  <c r="H17" i="63" s="1"/>
  <c r="AM15" i="63"/>
  <c r="AI15" i="63"/>
  <c r="AK9" i="63"/>
  <c r="AV43" i="63"/>
  <c r="AV47" i="63"/>
  <c r="AX41" i="63"/>
  <c r="AX42" i="63" s="1"/>
  <c r="AX43" i="63" s="1"/>
  <c r="AX44" i="63" s="1"/>
  <c r="AX45" i="63" s="1"/>
  <c r="AX46" i="63" s="1"/>
  <c r="AX47" i="63" s="1"/>
  <c r="AX48" i="63" s="1"/>
  <c r="AV44" i="63"/>
  <c r="AV41" i="63"/>
  <c r="AV45" i="63"/>
  <c r="AB9" i="63"/>
  <c r="AV48" i="63"/>
  <c r="AM16" i="63"/>
  <c r="AV46" i="63"/>
  <c r="AB8" i="63"/>
  <c r="AV42" i="63"/>
  <c r="N16" i="63"/>
  <c r="N17" i="63" s="1"/>
  <c r="AM9" i="63"/>
  <c r="AM15" i="62"/>
  <c r="H16" i="62"/>
  <c r="H17" i="62" s="1"/>
  <c r="AK9" i="62"/>
  <c r="AB8" i="62"/>
  <c r="AV41" i="62"/>
  <c r="AV46" i="62"/>
  <c r="AV48" i="62"/>
  <c r="AV45" i="62"/>
  <c r="AX41" i="62"/>
  <c r="AX42" i="62" s="1"/>
  <c r="AX43" i="62" s="1"/>
  <c r="AX44" i="62" s="1"/>
  <c r="AX45" i="62" s="1"/>
  <c r="AX46" i="62" s="1"/>
  <c r="AX47" i="62" s="1"/>
  <c r="AX48" i="62" s="1"/>
  <c r="AV43" i="62"/>
  <c r="AV42" i="62"/>
  <c r="AV47" i="62"/>
  <c r="AB9" i="62"/>
  <c r="AM16" i="62"/>
  <c r="AV44" i="62"/>
  <c r="K16" i="62"/>
  <c r="K17" i="62" s="1"/>
  <c r="AL9" i="62"/>
  <c r="N16" i="62"/>
  <c r="N17" i="62" s="1"/>
  <c r="AM9" i="62"/>
  <c r="AY47" i="63" l="1"/>
  <c r="AL47" i="63" s="1"/>
  <c r="AW47" i="63"/>
  <c r="AY43" i="63"/>
  <c r="AL43" i="63" s="1"/>
  <c r="AW43" i="63"/>
  <c r="AP11" i="63"/>
  <c r="AY46" i="63"/>
  <c r="AL46" i="63" s="1"/>
  <c r="AW46" i="63"/>
  <c r="X17" i="63"/>
  <c r="AY45" i="63"/>
  <c r="AL45" i="63" s="1"/>
  <c r="AW45" i="63"/>
  <c r="AY41" i="63"/>
  <c r="AL41" i="63" s="1"/>
  <c r="AW41" i="63"/>
  <c r="AY44" i="63"/>
  <c r="AL44" i="63" s="1"/>
  <c r="AW44" i="63"/>
  <c r="AY42" i="63"/>
  <c r="AL42" i="63" s="1"/>
  <c r="AW42" i="63"/>
  <c r="AY48" i="63"/>
  <c r="AL48" i="63" s="1"/>
  <c r="AW48" i="63"/>
  <c r="AI16" i="63"/>
  <c r="AI17" i="63" s="1"/>
  <c r="AM17" i="63"/>
  <c r="AY43" i="62"/>
  <c r="AL43" i="62" s="1"/>
  <c r="AW43" i="62"/>
  <c r="AY48" i="62"/>
  <c r="AL48" i="62" s="1"/>
  <c r="AW48" i="62"/>
  <c r="AY46" i="62"/>
  <c r="AL46" i="62" s="1"/>
  <c r="AW46" i="62"/>
  <c r="AY42" i="62"/>
  <c r="AL42" i="62" s="1"/>
  <c r="AW42" i="62"/>
  <c r="AY45" i="62"/>
  <c r="AL45" i="62" s="1"/>
  <c r="AW45" i="62"/>
  <c r="AP11" i="62"/>
  <c r="AM17" i="62"/>
  <c r="AI16" i="62"/>
  <c r="X17" i="62"/>
  <c r="AW41" i="62"/>
  <c r="AY41" i="62"/>
  <c r="AL41" i="62" s="1"/>
  <c r="AY44" i="62"/>
  <c r="AL44" i="62" s="1"/>
  <c r="AW44" i="62"/>
  <c r="AI15" i="62"/>
  <c r="AY47" i="62"/>
  <c r="AL47" i="62" s="1"/>
  <c r="AW47" i="62"/>
  <c r="AI17" i="62" l="1"/>
  <c r="AK48" i="61" l="1"/>
  <c r="AK47" i="61"/>
  <c r="AQ46" i="61"/>
  <c r="AN46" i="61"/>
  <c r="AS46" i="61" s="1"/>
  <c r="AK46" i="61"/>
  <c r="AQ45" i="61"/>
  <c r="AN45" i="61"/>
  <c r="AS45" i="61" s="1"/>
  <c r="AK45" i="61"/>
  <c r="AQ44" i="61"/>
  <c r="AN44" i="61"/>
  <c r="AS44" i="61" s="1"/>
  <c r="AK44" i="61"/>
  <c r="AS43" i="61"/>
  <c r="AQ43" i="61"/>
  <c r="AN43" i="61"/>
  <c r="AK43" i="61"/>
  <c r="AQ42" i="61"/>
  <c r="AN42" i="61"/>
  <c r="AS42" i="61" s="1"/>
  <c r="AK42" i="61"/>
  <c r="AQ41" i="61"/>
  <c r="AN41" i="61"/>
  <c r="AS41" i="61" s="1"/>
  <c r="AK41" i="61"/>
  <c r="AO31" i="61"/>
  <c r="AJ31" i="61"/>
  <c r="AK31" i="61" s="1"/>
  <c r="AO30" i="61"/>
  <c r="AO28" i="61"/>
  <c r="AO29" i="61" s="1"/>
  <c r="AO27" i="61"/>
  <c r="W27" i="61"/>
  <c r="X27" i="61" s="1"/>
  <c r="AO26" i="61"/>
  <c r="AN26" i="61"/>
  <c r="AM26" i="61"/>
  <c r="AL26" i="61"/>
  <c r="I8" i="61" s="1"/>
  <c r="W26" i="61"/>
  <c r="X26" i="61" s="1"/>
  <c r="AO25" i="61"/>
  <c r="AN25" i="61"/>
  <c r="AM25" i="61"/>
  <c r="AL25" i="61"/>
  <c r="X25" i="61"/>
  <c r="W25" i="61"/>
  <c r="X24" i="61"/>
  <c r="W24" i="61"/>
  <c r="AN23" i="61"/>
  <c r="G8" i="61" s="1"/>
  <c r="AM23" i="61"/>
  <c r="AL23" i="61"/>
  <c r="W23" i="61"/>
  <c r="X23" i="61" s="1"/>
  <c r="AN22" i="61"/>
  <c r="AM22" i="61"/>
  <c r="AL22" i="61"/>
  <c r="X22" i="61"/>
  <c r="W22" i="61"/>
  <c r="W21" i="61"/>
  <c r="X21" i="61" s="1"/>
  <c r="AD16" i="61"/>
  <c r="AD17" i="61" s="1"/>
  <c r="X16" i="61"/>
  <c r="AB15" i="61"/>
  <c r="C15" i="61"/>
  <c r="X14" i="61"/>
  <c r="V14" i="61"/>
  <c r="R14" i="61"/>
  <c r="P14" i="61"/>
  <c r="N14" i="61"/>
  <c r="K14" i="61"/>
  <c r="H14" i="61"/>
  <c r="F14" i="61"/>
  <c r="C14" i="61"/>
  <c r="AF8" i="61"/>
  <c r="AF9" i="61" s="1"/>
  <c r="AP7" i="61"/>
  <c r="AO7" i="61"/>
  <c r="AN7" i="61"/>
  <c r="AM7" i="61"/>
  <c r="AL7" i="61"/>
  <c r="AK7" i="61"/>
  <c r="AJ7" i="61"/>
  <c r="AI7" i="61"/>
  <c r="AP22" i="34"/>
  <c r="AP23" i="34"/>
  <c r="AP24" i="34"/>
  <c r="AP25" i="34"/>
  <c r="AP26" i="34"/>
  <c r="AP27" i="34"/>
  <c r="AP28" i="34"/>
  <c r="AP29" i="34"/>
  <c r="AP21" i="34"/>
  <c r="AK48" i="60"/>
  <c r="AK47" i="60"/>
  <c r="AQ46" i="60"/>
  <c r="AN46" i="60"/>
  <c r="AS46" i="60" s="1"/>
  <c r="AK46" i="60"/>
  <c r="AQ45" i="60"/>
  <c r="AN45" i="60"/>
  <c r="AS45" i="60" s="1"/>
  <c r="AK45" i="60"/>
  <c r="AQ44" i="60"/>
  <c r="AN44" i="60"/>
  <c r="AS44" i="60" s="1"/>
  <c r="AK44" i="60"/>
  <c r="AQ43" i="60"/>
  <c r="AN43" i="60"/>
  <c r="AS43" i="60" s="1"/>
  <c r="AK43" i="60"/>
  <c r="AQ42" i="60"/>
  <c r="AN42" i="60"/>
  <c r="AS42" i="60" s="1"/>
  <c r="AK42" i="60"/>
  <c r="AQ41" i="60"/>
  <c r="AN41" i="60"/>
  <c r="AS41" i="60" s="1"/>
  <c r="AK41" i="60"/>
  <c r="AO31" i="60"/>
  <c r="AJ31" i="60"/>
  <c r="AK31" i="60" s="1"/>
  <c r="AO30" i="60"/>
  <c r="AO28" i="60"/>
  <c r="AO29" i="60" s="1"/>
  <c r="AO27" i="60"/>
  <c r="W27" i="60"/>
  <c r="X27" i="60" s="1"/>
  <c r="AO26" i="60"/>
  <c r="AN26" i="60"/>
  <c r="AM26" i="60"/>
  <c r="AL26" i="60"/>
  <c r="I8" i="60" s="1"/>
  <c r="X26" i="60"/>
  <c r="W26" i="60"/>
  <c r="AO25" i="60"/>
  <c r="AN25" i="60"/>
  <c r="AM25" i="60"/>
  <c r="AL25" i="60"/>
  <c r="W25" i="60"/>
  <c r="X25" i="60" s="1"/>
  <c r="W24" i="60"/>
  <c r="X24" i="60" s="1"/>
  <c r="AN23" i="60"/>
  <c r="G8" i="60" s="1"/>
  <c r="AM23" i="60"/>
  <c r="AL23" i="60"/>
  <c r="X23" i="60"/>
  <c r="W23" i="60"/>
  <c r="AN22" i="60"/>
  <c r="AM22" i="60"/>
  <c r="AL22" i="60"/>
  <c r="W22" i="60"/>
  <c r="X22" i="60" s="1"/>
  <c r="W21" i="60"/>
  <c r="X21" i="60" s="1"/>
  <c r="AD17" i="60"/>
  <c r="AD16" i="60"/>
  <c r="X16" i="60"/>
  <c r="AB15" i="60"/>
  <c r="C15" i="60"/>
  <c r="X14" i="60"/>
  <c r="V14" i="60"/>
  <c r="R14" i="60"/>
  <c r="P14" i="60"/>
  <c r="N14" i="60"/>
  <c r="K14" i="60"/>
  <c r="H14" i="60"/>
  <c r="F14" i="60"/>
  <c r="C14" i="60"/>
  <c r="AF8" i="60"/>
  <c r="AF9" i="60" s="1"/>
  <c r="AP7" i="60"/>
  <c r="AO7" i="60"/>
  <c r="AN7" i="60"/>
  <c r="AM7" i="60"/>
  <c r="AL7" i="60"/>
  <c r="AK7" i="60"/>
  <c r="AJ7" i="60"/>
  <c r="AI7" i="60"/>
  <c r="R15" i="61" l="1"/>
  <c r="P15" i="61"/>
  <c r="V15" i="61"/>
  <c r="AI9" i="61"/>
  <c r="Z15" i="61"/>
  <c r="Z16" i="61" s="1"/>
  <c r="Z17" i="61" s="1"/>
  <c r="Y22" i="61"/>
  <c r="F15" i="61"/>
  <c r="C16" i="61"/>
  <c r="C17" i="61" s="1"/>
  <c r="R15" i="60"/>
  <c r="V15" i="60"/>
  <c r="P15" i="60"/>
  <c r="F15" i="60"/>
  <c r="Y21" i="60" s="1"/>
  <c r="C16" i="60"/>
  <c r="C17" i="60" s="1"/>
  <c r="AI9" i="60"/>
  <c r="AK48" i="59"/>
  <c r="AK47" i="59"/>
  <c r="AS46" i="59"/>
  <c r="AQ46" i="59"/>
  <c r="AN46" i="59"/>
  <c r="AK46" i="59"/>
  <c r="AS45" i="59"/>
  <c r="AQ45" i="59"/>
  <c r="AN45" i="59"/>
  <c r="AK45" i="59"/>
  <c r="AS44" i="59"/>
  <c r="AQ44" i="59"/>
  <c r="AN44" i="59"/>
  <c r="AK44" i="59"/>
  <c r="AQ43" i="59"/>
  <c r="AN43" i="59"/>
  <c r="AS43" i="59" s="1"/>
  <c r="AK43" i="59"/>
  <c r="AQ42" i="59"/>
  <c r="AN42" i="59"/>
  <c r="AS42" i="59" s="1"/>
  <c r="AK42" i="59"/>
  <c r="AS41" i="59"/>
  <c r="AQ41" i="59"/>
  <c r="AN41" i="59"/>
  <c r="AK41" i="59"/>
  <c r="AO31" i="59"/>
  <c r="AK31" i="59"/>
  <c r="AJ31" i="59"/>
  <c r="AO30" i="59"/>
  <c r="AO28" i="59"/>
  <c r="AO29" i="59" s="1"/>
  <c r="AO27" i="59"/>
  <c r="W27" i="59"/>
  <c r="X27" i="59" s="1"/>
  <c r="AO26" i="59"/>
  <c r="AN26" i="59"/>
  <c r="AM26" i="59"/>
  <c r="AL26" i="59"/>
  <c r="I8" i="59" s="1"/>
  <c r="X26" i="59"/>
  <c r="W26" i="59"/>
  <c r="AO25" i="59"/>
  <c r="AN25" i="59"/>
  <c r="AM25" i="59"/>
  <c r="AL25" i="59"/>
  <c r="W25" i="59"/>
  <c r="X25" i="59" s="1"/>
  <c r="X24" i="59"/>
  <c r="W24" i="59"/>
  <c r="AN23" i="59"/>
  <c r="G8" i="59" s="1"/>
  <c r="AM23" i="59"/>
  <c r="AL23" i="59"/>
  <c r="X23" i="59"/>
  <c r="W23" i="59"/>
  <c r="AN22" i="59"/>
  <c r="AM22" i="59"/>
  <c r="AL22" i="59"/>
  <c r="X22" i="59"/>
  <c r="W22" i="59"/>
  <c r="X21" i="59"/>
  <c r="W21" i="59"/>
  <c r="AD16" i="59"/>
  <c r="AD17" i="59" s="1"/>
  <c r="X16" i="59"/>
  <c r="AB15" i="59"/>
  <c r="C15" i="59"/>
  <c r="X14" i="59"/>
  <c r="V14" i="59"/>
  <c r="R14" i="59"/>
  <c r="P14" i="59"/>
  <c r="N14" i="59"/>
  <c r="K14" i="59"/>
  <c r="H14" i="59"/>
  <c r="F14" i="59"/>
  <c r="C14" i="59"/>
  <c r="AF8" i="59"/>
  <c r="AF9" i="59" s="1"/>
  <c r="AP7" i="59"/>
  <c r="AO7" i="59"/>
  <c r="AN7" i="59"/>
  <c r="AM7" i="59"/>
  <c r="AL7" i="59"/>
  <c r="AK7" i="59"/>
  <c r="AJ7" i="59"/>
  <c r="AI7" i="59"/>
  <c r="AK48" i="58"/>
  <c r="AK47" i="58"/>
  <c r="AQ46" i="58"/>
  <c r="AN46" i="58"/>
  <c r="AS46" i="58" s="1"/>
  <c r="AK46" i="58"/>
  <c r="AQ45" i="58"/>
  <c r="AN45" i="58"/>
  <c r="AS45" i="58" s="1"/>
  <c r="AK45" i="58"/>
  <c r="AQ44" i="58"/>
  <c r="AN44" i="58"/>
  <c r="AS44" i="58" s="1"/>
  <c r="AK44" i="58"/>
  <c r="AS43" i="58"/>
  <c r="AQ43" i="58"/>
  <c r="AN43" i="58"/>
  <c r="AK43" i="58"/>
  <c r="AQ42" i="58"/>
  <c r="AN42" i="58"/>
  <c r="AS42" i="58" s="1"/>
  <c r="AK42" i="58"/>
  <c r="AQ41" i="58"/>
  <c r="AN41" i="58"/>
  <c r="AS41" i="58" s="1"/>
  <c r="AK41" i="58"/>
  <c r="AO31" i="58"/>
  <c r="AK31" i="58"/>
  <c r="AJ31" i="58"/>
  <c r="AO30" i="58"/>
  <c r="AO28" i="58"/>
  <c r="AO29" i="58" s="1"/>
  <c r="AO27" i="58"/>
  <c r="W27" i="58"/>
  <c r="X27" i="58" s="1"/>
  <c r="Y27" i="58" s="1"/>
  <c r="AO26" i="58"/>
  <c r="AN26" i="58"/>
  <c r="AM26" i="58"/>
  <c r="AL26" i="58"/>
  <c r="I8" i="58" s="1"/>
  <c r="X26" i="58"/>
  <c r="Y26" i="58" s="1"/>
  <c r="W26" i="58"/>
  <c r="AO25" i="58"/>
  <c r="AN25" i="58"/>
  <c r="AM25" i="58"/>
  <c r="AL25" i="58"/>
  <c r="W25" i="58"/>
  <c r="X25" i="58" s="1"/>
  <c r="Y25" i="58" s="1"/>
  <c r="X24" i="58"/>
  <c r="Y24" i="58" s="1"/>
  <c r="W24" i="58"/>
  <c r="AN23" i="58"/>
  <c r="G8" i="58" s="1"/>
  <c r="AM23" i="58"/>
  <c r="AL23" i="58"/>
  <c r="W23" i="58"/>
  <c r="X23" i="58" s="1"/>
  <c r="Y23" i="58" s="1"/>
  <c r="AN22" i="58"/>
  <c r="AM22" i="58"/>
  <c r="AL22" i="58"/>
  <c r="X22" i="58"/>
  <c r="Y22" i="58" s="1"/>
  <c r="W22" i="58"/>
  <c r="W21" i="58"/>
  <c r="X21" i="58" s="1"/>
  <c r="Y21" i="58" s="1"/>
  <c r="AD16" i="58"/>
  <c r="AD17" i="58" s="1"/>
  <c r="X16" i="58"/>
  <c r="C16" i="58"/>
  <c r="C17" i="58" s="1"/>
  <c r="AB15" i="58"/>
  <c r="Z15" i="58"/>
  <c r="Z16" i="58" s="1"/>
  <c r="Z17" i="58" s="1"/>
  <c r="F15" i="58"/>
  <c r="F16" i="58" s="1"/>
  <c r="F17" i="58" s="1"/>
  <c r="C15" i="58"/>
  <c r="X14" i="58"/>
  <c r="V14" i="58"/>
  <c r="R14" i="58"/>
  <c r="P14" i="58"/>
  <c r="N14" i="58"/>
  <c r="K14" i="58"/>
  <c r="H14" i="58"/>
  <c r="F14" i="58"/>
  <c r="C14" i="58"/>
  <c r="AF8" i="58"/>
  <c r="AF9" i="58" s="1"/>
  <c r="D8" i="58"/>
  <c r="AP7" i="58"/>
  <c r="AO7" i="58"/>
  <c r="AN7" i="58"/>
  <c r="AM7" i="58"/>
  <c r="AL7" i="58"/>
  <c r="AK7" i="58"/>
  <c r="AJ7" i="58"/>
  <c r="AI7" i="58"/>
  <c r="AK48" i="56"/>
  <c r="AK47" i="56"/>
  <c r="AQ46" i="56"/>
  <c r="AN46" i="56"/>
  <c r="AS46" i="56" s="1"/>
  <c r="AK46" i="56"/>
  <c r="AQ45" i="56"/>
  <c r="AN45" i="56"/>
  <c r="AS45" i="56" s="1"/>
  <c r="AK45" i="56"/>
  <c r="AQ44" i="56"/>
  <c r="AN44" i="56"/>
  <c r="AS44" i="56" s="1"/>
  <c r="AK44" i="56"/>
  <c r="AQ43" i="56"/>
  <c r="AN43" i="56"/>
  <c r="AS43" i="56" s="1"/>
  <c r="AK43" i="56"/>
  <c r="AQ42" i="56"/>
  <c r="AN42" i="56"/>
  <c r="AS42" i="56" s="1"/>
  <c r="AK42" i="56"/>
  <c r="AQ41" i="56"/>
  <c r="AN41" i="56"/>
  <c r="AS41" i="56" s="1"/>
  <c r="AK41" i="56"/>
  <c r="AO31" i="56"/>
  <c r="AJ31" i="56"/>
  <c r="AK31" i="56" s="1"/>
  <c r="AO30" i="56"/>
  <c r="AO28" i="56"/>
  <c r="AO29" i="56" s="1"/>
  <c r="AO27" i="56"/>
  <c r="W27" i="56"/>
  <c r="X27" i="56" s="1"/>
  <c r="AO26" i="56"/>
  <c r="AN26" i="56"/>
  <c r="AM26" i="56"/>
  <c r="AL26" i="56"/>
  <c r="X26" i="56"/>
  <c r="W26" i="56"/>
  <c r="AO25" i="56"/>
  <c r="AN25" i="56"/>
  <c r="AM25" i="56"/>
  <c r="AL25" i="56"/>
  <c r="X25" i="56"/>
  <c r="W25" i="56"/>
  <c r="X24" i="56"/>
  <c r="W24" i="56"/>
  <c r="AN23" i="56"/>
  <c r="AM23" i="56"/>
  <c r="AL23" i="56"/>
  <c r="W23" i="56"/>
  <c r="X23" i="56" s="1"/>
  <c r="AN22" i="56"/>
  <c r="AM22" i="56"/>
  <c r="AL22" i="56"/>
  <c r="X22" i="56"/>
  <c r="W22" i="56"/>
  <c r="W21" i="56"/>
  <c r="X21" i="56" s="1"/>
  <c r="AD17" i="56"/>
  <c r="AD16" i="56"/>
  <c r="X16" i="56"/>
  <c r="AB15" i="56"/>
  <c r="C15" i="56"/>
  <c r="X14" i="56"/>
  <c r="V14" i="56"/>
  <c r="R14" i="56"/>
  <c r="P14" i="56"/>
  <c r="N14" i="56"/>
  <c r="K14" i="56"/>
  <c r="H14" i="56"/>
  <c r="F14" i="56"/>
  <c r="C14" i="56"/>
  <c r="AF8" i="56"/>
  <c r="AF9" i="56" s="1"/>
  <c r="I8" i="56"/>
  <c r="G8" i="56"/>
  <c r="AP7" i="56"/>
  <c r="AO7" i="56"/>
  <c r="AN7" i="56"/>
  <c r="AM7" i="56"/>
  <c r="AL7" i="56"/>
  <c r="AK7" i="56"/>
  <c r="AJ7" i="56"/>
  <c r="AI7" i="56"/>
  <c r="AK48" i="55"/>
  <c r="AK47" i="55"/>
  <c r="AQ46" i="55"/>
  <c r="AN46" i="55"/>
  <c r="AS46" i="55" s="1"/>
  <c r="AK46" i="55"/>
  <c r="AQ45" i="55"/>
  <c r="AN45" i="55"/>
  <c r="AS45" i="55" s="1"/>
  <c r="AK45" i="55"/>
  <c r="AQ44" i="55"/>
  <c r="AN44" i="55"/>
  <c r="AS44" i="55" s="1"/>
  <c r="AK44" i="55"/>
  <c r="AQ43" i="55"/>
  <c r="AN43" i="55"/>
  <c r="AS43" i="55" s="1"/>
  <c r="AK43" i="55"/>
  <c r="AQ42" i="55"/>
  <c r="AN42" i="55"/>
  <c r="AS42" i="55" s="1"/>
  <c r="AK42" i="55"/>
  <c r="AQ41" i="55"/>
  <c r="AN41" i="55"/>
  <c r="AS41" i="55" s="1"/>
  <c r="AK41" i="55"/>
  <c r="AO31" i="55"/>
  <c r="AJ31" i="55"/>
  <c r="AK31" i="55" s="1"/>
  <c r="AO30" i="55"/>
  <c r="AO28" i="55"/>
  <c r="AO29" i="55" s="1"/>
  <c r="AO27" i="55"/>
  <c r="X27" i="55"/>
  <c r="W27" i="55"/>
  <c r="AO26" i="55"/>
  <c r="AN26" i="55"/>
  <c r="AM26" i="55"/>
  <c r="AL26" i="55"/>
  <c r="I8" i="55" s="1"/>
  <c r="X26" i="55"/>
  <c r="W26" i="55"/>
  <c r="AO25" i="55"/>
  <c r="AN25" i="55"/>
  <c r="AM25" i="55"/>
  <c r="AL25" i="55"/>
  <c r="X25" i="55"/>
  <c r="W25" i="55"/>
  <c r="W24" i="55"/>
  <c r="X24" i="55" s="1"/>
  <c r="AN23" i="55"/>
  <c r="G8" i="55" s="1"/>
  <c r="AM23" i="55"/>
  <c r="AL23" i="55"/>
  <c r="W23" i="55"/>
  <c r="X23" i="55" s="1"/>
  <c r="AN22" i="55"/>
  <c r="AM22" i="55"/>
  <c r="AL22" i="55"/>
  <c r="W22" i="55"/>
  <c r="X22" i="55" s="1"/>
  <c r="W21" i="55"/>
  <c r="X21" i="55" s="1"/>
  <c r="AD16" i="55"/>
  <c r="AD17" i="55" s="1"/>
  <c r="X16" i="55"/>
  <c r="AB15" i="55"/>
  <c r="C15" i="55"/>
  <c r="C16" i="55" s="1"/>
  <c r="C17" i="55" s="1"/>
  <c r="X14" i="55"/>
  <c r="V14" i="55"/>
  <c r="R14" i="55"/>
  <c r="P14" i="55"/>
  <c r="N14" i="55"/>
  <c r="K14" i="55"/>
  <c r="H14" i="55"/>
  <c r="F14" i="55"/>
  <c r="C14" i="55"/>
  <c r="AI9" i="55"/>
  <c r="AF9" i="55"/>
  <c r="AF8" i="55"/>
  <c r="AP7" i="55"/>
  <c r="AO7" i="55"/>
  <c r="AN7" i="55"/>
  <c r="AM7" i="55"/>
  <c r="AL7" i="55"/>
  <c r="AK7" i="55"/>
  <c r="AJ7" i="55"/>
  <c r="AI7" i="55"/>
  <c r="AK48" i="54"/>
  <c r="AK47" i="54"/>
  <c r="AQ46" i="54"/>
  <c r="AN46" i="54"/>
  <c r="AS46" i="54" s="1"/>
  <c r="AK46" i="54"/>
  <c r="AQ45" i="54"/>
  <c r="AN45" i="54"/>
  <c r="AS45" i="54" s="1"/>
  <c r="AK45" i="54"/>
  <c r="AQ44" i="54"/>
  <c r="AN44" i="54"/>
  <c r="AS44" i="54" s="1"/>
  <c r="AK44" i="54"/>
  <c r="AS43" i="54"/>
  <c r="AQ43" i="54"/>
  <c r="AN43" i="54"/>
  <c r="AK43" i="54"/>
  <c r="AQ42" i="54"/>
  <c r="AN42" i="54"/>
  <c r="AS42" i="54" s="1"/>
  <c r="AK42" i="54"/>
  <c r="AQ41" i="54"/>
  <c r="AN41" i="54"/>
  <c r="AS41" i="54" s="1"/>
  <c r="AK41" i="54"/>
  <c r="AO31" i="54"/>
  <c r="AK31" i="54"/>
  <c r="AJ31" i="54"/>
  <c r="AO30" i="54"/>
  <c r="AO28" i="54"/>
  <c r="AO29" i="54" s="1"/>
  <c r="AO27" i="54"/>
  <c r="W27" i="54"/>
  <c r="X27" i="54" s="1"/>
  <c r="AO26" i="54"/>
  <c r="AN26" i="54"/>
  <c r="AM26" i="54"/>
  <c r="AL26" i="54"/>
  <c r="I8" i="54" s="1"/>
  <c r="W26" i="54"/>
  <c r="X26" i="54" s="1"/>
  <c r="AO25" i="54"/>
  <c r="AN25" i="54"/>
  <c r="AM25" i="54"/>
  <c r="AL25" i="54"/>
  <c r="W25" i="54"/>
  <c r="X25" i="54" s="1"/>
  <c r="X24" i="54"/>
  <c r="W24" i="54"/>
  <c r="AN23" i="54"/>
  <c r="G8" i="54" s="1"/>
  <c r="AM23" i="54"/>
  <c r="AL23" i="54"/>
  <c r="X23" i="54"/>
  <c r="W23" i="54"/>
  <c r="AN22" i="54"/>
  <c r="AM22" i="54"/>
  <c r="AL22" i="54"/>
  <c r="X22" i="54"/>
  <c r="W22" i="54"/>
  <c r="W21" i="54"/>
  <c r="X21" i="54" s="1"/>
  <c r="AD16" i="54"/>
  <c r="AD17" i="54" s="1"/>
  <c r="X16" i="54"/>
  <c r="AB15" i="54"/>
  <c r="C15" i="54"/>
  <c r="X14" i="54"/>
  <c r="V14" i="54"/>
  <c r="R14" i="54"/>
  <c r="P14" i="54"/>
  <c r="N14" i="54"/>
  <c r="K14" i="54"/>
  <c r="H14" i="54"/>
  <c r="F14" i="54"/>
  <c r="C14" i="54"/>
  <c r="AF8" i="54"/>
  <c r="AF9" i="54" s="1"/>
  <c r="AP7" i="54"/>
  <c r="AO7" i="54"/>
  <c r="AN7" i="54"/>
  <c r="AM7" i="54"/>
  <c r="AL7" i="54"/>
  <c r="AK7" i="54"/>
  <c r="AJ7" i="54"/>
  <c r="AI7" i="54"/>
  <c r="AK48" i="53"/>
  <c r="AK47" i="53"/>
  <c r="AQ46" i="53"/>
  <c r="AN46" i="53"/>
  <c r="AS46" i="53" s="1"/>
  <c r="AK46" i="53"/>
  <c r="AQ45" i="53"/>
  <c r="AN45" i="53"/>
  <c r="AS45" i="53" s="1"/>
  <c r="AK45" i="53"/>
  <c r="AQ44" i="53"/>
  <c r="AN44" i="53"/>
  <c r="AS44" i="53" s="1"/>
  <c r="AK44" i="53"/>
  <c r="AS43" i="53"/>
  <c r="AQ43" i="53"/>
  <c r="AN43" i="53"/>
  <c r="AK43" i="53"/>
  <c r="AQ42" i="53"/>
  <c r="AN42" i="53"/>
  <c r="AS42" i="53" s="1"/>
  <c r="AK42" i="53"/>
  <c r="AQ41" i="53"/>
  <c r="AN41" i="53"/>
  <c r="AS41" i="53" s="1"/>
  <c r="AK41" i="53"/>
  <c r="AO31" i="53"/>
  <c r="AK31" i="53"/>
  <c r="AJ31" i="53"/>
  <c r="AO30" i="53"/>
  <c r="AO28" i="53"/>
  <c r="AO29" i="53" s="1"/>
  <c r="AO27" i="53"/>
  <c r="W27" i="53"/>
  <c r="X27" i="53" s="1"/>
  <c r="AO26" i="53"/>
  <c r="AN26" i="53"/>
  <c r="AM26" i="53"/>
  <c r="AL26" i="53"/>
  <c r="I8" i="53" s="1"/>
  <c r="X26" i="53"/>
  <c r="W26" i="53"/>
  <c r="AO25" i="53"/>
  <c r="AN25" i="53"/>
  <c r="AM25" i="53"/>
  <c r="AL25" i="53"/>
  <c r="W25" i="53"/>
  <c r="X25" i="53" s="1"/>
  <c r="X24" i="53"/>
  <c r="W24" i="53"/>
  <c r="AN23" i="53"/>
  <c r="AM23" i="53"/>
  <c r="AL23" i="53"/>
  <c r="X23" i="53"/>
  <c r="W23" i="53"/>
  <c r="AN22" i="53"/>
  <c r="AM22" i="53"/>
  <c r="AL22" i="53"/>
  <c r="X22" i="53"/>
  <c r="W22" i="53"/>
  <c r="W21" i="53"/>
  <c r="X21" i="53" s="1"/>
  <c r="AD16" i="53"/>
  <c r="AD17" i="53" s="1"/>
  <c r="X16" i="53"/>
  <c r="AB15" i="53"/>
  <c r="C15" i="53"/>
  <c r="X14" i="53"/>
  <c r="V14" i="53"/>
  <c r="R14" i="53"/>
  <c r="P14" i="53"/>
  <c r="N14" i="53"/>
  <c r="K14" i="53"/>
  <c r="H14" i="53"/>
  <c r="F14" i="53"/>
  <c r="C14" i="53"/>
  <c r="AF8" i="53"/>
  <c r="AF9" i="53" s="1"/>
  <c r="G8" i="53"/>
  <c r="AP7" i="53"/>
  <c r="AO7" i="53"/>
  <c r="AN7" i="53"/>
  <c r="AM7" i="53"/>
  <c r="AL7" i="53"/>
  <c r="AK7" i="53"/>
  <c r="AJ7" i="53"/>
  <c r="AI7" i="53"/>
  <c r="AK48" i="52"/>
  <c r="AK47" i="52"/>
  <c r="AS46" i="52"/>
  <c r="AQ46" i="52"/>
  <c r="AN46" i="52"/>
  <c r="AK46" i="52"/>
  <c r="AQ45" i="52"/>
  <c r="AN45" i="52"/>
  <c r="AS45" i="52" s="1"/>
  <c r="AK45" i="52"/>
  <c r="AS44" i="52"/>
  <c r="AQ44" i="52"/>
  <c r="AN44" i="52"/>
  <c r="AK44" i="52"/>
  <c r="AS43" i="52"/>
  <c r="AQ43" i="52"/>
  <c r="AN43" i="52"/>
  <c r="AK43" i="52"/>
  <c r="AS42" i="52"/>
  <c r="AQ42" i="52"/>
  <c r="AN42" i="52"/>
  <c r="AK42" i="52"/>
  <c r="AQ41" i="52"/>
  <c r="AN41" i="52"/>
  <c r="AS41" i="52" s="1"/>
  <c r="AK41" i="52"/>
  <c r="AO31" i="52"/>
  <c r="AK31" i="52"/>
  <c r="AJ31" i="52"/>
  <c r="AO30" i="52"/>
  <c r="AO28" i="52"/>
  <c r="AO29" i="52" s="1"/>
  <c r="AO27" i="52"/>
  <c r="W27" i="52"/>
  <c r="X27" i="52" s="1"/>
  <c r="AO26" i="52"/>
  <c r="AN26" i="52"/>
  <c r="AM26" i="52"/>
  <c r="AL26" i="52"/>
  <c r="X26" i="52"/>
  <c r="W26" i="52"/>
  <c r="AO25" i="52"/>
  <c r="AN25" i="52"/>
  <c r="AM25" i="52"/>
  <c r="AL25" i="52"/>
  <c r="X25" i="52"/>
  <c r="W25" i="52"/>
  <c r="X24" i="52"/>
  <c r="W24" i="52"/>
  <c r="AN23" i="52"/>
  <c r="G8" i="52" s="1"/>
  <c r="AM23" i="52"/>
  <c r="AL23" i="52"/>
  <c r="W23" i="52"/>
  <c r="X23" i="52" s="1"/>
  <c r="AN22" i="52"/>
  <c r="AM22" i="52"/>
  <c r="AL22" i="52"/>
  <c r="X22" i="52"/>
  <c r="W22" i="52"/>
  <c r="X21" i="52"/>
  <c r="W21" i="52"/>
  <c r="AD16" i="52"/>
  <c r="AD17" i="52" s="1"/>
  <c r="X16" i="52"/>
  <c r="AB15" i="52"/>
  <c r="C15" i="52"/>
  <c r="X14" i="52"/>
  <c r="V14" i="52"/>
  <c r="R14" i="52"/>
  <c r="P14" i="52"/>
  <c r="N14" i="52"/>
  <c r="K14" i="52"/>
  <c r="H14" i="52"/>
  <c r="F14" i="52"/>
  <c r="C14" i="52"/>
  <c r="AF8" i="52"/>
  <c r="AF9" i="52" s="1"/>
  <c r="I8" i="52"/>
  <c r="AP7" i="52"/>
  <c r="AO7" i="52"/>
  <c r="AN7" i="52"/>
  <c r="AM7" i="52"/>
  <c r="AL7" i="52"/>
  <c r="AK7" i="52"/>
  <c r="AJ7" i="52"/>
  <c r="AI7" i="52"/>
  <c r="AK48" i="51"/>
  <c r="AK47" i="51"/>
  <c r="AS46" i="51"/>
  <c r="AQ46" i="51"/>
  <c r="AN46" i="51"/>
  <c r="AK46" i="51"/>
  <c r="AQ45" i="51"/>
  <c r="AN45" i="51"/>
  <c r="AS45" i="51" s="1"/>
  <c r="AK45" i="51"/>
  <c r="AQ44" i="51"/>
  <c r="AN44" i="51"/>
  <c r="AS44" i="51" s="1"/>
  <c r="AK44" i="51"/>
  <c r="AS43" i="51"/>
  <c r="AQ43" i="51"/>
  <c r="AN43" i="51"/>
  <c r="AK43" i="51"/>
  <c r="AS42" i="51"/>
  <c r="AQ42" i="51"/>
  <c r="AN42" i="51"/>
  <c r="AK42" i="51"/>
  <c r="AQ41" i="51"/>
  <c r="AN41" i="51"/>
  <c r="AS41" i="51" s="1"/>
  <c r="AK41" i="51"/>
  <c r="AO31" i="51"/>
  <c r="AK31" i="51"/>
  <c r="AJ31" i="51"/>
  <c r="AO30" i="51"/>
  <c r="AO28" i="51"/>
  <c r="AO29" i="51" s="1"/>
  <c r="AO27" i="51"/>
  <c r="W27" i="51"/>
  <c r="X27" i="51" s="1"/>
  <c r="AO26" i="51"/>
  <c r="AN26" i="51"/>
  <c r="AM26" i="51"/>
  <c r="AL26" i="51"/>
  <c r="I8" i="51" s="1"/>
  <c r="W26" i="51"/>
  <c r="X26" i="51" s="1"/>
  <c r="AO25" i="51"/>
  <c r="AN25" i="51"/>
  <c r="AM25" i="51"/>
  <c r="AL25" i="51"/>
  <c r="X25" i="51"/>
  <c r="W25" i="51"/>
  <c r="X24" i="51"/>
  <c r="W24" i="51"/>
  <c r="AN23" i="51"/>
  <c r="G8" i="51" s="1"/>
  <c r="AM23" i="51"/>
  <c r="AL23" i="51"/>
  <c r="W23" i="51"/>
  <c r="X23" i="51" s="1"/>
  <c r="AN22" i="51"/>
  <c r="AM22" i="51"/>
  <c r="AL22" i="51"/>
  <c r="X22" i="51"/>
  <c r="W22" i="51"/>
  <c r="W21" i="51"/>
  <c r="X21" i="51" s="1"/>
  <c r="AD17" i="51"/>
  <c r="AD16" i="51"/>
  <c r="X16" i="51"/>
  <c r="AB15" i="51"/>
  <c r="C15" i="51"/>
  <c r="X14" i="51"/>
  <c r="V14" i="51"/>
  <c r="R14" i="51"/>
  <c r="P14" i="51"/>
  <c r="N14" i="51"/>
  <c r="K14" i="51"/>
  <c r="H14" i="51"/>
  <c r="F14" i="51"/>
  <c r="C14" i="51"/>
  <c r="AI9" i="51"/>
  <c r="AF8" i="51"/>
  <c r="AF9" i="51" s="1"/>
  <c r="AP7" i="51"/>
  <c r="AO7" i="51"/>
  <c r="AN7" i="51"/>
  <c r="AM7" i="51"/>
  <c r="AL7" i="51"/>
  <c r="AK7" i="51"/>
  <c r="AJ7" i="51"/>
  <c r="AI7" i="51"/>
  <c r="F14" i="34"/>
  <c r="AO31" i="34"/>
  <c r="AP9" i="61" l="1"/>
  <c r="V16" i="61"/>
  <c r="V17" i="61" s="1"/>
  <c r="AN9" i="61"/>
  <c r="P16" i="61"/>
  <c r="P17" i="61" s="1"/>
  <c r="AO9" i="61"/>
  <c r="R16" i="61"/>
  <c r="R17" i="61" s="1"/>
  <c r="Y23" i="61"/>
  <c r="Y15" i="61"/>
  <c r="Y16" i="61" s="1"/>
  <c r="Y17" i="61" s="1"/>
  <c r="Y25" i="61"/>
  <c r="Y24" i="61"/>
  <c r="F16" i="61"/>
  <c r="F17" i="61" s="1"/>
  <c r="D8" i="61"/>
  <c r="AJ9" i="61"/>
  <c r="Y21" i="61"/>
  <c r="Y26" i="61"/>
  <c r="AF6" i="61"/>
  <c r="AF7" i="61" s="1"/>
  <c r="Y27" i="61"/>
  <c r="Y15" i="60"/>
  <c r="Y16" i="60" s="1"/>
  <c r="Y17" i="60" s="1"/>
  <c r="Y27" i="60"/>
  <c r="Y24" i="60"/>
  <c r="Y26" i="60"/>
  <c r="F16" i="60"/>
  <c r="F17" i="60" s="1"/>
  <c r="D8" i="60"/>
  <c r="AJ9" i="60"/>
  <c r="Y25" i="60"/>
  <c r="AF6" i="60"/>
  <c r="AF7" i="60" s="1"/>
  <c r="P16" i="60"/>
  <c r="P17" i="60" s="1"/>
  <c r="AN9" i="60"/>
  <c r="AP9" i="60"/>
  <c r="V16" i="60"/>
  <c r="V17" i="60" s="1"/>
  <c r="AO9" i="60"/>
  <c r="R16" i="60"/>
  <c r="R17" i="60" s="1"/>
  <c r="Z15" i="60"/>
  <c r="Z16" i="60" s="1"/>
  <c r="Z17" i="60" s="1"/>
  <c r="Y23" i="60"/>
  <c r="Y22" i="60"/>
  <c r="R15" i="59"/>
  <c r="P15" i="59"/>
  <c r="V15" i="59"/>
  <c r="Y21" i="59"/>
  <c r="F15" i="59"/>
  <c r="C16" i="59"/>
  <c r="C17" i="59" s="1"/>
  <c r="Y22" i="59"/>
  <c r="AI9" i="59"/>
  <c r="R15" i="58"/>
  <c r="P15" i="58"/>
  <c r="V15" i="58"/>
  <c r="AJ9" i="58"/>
  <c r="Y15" i="58"/>
  <c r="Y16" i="58" s="1"/>
  <c r="Y17" i="58" s="1"/>
  <c r="AI9" i="58"/>
  <c r="R15" i="56"/>
  <c r="P15" i="56"/>
  <c r="AF6" i="56" s="1"/>
  <c r="AF7" i="56" s="1"/>
  <c r="V15" i="56"/>
  <c r="Y21" i="56"/>
  <c r="Y27" i="56"/>
  <c r="F15" i="56"/>
  <c r="Z15" i="56" s="1"/>
  <c r="Z16" i="56" s="1"/>
  <c r="Z17" i="56" s="1"/>
  <c r="C16" i="56"/>
  <c r="C17" i="56" s="1"/>
  <c r="AI9" i="56"/>
  <c r="P15" i="55"/>
  <c r="AN9" i="55" s="1"/>
  <c r="R15" i="55"/>
  <c r="V15" i="55"/>
  <c r="F15" i="55"/>
  <c r="R15" i="54"/>
  <c r="P15" i="54"/>
  <c r="V15" i="54"/>
  <c r="F15" i="54"/>
  <c r="Y26" i="54" s="1"/>
  <c r="C16" i="54"/>
  <c r="C17" i="54" s="1"/>
  <c r="AI9" i="54"/>
  <c r="R15" i="53"/>
  <c r="P15" i="53"/>
  <c r="V15" i="53"/>
  <c r="Y25" i="53"/>
  <c r="Y15" i="53"/>
  <c r="Y16" i="53" s="1"/>
  <c r="Y17" i="53" s="1"/>
  <c r="Z15" i="53"/>
  <c r="Z16" i="53" s="1"/>
  <c r="Z17" i="53" s="1"/>
  <c r="F15" i="53"/>
  <c r="AF6" i="53" s="1"/>
  <c r="AF7" i="53" s="1"/>
  <c r="C16" i="53"/>
  <c r="C17" i="53" s="1"/>
  <c r="AI9" i="53"/>
  <c r="Y27" i="52"/>
  <c r="Y25" i="52"/>
  <c r="R15" i="52"/>
  <c r="P15" i="52"/>
  <c r="AF6" i="52" s="1"/>
  <c r="AF7" i="52" s="1"/>
  <c r="V15" i="52"/>
  <c r="Y23" i="52"/>
  <c r="Y26" i="52"/>
  <c r="Z15" i="52"/>
  <c r="Z16" i="52" s="1"/>
  <c r="Z17" i="52" s="1"/>
  <c r="Y21" i="52"/>
  <c r="Y22" i="52"/>
  <c r="Y24" i="52"/>
  <c r="F15" i="52"/>
  <c r="C16" i="52"/>
  <c r="C17" i="52" s="1"/>
  <c r="AI9" i="52"/>
  <c r="V15" i="51"/>
  <c r="R15" i="51"/>
  <c r="P15" i="51"/>
  <c r="Y27" i="51"/>
  <c r="Y21" i="51"/>
  <c r="Y24" i="51"/>
  <c r="F15" i="51"/>
  <c r="Y26" i="51" s="1"/>
  <c r="C16" i="51"/>
  <c r="C17" i="51" s="1"/>
  <c r="N15" i="61" l="1"/>
  <c r="K15" i="61"/>
  <c r="H15" i="61"/>
  <c r="AB16" i="61"/>
  <c r="AB17" i="61" s="1"/>
  <c r="N15" i="60"/>
  <c r="H15" i="60"/>
  <c r="AB16" i="60"/>
  <c r="AB17" i="60" s="1"/>
  <c r="K15" i="60"/>
  <c r="AF6" i="59"/>
  <c r="AF7" i="59" s="1"/>
  <c r="Y26" i="59"/>
  <c r="Y23" i="59"/>
  <c r="Y24" i="59"/>
  <c r="AP9" i="59"/>
  <c r="V16" i="59"/>
  <c r="V17" i="59" s="1"/>
  <c r="F16" i="59"/>
  <c r="F17" i="59" s="1"/>
  <c r="D8" i="59"/>
  <c r="Z15" i="59"/>
  <c r="Z16" i="59" s="1"/>
  <c r="Z17" i="59" s="1"/>
  <c r="Y15" i="59"/>
  <c r="Y16" i="59" s="1"/>
  <c r="Y17" i="59" s="1"/>
  <c r="AJ9" i="59"/>
  <c r="Y27" i="59"/>
  <c r="P16" i="59"/>
  <c r="P17" i="59" s="1"/>
  <c r="AN9" i="59"/>
  <c r="R16" i="59"/>
  <c r="R17" i="59" s="1"/>
  <c r="AO9" i="59"/>
  <c r="Y25" i="59"/>
  <c r="P16" i="58"/>
  <c r="P17" i="58" s="1"/>
  <c r="AF6" i="58"/>
  <c r="AF7" i="58" s="1"/>
  <c r="AN9" i="58"/>
  <c r="AP9" i="58"/>
  <c r="V16" i="58"/>
  <c r="V17" i="58" s="1"/>
  <c r="AO9" i="58"/>
  <c r="R16" i="58"/>
  <c r="R17" i="58" s="1"/>
  <c r="H15" i="56"/>
  <c r="N15" i="56"/>
  <c r="AB16" i="56"/>
  <c r="AB17" i="56" s="1"/>
  <c r="K15" i="56"/>
  <c r="AV42" i="56" s="1"/>
  <c r="AO9" i="56"/>
  <c r="R16" i="56"/>
  <c r="R17" i="56" s="1"/>
  <c r="P16" i="56"/>
  <c r="P17" i="56" s="1"/>
  <c r="AN9" i="56"/>
  <c r="AM16" i="56"/>
  <c r="AV45" i="56"/>
  <c r="AP9" i="56"/>
  <c r="V16" i="56"/>
  <c r="V17" i="56" s="1"/>
  <c r="F16" i="56"/>
  <c r="F17" i="56" s="1"/>
  <c r="Y24" i="56"/>
  <c r="AV43" i="56"/>
  <c r="D8" i="56"/>
  <c r="Y22" i="56"/>
  <c r="Y25" i="56"/>
  <c r="AJ9" i="56"/>
  <c r="Y26" i="56"/>
  <c r="AX41" i="56"/>
  <c r="AX42" i="56" s="1"/>
  <c r="AX43" i="56" s="1"/>
  <c r="AX44" i="56" s="1"/>
  <c r="AX45" i="56" s="1"/>
  <c r="AX46" i="56" s="1"/>
  <c r="AX47" i="56" s="1"/>
  <c r="AX48" i="56" s="1"/>
  <c r="Y15" i="56"/>
  <c r="Y16" i="56" s="1"/>
  <c r="Y17" i="56" s="1"/>
  <c r="AV41" i="56"/>
  <c r="Y23" i="56"/>
  <c r="AV48" i="56"/>
  <c r="AV47" i="56"/>
  <c r="AV44" i="56"/>
  <c r="AF6" i="55"/>
  <c r="AF7" i="55" s="1"/>
  <c r="N15" i="55" s="1"/>
  <c r="P16" i="55"/>
  <c r="P17" i="55" s="1"/>
  <c r="F16" i="55"/>
  <c r="F17" i="55" s="1"/>
  <c r="D8" i="55"/>
  <c r="Y26" i="55"/>
  <c r="AJ9" i="55"/>
  <c r="Z15" i="55"/>
  <c r="Z16" i="55" s="1"/>
  <c r="Z17" i="55" s="1"/>
  <c r="Y23" i="55"/>
  <c r="Y27" i="55"/>
  <c r="Y25" i="55"/>
  <c r="Y15" i="55"/>
  <c r="Y16" i="55" s="1"/>
  <c r="Y17" i="55" s="1"/>
  <c r="AP9" i="55"/>
  <c r="V16" i="55"/>
  <c r="V17" i="55" s="1"/>
  <c r="Y24" i="55"/>
  <c r="AO9" i="55"/>
  <c r="R16" i="55"/>
  <c r="R17" i="55" s="1"/>
  <c r="Y21" i="55"/>
  <c r="Y22" i="55"/>
  <c r="Y24" i="54"/>
  <c r="Y21" i="54"/>
  <c r="Y27" i="54"/>
  <c r="Z15" i="54"/>
  <c r="Z16" i="54" s="1"/>
  <c r="Z17" i="54" s="1"/>
  <c r="AP9" i="54"/>
  <c r="V16" i="54"/>
  <c r="V17" i="54" s="1"/>
  <c r="P16" i="54"/>
  <c r="P17" i="54" s="1"/>
  <c r="AN9" i="54"/>
  <c r="Y15" i="54"/>
  <c r="Y16" i="54" s="1"/>
  <c r="Y17" i="54" s="1"/>
  <c r="AO9" i="54"/>
  <c r="R16" i="54"/>
  <c r="R17" i="54" s="1"/>
  <c r="Y23" i="54"/>
  <c r="AF6" i="54"/>
  <c r="AF7" i="54" s="1"/>
  <c r="Y22" i="54"/>
  <c r="F16" i="54"/>
  <c r="F17" i="54" s="1"/>
  <c r="D8" i="54"/>
  <c r="AJ9" i="54"/>
  <c r="Y25" i="54"/>
  <c r="N15" i="53"/>
  <c r="AV45" i="53" s="1"/>
  <c r="K15" i="53"/>
  <c r="H15" i="53"/>
  <c r="AB16" i="53"/>
  <c r="AB17" i="53" s="1"/>
  <c r="Y27" i="53"/>
  <c r="AP9" i="53"/>
  <c r="V16" i="53"/>
  <c r="V17" i="53" s="1"/>
  <c r="P16" i="53"/>
  <c r="P17" i="53" s="1"/>
  <c r="AN9" i="53"/>
  <c r="F16" i="53"/>
  <c r="F17" i="53" s="1"/>
  <c r="D8" i="53"/>
  <c r="AJ9" i="53"/>
  <c r="Y23" i="53"/>
  <c r="Y24" i="53"/>
  <c r="AO9" i="53"/>
  <c r="R16" i="53"/>
  <c r="R17" i="53" s="1"/>
  <c r="Y21" i="53"/>
  <c r="Y22" i="53"/>
  <c r="Y26" i="53"/>
  <c r="AB16" i="52"/>
  <c r="AB17" i="52" s="1"/>
  <c r="K15" i="52"/>
  <c r="H15" i="52"/>
  <c r="N15" i="52"/>
  <c r="AV41" i="52" s="1"/>
  <c r="AP9" i="52"/>
  <c r="V16" i="52"/>
  <c r="V17" i="52" s="1"/>
  <c r="P16" i="52"/>
  <c r="P17" i="52" s="1"/>
  <c r="AN9" i="52"/>
  <c r="AO9" i="52"/>
  <c r="R16" i="52"/>
  <c r="R17" i="52" s="1"/>
  <c r="D8" i="52"/>
  <c r="AJ9" i="52"/>
  <c r="F16" i="52"/>
  <c r="F17" i="52" s="1"/>
  <c r="Y15" i="52"/>
  <c r="Y16" i="52" s="1"/>
  <c r="Y17" i="52" s="1"/>
  <c r="Y22" i="51"/>
  <c r="D8" i="51"/>
  <c r="Z15" i="51"/>
  <c r="Z16" i="51" s="1"/>
  <c r="Z17" i="51" s="1"/>
  <c r="Y15" i="51"/>
  <c r="Y16" i="51" s="1"/>
  <c r="Y17" i="51" s="1"/>
  <c r="AJ9" i="51"/>
  <c r="F16" i="51"/>
  <c r="F17" i="51" s="1"/>
  <c r="Y25" i="51"/>
  <c r="AF6" i="51"/>
  <c r="AF7" i="51" s="1"/>
  <c r="AN9" i="51"/>
  <c r="P16" i="51"/>
  <c r="P17" i="51" s="1"/>
  <c r="Y23" i="51"/>
  <c r="AO9" i="51"/>
  <c r="R16" i="51"/>
  <c r="R17" i="51" s="1"/>
  <c r="AP9" i="51"/>
  <c r="V16" i="51"/>
  <c r="V17" i="51" s="1"/>
  <c r="AM9" i="61" l="1"/>
  <c r="N16" i="61"/>
  <c r="N17" i="61" s="1"/>
  <c r="H16" i="61"/>
  <c r="H17" i="61" s="1"/>
  <c r="AM15" i="61"/>
  <c r="AK9" i="61"/>
  <c r="AV45" i="61"/>
  <c r="AV41" i="61"/>
  <c r="AV47" i="61"/>
  <c r="AX41" i="61"/>
  <c r="AX42" i="61" s="1"/>
  <c r="AX43" i="61" s="1"/>
  <c r="AX44" i="61" s="1"/>
  <c r="AX45" i="61" s="1"/>
  <c r="AX46" i="61" s="1"/>
  <c r="AX47" i="61" s="1"/>
  <c r="AX48" i="61" s="1"/>
  <c r="AV43" i="61"/>
  <c r="AV48" i="61"/>
  <c r="AV44" i="61"/>
  <c r="AV42" i="61"/>
  <c r="AM16" i="61"/>
  <c r="AV46" i="61"/>
  <c r="AB9" i="61"/>
  <c r="AB8" i="61"/>
  <c r="K16" i="61"/>
  <c r="K17" i="61" s="1"/>
  <c r="AL9" i="61"/>
  <c r="K16" i="60"/>
  <c r="K17" i="60" s="1"/>
  <c r="AL9" i="60"/>
  <c r="H16" i="60"/>
  <c r="H17" i="60" s="1"/>
  <c r="AM15" i="60"/>
  <c r="AK9" i="60"/>
  <c r="AB9" i="60"/>
  <c r="AI15" i="60" s="1"/>
  <c r="AV45" i="60"/>
  <c r="AV41" i="60"/>
  <c r="AV48" i="60"/>
  <c r="AM16" i="60"/>
  <c r="AV47" i="60"/>
  <c r="AV42" i="60"/>
  <c r="AV46" i="60"/>
  <c r="AV44" i="60"/>
  <c r="AV43" i="60"/>
  <c r="AX41" i="60"/>
  <c r="AX42" i="60" s="1"/>
  <c r="AX43" i="60" s="1"/>
  <c r="AX44" i="60" s="1"/>
  <c r="AX45" i="60" s="1"/>
  <c r="AX46" i="60" s="1"/>
  <c r="AX47" i="60" s="1"/>
  <c r="AX48" i="60" s="1"/>
  <c r="AB8" i="60"/>
  <c r="AM9" i="60"/>
  <c r="N16" i="60"/>
  <c r="N17" i="60" s="1"/>
  <c r="H15" i="59"/>
  <c r="N15" i="59"/>
  <c r="K15" i="59"/>
  <c r="AB16" i="59"/>
  <c r="AB17" i="59" s="1"/>
  <c r="N15" i="58"/>
  <c r="K15" i="58"/>
  <c r="H15" i="58"/>
  <c r="AB16" i="58"/>
  <c r="AB17" i="58" s="1"/>
  <c r="AY42" i="56"/>
  <c r="AL42" i="56" s="1"/>
  <c r="AW42" i="56"/>
  <c r="AY45" i="56"/>
  <c r="AL45" i="56" s="1"/>
  <c r="AW45" i="56"/>
  <c r="AY44" i="56"/>
  <c r="AL44" i="56" s="1"/>
  <c r="AW44" i="56"/>
  <c r="AY41" i="56"/>
  <c r="AL41" i="56" s="1"/>
  <c r="AW41" i="56"/>
  <c r="AY43" i="56"/>
  <c r="AL43" i="56" s="1"/>
  <c r="AW43" i="56"/>
  <c r="AB9" i="56"/>
  <c r="AL9" i="56"/>
  <c r="K16" i="56"/>
  <c r="K17" i="56" s="1"/>
  <c r="AY47" i="56"/>
  <c r="AL47" i="56" s="1"/>
  <c r="AW47" i="56"/>
  <c r="N16" i="56"/>
  <c r="N17" i="56" s="1"/>
  <c r="AM9" i="56"/>
  <c r="AY48" i="56"/>
  <c r="AL48" i="56" s="1"/>
  <c r="AW48" i="56"/>
  <c r="AB8" i="56"/>
  <c r="AM15" i="56"/>
  <c r="AK9" i="56"/>
  <c r="AP11" i="56" s="1"/>
  <c r="H16" i="56"/>
  <c r="H17" i="56" s="1"/>
  <c r="AV46" i="56"/>
  <c r="AB16" i="55"/>
  <c r="AB17" i="55" s="1"/>
  <c r="H15" i="55"/>
  <c r="H16" i="55" s="1"/>
  <c r="H17" i="55" s="1"/>
  <c r="K15" i="55"/>
  <c r="K16" i="55" s="1"/>
  <c r="K17" i="55" s="1"/>
  <c r="AM9" i="55"/>
  <c r="N16" i="55"/>
  <c r="N17" i="55" s="1"/>
  <c r="N15" i="54"/>
  <c r="K15" i="54"/>
  <c r="H15" i="54"/>
  <c r="AB16" i="54"/>
  <c r="AB17" i="54" s="1"/>
  <c r="AV43" i="53"/>
  <c r="AM16" i="53"/>
  <c r="AV41" i="53"/>
  <c r="AW43" i="53"/>
  <c r="AW45" i="53"/>
  <c r="AY41" i="53"/>
  <c r="AL41" i="53" s="1"/>
  <c r="AW41" i="53"/>
  <c r="H16" i="53"/>
  <c r="H17" i="53" s="1"/>
  <c r="AM15" i="53"/>
  <c r="AK9" i="53"/>
  <c r="AV47" i="53"/>
  <c r="AV42" i="53"/>
  <c r="AX41" i="53"/>
  <c r="AX42" i="53" s="1"/>
  <c r="AX43" i="53" s="1"/>
  <c r="AX44" i="53" s="1"/>
  <c r="AX45" i="53" s="1"/>
  <c r="AX46" i="53" s="1"/>
  <c r="AX47" i="53" s="1"/>
  <c r="AX48" i="53" s="1"/>
  <c r="AB9" i="53"/>
  <c r="AI15" i="53" s="1"/>
  <c r="AB8" i="53"/>
  <c r="AV46" i="53"/>
  <c r="AV48" i="53"/>
  <c r="AV44" i="53"/>
  <c r="K16" i="53"/>
  <c r="K17" i="53" s="1"/>
  <c r="AL9" i="53"/>
  <c r="N16" i="53"/>
  <c r="N17" i="53" s="1"/>
  <c r="AM9" i="53"/>
  <c r="AB8" i="52"/>
  <c r="AM16" i="52"/>
  <c r="AW41" i="52"/>
  <c r="AM9" i="52"/>
  <c r="N16" i="52"/>
  <c r="N17" i="52" s="1"/>
  <c r="AM15" i="52"/>
  <c r="AK9" i="52"/>
  <c r="H16" i="52"/>
  <c r="H17" i="52" s="1"/>
  <c r="AX41" i="52"/>
  <c r="AX42" i="52" s="1"/>
  <c r="AX43" i="52" s="1"/>
  <c r="AX44" i="52" s="1"/>
  <c r="AX45" i="52" s="1"/>
  <c r="AX46" i="52" s="1"/>
  <c r="AX47" i="52" s="1"/>
  <c r="AX48" i="52" s="1"/>
  <c r="AV48" i="52"/>
  <c r="AV47" i="52"/>
  <c r="AV46" i="52"/>
  <c r="AV42" i="52"/>
  <c r="AV44" i="52"/>
  <c r="AV43" i="52"/>
  <c r="AB9" i="52"/>
  <c r="AI15" i="52" s="1"/>
  <c r="AL9" i="52"/>
  <c r="K16" i="52"/>
  <c r="K17" i="52" s="1"/>
  <c r="AV45" i="52"/>
  <c r="AB16" i="51"/>
  <c r="AB17" i="51" s="1"/>
  <c r="N15" i="51"/>
  <c r="K15" i="51"/>
  <c r="H15" i="51"/>
  <c r="AY48" i="61" l="1"/>
  <c r="AL48" i="61" s="1"/>
  <c r="AW48" i="61"/>
  <c r="AY41" i="61"/>
  <c r="AL41" i="61" s="1"/>
  <c r="AW41" i="61"/>
  <c r="AY45" i="61"/>
  <c r="AL45" i="61" s="1"/>
  <c r="AW45" i="61"/>
  <c r="AP11" i="61"/>
  <c r="AY43" i="61"/>
  <c r="AL43" i="61" s="1"/>
  <c r="AW43" i="61"/>
  <c r="AM17" i="61"/>
  <c r="AI16" i="61"/>
  <c r="AY46" i="61"/>
  <c r="AL46" i="61" s="1"/>
  <c r="AW46" i="61"/>
  <c r="AI15" i="61"/>
  <c r="AY47" i="61"/>
  <c r="AL47" i="61" s="1"/>
  <c r="AW47" i="61"/>
  <c r="X17" i="61"/>
  <c r="AW42" i="61"/>
  <c r="AY42" i="61"/>
  <c r="AL42" i="61" s="1"/>
  <c r="AY44" i="61"/>
  <c r="AL44" i="61" s="1"/>
  <c r="AW44" i="61"/>
  <c r="AY47" i="60"/>
  <c r="AL47" i="60" s="1"/>
  <c r="AW47" i="60"/>
  <c r="AY41" i="60"/>
  <c r="AL41" i="60" s="1"/>
  <c r="AW41" i="60"/>
  <c r="AY45" i="60"/>
  <c r="AL45" i="60" s="1"/>
  <c r="AW45" i="60"/>
  <c r="AP11" i="60"/>
  <c r="AY48" i="60"/>
  <c r="AL48" i="60" s="1"/>
  <c r="AW48" i="60"/>
  <c r="AY43" i="60"/>
  <c r="AL43" i="60" s="1"/>
  <c r="AW43" i="60"/>
  <c r="AY42" i="60"/>
  <c r="AL42" i="60" s="1"/>
  <c r="AW42" i="60"/>
  <c r="AY44" i="60"/>
  <c r="AL44" i="60" s="1"/>
  <c r="AW44" i="60"/>
  <c r="X17" i="60"/>
  <c r="AI16" i="60"/>
  <c r="AI17" i="60" s="1"/>
  <c r="AM17" i="60"/>
  <c r="AY46" i="60"/>
  <c r="AL46" i="60" s="1"/>
  <c r="AW46" i="60"/>
  <c r="K16" i="59"/>
  <c r="K17" i="59" s="1"/>
  <c r="AL9" i="59"/>
  <c r="N16" i="59"/>
  <c r="N17" i="59" s="1"/>
  <c r="AM9" i="59"/>
  <c r="H16" i="59"/>
  <c r="H17" i="59" s="1"/>
  <c r="AK9" i="59"/>
  <c r="AM15" i="59"/>
  <c r="AB8" i="59"/>
  <c r="AV42" i="59"/>
  <c r="AX41" i="59"/>
  <c r="AX42" i="59" s="1"/>
  <c r="AX43" i="59" s="1"/>
  <c r="AX44" i="59" s="1"/>
  <c r="AX45" i="59" s="1"/>
  <c r="AX46" i="59" s="1"/>
  <c r="AX47" i="59" s="1"/>
  <c r="AX48" i="59" s="1"/>
  <c r="AV44" i="59"/>
  <c r="AB9" i="59"/>
  <c r="AI15" i="59" s="1"/>
  <c r="AV46" i="59"/>
  <c r="AV45" i="59"/>
  <c r="AV43" i="59"/>
  <c r="AV41" i="59"/>
  <c r="AV47" i="59"/>
  <c r="AV48" i="59"/>
  <c r="AM16" i="59"/>
  <c r="N16" i="58"/>
  <c r="N17" i="58" s="1"/>
  <c r="AM9" i="58"/>
  <c r="K16" i="58"/>
  <c r="K17" i="58" s="1"/>
  <c r="AL9" i="58"/>
  <c r="H16" i="58"/>
  <c r="H17" i="58" s="1"/>
  <c r="AM15" i="58"/>
  <c r="AK9" i="58"/>
  <c r="AV43" i="58"/>
  <c r="AB8" i="58"/>
  <c r="AV46" i="58"/>
  <c r="AV44" i="58"/>
  <c r="AV41" i="58"/>
  <c r="AV42" i="58"/>
  <c r="AV45" i="58"/>
  <c r="AB9" i="58"/>
  <c r="AI15" i="58" s="1"/>
  <c r="AV48" i="58"/>
  <c r="AV47" i="58"/>
  <c r="AX41" i="58"/>
  <c r="AX42" i="58" s="1"/>
  <c r="AX43" i="58" s="1"/>
  <c r="AX44" i="58" s="1"/>
  <c r="AX45" i="58" s="1"/>
  <c r="AX46" i="58" s="1"/>
  <c r="AX47" i="58" s="1"/>
  <c r="AX48" i="58" s="1"/>
  <c r="AM16" i="58"/>
  <c r="AM17" i="56"/>
  <c r="AI16" i="56"/>
  <c r="AI15" i="56"/>
  <c r="AI17" i="56" s="1"/>
  <c r="AY46" i="56"/>
  <c r="AL46" i="56" s="1"/>
  <c r="AW46" i="56"/>
  <c r="X17" i="56"/>
  <c r="AV45" i="55"/>
  <c r="AW45" i="55" s="1"/>
  <c r="AV42" i="55"/>
  <c r="AW42" i="55" s="1"/>
  <c r="AB9" i="55"/>
  <c r="AM17" i="55" s="1"/>
  <c r="AM16" i="55"/>
  <c r="AB8" i="55"/>
  <c r="AM15" i="55"/>
  <c r="AL9" i="55"/>
  <c r="AV46" i="55"/>
  <c r="AW46" i="55" s="1"/>
  <c r="AV41" i="55"/>
  <c r="AW41" i="55" s="1"/>
  <c r="AV43" i="55"/>
  <c r="AV48" i="55"/>
  <c r="AW48" i="55" s="1"/>
  <c r="AV47" i="55"/>
  <c r="AX41" i="55"/>
  <c r="AX42" i="55" s="1"/>
  <c r="AX43" i="55" s="1"/>
  <c r="AX44" i="55" s="1"/>
  <c r="AX45" i="55" s="1"/>
  <c r="AX46" i="55" s="1"/>
  <c r="AX47" i="55" s="1"/>
  <c r="AX48" i="55" s="1"/>
  <c r="AK9" i="55"/>
  <c r="AV44" i="55"/>
  <c r="X17" i="55"/>
  <c r="K16" i="54"/>
  <c r="K17" i="54" s="1"/>
  <c r="AL9" i="54"/>
  <c r="H16" i="54"/>
  <c r="H17" i="54" s="1"/>
  <c r="AM15" i="54"/>
  <c r="AK9" i="54"/>
  <c r="AV42" i="54"/>
  <c r="AV43" i="54"/>
  <c r="AB9" i="54"/>
  <c r="AV48" i="54"/>
  <c r="AV41" i="54"/>
  <c r="AV44" i="54"/>
  <c r="AV47" i="54"/>
  <c r="AV46" i="54"/>
  <c r="AV45" i="54"/>
  <c r="AB8" i="54"/>
  <c r="AX41" i="54"/>
  <c r="AX42" i="54" s="1"/>
  <c r="AX43" i="54" s="1"/>
  <c r="AX44" i="54" s="1"/>
  <c r="AX45" i="54" s="1"/>
  <c r="AX46" i="54" s="1"/>
  <c r="AX47" i="54" s="1"/>
  <c r="AX48" i="54" s="1"/>
  <c r="AM16" i="54"/>
  <c r="N16" i="54"/>
  <c r="N17" i="54" s="1"/>
  <c r="AM9" i="54"/>
  <c r="AY45" i="53"/>
  <c r="AL45" i="53" s="1"/>
  <c r="AY42" i="53"/>
  <c r="AL42" i="53" s="1"/>
  <c r="AW42" i="53"/>
  <c r="AP11" i="53"/>
  <c r="AY44" i="53"/>
  <c r="AL44" i="53" s="1"/>
  <c r="AW44" i="53"/>
  <c r="AY47" i="53"/>
  <c r="AL47" i="53" s="1"/>
  <c r="AW47" i="53"/>
  <c r="AY48" i="53"/>
  <c r="AL48" i="53" s="1"/>
  <c r="AW48" i="53"/>
  <c r="AI17" i="53"/>
  <c r="X17" i="53"/>
  <c r="AY46" i="53"/>
  <c r="AL46" i="53" s="1"/>
  <c r="AW46" i="53"/>
  <c r="AM17" i="53"/>
  <c r="AI16" i="53"/>
  <c r="AY43" i="53"/>
  <c r="AL43" i="53" s="1"/>
  <c r="X17" i="52"/>
  <c r="AP11" i="52"/>
  <c r="AY45" i="52"/>
  <c r="AL45" i="52" s="1"/>
  <c r="AW45" i="52"/>
  <c r="AW43" i="52"/>
  <c r="AY43" i="52"/>
  <c r="AL43" i="52" s="1"/>
  <c r="AY44" i="52"/>
  <c r="AL44" i="52" s="1"/>
  <c r="AW44" i="52"/>
  <c r="AY42" i="52"/>
  <c r="AL42" i="52" s="1"/>
  <c r="AW42" i="52"/>
  <c r="AY41" i="52"/>
  <c r="AL41" i="52" s="1"/>
  <c r="AM17" i="52"/>
  <c r="AI16" i="52"/>
  <c r="AI17" i="52" s="1"/>
  <c r="AY46" i="52"/>
  <c r="AL46" i="52" s="1"/>
  <c r="AW46" i="52"/>
  <c r="AY48" i="52"/>
  <c r="AL48" i="52" s="1"/>
  <c r="AW48" i="52"/>
  <c r="AY47" i="52"/>
  <c r="AL47" i="52" s="1"/>
  <c r="AW47" i="52"/>
  <c r="AM15" i="51"/>
  <c r="AK9" i="51"/>
  <c r="H16" i="51"/>
  <c r="H17" i="51" s="1"/>
  <c r="AV44" i="51"/>
  <c r="AV45" i="51"/>
  <c r="AV43" i="51"/>
  <c r="AB8" i="51"/>
  <c r="AV47" i="51"/>
  <c r="AV41" i="51"/>
  <c r="AX41" i="51"/>
  <c r="AX42" i="51" s="1"/>
  <c r="AX43" i="51" s="1"/>
  <c r="AX44" i="51" s="1"/>
  <c r="AX45" i="51" s="1"/>
  <c r="AX46" i="51" s="1"/>
  <c r="AX47" i="51" s="1"/>
  <c r="AX48" i="51" s="1"/>
  <c r="AV48" i="51"/>
  <c r="AV46" i="51"/>
  <c r="AB9" i="51"/>
  <c r="AI15" i="51" s="1"/>
  <c r="AM16" i="51"/>
  <c r="AV42" i="51"/>
  <c r="AL9" i="51"/>
  <c r="K16" i="51"/>
  <c r="K17" i="51" s="1"/>
  <c r="N16" i="51"/>
  <c r="N17" i="51" s="1"/>
  <c r="AM9" i="51"/>
  <c r="AI17" i="61" l="1"/>
  <c r="AI15" i="55"/>
  <c r="AP11" i="59"/>
  <c r="X17" i="59"/>
  <c r="AY44" i="59"/>
  <c r="AL44" i="59" s="1"/>
  <c r="AW44" i="59"/>
  <c r="AY43" i="59"/>
  <c r="AL43" i="59" s="1"/>
  <c r="AW43" i="59"/>
  <c r="AY42" i="59"/>
  <c r="AL42" i="59" s="1"/>
  <c r="AW42" i="59"/>
  <c r="AY45" i="59"/>
  <c r="AL45" i="59" s="1"/>
  <c r="AW45" i="59"/>
  <c r="AY48" i="59"/>
  <c r="AL48" i="59" s="1"/>
  <c r="AW48" i="59"/>
  <c r="AY47" i="59"/>
  <c r="AL47" i="59" s="1"/>
  <c r="AW47" i="59"/>
  <c r="AW41" i="59"/>
  <c r="AY41" i="59"/>
  <c r="AL41" i="59" s="1"/>
  <c r="AY46" i="59"/>
  <c r="AL46" i="59" s="1"/>
  <c r="AW46" i="59"/>
  <c r="AM17" i="59"/>
  <c r="AI16" i="59"/>
  <c r="AI17" i="59" s="1"/>
  <c r="AY46" i="58"/>
  <c r="AL46" i="58" s="1"/>
  <c r="AW46" i="58"/>
  <c r="AY45" i="58"/>
  <c r="AL45" i="58" s="1"/>
  <c r="AW45" i="58"/>
  <c r="AY43" i="58"/>
  <c r="AL43" i="58" s="1"/>
  <c r="AW43" i="58"/>
  <c r="AP11" i="58"/>
  <c r="AY47" i="58"/>
  <c r="AL47" i="58" s="1"/>
  <c r="AW47" i="58"/>
  <c r="X17" i="58"/>
  <c r="AY41" i="58"/>
  <c r="AL41" i="58" s="1"/>
  <c r="AW41" i="58"/>
  <c r="AY44" i="58"/>
  <c r="AL44" i="58" s="1"/>
  <c r="AW44" i="58"/>
  <c r="AY48" i="58"/>
  <c r="AL48" i="58" s="1"/>
  <c r="AW48" i="58"/>
  <c r="AM17" i="58"/>
  <c r="AI16" i="58"/>
  <c r="AI17" i="58" s="1"/>
  <c r="AY42" i="58"/>
  <c r="AL42" i="58" s="1"/>
  <c r="AW42" i="58"/>
  <c r="AI16" i="55"/>
  <c r="AI17" i="55" s="1"/>
  <c r="AY48" i="55"/>
  <c r="AL48" i="55" s="1"/>
  <c r="AP11" i="55"/>
  <c r="AY44" i="55"/>
  <c r="AL44" i="55" s="1"/>
  <c r="AY47" i="55"/>
  <c r="AL47" i="55" s="1"/>
  <c r="AW47" i="55"/>
  <c r="AY45" i="55"/>
  <c r="AL45" i="55" s="1"/>
  <c r="AY43" i="55"/>
  <c r="AL43" i="55" s="1"/>
  <c r="AY42" i="55"/>
  <c r="AL42" i="55" s="1"/>
  <c r="AY41" i="55"/>
  <c r="AL41" i="55" s="1"/>
  <c r="AW43" i="55"/>
  <c r="AW44" i="55"/>
  <c r="AY46" i="55"/>
  <c r="AL46" i="55" s="1"/>
  <c r="AY44" i="54"/>
  <c r="AL44" i="54" s="1"/>
  <c r="AW44" i="54"/>
  <c r="AY43" i="54"/>
  <c r="AL43" i="54" s="1"/>
  <c r="AW43" i="54"/>
  <c r="AY42" i="54"/>
  <c r="AL42" i="54" s="1"/>
  <c r="AW42" i="54"/>
  <c r="AY41" i="54"/>
  <c r="AL41" i="54" s="1"/>
  <c r="AW41" i="54"/>
  <c r="AP11" i="54"/>
  <c r="AY48" i="54"/>
  <c r="AL48" i="54" s="1"/>
  <c r="AW48" i="54"/>
  <c r="X17" i="54"/>
  <c r="AY46" i="54"/>
  <c r="AL46" i="54" s="1"/>
  <c r="AW46" i="54"/>
  <c r="AM17" i="54"/>
  <c r="AI16" i="54"/>
  <c r="AI15" i="54"/>
  <c r="AI17" i="54" s="1"/>
  <c r="AY45" i="54"/>
  <c r="AL45" i="54" s="1"/>
  <c r="AW45" i="54"/>
  <c r="AY47" i="54"/>
  <c r="AL47" i="54" s="1"/>
  <c r="AW47" i="54"/>
  <c r="AP11" i="51"/>
  <c r="AW46" i="51"/>
  <c r="AY46" i="51"/>
  <c r="AL46" i="51" s="1"/>
  <c r="AW43" i="51"/>
  <c r="AY43" i="51"/>
  <c r="AL43" i="51" s="1"/>
  <c r="AM17" i="51"/>
  <c r="AI16" i="51"/>
  <c r="AI17" i="51" s="1"/>
  <c r="AY48" i="51"/>
  <c r="AL48" i="51" s="1"/>
  <c r="AW48" i="51"/>
  <c r="AW41" i="51"/>
  <c r="AY41" i="51"/>
  <c r="AL41" i="51" s="1"/>
  <c r="AY45" i="51"/>
  <c r="AL45" i="51" s="1"/>
  <c r="AW45" i="51"/>
  <c r="AY44" i="51"/>
  <c r="AL44" i="51" s="1"/>
  <c r="AW44" i="51"/>
  <c r="AY47" i="51"/>
  <c r="AL47" i="51" s="1"/>
  <c r="AW47" i="51"/>
  <c r="AY42" i="51"/>
  <c r="AL42" i="51" s="1"/>
  <c r="AW42" i="51"/>
  <c r="X17" i="51"/>
  <c r="AK48" i="49" l="1"/>
  <c r="AK47" i="49"/>
  <c r="AS46" i="49"/>
  <c r="AQ46" i="49"/>
  <c r="AN46" i="49"/>
  <c r="AK46" i="49"/>
  <c r="AQ45" i="49"/>
  <c r="AN45" i="49"/>
  <c r="AS45" i="49" s="1"/>
  <c r="AK45" i="49"/>
  <c r="AS44" i="49"/>
  <c r="AQ44" i="49"/>
  <c r="AN44" i="49"/>
  <c r="AK44" i="49"/>
  <c r="AS43" i="49"/>
  <c r="AQ43" i="49"/>
  <c r="AN43" i="49"/>
  <c r="AK43" i="49"/>
  <c r="AS42" i="49"/>
  <c r="AQ42" i="49"/>
  <c r="AN42" i="49"/>
  <c r="AK42" i="49"/>
  <c r="AQ41" i="49"/>
  <c r="AN41" i="49"/>
  <c r="AS41" i="49" s="1"/>
  <c r="AK41" i="49"/>
  <c r="AO31" i="49"/>
  <c r="AK31" i="49"/>
  <c r="AJ31" i="49"/>
  <c r="AO30" i="49"/>
  <c r="AO28" i="49"/>
  <c r="AO29" i="49" s="1"/>
  <c r="AO27" i="49"/>
  <c r="W27" i="49"/>
  <c r="X27" i="49" s="1"/>
  <c r="AO26" i="49"/>
  <c r="AN26" i="49"/>
  <c r="M8" i="49" s="1"/>
  <c r="AM26" i="49"/>
  <c r="K8" i="49" s="1"/>
  <c r="AL26" i="49"/>
  <c r="I8" i="49" s="1"/>
  <c r="W26" i="49"/>
  <c r="X26" i="49" s="1"/>
  <c r="AO25" i="49"/>
  <c r="AN25" i="49"/>
  <c r="AM25" i="49"/>
  <c r="AL25" i="49"/>
  <c r="X25" i="49"/>
  <c r="W25" i="49"/>
  <c r="X24" i="49"/>
  <c r="W24" i="49"/>
  <c r="AN23" i="49"/>
  <c r="G8" i="49" s="1"/>
  <c r="AM23" i="49"/>
  <c r="AL23" i="49"/>
  <c r="W23" i="49"/>
  <c r="X23" i="49" s="1"/>
  <c r="AN22" i="49"/>
  <c r="AM22" i="49"/>
  <c r="AL22" i="49"/>
  <c r="X22" i="49"/>
  <c r="W22" i="49"/>
  <c r="X21" i="49"/>
  <c r="W21" i="49"/>
  <c r="AD16" i="49"/>
  <c r="AD17" i="49" s="1"/>
  <c r="X16" i="49"/>
  <c r="AB15" i="49"/>
  <c r="C15" i="49"/>
  <c r="X14" i="49"/>
  <c r="V14" i="49"/>
  <c r="R14" i="49"/>
  <c r="P14" i="49"/>
  <c r="N14" i="49"/>
  <c r="K14" i="49"/>
  <c r="H14" i="49"/>
  <c r="F14" i="49"/>
  <c r="C14" i="49"/>
  <c r="AF8" i="49"/>
  <c r="AF9" i="49" s="1"/>
  <c r="AP7" i="49"/>
  <c r="AO7" i="49"/>
  <c r="AN7" i="49"/>
  <c r="AM7" i="49"/>
  <c r="AL7" i="49"/>
  <c r="AK7" i="49"/>
  <c r="AJ7" i="49"/>
  <c r="AI7" i="49"/>
  <c r="C14" i="34"/>
  <c r="AK48" i="48"/>
  <c r="AK47" i="48"/>
  <c r="AQ46" i="48"/>
  <c r="AN46" i="48"/>
  <c r="AS46" i="48" s="1"/>
  <c r="AK46" i="48"/>
  <c r="AQ45" i="48"/>
  <c r="AN45" i="48"/>
  <c r="AS45" i="48" s="1"/>
  <c r="AK45" i="48"/>
  <c r="AS44" i="48"/>
  <c r="AQ44" i="48"/>
  <c r="AN44" i="48"/>
  <c r="AK44" i="48"/>
  <c r="AS43" i="48"/>
  <c r="AQ43" i="48"/>
  <c r="AN43" i="48"/>
  <c r="AK43" i="48"/>
  <c r="AQ42" i="48"/>
  <c r="AN42" i="48"/>
  <c r="AS42" i="48" s="1"/>
  <c r="AK42" i="48"/>
  <c r="AQ41" i="48"/>
  <c r="AN41" i="48"/>
  <c r="AS41" i="48" s="1"/>
  <c r="AK41" i="48"/>
  <c r="AO31" i="48"/>
  <c r="AK31" i="48"/>
  <c r="AJ31" i="48"/>
  <c r="AO30" i="48"/>
  <c r="AO28" i="48"/>
  <c r="AO29" i="48" s="1"/>
  <c r="AO27" i="48"/>
  <c r="W27" i="48"/>
  <c r="X27" i="48" s="1"/>
  <c r="AO26" i="48"/>
  <c r="AN26" i="48"/>
  <c r="AM26" i="48"/>
  <c r="AL26" i="48"/>
  <c r="I8" i="48" s="1"/>
  <c r="W26" i="48"/>
  <c r="X26" i="48" s="1"/>
  <c r="AO25" i="48"/>
  <c r="AN25" i="48"/>
  <c r="AM25" i="48"/>
  <c r="AL25" i="48"/>
  <c r="W25" i="48"/>
  <c r="X25" i="48" s="1"/>
  <c r="X24" i="48"/>
  <c r="W24" i="48"/>
  <c r="AN23" i="48"/>
  <c r="AM23" i="48"/>
  <c r="AL23" i="48"/>
  <c r="W23" i="48"/>
  <c r="X23" i="48" s="1"/>
  <c r="AN22" i="48"/>
  <c r="AM22" i="48"/>
  <c r="AL22" i="48"/>
  <c r="X22" i="48"/>
  <c r="W22" i="48"/>
  <c r="W21" i="48"/>
  <c r="X21" i="48" s="1"/>
  <c r="AD17" i="48"/>
  <c r="AD16" i="48"/>
  <c r="X16" i="48"/>
  <c r="AB15" i="48"/>
  <c r="C15" i="48"/>
  <c r="X14" i="48"/>
  <c r="V14" i="48"/>
  <c r="R14" i="48"/>
  <c r="P14" i="48"/>
  <c r="N14" i="48"/>
  <c r="K14" i="48"/>
  <c r="H14" i="48"/>
  <c r="F14" i="48"/>
  <c r="AF8" i="48"/>
  <c r="AF9" i="48" s="1"/>
  <c r="AP7" i="48"/>
  <c r="AO7" i="48"/>
  <c r="AN7" i="48"/>
  <c r="AM7" i="48"/>
  <c r="AL7" i="48"/>
  <c r="AK7" i="48"/>
  <c r="AJ7" i="48"/>
  <c r="AI7" i="48"/>
  <c r="AK48" i="47"/>
  <c r="AK47" i="47"/>
  <c r="AQ46" i="47"/>
  <c r="AN46" i="47"/>
  <c r="AS46" i="47" s="1"/>
  <c r="AK46" i="47"/>
  <c r="AQ45" i="47"/>
  <c r="AN45" i="47"/>
  <c r="AS45" i="47" s="1"/>
  <c r="AK45" i="47"/>
  <c r="AS44" i="47"/>
  <c r="AQ44" i="47"/>
  <c r="AN44" i="47"/>
  <c r="AK44" i="47"/>
  <c r="AS43" i="47"/>
  <c r="AQ43" i="47"/>
  <c r="AN43" i="47"/>
  <c r="AK43" i="47"/>
  <c r="AQ42" i="47"/>
  <c r="AN42" i="47"/>
  <c r="AS42" i="47" s="1"/>
  <c r="AK42" i="47"/>
  <c r="AQ41" i="47"/>
  <c r="AN41" i="47"/>
  <c r="AS41" i="47" s="1"/>
  <c r="AK41" i="47"/>
  <c r="AO31" i="47"/>
  <c r="AK31" i="47"/>
  <c r="AJ31" i="47"/>
  <c r="AO30" i="47"/>
  <c r="AO28" i="47"/>
  <c r="AO29" i="47" s="1"/>
  <c r="AO27" i="47"/>
  <c r="W27" i="47"/>
  <c r="X27" i="47" s="1"/>
  <c r="AO26" i="47"/>
  <c r="AN26" i="47"/>
  <c r="AM26" i="47"/>
  <c r="AL26" i="47"/>
  <c r="I8" i="47" s="1"/>
  <c r="W26" i="47"/>
  <c r="X26" i="47" s="1"/>
  <c r="AO25" i="47"/>
  <c r="AN25" i="47"/>
  <c r="AM25" i="47"/>
  <c r="AL25" i="47"/>
  <c r="W25" i="47"/>
  <c r="X25" i="47" s="1"/>
  <c r="X24" i="47"/>
  <c r="W24" i="47"/>
  <c r="AN23" i="47"/>
  <c r="AM23" i="47"/>
  <c r="AL23" i="47"/>
  <c r="W23" i="47"/>
  <c r="X23" i="47" s="1"/>
  <c r="AN22" i="47"/>
  <c r="AM22" i="47"/>
  <c r="AL22" i="47"/>
  <c r="X22" i="47"/>
  <c r="W22" i="47"/>
  <c r="W21" i="47"/>
  <c r="X21" i="47" s="1"/>
  <c r="AD17" i="47"/>
  <c r="AD16" i="47"/>
  <c r="X16" i="47"/>
  <c r="AB15" i="47"/>
  <c r="C15" i="47"/>
  <c r="X14" i="47"/>
  <c r="V14" i="47"/>
  <c r="R14" i="47"/>
  <c r="P14" i="47"/>
  <c r="N14" i="47"/>
  <c r="K14" i="47"/>
  <c r="H14" i="47"/>
  <c r="F14" i="47"/>
  <c r="C14" i="47"/>
  <c r="AF8" i="47"/>
  <c r="AF9" i="47" s="1"/>
  <c r="AP7" i="47"/>
  <c r="AO7" i="47"/>
  <c r="AN7" i="47"/>
  <c r="AM7" i="47"/>
  <c r="AL7" i="47"/>
  <c r="AK7" i="47"/>
  <c r="AJ7" i="47"/>
  <c r="AI7" i="47"/>
  <c r="AK48" i="46"/>
  <c r="AK47" i="46"/>
  <c r="AQ46" i="46"/>
  <c r="AN46" i="46"/>
  <c r="AS46" i="46" s="1"/>
  <c r="AK46" i="46"/>
  <c r="AQ45" i="46"/>
  <c r="AN45" i="46"/>
  <c r="AS45" i="46" s="1"/>
  <c r="AK45" i="46"/>
  <c r="AS44" i="46"/>
  <c r="AQ44" i="46"/>
  <c r="AN44" i="46"/>
  <c r="AK44" i="46"/>
  <c r="AS43" i="46"/>
  <c r="AQ43" i="46"/>
  <c r="AN43" i="46"/>
  <c r="AK43" i="46"/>
  <c r="AQ42" i="46"/>
  <c r="AN42" i="46"/>
  <c r="AS42" i="46" s="1"/>
  <c r="AK42" i="46"/>
  <c r="AQ41" i="46"/>
  <c r="AN41" i="46"/>
  <c r="AS41" i="46" s="1"/>
  <c r="AK41" i="46"/>
  <c r="AO31" i="46"/>
  <c r="AK31" i="46"/>
  <c r="AJ31" i="46"/>
  <c r="AO30" i="46"/>
  <c r="AO28" i="46"/>
  <c r="AO29" i="46" s="1"/>
  <c r="AO27" i="46"/>
  <c r="W27" i="46"/>
  <c r="X27" i="46" s="1"/>
  <c r="AO26" i="46"/>
  <c r="AN26" i="46"/>
  <c r="AM26" i="46"/>
  <c r="AL26" i="46"/>
  <c r="I8" i="46" s="1"/>
  <c r="W26" i="46"/>
  <c r="X26" i="46" s="1"/>
  <c r="AO25" i="46"/>
  <c r="AN25" i="46"/>
  <c r="AM25" i="46"/>
  <c r="AL25" i="46"/>
  <c r="W25" i="46"/>
  <c r="X25" i="46" s="1"/>
  <c r="X24" i="46"/>
  <c r="W24" i="46"/>
  <c r="AN23" i="46"/>
  <c r="AM23" i="46"/>
  <c r="AL23" i="46"/>
  <c r="W23" i="46"/>
  <c r="X23" i="46" s="1"/>
  <c r="AN22" i="46"/>
  <c r="AM22" i="46"/>
  <c r="AL22" i="46"/>
  <c r="X22" i="46"/>
  <c r="W22" i="46"/>
  <c r="W21" i="46"/>
  <c r="X21" i="46" s="1"/>
  <c r="AD17" i="46"/>
  <c r="AD16" i="46"/>
  <c r="X16" i="46"/>
  <c r="AB15" i="46"/>
  <c r="C15" i="46"/>
  <c r="X14" i="46"/>
  <c r="V14" i="46"/>
  <c r="R14" i="46"/>
  <c r="P14" i="46"/>
  <c r="N14" i="46"/>
  <c r="K14" i="46"/>
  <c r="H14" i="46"/>
  <c r="F14" i="46"/>
  <c r="C14" i="46"/>
  <c r="AF8" i="46"/>
  <c r="AF9" i="46" s="1"/>
  <c r="V15" i="46" s="1"/>
  <c r="AP7" i="46"/>
  <c r="AO7" i="46"/>
  <c r="AN7" i="46"/>
  <c r="AM7" i="46"/>
  <c r="AL7" i="46"/>
  <c r="AK7" i="46"/>
  <c r="AJ7" i="46"/>
  <c r="AI7" i="46"/>
  <c r="R15" i="44"/>
  <c r="I38" i="41"/>
  <c r="I37" i="41"/>
  <c r="I36" i="41"/>
  <c r="G38" i="41"/>
  <c r="G36" i="41"/>
  <c r="G37" i="41"/>
  <c r="F34" i="43"/>
  <c r="G34" i="43" s="1"/>
  <c r="I34" i="43" s="1"/>
  <c r="F34" i="42"/>
  <c r="G34" i="42" s="1"/>
  <c r="G34" i="41"/>
  <c r="F35" i="41"/>
  <c r="G35" i="41" s="1"/>
  <c r="F34" i="41"/>
  <c r="Z13" i="45"/>
  <c r="AK48" i="45"/>
  <c r="AK47" i="45"/>
  <c r="AQ46" i="45"/>
  <c r="AN46" i="45"/>
  <c r="AS46" i="45" s="1"/>
  <c r="AK46" i="45"/>
  <c r="AQ45" i="45"/>
  <c r="AN45" i="45"/>
  <c r="AS45" i="45" s="1"/>
  <c r="AK45" i="45"/>
  <c r="AQ44" i="45"/>
  <c r="AN44" i="45"/>
  <c r="AS44" i="45" s="1"/>
  <c r="AK44" i="45"/>
  <c r="AS43" i="45"/>
  <c r="AQ43" i="45"/>
  <c r="AN43" i="45"/>
  <c r="AK43" i="45"/>
  <c r="AS42" i="45"/>
  <c r="AQ42" i="45"/>
  <c r="AN42" i="45"/>
  <c r="AK42" i="45"/>
  <c r="AQ41" i="45"/>
  <c r="AN41" i="45"/>
  <c r="AS41" i="45" s="1"/>
  <c r="AK41" i="45"/>
  <c r="AO31" i="45"/>
  <c r="AK31" i="45"/>
  <c r="AJ31" i="45"/>
  <c r="AO30" i="45"/>
  <c r="AO29" i="45"/>
  <c r="AO28" i="45"/>
  <c r="AO27" i="45"/>
  <c r="X27" i="45"/>
  <c r="W27" i="45"/>
  <c r="AO26" i="45"/>
  <c r="AN26" i="45"/>
  <c r="AM26" i="45"/>
  <c r="AL26" i="45"/>
  <c r="W26" i="45"/>
  <c r="X26" i="45" s="1"/>
  <c r="AO25" i="45"/>
  <c r="AN25" i="45"/>
  <c r="AM25" i="45"/>
  <c r="AL25" i="45"/>
  <c r="W25" i="45"/>
  <c r="X25" i="45" s="1"/>
  <c r="W24" i="45"/>
  <c r="X24" i="45" s="1"/>
  <c r="AN23" i="45"/>
  <c r="AM23" i="45"/>
  <c r="AL23" i="45"/>
  <c r="W23" i="45"/>
  <c r="X23" i="45" s="1"/>
  <c r="AN22" i="45"/>
  <c r="AM22" i="45"/>
  <c r="AL22" i="45"/>
  <c r="X22" i="45"/>
  <c r="W22" i="45"/>
  <c r="W21" i="45"/>
  <c r="X21" i="45" s="1"/>
  <c r="AD17" i="45"/>
  <c r="AD16" i="45"/>
  <c r="X16" i="45"/>
  <c r="AB15" i="45"/>
  <c r="C15" i="45"/>
  <c r="X14" i="45"/>
  <c r="V14" i="45"/>
  <c r="R14" i="45"/>
  <c r="P14" i="45"/>
  <c r="N14" i="45"/>
  <c r="K14" i="45"/>
  <c r="H14" i="45"/>
  <c r="F14" i="45"/>
  <c r="C14" i="45"/>
  <c r="AF9" i="45"/>
  <c r="R15" i="45" s="1"/>
  <c r="AF8" i="45"/>
  <c r="I8" i="45"/>
  <c r="AP7" i="45"/>
  <c r="AO7" i="45"/>
  <c r="AN7" i="45"/>
  <c r="AM7" i="45"/>
  <c r="AL7" i="45"/>
  <c r="AK7" i="45"/>
  <c r="AJ7" i="45"/>
  <c r="AI7" i="45"/>
  <c r="AK48" i="44"/>
  <c r="AK47" i="44"/>
  <c r="AQ46" i="44"/>
  <c r="AN46" i="44"/>
  <c r="AS46" i="44" s="1"/>
  <c r="AK46" i="44"/>
  <c r="AQ45" i="44"/>
  <c r="AN45" i="44"/>
  <c r="AS45" i="44" s="1"/>
  <c r="AK45" i="44"/>
  <c r="AS44" i="44"/>
  <c r="AQ44" i="44"/>
  <c r="AN44" i="44"/>
  <c r="AK44" i="44"/>
  <c r="AS43" i="44"/>
  <c r="AQ43" i="44"/>
  <c r="AN43" i="44"/>
  <c r="AK43" i="44"/>
  <c r="AQ42" i="44"/>
  <c r="AN42" i="44"/>
  <c r="AS42" i="44" s="1"/>
  <c r="AK42" i="44"/>
  <c r="AQ41" i="44"/>
  <c r="AN41" i="44"/>
  <c r="AS41" i="44" s="1"/>
  <c r="AK41" i="44"/>
  <c r="AO31" i="44"/>
  <c r="AK31" i="44"/>
  <c r="AJ31" i="44"/>
  <c r="AO30" i="44"/>
  <c r="AO28" i="44"/>
  <c r="AO29" i="44" s="1"/>
  <c r="AO27" i="44"/>
  <c r="W27" i="44"/>
  <c r="X27" i="44" s="1"/>
  <c r="AO26" i="44"/>
  <c r="AN26" i="44"/>
  <c r="AM26" i="44"/>
  <c r="AL26" i="44"/>
  <c r="I8" i="44" s="1"/>
  <c r="W26" i="44"/>
  <c r="X26" i="44" s="1"/>
  <c r="AO25" i="44"/>
  <c r="AN25" i="44"/>
  <c r="AM25" i="44"/>
  <c r="AL25" i="44"/>
  <c r="W25" i="44"/>
  <c r="X25" i="44" s="1"/>
  <c r="X24" i="44"/>
  <c r="W24" i="44"/>
  <c r="AN23" i="44"/>
  <c r="AM23" i="44"/>
  <c r="AL23" i="44"/>
  <c r="W23" i="44"/>
  <c r="X23" i="44" s="1"/>
  <c r="AN22" i="44"/>
  <c r="AM22" i="44"/>
  <c r="AL22" i="44"/>
  <c r="X22" i="44"/>
  <c r="W22" i="44"/>
  <c r="W21" i="44"/>
  <c r="X21" i="44" s="1"/>
  <c r="AD17" i="44"/>
  <c r="AD16" i="44"/>
  <c r="X16" i="44"/>
  <c r="AB15" i="44"/>
  <c r="C15" i="44"/>
  <c r="X14" i="44"/>
  <c r="V14" i="44"/>
  <c r="R14" i="44"/>
  <c r="P14" i="44"/>
  <c r="N14" i="44"/>
  <c r="K14" i="44"/>
  <c r="H14" i="44"/>
  <c r="F14" i="44"/>
  <c r="C14" i="44"/>
  <c r="AF8" i="44"/>
  <c r="AF9" i="44" s="1"/>
  <c r="AP7" i="44"/>
  <c r="AO7" i="44"/>
  <c r="AN7" i="44"/>
  <c r="AM7" i="44"/>
  <c r="AL7" i="44"/>
  <c r="AK7" i="44"/>
  <c r="AJ7" i="44"/>
  <c r="AI7" i="44"/>
  <c r="AK48" i="43"/>
  <c r="AK47" i="43"/>
  <c r="AQ46" i="43"/>
  <c r="AN46" i="43"/>
  <c r="AS46" i="43" s="1"/>
  <c r="AK46" i="43"/>
  <c r="AQ45" i="43"/>
  <c r="AN45" i="43"/>
  <c r="AS45" i="43" s="1"/>
  <c r="AK45" i="43"/>
  <c r="AS44" i="43"/>
  <c r="AQ44" i="43"/>
  <c r="AN44" i="43"/>
  <c r="AK44" i="43"/>
  <c r="AS43" i="43"/>
  <c r="AQ43" i="43"/>
  <c r="AN43" i="43"/>
  <c r="AK43" i="43"/>
  <c r="AQ42" i="43"/>
  <c r="AN42" i="43"/>
  <c r="AS42" i="43" s="1"/>
  <c r="AK42" i="43"/>
  <c r="AQ41" i="43"/>
  <c r="AN41" i="43"/>
  <c r="AS41" i="43" s="1"/>
  <c r="AK41" i="43"/>
  <c r="AO31" i="43"/>
  <c r="AK31" i="43"/>
  <c r="AJ31" i="43"/>
  <c r="AO30" i="43"/>
  <c r="AO28" i="43"/>
  <c r="AO29" i="43" s="1"/>
  <c r="AO27" i="43"/>
  <c r="W27" i="43"/>
  <c r="X27" i="43" s="1"/>
  <c r="AO26" i="43"/>
  <c r="AN26" i="43"/>
  <c r="AM26" i="43"/>
  <c r="AL26" i="43"/>
  <c r="I8" i="43" s="1"/>
  <c r="W26" i="43"/>
  <c r="X26" i="43" s="1"/>
  <c r="AO25" i="43"/>
  <c r="AN25" i="43"/>
  <c r="AM25" i="43"/>
  <c r="AL25" i="43"/>
  <c r="W25" i="43"/>
  <c r="X25" i="43" s="1"/>
  <c r="X24" i="43"/>
  <c r="W24" i="43"/>
  <c r="AN23" i="43"/>
  <c r="AM23" i="43"/>
  <c r="AL23" i="43"/>
  <c r="W23" i="43"/>
  <c r="X23" i="43" s="1"/>
  <c r="AN22" i="43"/>
  <c r="AM22" i="43"/>
  <c r="AL22" i="43"/>
  <c r="X22" i="43"/>
  <c r="W22" i="43"/>
  <c r="W21" i="43"/>
  <c r="X21" i="43" s="1"/>
  <c r="AD17" i="43"/>
  <c r="AD16" i="43"/>
  <c r="X16" i="43"/>
  <c r="AB15" i="43"/>
  <c r="C15" i="43"/>
  <c r="X14" i="43"/>
  <c r="V14" i="43"/>
  <c r="R14" i="43"/>
  <c r="P14" i="43"/>
  <c r="N14" i="43"/>
  <c r="K14" i="43"/>
  <c r="H14" i="43"/>
  <c r="F14" i="43"/>
  <c r="C14" i="43"/>
  <c r="AF8" i="43"/>
  <c r="AF9" i="43" s="1"/>
  <c r="AP7" i="43"/>
  <c r="AO7" i="43"/>
  <c r="AN7" i="43"/>
  <c r="AM7" i="43"/>
  <c r="AL7" i="43"/>
  <c r="AK7" i="43"/>
  <c r="AJ7" i="43"/>
  <c r="AI7" i="43"/>
  <c r="AL23" i="42"/>
  <c r="F15" i="42"/>
  <c r="F14" i="42"/>
  <c r="AK48" i="42"/>
  <c r="AK47" i="42"/>
  <c r="AQ46" i="42"/>
  <c r="AN46" i="42"/>
  <c r="AS46" i="42" s="1"/>
  <c r="AK46" i="42"/>
  <c r="AQ45" i="42"/>
  <c r="AN45" i="42"/>
  <c r="AS45" i="42" s="1"/>
  <c r="AK45" i="42"/>
  <c r="AS44" i="42"/>
  <c r="AQ44" i="42"/>
  <c r="AN44" i="42"/>
  <c r="AK44" i="42"/>
  <c r="AS43" i="42"/>
  <c r="AQ43" i="42"/>
  <c r="AN43" i="42"/>
  <c r="AK43" i="42"/>
  <c r="AQ42" i="42"/>
  <c r="AN42" i="42"/>
  <c r="AS42" i="42" s="1"/>
  <c r="AK42" i="42"/>
  <c r="AQ41" i="42"/>
  <c r="AN41" i="42"/>
  <c r="AS41" i="42" s="1"/>
  <c r="AK41" i="42"/>
  <c r="AO31" i="42"/>
  <c r="AK31" i="42"/>
  <c r="AJ31" i="42"/>
  <c r="AO30" i="42"/>
  <c r="AO28" i="42"/>
  <c r="AO29" i="42" s="1"/>
  <c r="AO27" i="42"/>
  <c r="W27" i="42"/>
  <c r="X27" i="42" s="1"/>
  <c r="AO26" i="42"/>
  <c r="AN26" i="42"/>
  <c r="AM26" i="42"/>
  <c r="AL26" i="42"/>
  <c r="I8" i="42" s="1"/>
  <c r="W26" i="42"/>
  <c r="X26" i="42" s="1"/>
  <c r="AO25" i="42"/>
  <c r="AN25" i="42"/>
  <c r="AM25" i="42"/>
  <c r="AL25" i="42"/>
  <c r="W25" i="42"/>
  <c r="X25" i="42" s="1"/>
  <c r="X24" i="42"/>
  <c r="W24" i="42"/>
  <c r="AN23" i="42"/>
  <c r="AM23" i="42"/>
  <c r="W23" i="42"/>
  <c r="X23" i="42" s="1"/>
  <c r="AN22" i="42"/>
  <c r="AM22" i="42"/>
  <c r="AL22" i="42"/>
  <c r="X22" i="42"/>
  <c r="W22" i="42"/>
  <c r="W21" i="42"/>
  <c r="X21" i="42" s="1"/>
  <c r="AD16" i="42"/>
  <c r="AD17" i="42" s="1"/>
  <c r="X16" i="42"/>
  <c r="AB15" i="42"/>
  <c r="C15" i="42"/>
  <c r="X14" i="42"/>
  <c r="V14" i="42"/>
  <c r="R14" i="42"/>
  <c r="P14" i="42"/>
  <c r="N14" i="42"/>
  <c r="K14" i="42"/>
  <c r="H14" i="42"/>
  <c r="C14" i="42"/>
  <c r="AF8" i="42"/>
  <c r="AF9" i="42" s="1"/>
  <c r="AP7" i="42"/>
  <c r="AO7" i="42"/>
  <c r="AN7" i="42"/>
  <c r="AM7" i="42"/>
  <c r="AL7" i="42"/>
  <c r="AK7" i="42"/>
  <c r="AJ7" i="42"/>
  <c r="AI7" i="42"/>
  <c r="AK48" i="41"/>
  <c r="AK47" i="41"/>
  <c r="AQ46" i="41"/>
  <c r="AN46" i="41"/>
  <c r="AS46" i="41" s="1"/>
  <c r="AK46" i="41"/>
  <c r="AQ45" i="41"/>
  <c r="AN45" i="41"/>
  <c r="AS45" i="41" s="1"/>
  <c r="AK45" i="41"/>
  <c r="AQ44" i="41"/>
  <c r="AN44" i="41"/>
  <c r="AS44" i="41" s="1"/>
  <c r="AK44" i="41"/>
  <c r="AQ43" i="41"/>
  <c r="AN43" i="41"/>
  <c r="AS43" i="41" s="1"/>
  <c r="AK43" i="41"/>
  <c r="AQ42" i="41"/>
  <c r="AN42" i="41"/>
  <c r="AS42" i="41" s="1"/>
  <c r="AK42" i="41"/>
  <c r="AQ41" i="41"/>
  <c r="AN41" i="41"/>
  <c r="AS41" i="41" s="1"/>
  <c r="AK41" i="41"/>
  <c r="AO31" i="41"/>
  <c r="AK31" i="41"/>
  <c r="AJ31" i="41"/>
  <c r="AO30" i="41"/>
  <c r="AO28" i="41"/>
  <c r="AO29" i="41" s="1"/>
  <c r="AO27" i="41"/>
  <c r="W27" i="41"/>
  <c r="X27" i="41" s="1"/>
  <c r="AO26" i="41"/>
  <c r="AN26" i="41"/>
  <c r="AM26" i="41"/>
  <c r="AL26" i="41"/>
  <c r="I8" i="41" s="1"/>
  <c r="W26" i="41"/>
  <c r="X26" i="41" s="1"/>
  <c r="AO25" i="41"/>
  <c r="AN25" i="41"/>
  <c r="AM25" i="41"/>
  <c r="AL25" i="41"/>
  <c r="W25" i="41"/>
  <c r="X25" i="41" s="1"/>
  <c r="W24" i="41"/>
  <c r="X24" i="41" s="1"/>
  <c r="AN23" i="41"/>
  <c r="AM23" i="41"/>
  <c r="AL23" i="41"/>
  <c r="W23" i="41"/>
  <c r="X23" i="41" s="1"/>
  <c r="AN22" i="41"/>
  <c r="AM22" i="41"/>
  <c r="AL22" i="41"/>
  <c r="W22" i="41"/>
  <c r="X22" i="41" s="1"/>
  <c r="W21" i="41"/>
  <c r="X21" i="41" s="1"/>
  <c r="AD17" i="41"/>
  <c r="AD16" i="41"/>
  <c r="X16" i="41"/>
  <c r="AB15" i="41"/>
  <c r="C15" i="41"/>
  <c r="X14" i="41"/>
  <c r="V14" i="41"/>
  <c r="R14" i="41"/>
  <c r="P14" i="41"/>
  <c r="N14" i="41"/>
  <c r="K14" i="41"/>
  <c r="H14" i="41"/>
  <c r="F14" i="41"/>
  <c r="C14" i="41"/>
  <c r="AF8" i="41"/>
  <c r="AF9" i="41" s="1"/>
  <c r="V15" i="41" s="1"/>
  <c r="AP7" i="41"/>
  <c r="AO7" i="41"/>
  <c r="AN7" i="41"/>
  <c r="AM7" i="41"/>
  <c r="AL7" i="41"/>
  <c r="AK7" i="41"/>
  <c r="AJ7" i="41"/>
  <c r="AI7" i="41"/>
  <c r="B21" i="35"/>
  <c r="AD16" i="35"/>
  <c r="P15" i="49" l="1"/>
  <c r="V15" i="49"/>
  <c r="R15" i="49"/>
  <c r="AI9" i="49"/>
  <c r="F15" i="49"/>
  <c r="Y24" i="49" s="1"/>
  <c r="C16" i="49"/>
  <c r="C17" i="49" s="1"/>
  <c r="R15" i="48"/>
  <c r="V15" i="48"/>
  <c r="P15" i="48"/>
  <c r="Y26" i="48"/>
  <c r="F15" i="48"/>
  <c r="Y21" i="48" s="1"/>
  <c r="C16" i="48"/>
  <c r="C17" i="48" s="1"/>
  <c r="AI9" i="48"/>
  <c r="R15" i="47"/>
  <c r="P15" i="47"/>
  <c r="V15" i="47"/>
  <c r="Y27" i="47"/>
  <c r="F15" i="47"/>
  <c r="Z15" i="47" s="1"/>
  <c r="Z16" i="47" s="1"/>
  <c r="Z17" i="47" s="1"/>
  <c r="C16" i="47"/>
  <c r="C17" i="47" s="1"/>
  <c r="AI9" i="47"/>
  <c r="R15" i="46"/>
  <c r="P15" i="46"/>
  <c r="V16" i="46"/>
  <c r="V17" i="46" s="1"/>
  <c r="AP9" i="46"/>
  <c r="F15" i="46"/>
  <c r="Y21" i="46" s="1"/>
  <c r="C16" i="46"/>
  <c r="C17" i="46" s="1"/>
  <c r="AI9" i="46"/>
  <c r="R16" i="45"/>
  <c r="R17" i="45" s="1"/>
  <c r="AO9" i="45"/>
  <c r="Y25" i="45"/>
  <c r="P15" i="45"/>
  <c r="V15" i="45"/>
  <c r="Y15" i="45"/>
  <c r="Y16" i="45" s="1"/>
  <c r="Y17" i="45" s="1"/>
  <c r="Y22" i="45"/>
  <c r="F15" i="45"/>
  <c r="C16" i="45"/>
  <c r="C17" i="45" s="1"/>
  <c r="AF6" i="45"/>
  <c r="AF7" i="45" s="1"/>
  <c r="AI9" i="45"/>
  <c r="P15" i="44"/>
  <c r="V15" i="44"/>
  <c r="C16" i="44"/>
  <c r="C17" i="44" s="1"/>
  <c r="F15" i="44"/>
  <c r="D8" i="44" s="1"/>
  <c r="AI9" i="44"/>
  <c r="Y25" i="43"/>
  <c r="R15" i="43"/>
  <c r="V15" i="43"/>
  <c r="P15" i="43"/>
  <c r="Y26" i="43"/>
  <c r="Y24" i="43"/>
  <c r="Y22" i="43"/>
  <c r="Y23" i="43"/>
  <c r="Y27" i="43"/>
  <c r="F15" i="43"/>
  <c r="Z15" i="43"/>
  <c r="Z16" i="43" s="1"/>
  <c r="Z17" i="43" s="1"/>
  <c r="C16" i="43"/>
  <c r="C17" i="43" s="1"/>
  <c r="Y15" i="43"/>
  <c r="Y16" i="43" s="1"/>
  <c r="Y17" i="43" s="1"/>
  <c r="AI9" i="43"/>
  <c r="R15" i="42"/>
  <c r="P15" i="42"/>
  <c r="Y24" i="42"/>
  <c r="Y21" i="42"/>
  <c r="V15" i="42"/>
  <c r="Y27" i="42"/>
  <c r="Z15" i="42"/>
  <c r="Z16" i="42" s="1"/>
  <c r="Z17" i="42" s="1"/>
  <c r="C16" i="42"/>
  <c r="C17" i="42" s="1"/>
  <c r="AI9" i="42"/>
  <c r="AP9" i="41"/>
  <c r="V16" i="41"/>
  <c r="V17" i="41" s="1"/>
  <c r="F15" i="41"/>
  <c r="Y27" i="41" s="1"/>
  <c r="P15" i="41"/>
  <c r="C16" i="41"/>
  <c r="C17" i="41" s="1"/>
  <c r="AI9" i="41"/>
  <c r="R15" i="41"/>
  <c r="Z15" i="41"/>
  <c r="Z16" i="41" s="1"/>
  <c r="Z17" i="41" s="1"/>
  <c r="C15" i="35"/>
  <c r="Y22" i="49" l="1"/>
  <c r="Y21" i="49"/>
  <c r="Y27" i="49"/>
  <c r="Y23" i="49"/>
  <c r="Y26" i="49"/>
  <c r="AP9" i="49"/>
  <c r="V16" i="49"/>
  <c r="V17" i="49" s="1"/>
  <c r="F16" i="49"/>
  <c r="F17" i="49" s="1"/>
  <c r="Y25" i="49"/>
  <c r="Z15" i="49"/>
  <c r="Z16" i="49" s="1"/>
  <c r="Z17" i="49" s="1"/>
  <c r="D8" i="49"/>
  <c r="Y15" i="49"/>
  <c r="Y16" i="49" s="1"/>
  <c r="Y17" i="49" s="1"/>
  <c r="AJ9" i="49"/>
  <c r="AF6" i="49"/>
  <c r="AF7" i="49" s="1"/>
  <c r="AN9" i="49"/>
  <c r="P16" i="49"/>
  <c r="P17" i="49" s="1"/>
  <c r="AO9" i="49"/>
  <c r="R16" i="49"/>
  <c r="R17" i="49" s="1"/>
  <c r="AF6" i="48"/>
  <c r="AF7" i="48" s="1"/>
  <c r="H15" i="48" s="1"/>
  <c r="Y15" i="48"/>
  <c r="Y16" i="48" s="1"/>
  <c r="Y17" i="48" s="1"/>
  <c r="Y27" i="48"/>
  <c r="Z15" i="48"/>
  <c r="Z16" i="48" s="1"/>
  <c r="Z17" i="48" s="1"/>
  <c r="Y22" i="48"/>
  <c r="Y25" i="48"/>
  <c r="Y24" i="48"/>
  <c r="V16" i="48"/>
  <c r="V17" i="48" s="1"/>
  <c r="AP9" i="48"/>
  <c r="AB16" i="48"/>
  <c r="AB17" i="48" s="1"/>
  <c r="K15" i="48"/>
  <c r="P16" i="48"/>
  <c r="P17" i="48" s="1"/>
  <c r="AN9" i="48"/>
  <c r="F16" i="48"/>
  <c r="F17" i="48" s="1"/>
  <c r="AJ9" i="48"/>
  <c r="D8" i="48"/>
  <c r="Y23" i="48"/>
  <c r="AO9" i="48"/>
  <c r="R16" i="48"/>
  <c r="R17" i="48" s="1"/>
  <c r="AO9" i="47"/>
  <c r="R16" i="47"/>
  <c r="R17" i="47" s="1"/>
  <c r="F16" i="47"/>
  <c r="F17" i="47" s="1"/>
  <c r="AJ9" i="47"/>
  <c r="D8" i="47"/>
  <c r="Y25" i="47"/>
  <c r="AF6" i="47"/>
  <c r="AF7" i="47" s="1"/>
  <c r="Y22" i="47"/>
  <c r="Y24" i="47"/>
  <c r="V16" i="47"/>
  <c r="V17" i="47" s="1"/>
  <c r="AP9" i="47"/>
  <c r="Y23" i="47"/>
  <c r="Y26" i="47"/>
  <c r="Y15" i="47"/>
  <c r="Y16" i="47" s="1"/>
  <c r="Y17" i="47" s="1"/>
  <c r="Y21" i="47"/>
  <c r="P16" i="47"/>
  <c r="P17" i="47" s="1"/>
  <c r="AN9" i="47"/>
  <c r="P16" i="46"/>
  <c r="P17" i="46" s="1"/>
  <c r="AN9" i="46"/>
  <c r="AF6" i="46"/>
  <c r="AF7" i="46" s="1"/>
  <c r="Y24" i="46"/>
  <c r="AO9" i="46"/>
  <c r="R16" i="46"/>
  <c r="R17" i="46" s="1"/>
  <c r="Y27" i="46"/>
  <c r="Y22" i="46"/>
  <c r="Y15" i="46"/>
  <c r="Y16" i="46" s="1"/>
  <c r="Y17" i="46" s="1"/>
  <c r="Y26" i="46"/>
  <c r="F16" i="46"/>
  <c r="F17" i="46" s="1"/>
  <c r="D8" i="46"/>
  <c r="AJ9" i="46"/>
  <c r="Z15" i="46"/>
  <c r="Z16" i="46" s="1"/>
  <c r="Z17" i="46" s="1"/>
  <c r="Y23" i="46"/>
  <c r="Y25" i="46"/>
  <c r="Z15" i="45"/>
  <c r="Z16" i="45" s="1"/>
  <c r="Z17" i="45" s="1"/>
  <c r="V16" i="45"/>
  <c r="V17" i="45" s="1"/>
  <c r="AP9" i="45"/>
  <c r="Y27" i="45"/>
  <c r="F16" i="45"/>
  <c r="F17" i="45" s="1"/>
  <c r="AJ9" i="45"/>
  <c r="D8" i="45"/>
  <c r="P16" i="45"/>
  <c r="P17" i="45" s="1"/>
  <c r="AN9" i="45"/>
  <c r="Y24" i="45"/>
  <c r="Y21" i="45"/>
  <c r="H15" i="45"/>
  <c r="AB9" i="45" s="1"/>
  <c r="K15" i="45"/>
  <c r="AB16" i="45"/>
  <c r="AB17" i="45" s="1"/>
  <c r="N15" i="45"/>
  <c r="Y23" i="45"/>
  <c r="Y26" i="45"/>
  <c r="F16" i="44"/>
  <c r="F17" i="44" s="1"/>
  <c r="AJ9" i="44"/>
  <c r="Y27" i="44"/>
  <c r="Y23" i="44"/>
  <c r="Y24" i="44"/>
  <c r="AO9" i="44"/>
  <c r="R16" i="44"/>
  <c r="R17" i="44" s="1"/>
  <c r="Y26" i="44"/>
  <c r="Y25" i="44"/>
  <c r="AF6" i="44"/>
  <c r="AF7" i="44" s="1"/>
  <c r="Y22" i="44"/>
  <c r="AP9" i="44"/>
  <c r="V16" i="44"/>
  <c r="V17" i="44" s="1"/>
  <c r="Y21" i="44"/>
  <c r="Z15" i="44"/>
  <c r="Z16" i="44" s="1"/>
  <c r="Z17" i="44" s="1"/>
  <c r="Y15" i="44"/>
  <c r="Y16" i="44" s="1"/>
  <c r="Y17" i="44" s="1"/>
  <c r="P16" i="44"/>
  <c r="P17" i="44" s="1"/>
  <c r="AN9" i="44"/>
  <c r="AO9" i="43"/>
  <c r="R16" i="43"/>
  <c r="R17" i="43" s="1"/>
  <c r="AF6" i="43"/>
  <c r="AF7" i="43" s="1"/>
  <c r="P16" i="43"/>
  <c r="P17" i="43" s="1"/>
  <c r="AN9" i="43"/>
  <c r="F16" i="43"/>
  <c r="F17" i="43" s="1"/>
  <c r="D8" i="43"/>
  <c r="AJ9" i="43"/>
  <c r="Y21" i="43"/>
  <c r="AP9" i="43"/>
  <c r="V16" i="43"/>
  <c r="V17" i="43" s="1"/>
  <c r="Y26" i="42"/>
  <c r="AF6" i="42"/>
  <c r="AF7" i="42" s="1"/>
  <c r="Y22" i="42"/>
  <c r="P16" i="42"/>
  <c r="P17" i="42" s="1"/>
  <c r="AN9" i="42"/>
  <c r="F16" i="42"/>
  <c r="F17" i="42" s="1"/>
  <c r="D8" i="42"/>
  <c r="AJ9" i="42"/>
  <c r="Y23" i="42"/>
  <c r="AP9" i="42"/>
  <c r="V16" i="42"/>
  <c r="V17" i="42" s="1"/>
  <c r="Y15" i="42"/>
  <c r="Y16" i="42" s="1"/>
  <c r="Y17" i="42" s="1"/>
  <c r="Y25" i="42"/>
  <c r="AO9" i="42"/>
  <c r="R16" i="42"/>
  <c r="R17" i="42" s="1"/>
  <c r="Y21" i="41"/>
  <c r="AF6" i="41"/>
  <c r="AF7" i="41" s="1"/>
  <c r="AB16" i="41" s="1"/>
  <c r="AB17" i="41" s="1"/>
  <c r="Y15" i="41"/>
  <c r="Y16" i="41" s="1"/>
  <c r="Y17" i="41" s="1"/>
  <c r="Y25" i="41"/>
  <c r="R16" i="41"/>
  <c r="R17" i="41" s="1"/>
  <c r="AO9" i="41"/>
  <c r="AJ9" i="41"/>
  <c r="F16" i="41"/>
  <c r="F17" i="41" s="1"/>
  <c r="D8" i="41"/>
  <c r="K15" i="41"/>
  <c r="AN9" i="41"/>
  <c r="P16" i="41"/>
  <c r="P17" i="41" s="1"/>
  <c r="Y23" i="41"/>
  <c r="Y22" i="41"/>
  <c r="Y26" i="41"/>
  <c r="Y24" i="41"/>
  <c r="AK48" i="40"/>
  <c r="AK47" i="40"/>
  <c r="AS46" i="40"/>
  <c r="AQ46" i="40"/>
  <c r="AN46" i="40"/>
  <c r="AK46" i="40"/>
  <c r="AS45" i="40"/>
  <c r="AQ45" i="40"/>
  <c r="AN45" i="40"/>
  <c r="AK45" i="40"/>
  <c r="AQ44" i="40"/>
  <c r="AN44" i="40"/>
  <c r="AS44" i="40" s="1"/>
  <c r="AK44" i="40"/>
  <c r="AQ43" i="40"/>
  <c r="AN43" i="40"/>
  <c r="AS43" i="40" s="1"/>
  <c r="AK43" i="40"/>
  <c r="AQ42" i="40"/>
  <c r="AN42" i="40"/>
  <c r="AS42" i="40" s="1"/>
  <c r="AK42" i="40"/>
  <c r="AQ41" i="40"/>
  <c r="AN41" i="40"/>
  <c r="AS41" i="40" s="1"/>
  <c r="AK41" i="40"/>
  <c r="AO31" i="40"/>
  <c r="AJ31" i="40"/>
  <c r="AK31" i="40" s="1"/>
  <c r="AO30" i="40"/>
  <c r="AO28" i="40"/>
  <c r="AO29" i="40" s="1"/>
  <c r="AO27" i="40"/>
  <c r="W27" i="40"/>
  <c r="X27" i="40" s="1"/>
  <c r="AO26" i="40"/>
  <c r="AN26" i="40"/>
  <c r="M8" i="40" s="1"/>
  <c r="AM26" i="40"/>
  <c r="AL26" i="40"/>
  <c r="I8" i="40" s="1"/>
  <c r="W26" i="40"/>
  <c r="X26" i="40" s="1"/>
  <c r="AO25" i="40"/>
  <c r="AN25" i="40"/>
  <c r="AM25" i="40"/>
  <c r="AL25" i="40"/>
  <c r="W25" i="40"/>
  <c r="X25" i="40" s="1"/>
  <c r="W24" i="40"/>
  <c r="X24" i="40" s="1"/>
  <c r="AN23" i="40"/>
  <c r="G8" i="40" s="1"/>
  <c r="AM23" i="40"/>
  <c r="AL23" i="40"/>
  <c r="W23" i="40"/>
  <c r="X23" i="40" s="1"/>
  <c r="AN22" i="40"/>
  <c r="AM22" i="40"/>
  <c r="AL22" i="40"/>
  <c r="W22" i="40"/>
  <c r="X22" i="40" s="1"/>
  <c r="W21" i="40"/>
  <c r="X21" i="40" s="1"/>
  <c r="AD16" i="40"/>
  <c r="AD17" i="40" s="1"/>
  <c r="X16" i="40"/>
  <c r="AB15" i="40"/>
  <c r="C15" i="40"/>
  <c r="F15" i="40" s="1"/>
  <c r="X14" i="40"/>
  <c r="V14" i="40"/>
  <c r="R14" i="40"/>
  <c r="P14" i="40"/>
  <c r="N14" i="40"/>
  <c r="K14" i="40"/>
  <c r="H14" i="40"/>
  <c r="F14" i="40"/>
  <c r="C14" i="40"/>
  <c r="AF8" i="40"/>
  <c r="AF9" i="40" s="1"/>
  <c r="K8" i="40"/>
  <c r="AP7" i="40"/>
  <c r="AO7" i="40"/>
  <c r="AN7" i="40"/>
  <c r="AM7" i="40"/>
  <c r="AL7" i="40"/>
  <c r="AK7" i="40"/>
  <c r="AJ7" i="40"/>
  <c r="AI7" i="40"/>
  <c r="H15" i="49" l="1"/>
  <c r="AB16" i="49"/>
  <c r="AB17" i="49" s="1"/>
  <c r="N15" i="49"/>
  <c r="K15" i="49"/>
  <c r="N15" i="48"/>
  <c r="AV47" i="48"/>
  <c r="AW47" i="48" s="1"/>
  <c r="AV46" i="48"/>
  <c r="AW46" i="48" s="1"/>
  <c r="AV42" i="48"/>
  <c r="AW42" i="48" s="1"/>
  <c r="AV48" i="48"/>
  <c r="AW48" i="48" s="1"/>
  <c r="AB9" i="48"/>
  <c r="AM17" i="48" s="1"/>
  <c r="AM16" i="48"/>
  <c r="AK9" i="48"/>
  <c r="H16" i="48"/>
  <c r="H17" i="48" s="1"/>
  <c r="AM15" i="48"/>
  <c r="AB8" i="48"/>
  <c r="AV44" i="48"/>
  <c r="AX41" i="48"/>
  <c r="AX42" i="48" s="1"/>
  <c r="AX43" i="48" s="1"/>
  <c r="AX44" i="48" s="1"/>
  <c r="AX45" i="48" s="1"/>
  <c r="AX46" i="48" s="1"/>
  <c r="AX47" i="48" s="1"/>
  <c r="AX48" i="48" s="1"/>
  <c r="AV41" i="48"/>
  <c r="AM9" i="48"/>
  <c r="N16" i="48"/>
  <c r="N17" i="48" s="1"/>
  <c r="AV45" i="48"/>
  <c r="K16" i="48"/>
  <c r="K17" i="48" s="1"/>
  <c r="AL9" i="48"/>
  <c r="AV43" i="48"/>
  <c r="H15" i="47"/>
  <c r="N15" i="47"/>
  <c r="AB16" i="47"/>
  <c r="AB17" i="47" s="1"/>
  <c r="K15" i="47"/>
  <c r="H15" i="46"/>
  <c r="AB16" i="46"/>
  <c r="AB17" i="46" s="1"/>
  <c r="N15" i="46"/>
  <c r="K15" i="46"/>
  <c r="AM17" i="45"/>
  <c r="AI16" i="45"/>
  <c r="AM9" i="45"/>
  <c r="N16" i="45"/>
  <c r="N17" i="45" s="1"/>
  <c r="AV43" i="45"/>
  <c r="AM16" i="45"/>
  <c r="AV45" i="45"/>
  <c r="AV47" i="45"/>
  <c r="AV48" i="45"/>
  <c r="AL9" i="45"/>
  <c r="K16" i="45"/>
  <c r="K17" i="45" s="1"/>
  <c r="AV46" i="45"/>
  <c r="H16" i="45"/>
  <c r="H17" i="45" s="1"/>
  <c r="AI15" i="45"/>
  <c r="AI17" i="45" s="1"/>
  <c r="AM15" i="45"/>
  <c r="AK9" i="45"/>
  <c r="AP11" i="45" s="1"/>
  <c r="AB8" i="45"/>
  <c r="AV41" i="45"/>
  <c r="AV42" i="45"/>
  <c r="AX41" i="45"/>
  <c r="AX42" i="45" s="1"/>
  <c r="AX43" i="45" s="1"/>
  <c r="AX44" i="45" s="1"/>
  <c r="AX45" i="45" s="1"/>
  <c r="AX46" i="45" s="1"/>
  <c r="AX47" i="45" s="1"/>
  <c r="AX48" i="45" s="1"/>
  <c r="AV44" i="45"/>
  <c r="H15" i="44"/>
  <c r="AB16" i="44"/>
  <c r="AB17" i="44" s="1"/>
  <c r="N15" i="44"/>
  <c r="K15" i="44"/>
  <c r="H15" i="43"/>
  <c r="AB16" i="43"/>
  <c r="AB17" i="43" s="1"/>
  <c r="N15" i="43"/>
  <c r="K15" i="43"/>
  <c r="H15" i="42"/>
  <c r="AB16" i="42"/>
  <c r="AB17" i="42" s="1"/>
  <c r="N15" i="42"/>
  <c r="K15" i="42"/>
  <c r="H15" i="41"/>
  <c r="AK9" i="41" s="1"/>
  <c r="N15" i="41"/>
  <c r="AL9" i="41"/>
  <c r="K16" i="41"/>
  <c r="K17" i="41" s="1"/>
  <c r="AV46" i="41"/>
  <c r="AI9" i="40"/>
  <c r="C16" i="40"/>
  <c r="C17" i="40" s="1"/>
  <c r="Y26" i="40"/>
  <c r="Y21" i="40"/>
  <c r="Y22" i="40"/>
  <c r="Y23" i="40"/>
  <c r="Y24" i="40"/>
  <c r="Y27" i="40"/>
  <c r="Y25" i="40"/>
  <c r="R15" i="40"/>
  <c r="P15" i="40"/>
  <c r="V15" i="40"/>
  <c r="Z15" i="40"/>
  <c r="Z16" i="40" s="1"/>
  <c r="Z17" i="40" s="1"/>
  <c r="F16" i="40"/>
  <c r="F17" i="40" s="1"/>
  <c r="AJ9" i="40"/>
  <c r="D8" i="40"/>
  <c r="Y15" i="40"/>
  <c r="Y16" i="40" s="1"/>
  <c r="Y17" i="40" s="1"/>
  <c r="AK48" i="37"/>
  <c r="AK47" i="37"/>
  <c r="AQ46" i="37"/>
  <c r="AN46" i="37"/>
  <c r="AS46" i="37" s="1"/>
  <c r="AK46" i="37"/>
  <c r="AS45" i="37"/>
  <c r="AQ45" i="37"/>
  <c r="AN45" i="37"/>
  <c r="AK45" i="37"/>
  <c r="AQ44" i="37"/>
  <c r="AN44" i="37"/>
  <c r="AS44" i="37" s="1"/>
  <c r="AK44" i="37"/>
  <c r="AQ43" i="37"/>
  <c r="AN43" i="37"/>
  <c r="AS43" i="37" s="1"/>
  <c r="AK43" i="37"/>
  <c r="AQ42" i="37"/>
  <c r="AN42" i="37"/>
  <c r="AS42" i="37" s="1"/>
  <c r="AK42" i="37"/>
  <c r="AQ41" i="37"/>
  <c r="AN41" i="37"/>
  <c r="AS41" i="37" s="1"/>
  <c r="AK41" i="37"/>
  <c r="AO31" i="37"/>
  <c r="AJ31" i="37"/>
  <c r="AK31" i="37" s="1"/>
  <c r="AO30" i="37"/>
  <c r="AO28" i="37"/>
  <c r="AO29" i="37" s="1"/>
  <c r="AO27" i="37"/>
  <c r="W27" i="37"/>
  <c r="X27" i="37" s="1"/>
  <c r="AO26" i="37"/>
  <c r="AN26" i="37"/>
  <c r="M8" i="37" s="1"/>
  <c r="AM26" i="37"/>
  <c r="K8" i="37" s="1"/>
  <c r="AL26" i="37"/>
  <c r="I8" i="37" s="1"/>
  <c r="W26" i="37"/>
  <c r="X26" i="37" s="1"/>
  <c r="AO25" i="37"/>
  <c r="AN25" i="37"/>
  <c r="AM25" i="37"/>
  <c r="AL25" i="37"/>
  <c r="W25" i="37"/>
  <c r="X25" i="37" s="1"/>
  <c r="W24" i="37"/>
  <c r="X24" i="37" s="1"/>
  <c r="AN23" i="37"/>
  <c r="G8" i="37" s="1"/>
  <c r="AM23" i="37"/>
  <c r="AL23" i="37"/>
  <c r="W23" i="37"/>
  <c r="X23" i="37" s="1"/>
  <c r="AN22" i="37"/>
  <c r="AM22" i="37"/>
  <c r="AL22" i="37"/>
  <c r="X22" i="37"/>
  <c r="W22" i="37"/>
  <c r="W21" i="37"/>
  <c r="X21" i="37" s="1"/>
  <c r="AD16" i="37"/>
  <c r="AD17" i="37" s="1"/>
  <c r="X16" i="37"/>
  <c r="AB15" i="37"/>
  <c r="C15" i="37"/>
  <c r="AI9" i="37" s="1"/>
  <c r="X14" i="37"/>
  <c r="V14" i="37"/>
  <c r="R14" i="37"/>
  <c r="P14" i="37"/>
  <c r="N14" i="37"/>
  <c r="K14" i="37"/>
  <c r="H14" i="37"/>
  <c r="F14" i="37"/>
  <c r="C14" i="37"/>
  <c r="AF8" i="37"/>
  <c r="AP7" i="37"/>
  <c r="AO7" i="37"/>
  <c r="AN7" i="37"/>
  <c r="AM7" i="37"/>
  <c r="AL7" i="37"/>
  <c r="AK7" i="37"/>
  <c r="AJ7" i="37"/>
  <c r="AI7" i="37"/>
  <c r="AK48" i="35"/>
  <c r="AK47" i="35"/>
  <c r="AQ46" i="35"/>
  <c r="AN46" i="35"/>
  <c r="AS46" i="35" s="1"/>
  <c r="AK46" i="35"/>
  <c r="AQ45" i="35"/>
  <c r="AN45" i="35"/>
  <c r="AS45" i="35" s="1"/>
  <c r="AK45" i="35"/>
  <c r="AQ44" i="35"/>
  <c r="AN44" i="35"/>
  <c r="AS44" i="35" s="1"/>
  <c r="AK44" i="35"/>
  <c r="AQ43" i="35"/>
  <c r="AN43" i="35"/>
  <c r="AS43" i="35" s="1"/>
  <c r="AK43" i="35"/>
  <c r="AQ42" i="35"/>
  <c r="AN42" i="35"/>
  <c r="AS42" i="35" s="1"/>
  <c r="AK42" i="35"/>
  <c r="AQ41" i="35"/>
  <c r="AN41" i="35"/>
  <c r="AS41" i="35" s="1"/>
  <c r="AK41" i="35"/>
  <c r="AO31" i="35"/>
  <c r="AJ31" i="35"/>
  <c r="AK31" i="35" s="1"/>
  <c r="AO30" i="35"/>
  <c r="AO28" i="35"/>
  <c r="AO29" i="35" s="1"/>
  <c r="AO27" i="35"/>
  <c r="W27" i="35"/>
  <c r="X27" i="35" s="1"/>
  <c r="AO26" i="35"/>
  <c r="AN26" i="35"/>
  <c r="AM26" i="35"/>
  <c r="AL26" i="35"/>
  <c r="I8" i="35" s="1"/>
  <c r="W26" i="35"/>
  <c r="X26" i="35" s="1"/>
  <c r="AO25" i="35"/>
  <c r="AN25" i="35"/>
  <c r="AM25" i="35"/>
  <c r="AL25" i="35"/>
  <c r="W25" i="35"/>
  <c r="X25" i="35" s="1"/>
  <c r="X24" i="35"/>
  <c r="W24" i="35"/>
  <c r="AN23" i="35"/>
  <c r="AM23" i="35"/>
  <c r="AL23" i="35"/>
  <c r="W23" i="35"/>
  <c r="X23" i="35" s="1"/>
  <c r="AN22" i="35"/>
  <c r="AM22" i="35"/>
  <c r="AL22" i="35"/>
  <c r="W22" i="35"/>
  <c r="X22" i="35" s="1"/>
  <c r="W21" i="35"/>
  <c r="X21" i="35" s="1"/>
  <c r="AD17" i="35"/>
  <c r="X16" i="35"/>
  <c r="AB15" i="35"/>
  <c r="X14" i="35"/>
  <c r="V14" i="35"/>
  <c r="R14" i="35"/>
  <c r="P14" i="35"/>
  <c r="N14" i="35"/>
  <c r="K14" i="35"/>
  <c r="H14" i="35"/>
  <c r="F14" i="35"/>
  <c r="C14" i="35"/>
  <c r="AF8" i="35"/>
  <c r="AF9" i="35" s="1"/>
  <c r="AP7" i="35"/>
  <c r="AO7" i="35"/>
  <c r="AN7" i="35"/>
  <c r="AM7" i="35"/>
  <c r="AL7" i="35"/>
  <c r="AK7" i="35"/>
  <c r="AJ7" i="35"/>
  <c r="AI7" i="35"/>
  <c r="AL9" i="49" l="1"/>
  <c r="K16" i="49"/>
  <c r="K17" i="49" s="1"/>
  <c r="AM9" i="49"/>
  <c r="N16" i="49"/>
  <c r="N17" i="49" s="1"/>
  <c r="AM15" i="49"/>
  <c r="AK9" i="49"/>
  <c r="H16" i="49"/>
  <c r="H17" i="49" s="1"/>
  <c r="AV41" i="49"/>
  <c r="AV47" i="49"/>
  <c r="AB9" i="49"/>
  <c r="AI15" i="49" s="1"/>
  <c r="AX41" i="49"/>
  <c r="AX42" i="49" s="1"/>
  <c r="AX43" i="49" s="1"/>
  <c r="AX44" i="49" s="1"/>
  <c r="AX45" i="49" s="1"/>
  <c r="AX46" i="49" s="1"/>
  <c r="AX47" i="49" s="1"/>
  <c r="AX48" i="49" s="1"/>
  <c r="AV46" i="49"/>
  <c r="AV45" i="49"/>
  <c r="AV48" i="49"/>
  <c r="AV44" i="49"/>
  <c r="AB8" i="49"/>
  <c r="AM16" i="49"/>
  <c r="AV42" i="49"/>
  <c r="AV43" i="49"/>
  <c r="AY48" i="48"/>
  <c r="AL48" i="48" s="1"/>
  <c r="AP11" i="48"/>
  <c r="AY42" i="48"/>
  <c r="AL42" i="48" s="1"/>
  <c r="AI15" i="48"/>
  <c r="AI16" i="48"/>
  <c r="AY41" i="48"/>
  <c r="AL41" i="48" s="1"/>
  <c r="AW41" i="48"/>
  <c r="AW44" i="48"/>
  <c r="AY44" i="48"/>
  <c r="AL44" i="48" s="1"/>
  <c r="X17" i="48"/>
  <c r="AW43" i="48"/>
  <c r="AY43" i="48"/>
  <c r="AL43" i="48" s="1"/>
  <c r="AY47" i="48"/>
  <c r="AL47" i="48" s="1"/>
  <c r="AW45" i="48"/>
  <c r="AY45" i="48"/>
  <c r="AL45" i="48" s="1"/>
  <c r="AY46" i="48"/>
  <c r="AL46" i="48" s="1"/>
  <c r="AL9" i="47"/>
  <c r="K16" i="47"/>
  <c r="K17" i="47" s="1"/>
  <c r="AM9" i="47"/>
  <c r="N16" i="47"/>
  <c r="N17" i="47" s="1"/>
  <c r="AM15" i="47"/>
  <c r="H16" i="47"/>
  <c r="H17" i="47" s="1"/>
  <c r="AK9" i="47"/>
  <c r="AB8" i="47"/>
  <c r="AV41" i="47"/>
  <c r="AV45" i="47"/>
  <c r="AV46" i="47"/>
  <c r="AV48" i="47"/>
  <c r="AX41" i="47"/>
  <c r="AX42" i="47" s="1"/>
  <c r="AX43" i="47" s="1"/>
  <c r="AX44" i="47" s="1"/>
  <c r="AX45" i="47" s="1"/>
  <c r="AX46" i="47" s="1"/>
  <c r="AX47" i="47" s="1"/>
  <c r="AX48" i="47" s="1"/>
  <c r="AM16" i="47"/>
  <c r="AB9" i="47"/>
  <c r="AV42" i="47"/>
  <c r="AV44" i="47"/>
  <c r="AV43" i="47"/>
  <c r="AV47" i="47"/>
  <c r="AM9" i="46"/>
  <c r="N16" i="46"/>
  <c r="N17" i="46" s="1"/>
  <c r="AM15" i="46"/>
  <c r="AK9" i="46"/>
  <c r="H16" i="46"/>
  <c r="H17" i="46" s="1"/>
  <c r="AB8" i="46"/>
  <c r="AX41" i="46"/>
  <c r="AX42" i="46" s="1"/>
  <c r="AX43" i="46" s="1"/>
  <c r="AX44" i="46" s="1"/>
  <c r="AX45" i="46" s="1"/>
  <c r="AX46" i="46" s="1"/>
  <c r="AX47" i="46" s="1"/>
  <c r="AX48" i="46" s="1"/>
  <c r="AV42" i="46"/>
  <c r="AV48" i="46"/>
  <c r="AB9" i="46"/>
  <c r="AV45" i="46"/>
  <c r="AM16" i="46"/>
  <c r="AV41" i="46"/>
  <c r="AV46" i="46"/>
  <c r="AV43" i="46"/>
  <c r="AV44" i="46"/>
  <c r="AV47" i="46"/>
  <c r="AL9" i="46"/>
  <c r="K16" i="46"/>
  <c r="K17" i="46" s="1"/>
  <c r="H16" i="41"/>
  <c r="H17" i="41" s="1"/>
  <c r="AY41" i="45"/>
  <c r="AL41" i="45" s="1"/>
  <c r="AW41" i="45"/>
  <c r="AY42" i="45"/>
  <c r="AL42" i="45" s="1"/>
  <c r="AW42" i="45"/>
  <c r="AY45" i="45"/>
  <c r="AL45" i="45" s="1"/>
  <c r="AW45" i="45"/>
  <c r="AW44" i="45"/>
  <c r="AY44" i="45"/>
  <c r="AL44" i="45" s="1"/>
  <c r="X17" i="45"/>
  <c r="AY48" i="45"/>
  <c r="AL48" i="45" s="1"/>
  <c r="AW48" i="45"/>
  <c r="AW43" i="45"/>
  <c r="AY43" i="45"/>
  <c r="AL43" i="45" s="1"/>
  <c r="AY46" i="45"/>
  <c r="AL46" i="45" s="1"/>
  <c r="AW46" i="45"/>
  <c r="AW47" i="45"/>
  <c r="AY47" i="45"/>
  <c r="AL47" i="45" s="1"/>
  <c r="AV41" i="41"/>
  <c r="AW41" i="41" s="1"/>
  <c r="AM15" i="44"/>
  <c r="AK9" i="44"/>
  <c r="H16" i="44"/>
  <c r="H17" i="44" s="1"/>
  <c r="AV48" i="44"/>
  <c r="AV41" i="44"/>
  <c r="AX41" i="44"/>
  <c r="AX42" i="44" s="1"/>
  <c r="AX43" i="44" s="1"/>
  <c r="AX44" i="44" s="1"/>
  <c r="AX45" i="44" s="1"/>
  <c r="AX46" i="44" s="1"/>
  <c r="AX47" i="44" s="1"/>
  <c r="AX48" i="44" s="1"/>
  <c r="AV45" i="44"/>
  <c r="AV42" i="44"/>
  <c r="AM16" i="44"/>
  <c r="AB9" i="44"/>
  <c r="AV43" i="44"/>
  <c r="AV47" i="44"/>
  <c r="AV46" i="44"/>
  <c r="AV44" i="44"/>
  <c r="AB8" i="44"/>
  <c r="AM9" i="44"/>
  <c r="N16" i="44"/>
  <c r="N17" i="44" s="1"/>
  <c r="AL9" i="44"/>
  <c r="K16" i="44"/>
  <c r="K17" i="44" s="1"/>
  <c r="AM9" i="43"/>
  <c r="N16" i="43"/>
  <c r="N17" i="43" s="1"/>
  <c r="H16" i="43"/>
  <c r="H17" i="43" s="1"/>
  <c r="AM15" i="43"/>
  <c r="AK9" i="43"/>
  <c r="AX41" i="43"/>
  <c r="AX42" i="43" s="1"/>
  <c r="AX43" i="43" s="1"/>
  <c r="AX44" i="43" s="1"/>
  <c r="AX45" i="43" s="1"/>
  <c r="AX46" i="43" s="1"/>
  <c r="AX47" i="43" s="1"/>
  <c r="AX48" i="43" s="1"/>
  <c r="AB8" i="43"/>
  <c r="AV41" i="43"/>
  <c r="AV45" i="43"/>
  <c r="AV44" i="43"/>
  <c r="AV43" i="43"/>
  <c r="AM16" i="43"/>
  <c r="AV48" i="43"/>
  <c r="AB9" i="43"/>
  <c r="AV47" i="43"/>
  <c r="AV42" i="43"/>
  <c r="AV46" i="43"/>
  <c r="K16" i="43"/>
  <c r="K17" i="43" s="1"/>
  <c r="AL9" i="43"/>
  <c r="AK9" i="42"/>
  <c r="AM15" i="42"/>
  <c r="H16" i="42"/>
  <c r="H17" i="42" s="1"/>
  <c r="AV41" i="42"/>
  <c r="AB8" i="42"/>
  <c r="AV44" i="42"/>
  <c r="AV42" i="42"/>
  <c r="AV43" i="42"/>
  <c r="AV48" i="42"/>
  <c r="AM16" i="42"/>
  <c r="AV46" i="42"/>
  <c r="AX41" i="42"/>
  <c r="AX42" i="42" s="1"/>
  <c r="AX43" i="42" s="1"/>
  <c r="AX44" i="42" s="1"/>
  <c r="AX45" i="42" s="1"/>
  <c r="AX46" i="42" s="1"/>
  <c r="AX47" i="42" s="1"/>
  <c r="AX48" i="42" s="1"/>
  <c r="AV47" i="42"/>
  <c r="AB9" i="42"/>
  <c r="AV45" i="42"/>
  <c r="AM9" i="42"/>
  <c r="N16" i="42"/>
  <c r="N17" i="42" s="1"/>
  <c r="AL9" i="42"/>
  <c r="K16" i="42"/>
  <c r="K17" i="42" s="1"/>
  <c r="AB8" i="41"/>
  <c r="AX41" i="41"/>
  <c r="AX42" i="41" s="1"/>
  <c r="AX43" i="41" s="1"/>
  <c r="AX44" i="41" s="1"/>
  <c r="AX45" i="41" s="1"/>
  <c r="AX46" i="41" s="1"/>
  <c r="AX47" i="41" s="1"/>
  <c r="AX48" i="41" s="1"/>
  <c r="AV42" i="41"/>
  <c r="AV47" i="41"/>
  <c r="AW47" i="41" s="1"/>
  <c r="N16" i="41"/>
  <c r="N17" i="41" s="1"/>
  <c r="X17" i="41"/>
  <c r="AV43" i="41"/>
  <c r="AV45" i="41"/>
  <c r="AW45" i="41" s="1"/>
  <c r="AV44" i="41"/>
  <c r="AM16" i="41"/>
  <c r="AV48" i="41"/>
  <c r="AW48" i="41" s="1"/>
  <c r="AM15" i="41"/>
  <c r="AM9" i="41"/>
  <c r="AP11" i="41" s="1"/>
  <c r="AB9" i="41"/>
  <c r="AW46" i="41"/>
  <c r="AF6" i="40"/>
  <c r="AF7" i="40" s="1"/>
  <c r="K15" i="40" s="1"/>
  <c r="V16" i="40"/>
  <c r="V17" i="40" s="1"/>
  <c r="AP9" i="40"/>
  <c r="AN9" i="40"/>
  <c r="P16" i="40"/>
  <c r="P17" i="40" s="1"/>
  <c r="AO9" i="40"/>
  <c r="R16" i="40"/>
  <c r="R17" i="40" s="1"/>
  <c r="AF9" i="37"/>
  <c r="R15" i="37" s="1"/>
  <c r="C16" i="37"/>
  <c r="C17" i="37" s="1"/>
  <c r="F15" i="37"/>
  <c r="F16" i="37" s="1"/>
  <c r="F17" i="37" s="1"/>
  <c r="R15" i="35"/>
  <c r="P15" i="35"/>
  <c r="V15" i="35"/>
  <c r="F15" i="35"/>
  <c r="C16" i="35"/>
  <c r="C17" i="35" s="1"/>
  <c r="AI9" i="35"/>
  <c r="AK48" i="34"/>
  <c r="AK47" i="34"/>
  <c r="AQ46" i="34"/>
  <c r="AN46" i="34"/>
  <c r="AS46" i="34" s="1"/>
  <c r="AK46" i="34"/>
  <c r="AQ45" i="34"/>
  <c r="AN45" i="34"/>
  <c r="AS45" i="34" s="1"/>
  <c r="AK45" i="34"/>
  <c r="AQ44" i="34"/>
  <c r="AN44" i="34"/>
  <c r="AS44" i="34" s="1"/>
  <c r="AK44" i="34"/>
  <c r="AQ43" i="34"/>
  <c r="AN43" i="34"/>
  <c r="AS43" i="34" s="1"/>
  <c r="AK43" i="34"/>
  <c r="AQ42" i="34"/>
  <c r="AN42" i="34"/>
  <c r="AS42" i="34" s="1"/>
  <c r="AK42" i="34"/>
  <c r="AQ41" i="34"/>
  <c r="AN41" i="34"/>
  <c r="AS41" i="34" s="1"/>
  <c r="AK41" i="34"/>
  <c r="AJ31" i="34"/>
  <c r="AK31" i="34" s="1"/>
  <c r="AO30" i="34"/>
  <c r="AO28" i="34"/>
  <c r="AO29" i="34" s="1"/>
  <c r="AO27" i="34"/>
  <c r="W27" i="34"/>
  <c r="AO26" i="34"/>
  <c r="AN26" i="34"/>
  <c r="AM26" i="34"/>
  <c r="AL26" i="34"/>
  <c r="I8" i="34" s="1"/>
  <c r="W26" i="34"/>
  <c r="AO25" i="34"/>
  <c r="AN25" i="34"/>
  <c r="AM25" i="34"/>
  <c r="AL25" i="34"/>
  <c r="W25" i="34"/>
  <c r="W24" i="34"/>
  <c r="AN23" i="34"/>
  <c r="G8" i="34" s="1"/>
  <c r="AM23" i="34"/>
  <c r="AL23" i="34"/>
  <c r="W23" i="34"/>
  <c r="AN22" i="34"/>
  <c r="AM22" i="34"/>
  <c r="AL22" i="34"/>
  <c r="W22" i="34"/>
  <c r="W21" i="34"/>
  <c r="AD16" i="34"/>
  <c r="AD17" i="34" s="1"/>
  <c r="AB15" i="34"/>
  <c r="X25" i="34"/>
  <c r="X14" i="34"/>
  <c r="V14" i="34"/>
  <c r="R14" i="34"/>
  <c r="P14" i="34"/>
  <c r="N14" i="34"/>
  <c r="K14" i="34"/>
  <c r="H14" i="34"/>
  <c r="AP7" i="34"/>
  <c r="AO7" i="34"/>
  <c r="AN7" i="34"/>
  <c r="AM7" i="34"/>
  <c r="AL7" i="34"/>
  <c r="AK7" i="34"/>
  <c r="AJ7" i="34"/>
  <c r="AI7" i="34"/>
  <c r="X17" i="49" l="1"/>
  <c r="AY47" i="49"/>
  <c r="AL47" i="49" s="1"/>
  <c r="AW47" i="49"/>
  <c r="AY41" i="49"/>
  <c r="AL41" i="49" s="1"/>
  <c r="AW41" i="49"/>
  <c r="AY42" i="49"/>
  <c r="AL42" i="49" s="1"/>
  <c r="AW42" i="49"/>
  <c r="AP11" i="49"/>
  <c r="AY46" i="49"/>
  <c r="AL46" i="49" s="1"/>
  <c r="AW46" i="49"/>
  <c r="AM17" i="49"/>
  <c r="AI16" i="49"/>
  <c r="AI17" i="49" s="1"/>
  <c r="AW43" i="49"/>
  <c r="AY43" i="49"/>
  <c r="AL43" i="49" s="1"/>
  <c r="AY44" i="49"/>
  <c r="AL44" i="49" s="1"/>
  <c r="AW44" i="49"/>
  <c r="AY48" i="49"/>
  <c r="AL48" i="49" s="1"/>
  <c r="AW48" i="49"/>
  <c r="AY45" i="49"/>
  <c r="AL45" i="49" s="1"/>
  <c r="AW45" i="49"/>
  <c r="AI17" i="48"/>
  <c r="AP11" i="47"/>
  <c r="AW47" i="47"/>
  <c r="AY47" i="47"/>
  <c r="AL47" i="47" s="1"/>
  <c r="AI16" i="47"/>
  <c r="AM17" i="47"/>
  <c r="AY46" i="47"/>
  <c r="AL46" i="47" s="1"/>
  <c r="AW46" i="47"/>
  <c r="AY43" i="47"/>
  <c r="AL43" i="47" s="1"/>
  <c r="AW43" i="47"/>
  <c r="AY45" i="47"/>
  <c r="AL45" i="47" s="1"/>
  <c r="AW45" i="47"/>
  <c r="AI15" i="47"/>
  <c r="AI17" i="47" s="1"/>
  <c r="AW44" i="47"/>
  <c r="AY44" i="47"/>
  <c r="AL44" i="47" s="1"/>
  <c r="AY41" i="47"/>
  <c r="AL41" i="47" s="1"/>
  <c r="AW41" i="47"/>
  <c r="X17" i="47"/>
  <c r="AY42" i="47"/>
  <c r="AL42" i="47" s="1"/>
  <c r="AW42" i="47"/>
  <c r="AY48" i="47"/>
  <c r="AL48" i="47" s="1"/>
  <c r="AW48" i="47"/>
  <c r="AP11" i="46"/>
  <c r="AI15" i="42"/>
  <c r="I34" i="42"/>
  <c r="AW43" i="46"/>
  <c r="AY43" i="46"/>
  <c r="AL43" i="46" s="1"/>
  <c r="AY46" i="46"/>
  <c r="AL46" i="46" s="1"/>
  <c r="AW46" i="46"/>
  <c r="AI16" i="46"/>
  <c r="AM17" i="46"/>
  <c r="AW47" i="46"/>
  <c r="AY47" i="46"/>
  <c r="AL47" i="46" s="1"/>
  <c r="AY41" i="46"/>
  <c r="AL41" i="46" s="1"/>
  <c r="AW41" i="46"/>
  <c r="AY48" i="46"/>
  <c r="AL48" i="46" s="1"/>
  <c r="AW48" i="46"/>
  <c r="AI15" i="46"/>
  <c r="AI17" i="46" s="1"/>
  <c r="AY45" i="46"/>
  <c r="AL45" i="46" s="1"/>
  <c r="AW45" i="46"/>
  <c r="AW44" i="46"/>
  <c r="AY44" i="46"/>
  <c r="AL44" i="46" s="1"/>
  <c r="AY42" i="46"/>
  <c r="AL42" i="46" s="1"/>
  <c r="AW42" i="46"/>
  <c r="X17" i="46"/>
  <c r="AI15" i="41"/>
  <c r="I34" i="41"/>
  <c r="I35" i="41"/>
  <c r="X17" i="44"/>
  <c r="AY46" i="44"/>
  <c r="AL46" i="44" s="1"/>
  <c r="AW46" i="44"/>
  <c r="AY41" i="44"/>
  <c r="AL41" i="44" s="1"/>
  <c r="AW41" i="44"/>
  <c r="AP11" i="44"/>
  <c r="AW43" i="44"/>
  <c r="AY43" i="44"/>
  <c r="AL43" i="44" s="1"/>
  <c r="AW45" i="44"/>
  <c r="AY45" i="44"/>
  <c r="AL45" i="44" s="1"/>
  <c r="AW44" i="44"/>
  <c r="AY44" i="44"/>
  <c r="AL44" i="44" s="1"/>
  <c r="AI16" i="44"/>
  <c r="AM17" i="44"/>
  <c r="AI15" i="44"/>
  <c r="AW47" i="44"/>
  <c r="AY47" i="44"/>
  <c r="AL47" i="44" s="1"/>
  <c r="AY42" i="44"/>
  <c r="AL42" i="44" s="1"/>
  <c r="AW42" i="44"/>
  <c r="AY48" i="44"/>
  <c r="AL48" i="44" s="1"/>
  <c r="AW48" i="44"/>
  <c r="AW47" i="43"/>
  <c r="AY47" i="43"/>
  <c r="AL47" i="43" s="1"/>
  <c r="AI16" i="43"/>
  <c r="AM17" i="43"/>
  <c r="AW44" i="43"/>
  <c r="AY44" i="43"/>
  <c r="AL44" i="43" s="1"/>
  <c r="X17" i="43"/>
  <c r="AY46" i="43"/>
  <c r="AL46" i="43" s="1"/>
  <c r="AW46" i="43"/>
  <c r="AY48" i="43"/>
  <c r="AL48" i="43" s="1"/>
  <c r="AW48" i="43"/>
  <c r="AY45" i="43"/>
  <c r="AL45" i="43" s="1"/>
  <c r="AW45" i="43"/>
  <c r="AI15" i="43"/>
  <c r="AY43" i="43"/>
  <c r="AL43" i="43" s="1"/>
  <c r="AW43" i="43"/>
  <c r="AY42" i="43"/>
  <c r="AL42" i="43" s="1"/>
  <c r="AW42" i="43"/>
  <c r="AY41" i="43"/>
  <c r="AL41" i="43" s="1"/>
  <c r="AW41" i="43"/>
  <c r="AP11" i="43"/>
  <c r="AW43" i="42"/>
  <c r="AY43" i="42"/>
  <c r="AL43" i="42" s="1"/>
  <c r="AY41" i="42"/>
  <c r="AL41" i="42" s="1"/>
  <c r="AW41" i="42"/>
  <c r="AY45" i="42"/>
  <c r="AL45" i="42" s="1"/>
  <c r="AW45" i="42"/>
  <c r="AY46" i="42"/>
  <c r="AL46" i="42" s="1"/>
  <c r="AW46" i="42"/>
  <c r="AY42" i="42"/>
  <c r="AL42" i="42" s="1"/>
  <c r="AW42" i="42"/>
  <c r="AM17" i="42"/>
  <c r="AI16" i="42"/>
  <c r="AW44" i="42"/>
  <c r="AY44" i="42"/>
  <c r="AL44" i="42" s="1"/>
  <c r="X17" i="42"/>
  <c r="AW47" i="42"/>
  <c r="AY47" i="42"/>
  <c r="AL47" i="42" s="1"/>
  <c r="AY48" i="42"/>
  <c r="AL48" i="42" s="1"/>
  <c r="AW48" i="42"/>
  <c r="AP11" i="42"/>
  <c r="AI16" i="41"/>
  <c r="AI17" i="41" s="1"/>
  <c r="AY43" i="41"/>
  <c r="AL43" i="41" s="1"/>
  <c r="AY42" i="41"/>
  <c r="AL42" i="41" s="1"/>
  <c r="AW42" i="41"/>
  <c r="AY45" i="41"/>
  <c r="AL45" i="41" s="1"/>
  <c r="AY41" i="41"/>
  <c r="AL41" i="41" s="1"/>
  <c r="AM17" i="41"/>
  <c r="AW43" i="41"/>
  <c r="AY46" i="41"/>
  <c r="AL46" i="41" s="1"/>
  <c r="AY44" i="41"/>
  <c r="AL44" i="41" s="1"/>
  <c r="AY48" i="41"/>
  <c r="AL48" i="41" s="1"/>
  <c r="AW44" i="41"/>
  <c r="AY47" i="41"/>
  <c r="AL47" i="41" s="1"/>
  <c r="Z15" i="35"/>
  <c r="Z16" i="35" s="1"/>
  <c r="Z17" i="35" s="1"/>
  <c r="D8" i="35"/>
  <c r="N15" i="40"/>
  <c r="H15" i="40"/>
  <c r="AK9" i="40" s="1"/>
  <c r="AB16" i="40"/>
  <c r="AB17" i="40" s="1"/>
  <c r="Y15" i="37"/>
  <c r="Y16" i="37" s="1"/>
  <c r="Y17" i="37" s="1"/>
  <c r="AM9" i="40"/>
  <c r="N16" i="40"/>
  <c r="N17" i="40" s="1"/>
  <c r="AM15" i="40"/>
  <c r="K16" i="40"/>
  <c r="K17" i="40" s="1"/>
  <c r="AL9" i="40"/>
  <c r="P15" i="37"/>
  <c r="AN9" i="37" s="1"/>
  <c r="V15" i="37"/>
  <c r="AP9" i="37" s="1"/>
  <c r="AJ9" i="37"/>
  <c r="Y25" i="37"/>
  <c r="Y21" i="37"/>
  <c r="AF6" i="37"/>
  <c r="AF7" i="37" s="1"/>
  <c r="AB16" i="37" s="1"/>
  <c r="AB17" i="37" s="1"/>
  <c r="Y23" i="37"/>
  <c r="D8" i="37"/>
  <c r="Y27" i="37"/>
  <c r="Y26" i="37"/>
  <c r="Z15" i="37"/>
  <c r="Z16" i="37" s="1"/>
  <c r="Z17" i="37" s="1"/>
  <c r="Y24" i="37"/>
  <c r="Y22" i="37"/>
  <c r="V16" i="37"/>
  <c r="V17" i="37" s="1"/>
  <c r="P16" i="37"/>
  <c r="P17" i="37" s="1"/>
  <c r="AO9" i="37"/>
  <c r="R16" i="37"/>
  <c r="R17" i="37" s="1"/>
  <c r="V16" i="35"/>
  <c r="V17" i="35" s="1"/>
  <c r="AP9" i="35"/>
  <c r="F16" i="35"/>
  <c r="F17" i="35" s="1"/>
  <c r="Y25" i="35"/>
  <c r="AJ9" i="35"/>
  <c r="Y26" i="35"/>
  <c r="P16" i="35"/>
  <c r="P17" i="35" s="1"/>
  <c r="AN9" i="35"/>
  <c r="Y21" i="35"/>
  <c r="AF6" i="35"/>
  <c r="AF7" i="35" s="1"/>
  <c r="Y23" i="35"/>
  <c r="AO9" i="35"/>
  <c r="R16" i="35"/>
  <c r="R17" i="35" s="1"/>
  <c r="Y27" i="35"/>
  <c r="Y15" i="35"/>
  <c r="Y16" i="35" s="1"/>
  <c r="Y17" i="35" s="1"/>
  <c r="Y22" i="35"/>
  <c r="Y24" i="35"/>
  <c r="X23" i="34"/>
  <c r="C15" i="34"/>
  <c r="F15" i="34" s="1"/>
  <c r="D8" i="34" s="1"/>
  <c r="X26" i="34"/>
  <c r="X21" i="34"/>
  <c r="X27" i="34"/>
  <c r="AF8" i="34"/>
  <c r="AF9" i="34" s="1"/>
  <c r="X22" i="34"/>
  <c r="X24" i="34"/>
  <c r="X16" i="34"/>
  <c r="AI17" i="42" l="1"/>
  <c r="AI17" i="44"/>
  <c r="AI17" i="43"/>
  <c r="AV44" i="40"/>
  <c r="AW44" i="40" s="1"/>
  <c r="AV48" i="40"/>
  <c r="AW48" i="40" s="1"/>
  <c r="AV42" i="40"/>
  <c r="AW42" i="40" s="1"/>
  <c r="AX41" i="40"/>
  <c r="AX42" i="40" s="1"/>
  <c r="AX43" i="40" s="1"/>
  <c r="AX44" i="40" s="1"/>
  <c r="AX45" i="40" s="1"/>
  <c r="AX46" i="40" s="1"/>
  <c r="AX47" i="40" s="1"/>
  <c r="AX48" i="40" s="1"/>
  <c r="AV47" i="40"/>
  <c r="AW47" i="40" s="1"/>
  <c r="AV43" i="40"/>
  <c r="AW43" i="40" s="1"/>
  <c r="AM16" i="40"/>
  <c r="AV45" i="40"/>
  <c r="AW45" i="40" s="1"/>
  <c r="AB8" i="40"/>
  <c r="H16" i="40"/>
  <c r="H17" i="40" s="1"/>
  <c r="X17" i="40" s="1"/>
  <c r="AV46" i="40"/>
  <c r="AV41" i="40"/>
  <c r="AB9" i="40"/>
  <c r="AI15" i="40" s="1"/>
  <c r="AP11" i="40"/>
  <c r="K15" i="37"/>
  <c r="H15" i="37"/>
  <c r="H16" i="37" s="1"/>
  <c r="H17" i="37" s="1"/>
  <c r="N15" i="37"/>
  <c r="N16" i="37" s="1"/>
  <c r="N17" i="37" s="1"/>
  <c r="AM9" i="37"/>
  <c r="H15" i="35"/>
  <c r="N15" i="35"/>
  <c r="K15" i="35"/>
  <c r="AB16" i="35"/>
  <c r="AB17" i="35" s="1"/>
  <c r="Y26" i="34"/>
  <c r="C16" i="34"/>
  <c r="C17" i="34" s="1"/>
  <c r="AI9" i="34"/>
  <c r="Y15" i="34"/>
  <c r="Y16" i="34" s="1"/>
  <c r="Y17" i="34" s="1"/>
  <c r="F16" i="34"/>
  <c r="F17" i="34" s="1"/>
  <c r="AJ9" i="34"/>
  <c r="V15" i="34"/>
  <c r="R15" i="34"/>
  <c r="P15" i="34"/>
  <c r="Y24" i="34"/>
  <c r="Y21" i="34"/>
  <c r="Z15" i="34"/>
  <c r="Z16" i="34" s="1"/>
  <c r="Z17" i="34" s="1"/>
  <c r="Y27" i="34"/>
  <c r="Y22" i="34"/>
  <c r="Y25" i="34"/>
  <c r="Y23" i="34"/>
  <c r="AB9" i="35" l="1"/>
  <c r="AY41" i="40"/>
  <c r="AL41" i="40" s="1"/>
  <c r="AI16" i="40"/>
  <c r="AI17" i="40" s="1"/>
  <c r="AY44" i="40"/>
  <c r="AL44" i="40" s="1"/>
  <c r="AY47" i="40"/>
  <c r="AL47" i="40" s="1"/>
  <c r="AM17" i="40"/>
  <c r="AY48" i="40"/>
  <c r="AL48" i="40" s="1"/>
  <c r="AY43" i="40"/>
  <c r="AL43" i="40" s="1"/>
  <c r="AY42" i="40"/>
  <c r="AL42" i="40" s="1"/>
  <c r="AY46" i="40"/>
  <c r="AL46" i="40" s="1"/>
  <c r="AW46" i="40"/>
  <c r="AW41" i="40"/>
  <c r="AY45" i="40"/>
  <c r="AL45" i="40" s="1"/>
  <c r="AV42" i="37"/>
  <c r="AK9" i="37"/>
  <c r="AB9" i="37"/>
  <c r="AI15" i="37" s="1"/>
  <c r="AB8" i="37"/>
  <c r="AV43" i="37"/>
  <c r="AW43" i="37" s="1"/>
  <c r="AM16" i="37"/>
  <c r="AV45" i="37"/>
  <c r="AV46" i="37"/>
  <c r="AW46" i="37" s="1"/>
  <c r="AV41" i="37"/>
  <c r="AM15" i="37"/>
  <c r="K16" i="37"/>
  <c r="K17" i="37" s="1"/>
  <c r="X17" i="37" s="1"/>
  <c r="AX41" i="37"/>
  <c r="AX42" i="37" s="1"/>
  <c r="AX43" i="37" s="1"/>
  <c r="AX44" i="37" s="1"/>
  <c r="AX45" i="37" s="1"/>
  <c r="AX46" i="37" s="1"/>
  <c r="AX47" i="37" s="1"/>
  <c r="AX48" i="37" s="1"/>
  <c r="AV48" i="37"/>
  <c r="AW48" i="37" s="1"/>
  <c r="AV44" i="37"/>
  <c r="AW44" i="37" s="1"/>
  <c r="AL9" i="37"/>
  <c r="AV47" i="37"/>
  <c r="AW47" i="37" s="1"/>
  <c r="AW41" i="37"/>
  <c r="AW42" i="37"/>
  <c r="AM9" i="35"/>
  <c r="N16" i="35"/>
  <c r="N17" i="35" s="1"/>
  <c r="AL9" i="35"/>
  <c r="K16" i="35"/>
  <c r="K17" i="35" s="1"/>
  <c r="AM15" i="35"/>
  <c r="AK9" i="35"/>
  <c r="H16" i="35"/>
  <c r="H17" i="35" s="1"/>
  <c r="AB8" i="35"/>
  <c r="AV45" i="35"/>
  <c r="AV43" i="35"/>
  <c r="AV47" i="35"/>
  <c r="AV41" i="35"/>
  <c r="AV48" i="35"/>
  <c r="AV46" i="35"/>
  <c r="AM16" i="35"/>
  <c r="AX41" i="35"/>
  <c r="AX42" i="35" s="1"/>
  <c r="AX43" i="35" s="1"/>
  <c r="AX44" i="35" s="1"/>
  <c r="AX45" i="35" s="1"/>
  <c r="AX46" i="35" s="1"/>
  <c r="AX47" i="35" s="1"/>
  <c r="AX48" i="35" s="1"/>
  <c r="AV44" i="35"/>
  <c r="AV42" i="35"/>
  <c r="V16" i="34"/>
  <c r="V17" i="34" s="1"/>
  <c r="AP9" i="34"/>
  <c r="P16" i="34"/>
  <c r="P17" i="34" s="1"/>
  <c r="AN9" i="34"/>
  <c r="AF6" i="34"/>
  <c r="AF7" i="34" s="1"/>
  <c r="R16" i="34"/>
  <c r="R17" i="34" s="1"/>
  <c r="AO9" i="34"/>
  <c r="AP11" i="37" l="1"/>
  <c r="AY45" i="37"/>
  <c r="AL45" i="37" s="1"/>
  <c r="AM17" i="37"/>
  <c r="AI16" i="37"/>
  <c r="AI17" i="37" s="1"/>
  <c r="AY42" i="37"/>
  <c r="AL42" i="37" s="1"/>
  <c r="AY47" i="37"/>
  <c r="AL47" i="37" s="1"/>
  <c r="AW45" i="37"/>
  <c r="AY48" i="37"/>
  <c r="AL48" i="37" s="1"/>
  <c r="AY41" i="37"/>
  <c r="AL41" i="37" s="1"/>
  <c r="AY46" i="37"/>
  <c r="AL46" i="37" s="1"/>
  <c r="AY44" i="37"/>
  <c r="AL44" i="37" s="1"/>
  <c r="AY43" i="37"/>
  <c r="AL43" i="37" s="1"/>
  <c r="AP11" i="35"/>
  <c r="AW44" i="35"/>
  <c r="AY44" i="35"/>
  <c r="AL44" i="35" s="1"/>
  <c r="AY48" i="35"/>
  <c r="AL48" i="35" s="1"/>
  <c r="AW48" i="35"/>
  <c r="AW45" i="35"/>
  <c r="AY45" i="35"/>
  <c r="AL45" i="35" s="1"/>
  <c r="AW41" i="35"/>
  <c r="AY41" i="35"/>
  <c r="AL41" i="35" s="1"/>
  <c r="AY42" i="35"/>
  <c r="AL42" i="35" s="1"/>
  <c r="AW42" i="35"/>
  <c r="AW47" i="35"/>
  <c r="AY47" i="35"/>
  <c r="AL47" i="35" s="1"/>
  <c r="X17" i="35"/>
  <c r="AI16" i="35"/>
  <c r="AM17" i="35"/>
  <c r="AY46" i="35"/>
  <c r="AL46" i="35" s="1"/>
  <c r="AW46" i="35"/>
  <c r="AW43" i="35"/>
  <c r="AY43" i="35"/>
  <c r="AL43" i="35" s="1"/>
  <c r="AI15" i="35"/>
  <c r="K15" i="34"/>
  <c r="H15" i="34"/>
  <c r="N15" i="34"/>
  <c r="AB16" i="34"/>
  <c r="AB17" i="34" s="1"/>
  <c r="AI17" i="35" l="1"/>
  <c r="K16" i="34"/>
  <c r="K17" i="34" s="1"/>
  <c r="AL9" i="34"/>
  <c r="N16" i="34"/>
  <c r="N17" i="34" s="1"/>
  <c r="AM9" i="34"/>
  <c r="H16" i="34"/>
  <c r="H17" i="34" s="1"/>
  <c r="AM15" i="34"/>
  <c r="AK9" i="34"/>
  <c r="AV41" i="34"/>
  <c r="AV47" i="34"/>
  <c r="AB9" i="34"/>
  <c r="AB8" i="34"/>
  <c r="AV48" i="34"/>
  <c r="AX41" i="34"/>
  <c r="AX42" i="34" s="1"/>
  <c r="AX43" i="34" s="1"/>
  <c r="AX44" i="34" s="1"/>
  <c r="AX45" i="34" s="1"/>
  <c r="AX46" i="34" s="1"/>
  <c r="AX47" i="34" s="1"/>
  <c r="AX48" i="34" s="1"/>
  <c r="AV43" i="34"/>
  <c r="AV46" i="34"/>
  <c r="AV45" i="34"/>
  <c r="AV42" i="34"/>
  <c r="AV44" i="34"/>
  <c r="AM16" i="34"/>
  <c r="X17" i="34" l="1"/>
  <c r="AP11" i="34"/>
  <c r="AY45" i="34"/>
  <c r="AL45" i="34" s="1"/>
  <c r="AW45" i="34"/>
  <c r="AY46" i="34"/>
  <c r="AL46" i="34" s="1"/>
  <c r="AW46" i="34"/>
  <c r="AY43" i="34"/>
  <c r="AL43" i="34" s="1"/>
  <c r="AW43" i="34"/>
  <c r="AM17" i="34"/>
  <c r="AI16" i="34"/>
  <c r="AI15" i="34"/>
  <c r="AW44" i="34"/>
  <c r="AY44" i="34"/>
  <c r="AL44" i="34" s="1"/>
  <c r="AY42" i="34"/>
  <c r="AL42" i="34" s="1"/>
  <c r="AW42" i="34"/>
  <c r="AW47" i="34"/>
  <c r="AY47" i="34"/>
  <c r="AL47" i="34" s="1"/>
  <c r="AY48" i="34"/>
  <c r="AL48" i="34" s="1"/>
  <c r="AW48" i="34"/>
  <c r="AY41" i="34"/>
  <c r="AL41" i="34" s="1"/>
  <c r="AW41" i="34"/>
  <c r="AI17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4CD85BAB-1B8A-42CF-B5B3-A007C906760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CC75112A-DB98-4263-881C-09E22306936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4AFE7C2-0057-4FF6-A83E-B77EEF42CC2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30DD8838-8B66-4A04-B330-0CB4F13F4B1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45E1A748-0D05-4983-AB06-4FE81B1CA2D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CABBE9B-A021-4B02-B8E2-F2905C8AA8A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BE1B4BE9-8158-4D44-96CD-2BB3DF73E7F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891AF4E-4AEF-4C1B-B56D-5AAAD2DECEF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4BE1B037-E269-4C98-A749-7B2D42C8688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3A42094-4882-43BC-95FF-F57B2A0D1DF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5A67C5E7-45CC-4363-8766-755658ED852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25AAE529-AD72-4649-8B99-E0A6CA6FB2C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A718A3C-0CBA-46C9-BA24-3FF3B45F443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AE76509-EA5E-4088-8069-ED181374618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59A82F2-B57E-4901-9715-31E5EF621F4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587AD440-3AF1-4AD4-813D-39D7E7A93AE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564254F-E555-4348-B305-56EDD77BC09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90ABAA90-FF13-4D2B-B75E-646CB9DB073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48EFF0D8-42C1-49CD-A648-157DDCCE66C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4D378A3-0346-416A-B79A-8750CD39851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9530737-7327-4BC6-B0F2-C12445624F6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2BB423D-854A-44FA-9640-BACDF20B26D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2F9AC69-D799-4F76-A1F0-BA2F4AE9D84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5B755FB-C369-48D0-9C42-9AB82A367D5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AF3851F-E593-4955-982E-F585A6E48A0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042480B-676D-4F39-9755-3F77614BDC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1206507F-1BEB-435F-BA10-57FA9611DD9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EF6CAA63-4FE3-45A3-A017-1583D7F67BE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F660186-8CB3-4305-B2C7-EFE5B3D038D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45E98A1-A99A-4CDF-868A-679DEE0B510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58726CAB-7429-4312-B883-5E386FB55A7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1C8815E0-F10C-48E6-BBC8-116E234FD94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4372C30-008D-4DF8-B9AC-41870255514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D1DDE71B-BDF8-482E-9D0D-FE8FE8E3FAD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4DFCC14A-015F-4B30-91EC-4CF8766137E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491D0C3A-3671-4783-8207-58240DA9F63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81E34F2-233F-4CAA-BC2B-793F3E73104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A6C2148-ABE8-4752-B055-FC68FD459C1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2997236E-76E5-4941-9142-E8FB945FF47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B1248C5-F64B-4A12-973F-093820E8904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DDA8C1CF-8E4B-4386-AA8D-790A8A9C488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74250B0-B2EF-4B7E-B5A1-68A583107B4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D8D650DA-A7EE-4EA5-97A4-E4266963CFE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7EE5878F-C42E-463C-9AF5-0D105DEAA4E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247417E2-F6F5-4663-B3ED-8657AE4AF8C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DBDB747-8111-447C-8D6E-514EC0FE0FC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D935A15-24D0-4E85-82F4-523F1F98B87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475EC2F-5410-4FF8-9833-A2CF6F2EDA7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5135CE8B-0620-4D45-8217-0F7E9E8AA7E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0A957B8-4533-4BB2-993E-AA21D01FCC9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C4AB62DC-933F-42EA-82A7-606EA344F2A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5C2A10A4-296A-444B-9CF6-558E453DA03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C8A5A595-21D9-47C6-800C-168A8455230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0C3A5AD-4965-4DB6-82DF-75DA8D5392D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DDC1960F-564A-4CE5-8B95-117D7DA3E10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33DC8A18-650F-49AA-BA12-26EED08DAE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CF20567-6858-4FE0-90A2-17146E82C1B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EA1BBBAD-C5C4-4D42-83B3-121BBC1944B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79BF3955-EF50-4E20-8BBA-902D493AC3B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F91431A-96F4-41B8-B632-27EA3CC9AA7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ADF85A1-ABEB-4B99-B899-2498F0B02BC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2C48129-8DA2-453A-A5B5-C3330CAE10F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A294303F-DF72-43A0-870F-7396AB23329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9CDECE1-77D5-4DC6-B7CD-8CFB4D04CE5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58C43D0-50A7-4DB8-AD58-9D3218BCA61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ACA38D9-9A22-43F5-9403-58EFDF6C3D7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A7CCACA5-D757-47C2-83A3-96261CDD7B4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8CCAB97-D3CD-47A4-8E56-BDA622C96C7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601E091-AE77-450B-93C2-C58E7ECF88C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E66ECE6E-2B9B-405E-B0AE-9F0DB2CF1A5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94BC50C-5C21-425D-A189-F38AAAAEB22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A54AC65-F581-452F-A1E4-5F3EE297D46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740DC495-B113-44F0-9D3C-BC5D37731EB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69931CC1-DD20-4BB5-9ED4-15B0EC654C3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49D2B8DC-B8BF-49B5-809B-EB750DDCAB2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AE28B0F-1CC4-4FA9-8715-AE027CA1F74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848DA05-4AE0-4779-B112-E9CF8CAD266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DCF3312-3E91-4152-A7E1-C784EC9AA81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98F4A6C-D971-4245-A9C1-96D7E3487F7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9435BDDF-6FFA-4219-A7B2-E5CEB39DABC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CD4A7AC6-2442-46C4-925E-C7547AFCC40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EEF6A103-7F13-4397-BF97-0938DDDE56B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BC2E1D4-D30C-42E3-BB63-379A8437AFE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5DD535E-042C-4DF1-8536-49CF9E158D4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397C6D5-7630-44C3-BA58-20218471B8C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BADF966-191E-452F-8524-E1DD71ECE58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44A13165-FFBA-4852-9890-B103BAB8B8A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FB31138D-1BA8-4543-BF7F-AF62BF3D4D1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1EF0B413-FBC4-4913-814B-378677496C8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5F2CF61E-CEFD-4529-B45D-9535FD55311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52D8747-495F-4701-91FA-EF231966D40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88316F91-1D5E-42D4-AAB3-D3ED68DEB65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9E8B294-1029-4C75-B790-2177D7D4718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44460E2-1891-4295-9EC5-F19C8E7EA38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1461245-3125-4A64-803A-76B576FF554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59C1814D-9F85-48D7-AF75-64D98165637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49D1710F-AE84-4F8E-BF90-25CA0EC8A5A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7BBE7924-635C-48E8-A236-0695E4A0840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5539244-4864-4AD4-8EB5-D88D4757FB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8C0E2D9-B35B-41BA-8664-B9F6B5A2CAC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0670E0B-E9E5-425C-98CA-3F32846395B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CD47414-8835-43C8-A378-36D1A810462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61642F93-AC15-410F-9130-994A5E065D1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8E6BB54-9FFD-4799-9659-53C542CA3F1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0A03319-58EA-4296-B5FB-3DBE2F1914C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5EE9700-F143-4B24-9F3D-1BF22099553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9E55F922-5357-4113-B530-2EC63579A3B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042A781-265B-41CE-A922-378EAA79AF8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E935F086-2771-4C8E-A606-E6C5FC14B4A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CFA9A1F2-5314-4E26-98EB-4E14C01632A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B285E00-3891-4CEC-A750-A5918A7E6B3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5BE80DF8-07DE-415B-86C2-D8390C282D3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BAE4AA57-497C-4274-AC31-7F1A8874BFA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6AA5B92-2B2E-416E-99CB-9985BAF56D7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52E1EBE4-09A0-4DE1-BD9D-FCD6B370DD4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D6EA967-2293-49B1-A8C9-1D409338B41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06717EE-344A-43DF-9EB1-96D22FEA32D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A3020B04-5247-4E6E-AAAF-60B6A7655EF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B717A25-4CA2-4072-A40B-DA11858D761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1F8D106-1985-484C-A15C-3B72EE97348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9B235AD-2651-4C04-98C3-AFD0A25CB6B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A0F7CFB-CC24-4849-88F5-874AE6E5642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CB2932E4-84D4-447B-87F3-6C07F148A16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A76FC6E6-6445-429A-BC9D-035B905A42A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1A7F18D-C36F-4DF2-A938-949B3CF54CE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A61D3D0D-46D5-4EFB-BDDD-64818353B4E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D09C9E25-C60B-48F5-9F6B-57D5D49FB9F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0A822EB-AC45-4C69-BB00-80A284F4E66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5ED49E86-9D3B-4556-8665-7EC2B4500C7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DB503C66-5A90-4983-B532-B95D59D5486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C6971857-20ED-42B3-A9C7-C9C72002D3F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5318A6A-6C16-4F46-9EB0-CBC896F241D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6C9DFB1-F1E4-4A4D-A86C-A6801542B8B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7940C92-CB16-4552-9181-F6DF34319A2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ABFF1EF9-E73D-4E32-A4BE-F6EF6FA80B6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FA9D7A2-9257-44DF-980A-1A0107BD069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5B80A914-B6EE-4D5A-B9B2-C4AC8906055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0645838-96C9-4069-893C-0C036A81AFB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759128A3-BF13-4C6E-97E9-0B2D4032244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14A46575-FAE0-4391-8E5F-7478BBB78F2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AD264E05-0F09-46E2-85CD-6ABFF222176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9BC2866-86B5-4997-8FC0-137E094A949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27FBBAD-EC2B-47EC-A953-3153D60238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8681851-3348-4C4F-80B4-81AADCC5F24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E1BDE97D-54E1-479F-8122-B295FA86B7F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8AE070A-3B03-4D5B-98CA-8701BD19069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B7BD93B-1F01-48E1-B355-22EDD1D21AC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D835E0E1-3A47-472C-B1AE-0849C555AF4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3A8A736-413A-4C0F-93A9-B6B79F06BFC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97A0B601-D322-470F-A918-6A4A2C39826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AA2932E-A976-41E4-B13C-BF6372D1A5B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89595D4-767D-4D0A-995B-05EDAD9EA8A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19514F6F-EF34-43B0-A730-19CD971CE98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BECFB6C-10EC-4ECD-91C1-0830510A411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D5851B6-0290-40C1-BAA9-E936B89D292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ED71E16-9B62-4DFD-ADEC-B66AA5ACA53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159FE26B-DEBB-47B7-806C-8D4FE61B3AB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DB28914-4BDC-4BDE-9E6D-46953224A9F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8B5BD765-97AC-4322-82EE-76A8FD72392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19A577D-D9AB-416D-B268-06D80DCBEE7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9F11315-C67C-464C-A1F2-775B2461337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FBAA3AA-2778-4131-A15C-4FF6823C3F7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AA04E0D-4065-4232-8B36-27339230678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D20D7A21-9D5D-4755-9A17-E4C763C4FCF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368B804-1FBA-4E46-9E59-7361BE37963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2DFCF020-4876-4997-B551-A76446AF5DB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95495D6-5E0B-47FD-9D68-77947174C05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7267B2C-CDFF-48AD-BCBB-EA07D8590A0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67B89DE8-0415-4A67-BA14-F1107476FEE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BF31D52-904C-41AB-B7ED-6678BE51CC6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E42A39E-9B2B-49CA-9ED5-61BE6E46022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8054248-0531-4377-8293-EC67C56479F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9184A6FD-4246-4EB8-87B8-B0A2AA58268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0355D14-E8F8-4875-80D0-E1FB89B3E92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6B0435D0-6729-4950-A5F0-31230B5F19E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E06ACC20-CB39-4243-86C0-50AFD0E10EF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4806448-5867-4B7D-9EB5-BEBC3C92F33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8291804-D13A-40EF-9F3E-00F222A736D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B334E6EC-8E76-4947-B226-F4EEDBA733F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3535309-A735-4849-BC1A-E029FF7998C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0A4A7C5-DAEA-497D-BC27-357EFF10CFE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3C520D1A-12F7-4AB1-B699-4A027E86E2B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44BDB43-83C6-45CB-9DF3-86282DDDACC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21BCF610-5B0C-455D-A1D7-746B64655E3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911631AC-6880-49B2-B7E3-5BC782776EB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1CE83A90-ED5F-48AC-A407-D4CE813CEE0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C392FE1-CABA-431A-BA87-78FB28759E0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154A5A79-A316-47F8-ACBC-F498EBD2CE7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32F1B44-0BE0-44AA-8B95-C1D908001F1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5F6680F-EF8C-4D05-8565-D0C1F37EE7B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56CAC16-D70C-489E-8902-E0203539D1A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C7CF6CF3-151B-4815-8170-D17EB925994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ECC5792-72AA-4D6C-8F64-410CC2A7581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9120067E-B4AB-4438-8EB6-44A7E57E0E3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3D616AFA-D4AE-4170-9393-A1E031A28D0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B3A9A23-7057-4271-96D0-0D4517C570D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77FA3818-1B7F-4DB5-AC3D-4D4BC562FCB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BDC1D0A-BD82-4DB0-8C4A-7A0029FD22D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9D515833-7879-476B-9FBB-B7992E502A8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8EA5A569-A95F-4859-8B32-803A9CD0E7B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CCA9FB3A-5D3A-4189-B1C9-2FC9886E31D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D7124EF-86E3-49A7-9893-FCD557FDBAE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12440177-04C9-4717-A224-D83D275B1C5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FC2A754-3927-4155-B578-DB796DFFD13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DDBDE61-69D0-4441-B50C-6CD29CF4B38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74A51CDA-B7F5-436D-807C-4B0053527A3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8BD0C46-954B-45C9-A5ED-1C35842803E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C34AA15-2335-4022-9472-604E0DED44B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9FFB199-072F-4FAC-975C-597931C2E30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967649C-CACE-42A1-9C8C-FC31CCB5683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EA4BEE6-96F2-424E-9F9E-EC0672AE8FB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8BCCC29D-C830-48A5-A02F-F6CF1CB3DF1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F34F8051-BA54-4D56-9A5B-414BB88E1BA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A7185CF-08EF-4E88-A006-701E92E3BFA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60680D3C-1C2C-44DD-9F91-69D66B50C2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41DD4E14-5341-42AD-B0A2-B3C32FD1C1F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810CB2C-C1B5-4573-B8A9-CE4A76227CD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0A6191E-3144-469C-81BF-2B53FEFA919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1218B023-D9AA-4A55-9961-312B2C1D751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E753A7A-2521-4F11-A19D-EA9F2B71C83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65A4C44-70A7-4307-982C-A88D97BF088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E4F3E00B-757C-4016-9161-1C54C0889B9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AC2ED73D-5E75-4A5E-B0D3-E2CC1C72A6E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241399F6-4E7D-42FA-AB4F-5310AF1EAE9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B7D538D-0CEF-496B-B63E-CFFD1D40EC7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B31F924-E0C6-4B11-A407-9F762270C8E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C4C0D2F-1E52-48A2-9286-2A6C0C6FC48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77E771F-57A1-4CF3-8458-D9C5DA97148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5F48D8D2-FDCA-47EF-9C9B-492FB6A64F4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D768F007-CDDA-4501-BA79-E43D93A10FD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29A703CD-BE67-451C-A55C-A9E6AB0D548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BC5F9598-AC39-4309-8255-D8D6DAF9234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140E5699-4CB1-4E00-8FA2-8BE06FA0730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A100FDC-2B83-405A-8628-A0B35B7061B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D8886678-EF92-4EF6-9000-2A967A7EA24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FE3E4D0-CBD7-401C-A1A1-FC9EC34E1EB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B67CE56-CE03-44CF-A60D-E18AC17F464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F3B3AB61-A1AC-437F-AFED-2C530E6AB64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74C026F8-6C78-4851-B211-E2F79187956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981C48C-626A-4906-B9F9-C149AFCD399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05FDB3FD-CE24-40DC-89CB-D707EB77CC3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603934B1-AB48-4707-9D53-0BD6BC73EB2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CA44A76-7D9C-49CE-84A8-E2F77D7EF64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D5A78D5-C88A-44BF-B52B-A24B07D3E28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CA146A13-1703-4CC6-82F3-B7D120DB55D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19A7E709-47C3-4E9D-A285-6AE1E7EB090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93D8EA1C-F690-464D-B6DB-3FAF3E61306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C571A70A-BDE4-4EC3-8D1F-34E0866E855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4EDE081-5CA9-4F1C-8F56-0615933C892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484C605-5196-4ED4-A501-51869F296AF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6F734444-DC34-47E7-B47A-E841BA9667C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E4013A40-4736-4FC1-9957-4C449DE6AE5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5713DF0-5BFB-46FF-B527-5E09A2EA9EA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FE28F8B-C1A3-4ABC-A338-F88A30836D8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5FFE2E9E-4970-411E-9AAE-C226B7434EF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44E3216-ABD2-46CC-AB08-A8759A7979D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7EACC950-A9BC-4879-BA3E-D7895584C16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7A406D49-047C-4DD8-A0C5-064C82AB1A4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77593483-CFD7-457F-AEE5-E00920C53BB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8EF876AA-CBC4-4BF3-8D93-83665CCC63C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97E5D88-D554-4A28-87F3-50AD82F9632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7563D8A-EA58-4472-B1B6-89C76D255BA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6DE5CA3-7079-4F29-8754-8B475B0ADEB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23037255-9852-40C7-9038-E48391A7A09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EE6BCB6-C673-4B66-99C6-724DB5FCB99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D9D7095D-1D83-496F-9A43-B92A9247886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F0098C48-8369-4CA5-A3A3-B05F3779918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845A701-7428-4B18-B94D-5EDCB39E908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9686CE05-7D46-4C53-A766-92DF28CA396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71164CAC-E1D1-45AA-9E7E-579C1CD1F3C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DD7DFE8-B4F6-41A6-8621-3C37F8284DC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BF2831E-B0E0-4A8D-A214-1993CD2F69E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3B02A475-BD41-4B53-8146-9A915DCEC23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64ABF64B-7B99-49F3-AE9F-A353C1F038F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B08B6BB3-FD53-4A6B-BB38-335CC22A0C8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FD464A1-7CB5-4A57-AEFE-AE7245B5E5B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6BC25F0-12EC-4407-BC90-1073E1A5D0D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1C08E5E-2A21-49BD-91F4-AF6E1B465BA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EF0549C-248B-40DB-986D-95EADB23A3B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B3E090C-19EA-4F8E-AE48-EBF778B2AE4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11E516C-E499-4EBC-B697-833854E94A1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2822241A-2907-4AC8-BAE5-C46495ACAB2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30168D5C-4969-426E-A779-AB602150DC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7722F8F-732C-44B7-BFFF-FB9C5BFD062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02828D5-7906-4AA1-A902-FD05EDCBC72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ABD2660-F369-4FB4-87C4-0AAB0D1CB37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AB30663-B793-42A3-9AFB-D3294C9BB0B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47687E0-E89E-45B3-92A3-B5E9F495DE7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EB2848D1-7002-4BE9-92A9-C5760E951A2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5353B4C-00A8-4991-979A-007003F8574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FF4ECD8-E336-4552-A9A9-C402871A95F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14A6DFA-3502-4F70-8F59-715D5E05159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60AC666A-08CD-4CCA-9BDE-13B71893D75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9EAC26E8-2B32-472C-B40A-06C0D101CDC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98F09BB-9780-49FA-8F24-21781C81858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0A5A0D0-CF81-4938-BCB1-E7FB96F11DF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682C696D-EE3F-4A4A-8182-BF851726AD1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5F921CE-0B70-481E-BF27-DBB8B79F21F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566DEB94-207C-406A-8CF4-F8E87A07003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ED51463E-AA59-42BB-ABBC-B4278CBDC3A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8CA2983-C49D-44C7-B575-888F63B4A65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3967935-5DBE-45F2-9B92-59C12410562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EE4EBC1-EF9E-4DE8-8F7A-47715EDE097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AB1D39A-360A-4937-BB68-D5AF9CAE76E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C0A7CAC-A31A-4433-80BD-74409DA0995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3A293C16-2862-4A9E-956D-9EE021D210F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C989705E-B709-4043-8DF9-AD350F24CF9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7089F4A-21F3-4882-A38D-69EEA4A6C8B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3C2B6DE-BF82-4B1C-92C3-658D8CEE044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956008C-8135-4376-9597-EB73AE8ADEC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66D061AB-18D9-44E3-8422-DAC990D19AF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4510574-0A6B-4254-A340-F1B25BA8FB0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CE66578-77DA-4520-8640-279C9A64F4E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0571D86-AD6A-4113-8610-9052BA63F29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5A64603-E7E4-4DD6-AC2A-84A11EE3071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5E26DD0A-D1C8-4C02-9D5F-95F85575971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D4EFDD21-93AE-48B8-BB5D-2F98F3D92BE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F259997-CFDE-402C-A7A2-24AEF89CC00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E00C40BB-224B-4CD5-87B6-57A1FDAD6CB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7331F919-A7E3-4718-AC13-71228C93442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5795B1DD-571B-463E-83BF-6780D2FEA84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88AA8A0-DDF0-4727-9484-457439CF640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B7D8FE7A-D60A-41D7-ADDF-D076F0A2ABE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347F75F-18C7-4F90-8DCF-0D9EB4B3612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FBF349DB-6C34-4A59-9A73-CD837E028E2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D75A208B-92D0-42AD-A495-9D737CEE0EA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17C2CA5-E21B-46C5-81FF-84702ECC862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A5189F50-9760-4241-8491-37F75C294F8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319E9ECE-3A15-4C0B-B1C5-D20ED87B62D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18993451-3BA9-4E70-A0DD-369E77FCCCA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70C7721E-AE76-44B0-B03C-C0198CDCE3D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5806A82-17EB-4848-B1AE-40AA25F4856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0B18FFD-748E-4FF2-B280-7FE32DD7A53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B7132B9-F694-4F7D-A6F5-4904EDAEEF2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E47F156-4C0C-4883-9C22-34F2DDC1A36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C5559445-566C-4806-AE0C-CEB197C2AC3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13C731EC-13F3-494D-A713-2A6486E3849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BE644164-B08C-4CCE-846C-B543DC6FED2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15E8EB22-6ED4-4BBA-8BFB-C8FE5B0E87C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BFB22AB-6585-4D24-BB6F-BCB945BAF4B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70EB34DE-D197-422C-B561-DB18446FB00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279CC3B-DA7E-4BBC-999A-67DC6DC6AE4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57D0EB10-01D7-4012-93BE-78C5B454B51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CD13102-F044-402D-99D3-4F58F5C1C72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21762C2-0D19-4E2B-92F4-72E4D4FB03C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DA281163-9E0E-4426-91CF-A4A3515E0A5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E5F3ADD-FB5E-4615-834D-E7F83E41225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978FC0AA-338A-44AB-B316-8AB247079B2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AA975537-13DC-41FE-84EF-ACDFB127B36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8770BEB-7716-46A5-94AA-3D60EE4BC85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F0EA1BBF-9AF2-4375-A19A-E9D05E6216D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E8023B2-A560-4D41-8ACE-D777870CFD6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A93CC0A-4039-4DA7-8864-F97801D59A2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D859F87-2B38-43D8-B6EF-322260A343B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94A175B8-1F3C-48E7-81E3-5C7129975EC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6F72C216-5CC4-4351-AFC3-195E93BAE5D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27EAE443-F635-4B39-A7CC-58B67CCF4A8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C5CEE335-44CD-44B8-A7C6-8B605E2BF54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AE38485-E0B3-47BE-9F85-4BA97A5F9DF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90E6D91-AEC0-4B93-B80C-535C9D84587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94AC9ED4-E2BB-4263-B1B4-5EF5437B781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378B8F7-65B5-42B2-ADB6-4E64C870599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A179F767-0F4E-486F-9F12-64C16F450CC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B2B378E-E7FC-483C-A878-2B93E14F29A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C6A6BF6B-43CD-4904-9FC1-8D53373207E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8106F360-EC88-431B-89A2-FDB49A29680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3BF462D-5E18-4137-83DB-F0F85550B0F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9E95388E-535D-4F14-915F-DE6E52AA54F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34C49F6C-B119-4253-9867-10FD3265A6C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13A5BB14-0FDF-4378-8BE6-47D7E8E6065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45667AB-7F1D-4572-BEC5-D84A18DBDD7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2E936D38-9E9F-4B6D-8F94-42168B3DF51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EA262087-927F-451A-9D72-7C901FB5C4C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6D37C605-EBE5-4C47-B4E9-11FA64CB0F0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368D4E7-CCC8-47A8-AAF8-1FB13DC7DB3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AC269A12-CBCA-4849-AC74-36AC2CAA5EA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FBDEAEC7-D56A-4AD9-95D1-9A27324F1E0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D87AE5FA-A971-4003-B91C-51610EA0EEC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0963169E-96B1-4BF9-80CF-BF918A9034C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2713CB6-6A34-49D0-B3D3-37EC00CCAC3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AD73FD39-077F-4411-B054-FF5615EB1F0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70996DEC-8337-4C4A-917B-F11D6B0D31C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F8FE79A5-448B-4550-A84A-0A90F9B48AF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C61F4976-062F-49C0-8A2A-3B031FB9614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CF595987-55C3-46DD-980C-BBC5721BEFB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441DFA8E-E71B-421F-BCEA-131B8F0E7B9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76ADAAA-6483-47E9-9046-EE2A2A3FBA7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94DC69BA-29B1-49D3-936B-54ACAF1E69F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114EF0D7-3463-451E-8070-DAEE1D0DC62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22EE97E-0A92-4EB4-B71D-021446FE695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6D6435FF-AAA9-48D3-B931-07301F3E4E4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2123FC83-0CFD-423A-AD07-32D3FB6F480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34F0086-87AB-4FC8-93CB-45EFD2D08FD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6DCE04A5-E8DD-43F8-93EE-6EB50605D22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D2D547C-EB12-458E-8419-7541DA0073E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EB86F5BB-7864-4AD6-8603-981B9FFB0D0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C047B967-70F3-4FE7-BB5A-F038E4003A6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691D06C-4E16-4F8D-A9AB-41C041B06A7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4951B535-E968-4075-9CCF-75FAC31B09D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3FFE25F6-35AE-44F0-9647-B0BADD614F2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5501639-D352-4EA1-A7F0-95B70CA7D42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BA2F6BD5-BA53-4076-AF26-8FA8963585A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A7BA2B30-9478-4D5B-9F3C-07CB122D364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602E4589-8591-4338-BF4C-4A8BA9F9AE3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21D36D0-5180-4A75-AED4-181A97FA15F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B338CC1E-12FB-4595-B616-449E86141F5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0AE750E-0859-4DC7-B9ED-9183AF2361E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1391AE48-0E86-4379-BAA2-482931E573A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B9D4328D-8A32-4405-8311-A5C60F170E0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69DF36C-AA78-4F84-969B-00EA138D09C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EF06AFCD-FBE5-4D0A-89EE-C8D639C5BB8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519B47AC-0503-4E16-91C0-67ABF6BE38C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D3A1CC09-7859-4D15-8741-0D4BA3D2473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D56A087-F233-4A59-ABBF-A36BEABB808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2E2DEDAD-5099-489A-93B2-6FC33D688C47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871E9D5A-5756-42C2-B396-CCE5B4AA138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4763B7F-1144-4BB5-BD39-1BC6E803F29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BCA3A5F7-A233-42DE-AFF3-7E242035DA2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F1C4B019-782F-422B-85EF-41FC5DBDF20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6BC3E07-10CA-41FB-8442-24539F0A192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0F8A4A60-43C4-4B1A-B943-C429C2C00F4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64EC534-BFE4-499D-AE78-A5FAD06EB3B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B83A7251-DA2B-47B3-A843-F223BC414CE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36B51ADC-E73B-4A14-A73B-D1F360C15F3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D8E953A-1D05-4661-A3F4-80400CECB566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20D115AC-D278-47CA-98B0-CB180EA096F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</authors>
  <commentList>
    <comment ref="B9" authorId="0" shapeId="0" xr:uid="{8C958825-BA8D-4198-B388-67475D023B3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D2F026C7-776F-44C0-994A-B2FDE0CAA33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D456FB3-4A61-4174-BD4B-0AEF19D7034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3C8EB966-22DB-467D-AF77-9282056E272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9143A085-7E10-4AEE-BFBB-22357D482FE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7FD6803E-0164-4532-8086-7EA5D3AD6DB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42A720F5-FBF9-4E3B-A7AE-8386F471E84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F8B9E45E-2E1E-4CCB-85B3-6A468BE8AB5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4C1644BE-43FB-4D51-A0A0-FD7797E2F9D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A2E258E8-F4D0-47BE-B57E-F932E8BB4E8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2EFA320B-4755-4AA2-AFC1-56BDEF866CA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7384206-3F23-4F4B-851E-A6A52765E71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900A4B57-E709-4D50-B303-14CA0D2AB02C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C65DBE4A-8768-411B-ADE2-BA01AD96F39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5FF9E759-27B3-476C-86D2-EE0C2A71CF6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5103751-449D-4ECC-972E-E62E7989992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64E103BA-AD5F-4D1F-8875-A48D57D9C99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497B8AD-FEF6-45F0-9033-2EB4976D158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0F8E6659-9654-47A5-885E-32DBDD451B4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A5928EED-7713-4B74-BFC2-C9030D5E38C1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5652C535-B8F6-4F2E-B5BE-5A733992B1A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292E1BEE-A21A-49C9-906E-1ECDE5248A0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9FB751FB-0EE5-46F0-B26B-71FB8057541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86BCFEB7-8E99-438E-BD02-CB1DB02DB57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AB3E3F0A-9E99-489C-B218-78D20E8E5D1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5C98B761-90C4-424A-9A73-2F9A265E2653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9B3B5E8F-7F5A-43B4-A3AC-F0C12155AA4F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66B0964F-2632-4C25-868D-1D5DDEB17A1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73918FFA-C871-407C-8707-3C15B6F73B5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589543D6-6FA1-4E04-9EF8-9B161CD79EE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B9D571BE-8472-496B-AFD9-9F524BC0B9DF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458F66DD-1E39-4086-85BB-B8B77FE2EF1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CB4499FB-DC82-4BA5-972D-9C76057D833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0DFFA887-78C2-46B6-B8F3-0A5C86E1A8E2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55A00053-D71D-4F80-82EF-99E7C8F6951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2DAB6735-9FC0-445E-85A3-059CB8C178E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CC6B2085-90DE-412D-9592-9EC1B63DE0E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F021993E-64F5-41FA-B0DB-62014C5444E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1CCC6F2B-450A-453E-AF81-AC59284F9AC2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15D3CD69-83CA-4EAC-9FC0-4148FF4FE88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DB50842D-99A1-42B6-BB05-B41D2B8B7336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36C7E0E6-EDA3-41A8-81B1-0CB6F8A6050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25A2F80A-956C-4430-A3F4-77DAB7853579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72218F4E-A4D3-4FA1-BAAA-F0DF550C586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E4DAB8C7-B6DD-4189-80A9-591131DC0E0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DF340AAD-3055-4337-B814-FD193DAD54BC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53ABED4F-526A-405C-9FED-5BAD7391A17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D3A592F1-68E2-4C24-B95A-E32784EA040A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9BAC881E-7FB9-40CA-8B43-91990946456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A63894B-3A09-4FF2-BC26-2AF10200047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DF8AB7DD-A8D4-4ECA-BB54-B4C1B3C0E7FD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3A2A3B8B-F606-492C-AC9F-D2775FF8A4E5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8BEB7FE7-AC0B-476D-81F5-C5EF6CADB94A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666EA84A-6B02-44DD-A9D1-537DB93849FB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2484EAFB-65A5-4CB0-B1B4-FC37D69EC707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holger.schmidt</author>
    <author>dener.althman</author>
  </authors>
  <commentList>
    <comment ref="B9" authorId="0" shapeId="0" xr:uid="{E27CCE97-0C92-459A-964B-63EAAFE00C88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Para considerar a absorção dos agregados, entrar com umidade em valor negativo</t>
        </r>
      </text>
    </comment>
    <comment ref="X15" authorId="0" shapeId="0" xr:uid="{ADA19FD5-934D-4375-9440-EF13E66025EE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o teor de água para cálculo automático dos demais MCCs
</t>
        </r>
      </text>
    </comment>
    <comment ref="I20" authorId="0" shapeId="0" xr:uid="{13F7F651-A35C-48D1-A243-5B9D549F7144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
</t>
        </r>
      </text>
    </comment>
    <comment ref="V20" authorId="0" shapeId="0" xr:uid="{428643BC-33E3-49EC-B919-0ABCDED9770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Inserir em valor positivo a água adicionada à do traço. Para água retida entrar com valor negativo.</t>
        </r>
      </text>
    </comment>
    <comment ref="Z20" authorId="0" shapeId="0" xr:uid="{EFBD9E5B-EB5E-4CB6-9047-BAA1A30DB001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B20" authorId="0" shapeId="0" xr:uid="{F7B943A5-8DDC-4F4F-8499-54183BA29B50}">
      <text>
        <r>
          <rPr>
            <b/>
            <sz val="9"/>
            <color indexed="81"/>
            <rFont val="Tahoma"/>
            <family val="2"/>
          </rPr>
          <t>holger.schmidt:</t>
        </r>
        <r>
          <rPr>
            <sz val="9"/>
            <color indexed="81"/>
            <rFont val="Tahoma"/>
            <family val="2"/>
          </rPr>
          <t xml:space="preserve">
Conforme ABNT NBR 12655, caracteriza-se o maior valor do par para a amostra. Inserir o maior valor na primeira coluna da idade</t>
        </r>
      </text>
    </comment>
    <comment ref="AK30" authorId="1" shapeId="0" xr:uid="{0FA7DBD8-0EA5-443C-8530-34CF13EF4777}">
      <text>
        <r>
          <rPr>
            <b/>
            <sz val="9"/>
            <color indexed="81"/>
            <rFont val="Tahoma"/>
            <family val="2"/>
          </rPr>
          <t xml:space="preserve">Para cálculo de traço com Pedrisco Misto, deve-se utilizar este campo, interpretando o % de agregado miúdo do material.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<sst xmlns="http://schemas.openxmlformats.org/spreadsheetml/2006/main" count="15591" uniqueCount="322">
  <si>
    <t>Cimento</t>
  </si>
  <si>
    <t>Brita 0</t>
  </si>
  <si>
    <t>Água</t>
  </si>
  <si>
    <t>Material</t>
  </si>
  <si>
    <t>DATA:</t>
  </si>
  <si>
    <t>Adição</t>
  </si>
  <si>
    <t>Rel a/c:</t>
  </si>
  <si>
    <t>Rel a/ag:</t>
  </si>
  <si>
    <t>Areia 1</t>
  </si>
  <si>
    <t>Areia 2</t>
  </si>
  <si>
    <t>Areia 3</t>
  </si>
  <si>
    <t>Brita 1</t>
  </si>
  <si>
    <t>Misto</t>
  </si>
  <si>
    <t xml:space="preserve">                 ESPECIFICAÇÕES DA DOSAGEM DO CONCRETO</t>
  </si>
  <si>
    <t>Betonada Corrigida</t>
  </si>
  <si>
    <t>Massa Específica</t>
  </si>
  <si>
    <t>M.C.C. (kg/m³)</t>
  </si>
  <si>
    <t>Massa Específica:</t>
  </si>
  <si>
    <t>Aditivo 1</t>
  </si>
  <si>
    <t>Brita 2</t>
  </si>
  <si>
    <t>Agregado Miúdo</t>
  </si>
  <si>
    <t>Agregado Graúdo</t>
  </si>
  <si>
    <t>Areia 3 = % passante na # 4,8 mm:</t>
  </si>
  <si>
    <t>Relação entre os Agregados</t>
  </si>
  <si>
    <t>Ar Previsto:</t>
  </si>
  <si>
    <t>Teor de Argamassa (vol):</t>
  </si>
  <si>
    <t>Relação a/c</t>
  </si>
  <si>
    <t>VALIDAÇÃO DE TRAÇO QUANTITATIVO</t>
  </si>
  <si>
    <t>O documento tem significado restrito e diz respeito somente as amostras ensaiadas</t>
  </si>
  <si>
    <t>RESULTADOS OBTIDOS</t>
  </si>
  <si>
    <t xml:space="preserve">  CLIENTE:</t>
  </si>
  <si>
    <t xml:space="preserve">  ESTUDO:</t>
  </si>
  <si>
    <t xml:space="preserve">Betonada   </t>
  </si>
  <si>
    <t xml:space="preserve">Os dados apresentados pertencem a MC-BAUCHEMIE BRASIL© - Divulgação ou reprodução somente com autorização prévia </t>
  </si>
  <si>
    <t xml:space="preserve"> </t>
  </si>
  <si>
    <r>
      <t>Areia 3 &gt; Miúdo</t>
    </r>
    <r>
      <rPr>
        <b/>
        <sz val="11"/>
        <rFont val="Arial"/>
        <family val="2"/>
      </rPr>
      <t>:</t>
    </r>
    <r>
      <rPr>
        <sz val="11"/>
        <rFont val="Arial"/>
        <family val="2"/>
      </rPr>
      <t>Graúdo</t>
    </r>
  </si>
  <si>
    <t>Adição - % cimento</t>
  </si>
  <si>
    <t>Aditivo 2</t>
  </si>
  <si>
    <t>Observações:</t>
  </si>
  <si>
    <t>DOSAGEM EXPERIMENTAL DE CONCRETO</t>
  </si>
  <si>
    <t>Slump cônico e forma trapezoidal</t>
  </si>
  <si>
    <t>Slump com faces paralelas</t>
  </si>
  <si>
    <t>Slump c/ faces abauladas</t>
  </si>
  <si>
    <t>Slump com desmoronamento</t>
  </si>
  <si>
    <t>INSERIR A NUMERAÇÃO DE ACORDO COM O ABATIMENTO OBTIDO</t>
  </si>
  <si>
    <t>AMBIENTE:</t>
  </si>
  <si>
    <t>Moldagem   (horário)</t>
  </si>
  <si>
    <t>Aditivo 3</t>
  </si>
  <si>
    <t>Aditivo 2 [%]:</t>
  </si>
  <si>
    <t>Aditivo 1 [%]:</t>
  </si>
  <si>
    <t>Aditivo 3 [%]:</t>
  </si>
  <si>
    <t>Adição [%]:</t>
  </si>
  <si>
    <t>Teor de argamassa [%]:</t>
  </si>
  <si>
    <t>Teor de ar incorporado [%]:</t>
  </si>
  <si>
    <t>Betonada [L]:</t>
  </si>
  <si>
    <t>Teor água [%]:</t>
  </si>
  <si>
    <t>Fibra</t>
  </si>
  <si>
    <t>Observações</t>
  </si>
  <si>
    <r>
      <t>ABATIMENTO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CLASSIFICAÇÃO</t>
    </r>
  </si>
  <si>
    <t>TEMPERATURA [°C]:</t>
  </si>
  <si>
    <r>
      <t>Exp. (n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)</t>
    </r>
  </si>
  <si>
    <t>a/c corrigida</t>
  </si>
  <si>
    <t>Temp. concreto [°C]</t>
  </si>
  <si>
    <t>Ar incorp. [%]</t>
  </si>
  <si>
    <t>Abatim. Inicial   [mm]</t>
  </si>
  <si>
    <t>Abatim.        ___ min.   [mm]</t>
  </si>
  <si>
    <t>Água retorno [mL]</t>
  </si>
  <si>
    <t>Slump  de alta trabalhabili-dade c/ coesão</t>
  </si>
  <si>
    <t>Slump  de alta trabalhabili-dade s/ coesão</t>
  </si>
  <si>
    <t>Água betonada [mL]</t>
  </si>
  <si>
    <t>Água do traço    corrigida</t>
  </si>
  <si>
    <t>Umidade [%]:</t>
  </si>
  <si>
    <t>TÉCNICO DA MC:</t>
  </si>
  <si>
    <r>
      <t xml:space="preserve">MC-Bauchemie Brasil - Construction Chemicals                                                                                                                                                                         Rua Henry Martin, 235 - Tijuco Preto          Vargem Grande Paulista - SP                                  </t>
    </r>
    <r>
      <rPr>
        <b/>
        <sz val="16"/>
        <color theme="4"/>
        <rFont val="Calibri"/>
        <family val="2"/>
        <scheme val="minor"/>
      </rPr>
      <t xml:space="preserve"> www.mc-bauchemie.com.br</t>
    </r>
  </si>
  <si>
    <t>Slump de alta trabalhabili-dade c/ coesão</t>
  </si>
  <si>
    <t>AMOSTRA / Dosagem Aditivo [%]</t>
  </si>
  <si>
    <t>Água inicial [mL]</t>
  </si>
  <si>
    <t>Densidade [t/m³]</t>
  </si>
  <si>
    <t>M.C.C. [kg/m³]</t>
  </si>
  <si>
    <t>Fornecedor</t>
  </si>
  <si>
    <t>Volume Teórico:</t>
  </si>
  <si>
    <t>Artificial</t>
  </si>
  <si>
    <t>16 mm</t>
  </si>
  <si>
    <t>Natural fina</t>
  </si>
  <si>
    <t>RELAÇÃO ENTRE OS M.C.C's</t>
  </si>
  <si>
    <t>% agregado miudo / concreto</t>
  </si>
  <si>
    <t>% agregado miudo / agregados</t>
  </si>
  <si>
    <t xml:space="preserve">% agregado graudo / concreto </t>
  </si>
  <si>
    <t>% agregado graudo / agregados</t>
  </si>
  <si>
    <t>% agregados totais / concreto</t>
  </si>
  <si>
    <t>% aglomerante / concreto</t>
  </si>
  <si>
    <t>UMIDADE</t>
  </si>
  <si>
    <t>peso concreto + forma</t>
  </si>
  <si>
    <t>massa especifica</t>
  </si>
  <si>
    <t>Ar incorporado</t>
  </si>
  <si>
    <t>material</t>
  </si>
  <si>
    <t>umido</t>
  </si>
  <si>
    <t>seco</t>
  </si>
  <si>
    <t>umidade</t>
  </si>
  <si>
    <t>QUANTIDADE DOS FINOS</t>
  </si>
  <si>
    <t>FINOS no MCC [kg/m³]</t>
  </si>
  <si>
    <t xml:space="preserve">Aspecto (Marcar)      (   ) Excesso argamassa     (   ) Argamassa Ideal     (   ) Pouca argamassa / Áspero     (   ) Excelente     (   ) Bom     (   ) Regular     (   ) Ruim </t>
  </si>
  <si>
    <t>ABSORÇÃO  (%)</t>
  </si>
  <si>
    <t>AR INCORPORADO</t>
  </si>
  <si>
    <t>absorção</t>
  </si>
  <si>
    <t>Rendimento</t>
  </si>
  <si>
    <t>Consumo aglomerante</t>
  </si>
  <si>
    <t>Volume</t>
  </si>
  <si>
    <t>Índice de ar</t>
  </si>
  <si>
    <t>MASSA ESPECIFICA [kg/m³]</t>
  </si>
  <si>
    <t>peso da forma 10x20 cm</t>
  </si>
  <si>
    <t>Material fino</t>
  </si>
  <si>
    <t>Abatimento (Slump)</t>
  </si>
  <si>
    <t>100 mm</t>
  </si>
  <si>
    <t>Classe</t>
  </si>
  <si>
    <t>S100</t>
  </si>
  <si>
    <t>S10</t>
  </si>
  <si>
    <t>S50</t>
  </si>
  <si>
    <t>S160</t>
  </si>
  <si>
    <t>S220</t>
  </si>
  <si>
    <t>Abatimento A</t>
  </si>
  <si>
    <t>10 ≤ A &lt; 50</t>
  </si>
  <si>
    <t>50 ≤ A &lt;100</t>
  </si>
  <si>
    <t>100 ≤ A &lt; 160</t>
  </si>
  <si>
    <t>160 ≤ A &lt; 220</t>
  </si>
  <si>
    <t>A ≥ 220</t>
  </si>
  <si>
    <t>Espalhamento E</t>
  </si>
  <si>
    <t>SF1</t>
  </si>
  <si>
    <t>SF2</t>
  </si>
  <si>
    <t>SF3</t>
  </si>
  <si>
    <t>550 ≤ E &lt; 650</t>
  </si>
  <si>
    <t>650 ≤ E &lt; 750</t>
  </si>
  <si>
    <t>750 ≤ E &lt; 850</t>
  </si>
  <si>
    <t>Concreto Auto-Adensável</t>
  </si>
  <si>
    <t>Entre Rios</t>
  </si>
  <si>
    <t>Britel /Precal</t>
  </si>
  <si>
    <t>Lucas/ Felipe</t>
  </si>
  <si>
    <t>Muraplast</t>
  </si>
  <si>
    <t>s50</t>
  </si>
  <si>
    <t>SOL  ( x )   NUBLADO  (    )   CHUVA  (    )</t>
  </si>
  <si>
    <t>Traço Padrão</t>
  </si>
  <si>
    <t xml:space="preserve">Geramix </t>
  </si>
  <si>
    <t>Muraplast  FK-835</t>
  </si>
  <si>
    <t>FK-835</t>
  </si>
  <si>
    <t>CP V ARI RS</t>
  </si>
  <si>
    <t>HOLCIM</t>
  </si>
  <si>
    <t>Resist.  3 DIAS 20/07/15</t>
  </si>
  <si>
    <t>Resist. 7 DIAS  24/07/15</t>
  </si>
  <si>
    <t>Resist. 28DIAS 14/08/15</t>
  </si>
  <si>
    <r>
      <t xml:space="preserve">GERAMIX                                                                                                                                                                                                         PEDRO LEOPOLDO-MG                                </t>
    </r>
    <r>
      <rPr>
        <b/>
        <sz val="16"/>
        <color theme="4"/>
        <rFont val="Calibri"/>
        <family val="2"/>
        <scheme val="minor"/>
      </rPr>
      <t xml:space="preserve"> </t>
    </r>
  </si>
  <si>
    <t>Joao Carlos/ Felipe</t>
  </si>
  <si>
    <t>140 mm</t>
  </si>
  <si>
    <t>s100</t>
  </si>
  <si>
    <t>Areia Vale</t>
  </si>
  <si>
    <t>Rio Paraopeba</t>
  </si>
  <si>
    <t>Dry Pav</t>
  </si>
  <si>
    <t>Art</t>
  </si>
  <si>
    <t>GCP</t>
  </si>
  <si>
    <t>818 LF</t>
  </si>
  <si>
    <t>Ilcon</t>
  </si>
  <si>
    <t>MVB</t>
  </si>
  <si>
    <t>Proflora</t>
  </si>
  <si>
    <t>Macro Fibra</t>
  </si>
  <si>
    <t>Traço Padrão PP + Fibra LR</t>
  </si>
  <si>
    <t>BASF</t>
  </si>
  <si>
    <t>MPH 501</t>
  </si>
  <si>
    <t>MGL 301</t>
  </si>
  <si>
    <t>EXPA 2021 10.4</t>
  </si>
  <si>
    <t>Clarena 4355</t>
  </si>
  <si>
    <t>clarena MID</t>
  </si>
  <si>
    <t>PO Pedra</t>
  </si>
  <si>
    <t>MFB</t>
  </si>
  <si>
    <t>Traço Padrão PAREDE</t>
  </si>
  <si>
    <t>700mm+/-50</t>
  </si>
  <si>
    <t>Traço PAREDE + Mescla AA MFB+ A.Vale</t>
  </si>
  <si>
    <t>A.A.Lavada</t>
  </si>
  <si>
    <t>Traço PAREDE + BASF</t>
  </si>
  <si>
    <t>MGL ACE 400</t>
  </si>
  <si>
    <t>EXPA 600</t>
  </si>
  <si>
    <t>PO PEDRA</t>
  </si>
  <si>
    <t>MGL 7208</t>
  </si>
  <si>
    <t>Abatim.        30 min.   [mm]</t>
  </si>
  <si>
    <t>Abatim.ret   30 min.   [mm]</t>
  </si>
  <si>
    <t>Abatim.ret 30 min.   [mm]</t>
  </si>
  <si>
    <t>volume 2 cps= 0,0031416</t>
  </si>
  <si>
    <t>02 cps = ( forma + conc ) - ( forma vazia)= 13.400-5900= 7.500grs</t>
  </si>
  <si>
    <t>densidade=2.387,32 kg m3     ar incorp= -2%</t>
  </si>
  <si>
    <t>volume  = 1,020 m3/m3</t>
  </si>
  <si>
    <t>Slump com desmoronamento- inicial</t>
  </si>
  <si>
    <t>Slump cônico e forma trapezoidal- final</t>
  </si>
  <si>
    <t xml:space="preserve">Aspecto (Marcar)      (   ) Excesso argamassa     (  x ) Argamassa Ideal     (   ) Pouca argamassa / Áspero     (  x ) Excelente     (   ) Bom     (   ) Regular     (   ) Ruim </t>
  </si>
  <si>
    <t>Sf 2</t>
  </si>
  <si>
    <t>Abatim.        20'  min.   [mm]</t>
  </si>
  <si>
    <t>MPH 27</t>
  </si>
  <si>
    <t xml:space="preserve">BASF </t>
  </si>
  <si>
    <t>2 FV=5,900kg/FC=13,100 Kg  -   2.291,8 kg/m3</t>
  </si>
  <si>
    <t>volume 0,984 m3</t>
  </si>
  <si>
    <t>SUGESTÃO: aumentar teor argamassa 0,5%/ traço começou a segregar - troca aditivo polifuncional</t>
  </si>
  <si>
    <t>R13 horas=1,1 Mpa</t>
  </si>
  <si>
    <t>CP V RS</t>
  </si>
  <si>
    <t>PESO FV</t>
  </si>
  <si>
    <t>PESO FC</t>
  </si>
  <si>
    <t>PESO LIQ</t>
  </si>
  <si>
    <t>DENSIDADE</t>
  </si>
  <si>
    <t>VOLUME</t>
  </si>
  <si>
    <t>Retardou / não desformou no dia seguinte</t>
  </si>
  <si>
    <t>Abatim.        20` min.   [mm]</t>
  </si>
  <si>
    <t>TB209</t>
  </si>
  <si>
    <t>Sugestão: subir 0,5% argamassa</t>
  </si>
  <si>
    <t>trocar aditivos basf 358+ace 400</t>
  </si>
  <si>
    <t>MGL 358</t>
  </si>
  <si>
    <t>BONITO</t>
  </si>
  <si>
    <t>Gl Ace 400</t>
  </si>
  <si>
    <t>MPH27+ ACE 400</t>
  </si>
  <si>
    <t>Abatim.        15' min.   [mm]</t>
  </si>
  <si>
    <t>CP V ARI plus</t>
  </si>
  <si>
    <t>818 lf</t>
  </si>
  <si>
    <t>Clarena</t>
  </si>
  <si>
    <t>22+-3cm</t>
  </si>
  <si>
    <t>basf</t>
  </si>
  <si>
    <t>MGL358</t>
  </si>
  <si>
    <t>Intercement</t>
  </si>
  <si>
    <t>CP V ARI</t>
  </si>
  <si>
    <t>Min. Do Vale</t>
  </si>
  <si>
    <t>Embu</t>
  </si>
  <si>
    <t>Areia de Brita</t>
  </si>
  <si>
    <t>Pedrisco</t>
  </si>
  <si>
    <t>Brita 1/2</t>
  </si>
  <si>
    <t>Quibrita</t>
  </si>
  <si>
    <t>Nacional</t>
  </si>
  <si>
    <t>Aditivo</t>
  </si>
  <si>
    <t>% Aditivo</t>
  </si>
  <si>
    <t>SOL  (   )   NUBLADO  (    )   CHUVA  (    )</t>
  </si>
  <si>
    <t>TÉCNICO:</t>
  </si>
  <si>
    <r>
      <t>Areia 3 &gt; Miúdo</t>
    </r>
    <r>
      <rPr>
        <b/>
        <sz val="11"/>
        <color theme="0"/>
        <rFont val="Arial"/>
        <family val="2"/>
      </rPr>
      <t>:</t>
    </r>
    <r>
      <rPr>
        <sz val="11"/>
        <color theme="0"/>
        <rFont val="Arial"/>
        <family val="2"/>
      </rPr>
      <t>Graúdo</t>
    </r>
  </si>
  <si>
    <r>
      <t>Exp. (n</t>
    </r>
    <r>
      <rPr>
        <b/>
        <sz val="12"/>
        <color theme="0"/>
        <rFont val="Calibri"/>
        <family val="2"/>
      </rPr>
      <t>°</t>
    </r>
    <r>
      <rPr>
        <b/>
        <sz val="12"/>
        <color theme="0"/>
        <rFont val="Arial"/>
        <family val="2"/>
      </rPr>
      <t>)</t>
    </r>
  </si>
  <si>
    <t>Tecnosil</t>
  </si>
  <si>
    <t>Rede</t>
  </si>
  <si>
    <t>Poço</t>
  </si>
  <si>
    <t>Traço Padrão T10 - refência</t>
  </si>
  <si>
    <t xml:space="preserve">Traço Padrão T11 </t>
  </si>
  <si>
    <t>Traço Padrão T12</t>
  </si>
  <si>
    <t>Traço Padrão T13</t>
  </si>
  <si>
    <t>VALIDAÇÃO TRAÇO VALE LAJES REF#1</t>
  </si>
  <si>
    <t>Traço Padrão T01 - refência#01</t>
  </si>
  <si>
    <t>fc\</t>
  </si>
  <si>
    <t>TESTE CAA BASALTO 1</t>
  </si>
  <si>
    <t>c</t>
  </si>
  <si>
    <t>Areia NF</t>
  </si>
  <si>
    <t>Areia IND</t>
  </si>
  <si>
    <t>Areia NG</t>
  </si>
  <si>
    <t>9.7.1 CAA BASALTO CAMILO T-574</t>
  </si>
  <si>
    <t>CHRYSO ADVA 518</t>
  </si>
  <si>
    <t>MANUTENÇÃO</t>
  </si>
  <si>
    <t>FLOW INICIAL</t>
  </si>
  <si>
    <t>FLOW +10</t>
  </si>
  <si>
    <t>FLOW +20</t>
  </si>
  <si>
    <t>FLOW +30</t>
  </si>
  <si>
    <t>9.8.1 - T-574 - ARGAMASSA AJUSTADA</t>
  </si>
  <si>
    <t>PEDERNEIRAS</t>
  </si>
  <si>
    <t>9.9.1 - T-574 - 370</t>
  </si>
  <si>
    <t>Pederneiras</t>
  </si>
  <si>
    <t>Ribeirão Preto</t>
  </si>
  <si>
    <t>UNIDADE:</t>
  </si>
  <si>
    <t>RIBEIRÃO PRETO</t>
  </si>
  <si>
    <t>CAA SF2</t>
  </si>
  <si>
    <t>Abatim.        10 min.   [mm]</t>
  </si>
  <si>
    <t>Abatim.        20 min.   [mm]</t>
  </si>
  <si>
    <t>PERCA Abatim.
[mm]</t>
  </si>
  <si>
    <t>Aduelas</t>
  </si>
  <si>
    <t>Areia F</t>
  </si>
  <si>
    <t>Areia Ind</t>
  </si>
  <si>
    <t xml:space="preserve"> ;0</t>
  </si>
  <si>
    <t xml:space="preserve">}:.,mn  </t>
  </si>
  <si>
    <t>ADVA 518</t>
  </si>
  <si>
    <t>CHRYSO</t>
  </si>
  <si>
    <t>CAJU</t>
  </si>
  <si>
    <t>Natura Fina</t>
  </si>
  <si>
    <t xml:space="preserve">2.1.3 Campinas </t>
  </si>
  <si>
    <t>Teor de Argamassa (massa):</t>
  </si>
  <si>
    <t>Filler</t>
  </si>
  <si>
    <t>%filler</t>
  </si>
  <si>
    <t>Geocal</t>
  </si>
  <si>
    <t>MISTO</t>
  </si>
  <si>
    <t>TESTE AGREGADO V2</t>
  </si>
  <si>
    <t>CSN</t>
  </si>
  <si>
    <t>Vol</t>
  </si>
  <si>
    <t>5.1.1 - CTC_C340_FILLER_AC0.55_ADT0.90_M1</t>
  </si>
  <si>
    <t>2.9.1 - CTC_AC0.50_ADT0.90_M1</t>
  </si>
  <si>
    <t>1.2.5 - ADITIBRAS</t>
  </si>
  <si>
    <t>4.1.1 - FCK 25 PERTIGA</t>
  </si>
  <si>
    <t>4.1.1 - FCK 25 PERTIGA - v2</t>
  </si>
  <si>
    <t>4.1.3 FCK 25 PERTIGA - v3</t>
  </si>
  <si>
    <t>4.1.4 FCK 25 PERTIGA - v4</t>
  </si>
  <si>
    <t>1.2.6 - TRAÇO PADRÃO</t>
  </si>
  <si>
    <t>1.2.9 - CTC 380</t>
  </si>
  <si>
    <t>1.3.9 - V4</t>
  </si>
  <si>
    <t/>
  </si>
  <si>
    <t>1.2.2 TRAÇO PADRÃO POSTES V.01</t>
  </si>
  <si>
    <t>1.2.2 TRAÇO PADRÃO POSTES V.02</t>
  </si>
  <si>
    <t>1.2.2 TRAÇO PADRÃO POSTES V.03</t>
  </si>
  <si>
    <t>3.1.1 - TRAÇO PADRÃO POSTE</t>
  </si>
  <si>
    <t>ATENA_M920</t>
  </si>
  <si>
    <t>filler caa</t>
  </si>
  <si>
    <t>CSN - FERNANDO</t>
  </si>
  <si>
    <t>CSN - FERNANDO T3</t>
  </si>
  <si>
    <t>filler caa - kmizu</t>
  </si>
  <si>
    <t>1.1.1 -V10 ARG 52</t>
  </si>
  <si>
    <t>CAA TOPCP - v02 - Filler - adbs</t>
  </si>
  <si>
    <t>CAA - FILLER V07 - ARG 51,43</t>
  </si>
  <si>
    <t>7.2 - CAA OBRA</t>
  </si>
  <si>
    <t>1.1.1 - CAA - FILLER V08 - ARG 52,4 - ADVA129M</t>
  </si>
  <si>
    <t>7.1 - 2X ESPECIAL CAA - FILLER V08 - ARG 52,4 - ADVA129M</t>
  </si>
  <si>
    <t>Aditivo Secante</t>
  </si>
  <si>
    <t>% Aditivo Secante</t>
  </si>
  <si>
    <t>1.1.1 - CAA - FILLER V08 - Marcos</t>
  </si>
  <si>
    <t>X'</t>
  </si>
  <si>
    <t>Perissoto</t>
  </si>
  <si>
    <t>Fina Média</t>
  </si>
  <si>
    <t>ADTBRAS</t>
  </si>
  <si>
    <t>ATENA920M</t>
  </si>
  <si>
    <t>1.0 - TRAÇO ALTERNATIVO  - 2 areiais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</si>
</sst>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R$&quot;\ * #,##0.00_-;\-&quot;R$&quot;\ * #,##0.00_-;_-&quot;R$&quot;\ * &quot;-&quot;??_-;_-@_-"/>
    <numFmt numFmtId="164" formatCode="0.000"/>
    <numFmt numFmtId="165" formatCode="0.0"/>
    <numFmt numFmtId="166" formatCode="0.0%"/>
    <numFmt numFmtId="167" formatCode="#,##0.0&quot; ℓ&quot;"/>
    <numFmt numFmtId="168" formatCode="#,##0&quot; kg/m³&quot;"/>
    <numFmt numFmtId="169" formatCode="h:mm;@"/>
    <numFmt numFmtId="170" formatCode="0.00\ &quot;kg&quot;"/>
    <numFmt numFmtId="171" formatCode="0.00\ &quot;g&quot;"/>
    <numFmt numFmtId="172" formatCode="0.000\ &quot;kg&quot;"/>
    <numFmt numFmtId="173" formatCode="_(* #,##0.00_);_(* \(#,##0.00\);_(* &quot;-&quot;??_);_(@_)"/>
    <numFmt numFmtId="174" formatCode="_(&quot;R$ &quot;* #,##0.00_);_(&quot;R$ &quot;* \(#,##0.00\);_(&quot;R$ &quot;* &quot;-&quot;??_);_(@_)"/>
    <numFmt numFmtId="175" formatCode="0.0\ &quot;mL&quot;"/>
    <numFmt numFmtId="176" formatCode="0.0000\ &quot;kg&quot;"/>
    <numFmt numFmtId="177" formatCode="0.000%"/>
    <numFmt numFmtId="178" formatCode="General\ &quot;mm&quot;"/>
  </numFmts>
  <fonts count="3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indexed="10"/>
      <name val="Arial"/>
      <family val="2"/>
    </font>
    <font>
      <b/>
      <i/>
      <sz val="9"/>
      <name val="Arial"/>
      <family val="2"/>
    </font>
    <font>
      <b/>
      <sz val="11"/>
      <color indexed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name val="Arial"/>
      <family val="2"/>
    </font>
    <font>
      <b/>
      <sz val="12"/>
      <name val="Calibri"/>
      <family val="2"/>
    </font>
    <font>
      <b/>
      <i/>
      <sz val="12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sz val="9"/>
      <color indexed="81"/>
      <name val="Tahoma"/>
      <family val="2"/>
    </font>
    <font>
      <sz val="10"/>
      <color indexed="10"/>
      <name val="Arial"/>
      <family val="2"/>
    </font>
    <font>
      <b/>
      <sz val="16"/>
      <name val="Calibri"/>
      <family val="2"/>
    </font>
    <font>
      <b/>
      <sz val="14"/>
      <color rgb="FFFF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3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Calibri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sz val="12"/>
      <color rgb="FF7030A0"/>
      <name val="Arial"/>
      <family val="2"/>
    </font>
    <font>
      <u/>
      <sz val="10"/>
      <name val="Arial"/>
      <family val="2"/>
    </font>
    <font>
      <u/>
      <sz val="11"/>
      <name val="Arial"/>
      <family val="2"/>
    </font>
    <font>
      <b/>
      <u/>
      <sz val="12"/>
      <color theme="0"/>
      <name val="Arial"/>
      <family val="2"/>
    </font>
    <font>
      <b/>
      <u/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mediumGray">
        <fgColor rgb="FF7030A0"/>
        <bgColor rgb="FF7030A0"/>
      </patternFill>
    </fill>
    <fill>
      <patternFill patternType="mediumGray">
        <bgColor rgb="FF7030A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</cellStyleXfs>
  <cellXfs count="709">
    <xf numFmtId="0" fontId="0" fillId="0" borderId="0" xfId="0"/>
    <xf numFmtId="1" fontId="5" fillId="3" borderId="10" xfId="0" applyNumberFormat="1" applyFont="1" applyFill="1" applyBorder="1" applyAlignment="1" applyProtection="1">
      <alignment horizontal="center"/>
      <protection locked="0"/>
    </xf>
    <xf numFmtId="2" fontId="5" fillId="3" borderId="11" xfId="0" applyNumberFormat="1" applyFont="1" applyFill="1" applyBorder="1" applyAlignment="1" applyProtection="1">
      <alignment horizontal="center"/>
      <protection locked="0"/>
    </xf>
    <xf numFmtId="1" fontId="5" fillId="3" borderId="12" xfId="0" applyNumberFormat="1" applyFont="1" applyFill="1" applyBorder="1" applyAlignment="1" applyProtection="1">
      <alignment horizontal="center"/>
      <protection locked="0"/>
    </xf>
    <xf numFmtId="2" fontId="5" fillId="3" borderId="13" xfId="0" applyNumberFormat="1" applyFont="1" applyFill="1" applyBorder="1" applyAlignment="1" applyProtection="1">
      <alignment horizontal="center"/>
      <protection locked="0"/>
    </xf>
    <xf numFmtId="2" fontId="5" fillId="3" borderId="14" xfId="0" applyNumberFormat="1" applyFont="1" applyFill="1" applyBorder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2" fontId="4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0" fillId="3" borderId="8" xfId="0" applyFont="1" applyFill="1" applyBorder="1" applyAlignment="1" applyProtection="1">
      <alignment vertical="center"/>
      <protection locked="0"/>
    </xf>
    <xf numFmtId="0" fontId="10" fillId="5" borderId="8" xfId="0" applyFont="1" applyFill="1" applyBorder="1" applyAlignment="1" applyProtection="1">
      <alignment vertical="center"/>
      <protection locked="0"/>
    </xf>
    <xf numFmtId="0" fontId="12" fillId="5" borderId="8" xfId="0" applyFont="1" applyFill="1" applyBorder="1" applyAlignment="1" applyProtection="1">
      <alignment vertical="center"/>
      <protection locked="0"/>
    </xf>
    <xf numFmtId="0" fontId="12" fillId="2" borderId="3" xfId="0" applyFont="1" applyFill="1" applyBorder="1" applyAlignment="1">
      <alignment horizontal="left" vertical="center"/>
    </xf>
    <xf numFmtId="0" fontId="12" fillId="5" borderId="3" xfId="0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164" fontId="10" fillId="3" borderId="43" xfId="0" applyNumberFormat="1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10" fontId="10" fillId="3" borderId="47" xfId="1" applyNumberFormat="1" applyFont="1" applyFill="1" applyBorder="1" applyAlignment="1" applyProtection="1">
      <alignment horizontal="center" vertical="center"/>
      <protection locked="0"/>
    </xf>
    <xf numFmtId="166" fontId="10" fillId="3" borderId="25" xfId="1" applyNumberFormat="1" applyFont="1" applyFill="1" applyBorder="1" applyAlignment="1" applyProtection="1">
      <alignment horizontal="center" vertical="center"/>
      <protection locked="0"/>
    </xf>
    <xf numFmtId="166" fontId="10" fillId="3" borderId="26" xfId="1" applyNumberFormat="1" applyFont="1" applyFill="1" applyBorder="1" applyAlignment="1" applyProtection="1">
      <alignment horizontal="center" vertical="center"/>
      <protection locked="0"/>
    </xf>
    <xf numFmtId="166" fontId="10" fillId="3" borderId="38" xfId="1" applyNumberFormat="1" applyFont="1" applyFill="1" applyBorder="1" applyAlignment="1" applyProtection="1">
      <alignment horizontal="center" vertical="center"/>
      <protection locked="0"/>
    </xf>
    <xf numFmtId="0" fontId="10" fillId="0" borderId="8" xfId="0" applyFont="1" applyBorder="1"/>
    <xf numFmtId="0" fontId="10" fillId="0" borderId="1" xfId="0" applyFont="1" applyBorder="1"/>
    <xf numFmtId="0" fontId="12" fillId="0" borderId="20" xfId="0" applyFont="1" applyBorder="1" applyAlignment="1">
      <alignment horizontal="center" vertical="center" wrapText="1"/>
    </xf>
    <xf numFmtId="165" fontId="12" fillId="5" borderId="1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 shrinkToFit="1"/>
    </xf>
    <xf numFmtId="169" fontId="10" fillId="3" borderId="7" xfId="0" applyNumberFormat="1" applyFont="1" applyFill="1" applyBorder="1" applyAlignment="1" applyProtection="1">
      <alignment horizontal="center"/>
      <protection locked="0"/>
    </xf>
    <xf numFmtId="165" fontId="10" fillId="3" borderId="7" xfId="0" applyNumberFormat="1" applyFont="1" applyFill="1" applyBorder="1" applyAlignment="1" applyProtection="1">
      <alignment horizontal="center"/>
      <protection locked="0"/>
    </xf>
    <xf numFmtId="1" fontId="10" fillId="3" borderId="59" xfId="0" applyNumberFormat="1" applyFont="1" applyFill="1" applyBorder="1" applyAlignment="1" applyProtection="1">
      <alignment horizontal="center"/>
      <protection locked="0"/>
    </xf>
    <xf numFmtId="164" fontId="10" fillId="6" borderId="0" xfId="0" applyNumberFormat="1" applyFont="1" applyFill="1"/>
    <xf numFmtId="0" fontId="12" fillId="5" borderId="2" xfId="0" applyFont="1" applyFill="1" applyBorder="1" applyProtection="1">
      <protection locked="0"/>
    </xf>
    <xf numFmtId="0" fontId="12" fillId="5" borderId="0" xfId="0" applyFont="1" applyFill="1" applyAlignment="1" applyProtection="1">
      <alignment horizontal="left"/>
      <protection locked="0"/>
    </xf>
    <xf numFmtId="0" fontId="12" fillId="5" borderId="0" xfId="0" applyFont="1" applyFill="1" applyProtection="1">
      <protection locked="0"/>
    </xf>
    <xf numFmtId="0" fontId="12" fillId="5" borderId="47" xfId="0" applyFont="1" applyFill="1" applyBorder="1" applyProtection="1">
      <protection locked="0"/>
    </xf>
    <xf numFmtId="0" fontId="12" fillId="3" borderId="22" xfId="0" applyFont="1" applyFill="1" applyBorder="1" applyProtection="1">
      <protection locked="0"/>
    </xf>
    <xf numFmtId="0" fontId="12" fillId="3" borderId="41" xfId="0" applyFont="1" applyFill="1" applyBorder="1" applyProtection="1">
      <protection locked="0"/>
    </xf>
    <xf numFmtId="0" fontId="12" fillId="3" borderId="39" xfId="0" applyFont="1" applyFill="1" applyBorder="1" applyAlignment="1" applyProtection="1">
      <alignment horizontal="center"/>
      <protection locked="0"/>
    </xf>
    <xf numFmtId="0" fontId="12" fillId="3" borderId="56" xfId="0" applyFont="1" applyFill="1" applyBorder="1" applyAlignment="1" applyProtection="1">
      <alignment horizontal="center"/>
      <protection locked="0"/>
    </xf>
    <xf numFmtId="0" fontId="12" fillId="3" borderId="57" xfId="0" applyFont="1" applyFill="1" applyBorder="1" applyAlignment="1" applyProtection="1">
      <alignment horizontal="center"/>
      <protection locked="0"/>
    </xf>
    <xf numFmtId="167" fontId="10" fillId="3" borderId="8" xfId="1" applyNumberFormat="1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>
      <alignment vertical="center"/>
    </xf>
    <xf numFmtId="0" fontId="10" fillId="2" borderId="49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165" fontId="10" fillId="5" borderId="47" xfId="0" applyNumberFormat="1" applyFont="1" applyFill="1" applyBorder="1" applyAlignment="1" applyProtection="1">
      <alignment vertical="center"/>
      <protection locked="0"/>
    </xf>
    <xf numFmtId="0" fontId="10" fillId="2" borderId="13" xfId="0" applyFont="1" applyFill="1" applyBorder="1" applyAlignment="1">
      <alignment vertical="center"/>
    </xf>
    <xf numFmtId="0" fontId="10" fillId="2" borderId="21" xfId="0" applyFont="1" applyFill="1" applyBorder="1" applyAlignment="1">
      <alignment vertical="center"/>
    </xf>
    <xf numFmtId="0" fontId="10" fillId="2" borderId="58" xfId="0" applyFont="1" applyFill="1" applyBorder="1" applyAlignment="1">
      <alignment horizontal="left" vertical="center"/>
    </xf>
    <xf numFmtId="0" fontId="0" fillId="0" borderId="8" xfId="0" applyBorder="1"/>
    <xf numFmtId="164" fontId="10" fillId="2" borderId="47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0" fillId="0" borderId="47" xfId="0" applyBorder="1"/>
    <xf numFmtId="166" fontId="10" fillId="3" borderId="43" xfId="1" applyNumberFormat="1" applyFont="1" applyFill="1" applyBorder="1" applyAlignment="1" applyProtection="1">
      <alignment horizontal="right" vertical="center"/>
      <protection locked="0"/>
    </xf>
    <xf numFmtId="10" fontId="10" fillId="3" borderId="47" xfId="1" applyNumberFormat="1" applyFont="1" applyFill="1" applyBorder="1" applyAlignment="1" applyProtection="1">
      <alignment horizontal="right" vertical="center"/>
      <protection locked="0"/>
    </xf>
    <xf numFmtId="10" fontId="10" fillId="3" borderId="49" xfId="1" applyNumberFormat="1" applyFont="1" applyFill="1" applyBorder="1" applyAlignment="1" applyProtection="1">
      <alignment horizontal="center" vertical="center"/>
      <protection locked="0"/>
    </xf>
    <xf numFmtId="10" fontId="10" fillId="3" borderId="21" xfId="1" applyNumberFormat="1" applyFont="1" applyFill="1" applyBorder="1" applyAlignment="1" applyProtection="1">
      <alignment horizontal="center" vertical="center"/>
      <protection locked="0"/>
    </xf>
    <xf numFmtId="1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2" fillId="3" borderId="11" xfId="0" applyFont="1" applyFill="1" applyBorder="1" applyAlignment="1" applyProtection="1">
      <alignment horizontal="left"/>
      <protection locked="0"/>
    </xf>
    <xf numFmtId="0" fontId="12" fillId="3" borderId="22" xfId="0" applyFont="1" applyFill="1" applyBorder="1" applyAlignment="1" applyProtection="1">
      <alignment horizontal="left"/>
      <protection locked="0"/>
    </xf>
    <xf numFmtId="0" fontId="12" fillId="0" borderId="2" xfId="0" applyFont="1" applyBorder="1" applyAlignment="1">
      <alignment horizontal="center" vertical="center" wrapText="1" shrinkToFit="1"/>
    </xf>
    <xf numFmtId="0" fontId="12" fillId="3" borderId="8" xfId="0" applyFont="1" applyFill="1" applyBorder="1" applyAlignment="1" applyProtection="1">
      <alignment vertical="center"/>
      <protection locked="0"/>
    </xf>
    <xf numFmtId="0" fontId="19" fillId="0" borderId="3" xfId="0" applyFont="1" applyBorder="1" applyAlignment="1">
      <alignment horizontal="center" vertical="center" wrapText="1"/>
    </xf>
    <xf numFmtId="0" fontId="12" fillId="3" borderId="20" xfId="0" applyFont="1" applyFill="1" applyBorder="1" applyProtection="1">
      <protection locked="0"/>
    </xf>
    <xf numFmtId="0" fontId="12" fillId="3" borderId="49" xfId="0" applyFont="1" applyFill="1" applyBorder="1" applyProtection="1">
      <protection locked="0"/>
    </xf>
    <xf numFmtId="0" fontId="12" fillId="0" borderId="8" xfId="0" applyFont="1" applyBorder="1" applyAlignment="1">
      <alignment horizontal="left" vertical="center"/>
    </xf>
    <xf numFmtId="0" fontId="10" fillId="2" borderId="47" xfId="0" applyFont="1" applyFill="1" applyBorder="1" applyAlignment="1">
      <alignment horizontal="right" vertical="center"/>
    </xf>
    <xf numFmtId="165" fontId="10" fillId="5" borderId="8" xfId="0" applyNumberFormat="1" applyFont="1" applyFill="1" applyBorder="1" applyAlignment="1" applyProtection="1">
      <alignment vertical="center"/>
      <protection locked="0"/>
    </xf>
    <xf numFmtId="165" fontId="12" fillId="5" borderId="14" xfId="0" applyNumberFormat="1" applyFont="1" applyFill="1" applyBorder="1" applyAlignment="1" applyProtection="1">
      <alignment horizontal="center" vertical="center"/>
      <protection locked="0"/>
    </xf>
    <xf numFmtId="0" fontId="12" fillId="3" borderId="32" xfId="0" applyFont="1" applyFill="1" applyBorder="1" applyAlignment="1" applyProtection="1">
      <alignment horizontal="center"/>
      <protection locked="0"/>
    </xf>
    <xf numFmtId="165" fontId="10" fillId="5" borderId="1" xfId="0" applyNumberFormat="1" applyFont="1" applyFill="1" applyBorder="1" applyAlignment="1" applyProtection="1">
      <alignment vertical="center"/>
      <protection locked="0"/>
    </xf>
    <xf numFmtId="165" fontId="10" fillId="5" borderId="3" xfId="0" applyNumberFormat="1" applyFont="1" applyFill="1" applyBorder="1" applyAlignment="1" applyProtection="1">
      <alignment horizontal="left" vertical="center"/>
      <protection locked="0"/>
    </xf>
    <xf numFmtId="164" fontId="10" fillId="5" borderId="43" xfId="0" applyNumberFormat="1" applyFont="1" applyFill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 applyProtection="1">
      <alignment horizontal="center"/>
      <protection locked="0"/>
    </xf>
    <xf numFmtId="165" fontId="12" fillId="3" borderId="66" xfId="0" applyNumberFormat="1" applyFont="1" applyFill="1" applyBorder="1" applyAlignment="1" applyProtection="1">
      <alignment horizontal="center"/>
      <protection locked="0"/>
    </xf>
    <xf numFmtId="1" fontId="10" fillId="3" borderId="17" xfId="0" applyNumberFormat="1" applyFont="1" applyFill="1" applyBorder="1" applyAlignment="1" applyProtection="1">
      <alignment horizontal="center"/>
      <protection locked="0"/>
    </xf>
    <xf numFmtId="1" fontId="10" fillId="0" borderId="7" xfId="2" applyNumberFormat="1" applyFont="1" applyBorder="1" applyAlignment="1">
      <alignment horizontal="center"/>
    </xf>
    <xf numFmtId="164" fontId="10" fillId="0" borderId="7" xfId="2" applyNumberFormat="1" applyFont="1" applyBorder="1" applyAlignment="1">
      <alignment horizont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1" fontId="5" fillId="5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/>
    <xf numFmtId="2" fontId="5" fillId="5" borderId="0" xfId="0" applyNumberFormat="1" applyFont="1" applyFill="1" applyAlignment="1" applyProtection="1">
      <alignment horizontal="center"/>
      <protection locked="0"/>
    </xf>
    <xf numFmtId="0" fontId="7" fillId="5" borderId="0" xfId="0" applyFont="1" applyFill="1"/>
    <xf numFmtId="10" fontId="4" fillId="5" borderId="0" xfId="1" applyNumberFormat="1" applyFont="1" applyFill="1" applyBorder="1" applyAlignment="1" applyProtection="1"/>
    <xf numFmtId="2" fontId="4" fillId="5" borderId="0" xfId="0" applyNumberFormat="1" applyFont="1" applyFill="1"/>
    <xf numFmtId="9" fontId="9" fillId="5" borderId="0" xfId="1" applyFont="1" applyFill="1" applyBorder="1" applyAlignment="1" applyProtection="1">
      <alignment horizontal="center"/>
      <protection locked="0"/>
    </xf>
    <xf numFmtId="1" fontId="5" fillId="3" borderId="12" xfId="2" applyNumberFormat="1" applyFont="1" applyFill="1" applyBorder="1" applyAlignment="1" applyProtection="1">
      <alignment horizontal="center"/>
      <protection locked="0"/>
    </xf>
    <xf numFmtId="2" fontId="5" fillId="3" borderId="14" xfId="2" applyNumberFormat="1" applyFont="1" applyFill="1" applyBorder="1" applyAlignment="1" applyProtection="1">
      <alignment horizontal="center"/>
      <protection locked="0"/>
    </xf>
    <xf numFmtId="165" fontId="4" fillId="0" borderId="69" xfId="2" applyNumberFormat="1" applyFont="1" applyBorder="1" applyAlignment="1">
      <alignment horizontal="center"/>
    </xf>
    <xf numFmtId="1" fontId="5" fillId="3" borderId="15" xfId="2" applyNumberFormat="1" applyFont="1" applyFill="1" applyBorder="1" applyAlignment="1" applyProtection="1">
      <alignment horizontal="center"/>
      <protection locked="0"/>
    </xf>
    <xf numFmtId="2" fontId="5" fillId="3" borderId="16" xfId="2" applyNumberFormat="1" applyFont="1" applyFill="1" applyBorder="1" applyAlignment="1" applyProtection="1">
      <alignment horizontal="center"/>
      <protection locked="0"/>
    </xf>
    <xf numFmtId="10" fontId="4" fillId="0" borderId="73" xfId="3" applyNumberFormat="1" applyFont="1" applyBorder="1" applyAlignment="1" applyProtection="1">
      <alignment horizontal="center"/>
    </xf>
    <xf numFmtId="0" fontId="7" fillId="0" borderId="74" xfId="2" applyFont="1" applyBorder="1"/>
    <xf numFmtId="0" fontId="21" fillId="0" borderId="8" xfId="2" applyFont="1" applyBorder="1"/>
    <xf numFmtId="9" fontId="9" fillId="3" borderId="1" xfId="3" applyFont="1" applyFill="1" applyBorder="1" applyAlignment="1" applyProtection="1">
      <alignment horizontal="center"/>
      <protection locked="0"/>
    </xf>
    <xf numFmtId="164" fontId="4" fillId="0" borderId="77" xfId="4" applyNumberFormat="1" applyFont="1" applyBorder="1" applyAlignment="1" applyProtection="1">
      <alignment horizontal="center"/>
    </xf>
    <xf numFmtId="0" fontId="5" fillId="0" borderId="78" xfId="2" applyFont="1" applyBorder="1"/>
    <xf numFmtId="1" fontId="5" fillId="0" borderId="79" xfId="2" applyNumberFormat="1" applyFont="1" applyBorder="1" applyAlignment="1">
      <alignment horizontal="center"/>
    </xf>
    <xf numFmtId="1" fontId="5" fillId="0" borderId="80" xfId="2" applyNumberFormat="1" applyFont="1" applyBorder="1" applyAlignment="1">
      <alignment horizontal="center"/>
    </xf>
    <xf numFmtId="166" fontId="4" fillId="0" borderId="82" xfId="3" applyNumberFormat="1" applyFont="1" applyBorder="1" applyAlignment="1" applyProtection="1">
      <alignment horizontal="center"/>
    </xf>
    <xf numFmtId="0" fontId="4" fillId="0" borderId="7" xfId="2" applyFont="1" applyBorder="1" applyAlignment="1">
      <alignment horizontal="center"/>
    </xf>
    <xf numFmtId="166" fontId="4" fillId="0" borderId="71" xfId="3" applyNumberFormat="1" applyFont="1" applyBorder="1" applyAlignment="1" applyProtection="1">
      <alignment horizontal="center"/>
    </xf>
    <xf numFmtId="166" fontId="4" fillId="0" borderId="72" xfId="3" applyNumberFormat="1" applyFont="1" applyBorder="1" applyAlignment="1" applyProtection="1">
      <alignment horizontal="center"/>
    </xf>
    <xf numFmtId="0" fontId="4" fillId="0" borderId="69" xfId="2" applyFont="1" applyBorder="1" applyAlignment="1">
      <alignment horizontal="center"/>
    </xf>
    <xf numFmtId="166" fontId="4" fillId="0" borderId="73" xfId="3" applyNumberFormat="1" applyFont="1" applyBorder="1" applyAlignment="1" applyProtection="1">
      <alignment horizontal="center"/>
    </xf>
    <xf numFmtId="0" fontId="1" fillId="0" borderId="73" xfId="2" applyFont="1" applyBorder="1"/>
    <xf numFmtId="10" fontId="4" fillId="0" borderId="84" xfId="3" applyNumberFormat="1" applyFont="1" applyBorder="1" applyAlignment="1" applyProtection="1">
      <alignment horizontal="center"/>
    </xf>
    <xf numFmtId="2" fontId="4" fillId="0" borderId="68" xfId="2" applyNumberFormat="1" applyFont="1" applyBorder="1" applyAlignment="1">
      <alignment horizontal="center"/>
    </xf>
    <xf numFmtId="165" fontId="10" fillId="0" borderId="87" xfId="0" applyNumberFormat="1" applyFont="1" applyBorder="1" applyAlignment="1" applyProtection="1">
      <alignment horizontal="center" vertical="center"/>
      <protection hidden="1"/>
    </xf>
    <xf numFmtId="165" fontId="10" fillId="0" borderId="89" xfId="0" applyNumberFormat="1" applyFont="1" applyBorder="1" applyAlignment="1" applyProtection="1">
      <alignment horizontal="center" vertical="center"/>
      <protection hidden="1"/>
    </xf>
    <xf numFmtId="165" fontId="10" fillId="0" borderId="32" xfId="0" applyNumberFormat="1" applyFont="1" applyBorder="1" applyAlignment="1" applyProtection="1">
      <alignment horizontal="center" vertical="center"/>
      <protection hidden="1"/>
    </xf>
    <xf numFmtId="165" fontId="10" fillId="0" borderId="91" xfId="0" applyNumberFormat="1" applyFont="1" applyBorder="1" applyAlignment="1" applyProtection="1">
      <alignment horizontal="center" vertical="center"/>
      <protection hidden="1"/>
    </xf>
    <xf numFmtId="165" fontId="10" fillId="0" borderId="92" xfId="0" applyNumberFormat="1" applyFont="1" applyBorder="1" applyAlignment="1" applyProtection="1">
      <alignment horizontal="center" vertical="center"/>
      <protection hidden="1"/>
    </xf>
    <xf numFmtId="165" fontId="10" fillId="0" borderId="95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1" fillId="7" borderId="76" xfId="0" applyFont="1" applyFill="1" applyBorder="1" applyAlignment="1" applyProtection="1">
      <alignment horizontal="center" vertical="center" wrapText="1"/>
      <protection hidden="1"/>
    </xf>
    <xf numFmtId="0" fontId="1" fillId="7" borderId="96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Protection="1">
      <protection hidden="1"/>
    </xf>
    <xf numFmtId="0" fontId="0" fillId="7" borderId="75" xfId="0" applyFill="1" applyBorder="1" applyAlignment="1" applyProtection="1">
      <alignment horizontal="center" vertical="center"/>
      <protection hidden="1"/>
    </xf>
    <xf numFmtId="0" fontId="0" fillId="7" borderId="76" xfId="0" applyFill="1" applyBorder="1" applyAlignment="1" applyProtection="1">
      <alignment horizontal="center" vertical="center"/>
      <protection hidden="1"/>
    </xf>
    <xf numFmtId="0" fontId="0" fillId="7" borderId="96" xfId="0" applyFill="1" applyBorder="1" applyAlignment="1" applyProtection="1">
      <alignment horizontal="center" vertical="center"/>
      <protection hidden="1"/>
    </xf>
    <xf numFmtId="2" fontId="1" fillId="8" borderId="97" xfId="0" applyNumberFormat="1" applyFont="1" applyFill="1" applyBorder="1" applyAlignment="1" applyProtection="1">
      <alignment horizontal="center" vertical="center"/>
      <protection locked="0"/>
    </xf>
    <xf numFmtId="2" fontId="0" fillId="8" borderId="18" xfId="0" applyNumberFormat="1" applyFill="1" applyBorder="1" applyAlignment="1" applyProtection="1">
      <alignment horizontal="center" vertical="center"/>
      <protection locked="0"/>
    </xf>
    <xf numFmtId="164" fontId="0" fillId="0" borderId="18" xfId="0" applyNumberFormat="1" applyBorder="1" applyAlignment="1" applyProtection="1">
      <alignment horizontal="center" vertical="center"/>
      <protection hidden="1"/>
    </xf>
    <xf numFmtId="165" fontId="0" fillId="0" borderId="98" xfId="0" applyNumberFormat="1" applyBorder="1" applyAlignment="1" applyProtection="1">
      <alignment horizontal="center" vertical="center"/>
      <protection hidden="1"/>
    </xf>
    <xf numFmtId="164" fontId="0" fillId="8" borderId="18" xfId="0" applyNumberFormat="1" applyFill="1" applyBorder="1" applyAlignment="1" applyProtection="1">
      <alignment horizontal="center"/>
      <protection locked="0"/>
    </xf>
    <xf numFmtId="164" fontId="0" fillId="0" borderId="98" xfId="0" applyNumberFormat="1" applyBorder="1" applyAlignment="1" applyProtection="1">
      <alignment horizontal="center"/>
      <protection hidden="1"/>
    </xf>
    <xf numFmtId="2" fontId="1" fillId="8" borderId="68" xfId="0" applyNumberFormat="1" applyFont="1" applyFill="1" applyBorder="1" applyAlignment="1" applyProtection="1">
      <alignment horizontal="center" vertical="center"/>
      <protection locked="0"/>
    </xf>
    <xf numFmtId="2" fontId="0" fillId="8" borderId="7" xfId="0" applyNumberFormat="1" applyFill="1" applyBorder="1" applyAlignment="1" applyProtection="1">
      <alignment horizontal="center" vertical="center"/>
      <protection locked="0"/>
    </xf>
    <xf numFmtId="164" fontId="0" fillId="8" borderId="7" xfId="0" applyNumberFormat="1" applyFill="1" applyBorder="1" applyAlignment="1" applyProtection="1">
      <alignment horizontal="center"/>
      <protection locked="0"/>
    </xf>
    <xf numFmtId="164" fontId="0" fillId="0" borderId="19" xfId="0" applyNumberFormat="1" applyBorder="1" applyAlignment="1" applyProtection="1">
      <alignment horizontal="center"/>
      <protection hidden="1"/>
    </xf>
    <xf numFmtId="164" fontId="0" fillId="8" borderId="72" xfId="0" applyNumberFormat="1" applyFill="1" applyBorder="1" applyAlignment="1" applyProtection="1">
      <alignment horizontal="center"/>
      <protection locked="0"/>
    </xf>
    <xf numFmtId="164" fontId="0" fillId="0" borderId="99" xfId="0" applyNumberFormat="1" applyBorder="1" applyAlignment="1" applyProtection="1">
      <alignment horizontal="center"/>
      <protection hidden="1"/>
    </xf>
    <xf numFmtId="2" fontId="1" fillId="8" borderId="71" xfId="0" applyNumberFormat="1" applyFont="1" applyFill="1" applyBorder="1" applyAlignment="1" applyProtection="1">
      <alignment horizontal="center" vertical="center"/>
      <protection locked="0"/>
    </xf>
    <xf numFmtId="2" fontId="0" fillId="8" borderId="72" xfId="0" applyNumberFormat="1" applyFill="1" applyBorder="1" applyAlignment="1" applyProtection="1">
      <alignment horizontal="center" vertical="center"/>
      <protection locked="0"/>
    </xf>
    <xf numFmtId="165" fontId="0" fillId="0" borderId="100" xfId="0" applyNumberFormat="1" applyBorder="1" applyAlignment="1" applyProtection="1">
      <alignment horizontal="center" vertical="center"/>
      <protection hidden="1"/>
    </xf>
    <xf numFmtId="0" fontId="5" fillId="5" borderId="0" xfId="0" applyFont="1" applyFill="1" applyProtection="1">
      <protection hidden="1"/>
    </xf>
    <xf numFmtId="2" fontId="5" fillId="5" borderId="0" xfId="0" applyNumberFormat="1" applyFont="1" applyFill="1" applyAlignment="1" applyProtection="1">
      <alignment horizontal="center"/>
      <protection hidden="1"/>
    </xf>
    <xf numFmtId="164" fontId="5" fillId="5" borderId="0" xfId="0" applyNumberFormat="1" applyFont="1" applyFill="1" applyAlignment="1" applyProtection="1">
      <alignment horizontal="center"/>
      <protection locked="0"/>
    </xf>
    <xf numFmtId="164" fontId="5" fillId="5" borderId="0" xfId="0" applyNumberFormat="1" applyFont="1" applyFill="1" applyAlignment="1" applyProtection="1">
      <alignment horizontal="center"/>
      <protection hidden="1"/>
    </xf>
    <xf numFmtId="0" fontId="0" fillId="0" borderId="2" xfId="0" applyBorder="1"/>
    <xf numFmtId="0" fontId="0" fillId="0" borderId="24" xfId="0" applyBorder="1"/>
    <xf numFmtId="0" fontId="0" fillId="0" borderId="29" xfId="0" applyBorder="1"/>
    <xf numFmtId="0" fontId="0" fillId="0" borderId="44" xfId="0" applyBorder="1"/>
    <xf numFmtId="0" fontId="0" fillId="0" borderId="58" xfId="0" applyBorder="1"/>
    <xf numFmtId="0" fontId="0" fillId="0" borderId="43" xfId="0" applyBorder="1"/>
    <xf numFmtId="165" fontId="10" fillId="0" borderId="47" xfId="0" applyNumberFormat="1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165" fontId="1" fillId="0" borderId="97" xfId="0" applyNumberFormat="1" applyFont="1" applyBorder="1" applyAlignment="1" applyProtection="1">
      <alignment horizontal="center"/>
      <protection hidden="1"/>
    </xf>
    <xf numFmtId="165" fontId="1" fillId="0" borderId="68" xfId="0" applyNumberFormat="1" applyFont="1" applyBorder="1" applyAlignment="1" applyProtection="1">
      <alignment horizontal="center"/>
      <protection hidden="1"/>
    </xf>
    <xf numFmtId="165" fontId="1" fillId="0" borderId="71" xfId="0" applyNumberFormat="1" applyFont="1" applyBorder="1" applyAlignment="1" applyProtection="1">
      <alignment horizontal="center"/>
      <protection hidden="1"/>
    </xf>
    <xf numFmtId="0" fontId="5" fillId="0" borderId="40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5" fillId="0" borderId="67" xfId="2" applyFont="1" applyBorder="1" applyAlignment="1">
      <alignment horizontal="center"/>
    </xf>
    <xf numFmtId="0" fontId="5" fillId="0" borderId="70" xfId="2" applyFont="1" applyBorder="1" applyAlignment="1">
      <alignment horizontal="center"/>
    </xf>
    <xf numFmtId="165" fontId="10" fillId="0" borderId="2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9" fontId="10" fillId="8" borderId="44" xfId="1" applyFont="1" applyFill="1" applyBorder="1" applyAlignment="1" applyProtection="1">
      <alignment horizontal="center" vertical="center"/>
    </xf>
    <xf numFmtId="9" fontId="10" fillId="8" borderId="0" xfId="1" applyFont="1" applyFill="1" applyBorder="1" applyAlignment="1" applyProtection="1">
      <alignment horizontal="center" vertical="center"/>
    </xf>
    <xf numFmtId="9" fontId="10" fillId="8" borderId="29" xfId="1" applyFont="1" applyFill="1" applyBorder="1" applyAlignment="1" applyProtection="1">
      <alignment horizontal="center" vertical="center"/>
    </xf>
    <xf numFmtId="0" fontId="10" fillId="0" borderId="58" xfId="0" applyFont="1" applyBorder="1" applyAlignment="1">
      <alignment horizontal="center" vertical="center"/>
    </xf>
    <xf numFmtId="1" fontId="10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5" fontId="1" fillId="7" borderId="101" xfId="0" applyNumberFormat="1" applyFont="1" applyFill="1" applyBorder="1" applyAlignment="1" applyProtection="1">
      <alignment horizontal="center" vertical="center"/>
      <protection hidden="1"/>
    </xf>
    <xf numFmtId="165" fontId="1" fillId="7" borderId="100" xfId="0" applyNumberFormat="1" applyFont="1" applyFill="1" applyBorder="1" applyAlignment="1" applyProtection="1">
      <alignment horizontal="center" vertical="center"/>
      <protection hidden="1"/>
    </xf>
    <xf numFmtId="0" fontId="0" fillId="7" borderId="75" xfId="0" applyFill="1" applyBorder="1" applyAlignment="1" applyProtection="1">
      <alignment horizontal="center" vertical="center" wrapText="1"/>
      <protection hidden="1"/>
    </xf>
    <xf numFmtId="0" fontId="0" fillId="7" borderId="76" xfId="0" applyFill="1" applyBorder="1" applyAlignment="1" applyProtection="1">
      <alignment horizontal="center" vertical="center" wrapText="1"/>
      <protection hidden="1"/>
    </xf>
    <xf numFmtId="0" fontId="0" fillId="7" borderId="96" xfId="0" applyFill="1" applyBorder="1" applyAlignment="1" applyProtection="1">
      <alignment horizontal="center" vertical="center" wrapText="1"/>
      <protection hidden="1"/>
    </xf>
    <xf numFmtId="165" fontId="1" fillId="0" borderId="97" xfId="0" applyNumberFormat="1" applyFont="1" applyBorder="1" applyAlignment="1" applyProtection="1">
      <alignment horizontal="left"/>
      <protection hidden="1"/>
    </xf>
    <xf numFmtId="164" fontId="1" fillId="0" borderId="97" xfId="0" applyNumberFormat="1" applyFont="1" applyBorder="1" applyAlignment="1" applyProtection="1">
      <alignment horizontal="center"/>
      <protection hidden="1"/>
    </xf>
    <xf numFmtId="1" fontId="0" fillId="0" borderId="18" xfId="0" applyNumberFormat="1" applyBorder="1" applyAlignment="1" applyProtection="1">
      <alignment horizontal="center"/>
      <protection hidden="1"/>
    </xf>
    <xf numFmtId="164" fontId="0" fillId="0" borderId="18" xfId="0" applyNumberFormat="1" applyBorder="1" applyAlignment="1" applyProtection="1">
      <alignment horizontal="center"/>
      <protection hidden="1"/>
    </xf>
    <xf numFmtId="165" fontId="1" fillId="0" borderId="68" xfId="0" applyNumberFormat="1" applyFont="1" applyBorder="1" applyAlignment="1" applyProtection="1">
      <alignment horizontal="left"/>
      <protection hidden="1"/>
    </xf>
    <xf numFmtId="164" fontId="0" fillId="0" borderId="7" xfId="0" applyNumberFormat="1" applyBorder="1" applyAlignment="1" applyProtection="1">
      <alignment horizontal="center"/>
      <protection hidden="1"/>
    </xf>
    <xf numFmtId="165" fontId="1" fillId="0" borderId="71" xfId="0" applyNumberFormat="1" applyFont="1" applyBorder="1" applyAlignment="1" applyProtection="1">
      <alignment horizontal="left"/>
      <protection hidden="1"/>
    </xf>
    <xf numFmtId="164" fontId="0" fillId="0" borderId="72" xfId="0" applyNumberFormat="1" applyBorder="1" applyAlignment="1" applyProtection="1">
      <alignment horizontal="center"/>
      <protection hidden="1"/>
    </xf>
    <xf numFmtId="0" fontId="1" fillId="7" borderId="75" xfId="0" applyFont="1" applyFill="1" applyBorder="1" applyAlignment="1" applyProtection="1">
      <alignment horizontal="center" vertical="center" wrapText="1"/>
      <protection hidden="1"/>
    </xf>
    <xf numFmtId="9" fontId="0" fillId="8" borderId="46" xfId="1" applyFont="1" applyFill="1" applyBorder="1" applyAlignment="1" applyProtection="1">
      <alignment horizontal="center"/>
      <protection locked="0"/>
    </xf>
    <xf numFmtId="9" fontId="0" fillId="8" borderId="19" xfId="1" applyFont="1" applyFill="1" applyBorder="1" applyAlignment="1" applyProtection="1">
      <alignment horizontal="center"/>
      <protection locked="0"/>
    </xf>
    <xf numFmtId="9" fontId="0" fillId="8" borderId="99" xfId="1" applyFont="1" applyFill="1" applyBorder="1" applyAlignment="1" applyProtection="1">
      <alignment horizontal="center"/>
      <protection locked="0"/>
    </xf>
    <xf numFmtId="0" fontId="0" fillId="5" borderId="0" xfId="0" applyFill="1"/>
    <xf numFmtId="0" fontId="3" fillId="5" borderId="0" xfId="0" applyFont="1" applyFill="1" applyAlignment="1" applyProtection="1">
      <alignment horizontal="center" vertical="center"/>
      <protection hidden="1"/>
    </xf>
    <xf numFmtId="165" fontId="5" fillId="5" borderId="0" xfId="0" applyNumberFormat="1" applyFont="1" applyFill="1" applyAlignment="1" applyProtection="1">
      <alignment horizontal="center"/>
      <protection hidden="1"/>
    </xf>
    <xf numFmtId="1" fontId="5" fillId="5" borderId="0" xfId="0" applyNumberFormat="1" applyFont="1" applyFill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164" fontId="5" fillId="5" borderId="0" xfId="1" applyNumberFormat="1" applyFont="1" applyFill="1" applyBorder="1" applyAlignment="1" applyProtection="1">
      <alignment horizontal="center"/>
      <protection locked="0"/>
    </xf>
    <xf numFmtId="165" fontId="10" fillId="3" borderId="21" xfId="0" applyNumberFormat="1" applyFont="1" applyFill="1" applyBorder="1" applyAlignment="1" applyProtection="1">
      <alignment horizontal="center"/>
      <protection locked="0"/>
    </xf>
    <xf numFmtId="0" fontId="12" fillId="2" borderId="8" xfId="0" applyFont="1" applyFill="1" applyBorder="1" applyAlignment="1">
      <alignment horizontal="left" vertical="center"/>
    </xf>
    <xf numFmtId="165" fontId="10" fillId="3" borderId="91" xfId="0" applyNumberFormat="1" applyFont="1" applyFill="1" applyBorder="1" applyAlignment="1" applyProtection="1">
      <alignment horizontal="center"/>
      <protection locked="0"/>
    </xf>
    <xf numFmtId="165" fontId="10" fillId="3" borderId="95" xfId="0" applyNumberFormat="1" applyFont="1" applyFill="1" applyBorder="1" applyAlignment="1" applyProtection="1">
      <alignment horizontal="center"/>
      <protection locked="0"/>
    </xf>
    <xf numFmtId="165" fontId="10" fillId="3" borderId="33" xfId="0" applyNumberFormat="1" applyFont="1" applyFill="1" applyBorder="1" applyAlignment="1" applyProtection="1">
      <alignment horizont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5" borderId="97" xfId="0" applyFont="1" applyFill="1" applyBorder="1" applyAlignment="1" applyProtection="1">
      <alignment horizontal="center"/>
      <protection locked="0"/>
    </xf>
    <xf numFmtId="0" fontId="12" fillId="5" borderId="71" xfId="0" applyFont="1" applyFill="1" applyBorder="1" applyAlignment="1" applyProtection="1">
      <alignment horizontal="center"/>
      <protection locked="0"/>
    </xf>
    <xf numFmtId="0" fontId="12" fillId="8" borderId="20" xfId="0" applyFont="1" applyFill="1" applyBorder="1" applyProtection="1">
      <protection locked="0"/>
    </xf>
    <xf numFmtId="0" fontId="12" fillId="8" borderId="22" xfId="0" applyFont="1" applyFill="1" applyBorder="1" applyAlignment="1" applyProtection="1">
      <alignment horizontal="center"/>
      <protection locked="0"/>
    </xf>
    <xf numFmtId="0" fontId="12" fillId="8" borderId="0" xfId="0" applyFont="1" applyFill="1" applyAlignment="1" applyProtection="1">
      <alignment horizontal="center"/>
      <protection locked="0"/>
    </xf>
    <xf numFmtId="0" fontId="12" fillId="8" borderId="21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2" fillId="5" borderId="75" xfId="0" applyFont="1" applyFill="1" applyBorder="1" applyAlignment="1" applyProtection="1">
      <alignment horizontal="center"/>
      <protection locked="0"/>
    </xf>
    <xf numFmtId="165" fontId="12" fillId="0" borderId="64" xfId="0" applyNumberFormat="1" applyFont="1" applyBorder="1" applyAlignment="1">
      <alignment horizontal="center" vertical="center" wrapText="1" shrinkToFit="1"/>
    </xf>
    <xf numFmtId="0" fontId="10" fillId="0" borderId="45" xfId="0" applyFont="1" applyBorder="1" applyAlignment="1">
      <alignment horizontal="center" vertical="center"/>
    </xf>
    <xf numFmtId="165" fontId="10" fillId="3" borderId="9" xfId="0" applyNumberFormat="1" applyFont="1" applyFill="1" applyBorder="1" applyAlignment="1" applyProtection="1">
      <alignment horizontal="center" vertical="center"/>
      <protection locked="0"/>
    </xf>
    <xf numFmtId="2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0" borderId="9" xfId="0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170" fontId="19" fillId="0" borderId="6" xfId="0" applyNumberFormat="1" applyFont="1" applyBorder="1" applyAlignment="1">
      <alignment horizontal="center" vertical="center"/>
    </xf>
    <xf numFmtId="175" fontId="19" fillId="0" borderId="6" xfId="0" applyNumberFormat="1" applyFont="1" applyBorder="1" applyAlignment="1">
      <alignment horizontal="center" vertical="center"/>
    </xf>
    <xf numFmtId="0" fontId="12" fillId="5" borderId="3" xfId="0" applyFont="1" applyFill="1" applyBorder="1" applyAlignment="1" applyProtection="1">
      <alignment horizontal="left" vertical="center"/>
      <protection locked="0"/>
    </xf>
    <xf numFmtId="0" fontId="12" fillId="5" borderId="2" xfId="0" applyFont="1" applyFill="1" applyBorder="1" applyAlignment="1" applyProtection="1">
      <alignment horizontal="left" vertical="center"/>
      <protection locked="0"/>
    </xf>
    <xf numFmtId="166" fontId="10" fillId="3" borderId="42" xfId="1" applyNumberFormat="1" applyFont="1" applyFill="1" applyBorder="1" applyAlignment="1" applyProtection="1">
      <alignment horizontal="center" vertical="center"/>
      <protection locked="0"/>
    </xf>
    <xf numFmtId="170" fontId="10" fillId="0" borderId="36" xfId="0" applyNumberFormat="1" applyFont="1" applyBorder="1" applyAlignment="1">
      <alignment horizontal="center" vertical="center"/>
    </xf>
    <xf numFmtId="165" fontId="10" fillId="3" borderId="17" xfId="0" applyNumberFormat="1" applyFont="1" applyFill="1" applyBorder="1" applyAlignment="1" applyProtection="1">
      <alignment horizontal="center"/>
      <protection locked="0"/>
    </xf>
    <xf numFmtId="165" fontId="10" fillId="3" borderId="66" xfId="0" applyNumberFormat="1" applyFont="1" applyFill="1" applyBorder="1" applyAlignment="1" applyProtection="1">
      <alignment horizontal="center"/>
      <protection locked="0"/>
    </xf>
    <xf numFmtId="2" fontId="4" fillId="5" borderId="0" xfId="0" applyNumberFormat="1" applyFont="1" applyFill="1" applyAlignment="1">
      <alignment horizontal="center"/>
    </xf>
    <xf numFmtId="165" fontId="12" fillId="3" borderId="32" xfId="0" applyNumberFormat="1" applyFont="1" applyFill="1" applyBorder="1" applyAlignment="1" applyProtection="1">
      <alignment horizontal="center"/>
      <protection locked="0"/>
    </xf>
    <xf numFmtId="177" fontId="10" fillId="3" borderId="47" xfId="1" applyNumberFormat="1" applyFont="1" applyFill="1" applyBorder="1" applyAlignment="1" applyProtection="1">
      <alignment horizontal="right" vertic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12" fillId="3" borderId="39" xfId="0" applyFont="1" applyFill="1" applyBorder="1" applyAlignment="1" applyProtection="1">
      <alignment horizontal="left"/>
      <protection locked="0"/>
    </xf>
    <xf numFmtId="0" fontId="10" fillId="10" borderId="8" xfId="0" applyFont="1" applyFill="1" applyBorder="1" applyAlignment="1" applyProtection="1">
      <alignment vertical="center"/>
      <protection locked="0"/>
    </xf>
    <xf numFmtId="0" fontId="12" fillId="10" borderId="8" xfId="0" applyFont="1" applyFill="1" applyBorder="1" applyAlignment="1" applyProtection="1">
      <alignment vertical="center"/>
      <protection locked="0"/>
    </xf>
    <xf numFmtId="0" fontId="12" fillId="10" borderId="1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164" fontId="10" fillId="10" borderId="43" xfId="0" applyNumberFormat="1" applyFont="1" applyFill="1" applyBorder="1" applyAlignment="1" applyProtection="1">
      <alignment horizontal="center" vertical="center"/>
      <protection locked="0"/>
    </xf>
    <xf numFmtId="166" fontId="10" fillId="10" borderId="42" xfId="1" applyNumberFormat="1" applyFont="1" applyFill="1" applyBorder="1" applyAlignment="1" applyProtection="1">
      <alignment horizontal="center" vertical="center"/>
      <protection locked="0"/>
    </xf>
    <xf numFmtId="166" fontId="10" fillId="10" borderId="38" xfId="1" applyNumberFormat="1" applyFont="1" applyFill="1" applyBorder="1" applyAlignment="1" applyProtection="1">
      <alignment horizontal="center" vertical="center"/>
      <protection locked="0"/>
    </xf>
    <xf numFmtId="165" fontId="10" fillId="10" borderId="9" xfId="0" applyNumberFormat="1" applyFont="1" applyFill="1" applyBorder="1" applyAlignment="1" applyProtection="1">
      <alignment horizontal="center" vertical="center"/>
      <protection locked="0"/>
    </xf>
    <xf numFmtId="2" fontId="10" fillId="10" borderId="9" xfId="0" applyNumberFormat="1" applyFont="1" applyFill="1" applyBorder="1" applyAlignment="1" applyProtection="1">
      <alignment horizontal="center" vertical="center"/>
      <protection locked="0"/>
    </xf>
    <xf numFmtId="10" fontId="10" fillId="10" borderId="49" xfId="1" applyNumberFormat="1" applyFont="1" applyFill="1" applyBorder="1" applyAlignment="1" applyProtection="1">
      <alignment horizontal="center" vertical="center"/>
      <protection locked="0"/>
    </xf>
    <xf numFmtId="10" fontId="10" fillId="10" borderId="21" xfId="1" applyNumberFormat="1" applyFont="1" applyFill="1" applyBorder="1" applyAlignment="1" applyProtection="1">
      <alignment horizontal="center" vertical="center"/>
      <protection locked="0"/>
    </xf>
    <xf numFmtId="10" fontId="10" fillId="10" borderId="47" xfId="1" applyNumberFormat="1" applyFont="1" applyFill="1" applyBorder="1" applyAlignment="1" applyProtection="1">
      <alignment horizontal="center" vertical="center"/>
      <protection locked="0"/>
    </xf>
    <xf numFmtId="166" fontId="10" fillId="10" borderId="43" xfId="1" applyNumberFormat="1" applyFont="1" applyFill="1" applyBorder="1" applyAlignment="1" applyProtection="1">
      <alignment horizontal="right" vertical="center"/>
      <protection locked="0"/>
    </xf>
    <xf numFmtId="10" fontId="10" fillId="10" borderId="47" xfId="1" applyNumberFormat="1" applyFont="1" applyFill="1" applyBorder="1" applyAlignment="1" applyProtection="1">
      <alignment horizontal="right" vertical="center"/>
      <protection locked="0"/>
    </xf>
    <xf numFmtId="165" fontId="10" fillId="10" borderId="1" xfId="0" applyNumberFormat="1" applyFont="1" applyFill="1" applyBorder="1" applyAlignment="1" applyProtection="1">
      <alignment vertical="center"/>
      <protection locked="0"/>
    </xf>
    <xf numFmtId="0" fontId="24" fillId="11" borderId="3" xfId="0" applyFont="1" applyFill="1" applyBorder="1" applyAlignment="1">
      <alignment horizontal="left" vertical="center"/>
    </xf>
    <xf numFmtId="0" fontId="24" fillId="11" borderId="8" xfId="0" applyFont="1" applyFill="1" applyBorder="1" applyAlignment="1">
      <alignment horizontal="left" vertical="center"/>
    </xf>
    <xf numFmtId="0" fontId="24" fillId="11" borderId="3" xfId="0" applyFont="1" applyFill="1" applyBorder="1" applyAlignment="1" applyProtection="1">
      <alignment horizontal="left" vertical="center"/>
      <protection locked="0"/>
    </xf>
    <xf numFmtId="0" fontId="25" fillId="11" borderId="8" xfId="0" applyFont="1" applyFill="1" applyBorder="1" applyAlignment="1" applyProtection="1">
      <alignment vertical="center"/>
      <protection locked="0"/>
    </xf>
    <xf numFmtId="0" fontId="24" fillId="11" borderId="3" xfId="0" applyFont="1" applyFill="1" applyBorder="1" applyAlignment="1" applyProtection="1">
      <alignment vertical="center"/>
      <protection locked="0"/>
    </xf>
    <xf numFmtId="0" fontId="24" fillId="11" borderId="8" xfId="0" applyFont="1" applyFill="1" applyBorder="1" applyAlignment="1" applyProtection="1">
      <alignment vertical="center"/>
      <protection locked="0"/>
    </xf>
    <xf numFmtId="0" fontId="24" fillId="11" borderId="58" xfId="0" applyFont="1" applyFill="1" applyBorder="1" applyAlignment="1">
      <alignment horizontal="left" vertical="center"/>
    </xf>
    <xf numFmtId="0" fontId="24" fillId="11" borderId="47" xfId="0" applyFont="1" applyFill="1" applyBorder="1" applyAlignment="1">
      <alignment horizontal="right" vertical="center"/>
    </xf>
    <xf numFmtId="165" fontId="24" fillId="11" borderId="3" xfId="0" applyNumberFormat="1" applyFont="1" applyFill="1" applyBorder="1" applyAlignment="1" applyProtection="1">
      <alignment horizontal="left" vertical="center"/>
      <protection locked="0"/>
    </xf>
    <xf numFmtId="165" fontId="24" fillId="11" borderId="8" xfId="0" applyNumberFormat="1" applyFont="1" applyFill="1" applyBorder="1" applyAlignment="1" applyProtection="1">
      <alignment vertical="center"/>
      <protection locked="0"/>
    </xf>
    <xf numFmtId="0" fontId="24" fillId="11" borderId="25" xfId="0" applyFont="1" applyFill="1" applyBorder="1" applyAlignment="1" applyProtection="1">
      <alignment horizontal="center" vertical="center"/>
      <protection locked="0"/>
    </xf>
    <xf numFmtId="0" fontId="24" fillId="11" borderId="26" xfId="0" applyFont="1" applyFill="1" applyBorder="1" applyAlignment="1" applyProtection="1">
      <alignment horizontal="center" vertical="center"/>
      <protection locked="0"/>
    </xf>
    <xf numFmtId="0" fontId="24" fillId="11" borderId="20" xfId="0" applyFont="1" applyFill="1" applyBorder="1" applyAlignment="1">
      <alignment vertical="center"/>
    </xf>
    <xf numFmtId="0" fontId="24" fillId="11" borderId="49" xfId="0" applyFont="1" applyFill="1" applyBorder="1" applyAlignment="1">
      <alignment vertical="center"/>
    </xf>
    <xf numFmtId="0" fontId="24" fillId="11" borderId="13" xfId="0" applyFont="1" applyFill="1" applyBorder="1" applyAlignment="1">
      <alignment vertical="center"/>
    </xf>
    <xf numFmtId="0" fontId="24" fillId="11" borderId="21" xfId="0" applyFont="1" applyFill="1" applyBorder="1" applyAlignment="1">
      <alignment vertical="center"/>
    </xf>
    <xf numFmtId="165" fontId="24" fillId="11" borderId="47" xfId="0" applyNumberFormat="1" applyFont="1" applyFill="1" applyBorder="1" applyAlignment="1" applyProtection="1">
      <alignment vertical="center"/>
      <protection locked="0"/>
    </xf>
    <xf numFmtId="167" fontId="24" fillId="11" borderId="8" xfId="1" applyNumberFormat="1" applyFont="1" applyFill="1" applyBorder="1" applyAlignment="1" applyProtection="1">
      <alignment vertical="center"/>
      <protection locked="0"/>
    </xf>
    <xf numFmtId="0" fontId="26" fillId="11" borderId="8" xfId="0" applyFont="1" applyFill="1" applyBorder="1"/>
    <xf numFmtId="0" fontId="24" fillId="11" borderId="8" xfId="0" applyFont="1" applyFill="1" applyBorder="1" applyAlignment="1">
      <alignment vertical="center"/>
    </xf>
    <xf numFmtId="0" fontId="24" fillId="11" borderId="3" xfId="0" applyFont="1" applyFill="1" applyBorder="1" applyAlignment="1">
      <alignment vertical="center"/>
    </xf>
    <xf numFmtId="0" fontId="24" fillId="11" borderId="11" xfId="0" applyFont="1" applyFill="1" applyBorder="1" applyAlignment="1">
      <alignment vertical="center"/>
    </xf>
    <xf numFmtId="0" fontId="26" fillId="11" borderId="0" xfId="0" applyFont="1" applyFill="1"/>
    <xf numFmtId="0" fontId="26" fillId="11" borderId="47" xfId="0" applyFont="1" applyFill="1" applyBorder="1"/>
    <xf numFmtId="164" fontId="24" fillId="11" borderId="47" xfId="0" applyNumberFormat="1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left" vertical="center"/>
    </xf>
    <xf numFmtId="0" fontId="24" fillId="11" borderId="20" xfId="0" applyFont="1" applyFill="1" applyBorder="1" applyAlignment="1">
      <alignment horizontal="center" vertical="center" wrapText="1"/>
    </xf>
    <xf numFmtId="165" fontId="24" fillId="11" borderId="14" xfId="0" applyNumberFormat="1" applyFont="1" applyFill="1" applyBorder="1" applyAlignment="1" applyProtection="1">
      <alignment horizontal="center" vertical="center"/>
      <protection locked="0"/>
    </xf>
    <xf numFmtId="165" fontId="24" fillId="11" borderId="13" xfId="0" applyNumberFormat="1" applyFont="1" applyFill="1" applyBorder="1" applyAlignment="1" applyProtection="1">
      <alignment horizontal="center" vertical="center" wrapText="1"/>
      <protection locked="0"/>
    </xf>
    <xf numFmtId="0" fontId="24" fillId="11" borderId="13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165" fontId="10" fillId="12" borderId="17" xfId="0" applyNumberFormat="1" applyFont="1" applyFill="1" applyBorder="1" applyAlignment="1" applyProtection="1">
      <alignment horizontal="center"/>
      <protection locked="0"/>
    </xf>
    <xf numFmtId="1" fontId="10" fillId="12" borderId="7" xfId="2" applyNumberFormat="1" applyFont="1" applyFill="1" applyBorder="1" applyAlignment="1">
      <alignment horizontal="center"/>
    </xf>
    <xf numFmtId="164" fontId="10" fillId="12" borderId="7" xfId="2" applyNumberFormat="1" applyFont="1" applyFill="1" applyBorder="1" applyAlignment="1">
      <alignment horizontal="center"/>
    </xf>
    <xf numFmtId="2" fontId="10" fillId="12" borderId="9" xfId="0" applyNumberFormat="1" applyFont="1" applyFill="1" applyBorder="1" applyAlignment="1" applyProtection="1">
      <alignment horizontal="center" vertical="center"/>
      <protection locked="0"/>
    </xf>
    <xf numFmtId="0" fontId="10" fillId="12" borderId="9" xfId="0" applyFont="1" applyFill="1" applyBorder="1" applyAlignment="1">
      <alignment horizontal="center" vertical="center"/>
    </xf>
    <xf numFmtId="170" fontId="10" fillId="12" borderId="36" xfId="0" applyNumberFormat="1" applyFont="1" applyFill="1" applyBorder="1" applyAlignment="1">
      <alignment horizontal="center" vertical="center"/>
    </xf>
    <xf numFmtId="171" fontId="10" fillId="12" borderId="36" xfId="0" applyNumberFormat="1" applyFont="1" applyFill="1" applyBorder="1" applyAlignment="1">
      <alignment horizontal="center" vertical="center"/>
    </xf>
    <xf numFmtId="170" fontId="19" fillId="12" borderId="6" xfId="0" applyNumberFormat="1" applyFont="1" applyFill="1" applyBorder="1" applyAlignment="1">
      <alignment horizontal="center" vertical="center"/>
    </xf>
    <xf numFmtId="175" fontId="19" fillId="12" borderId="6" xfId="0" applyNumberFormat="1" applyFont="1" applyFill="1" applyBorder="1" applyAlignment="1">
      <alignment horizontal="center" vertical="center"/>
    </xf>
    <xf numFmtId="164" fontId="10" fillId="12" borderId="43" xfId="0" applyNumberFormat="1" applyFont="1" applyFill="1" applyBorder="1" applyAlignment="1" applyProtection="1">
      <alignment horizontal="center" vertical="center"/>
      <protection locked="0"/>
    </xf>
    <xf numFmtId="0" fontId="12" fillId="10" borderId="32" xfId="0" applyFont="1" applyFill="1" applyBorder="1" applyAlignment="1" applyProtection="1">
      <alignment horizontal="center"/>
      <protection locked="0"/>
    </xf>
    <xf numFmtId="165" fontId="12" fillId="10" borderId="66" xfId="0" applyNumberFormat="1" applyFont="1" applyFill="1" applyBorder="1" applyAlignment="1" applyProtection="1">
      <alignment horizontal="center"/>
      <protection locked="0"/>
    </xf>
    <xf numFmtId="0" fontId="10" fillId="10" borderId="7" xfId="0" applyFont="1" applyFill="1" applyBorder="1" applyAlignment="1" applyProtection="1">
      <alignment horizontal="center"/>
      <protection locked="0"/>
    </xf>
    <xf numFmtId="169" fontId="10" fillId="10" borderId="7" xfId="0" applyNumberFormat="1" applyFont="1" applyFill="1" applyBorder="1" applyAlignment="1" applyProtection="1">
      <alignment horizontal="center"/>
      <protection locked="0"/>
    </xf>
    <xf numFmtId="165" fontId="10" fillId="10" borderId="7" xfId="0" applyNumberFormat="1" applyFont="1" applyFill="1" applyBorder="1" applyAlignment="1" applyProtection="1">
      <alignment horizontal="center"/>
      <protection locked="0"/>
    </xf>
    <xf numFmtId="165" fontId="10" fillId="10" borderId="17" xfId="0" applyNumberFormat="1" applyFont="1" applyFill="1" applyBorder="1" applyAlignment="1" applyProtection="1">
      <alignment horizontal="center"/>
      <protection locked="0"/>
    </xf>
    <xf numFmtId="165" fontId="10" fillId="10" borderId="66" xfId="0" applyNumberFormat="1" applyFont="1" applyFill="1" applyBorder="1" applyAlignment="1" applyProtection="1">
      <alignment horizontal="center"/>
      <protection locked="0"/>
    </xf>
    <xf numFmtId="1" fontId="10" fillId="10" borderId="17" xfId="0" applyNumberFormat="1" applyFont="1" applyFill="1" applyBorder="1" applyAlignment="1" applyProtection="1">
      <alignment horizontal="center"/>
      <protection locked="0"/>
    </xf>
    <xf numFmtId="1" fontId="10" fillId="10" borderId="59" xfId="0" applyNumberFormat="1" applyFont="1" applyFill="1" applyBorder="1" applyAlignment="1" applyProtection="1">
      <alignment horizontal="center"/>
      <protection locked="0"/>
    </xf>
    <xf numFmtId="0" fontId="0" fillId="10" borderId="0" xfId="0" applyFill="1"/>
    <xf numFmtId="164" fontId="10" fillId="10" borderId="0" xfId="0" applyNumberFormat="1" applyFont="1" applyFill="1"/>
    <xf numFmtId="165" fontId="10" fillId="10" borderId="91" xfId="0" applyNumberFormat="1" applyFont="1" applyFill="1" applyBorder="1" applyAlignment="1" applyProtection="1">
      <alignment horizontal="center"/>
      <protection locked="0"/>
    </xf>
    <xf numFmtId="165" fontId="10" fillId="10" borderId="21" xfId="0" applyNumberFormat="1" applyFont="1" applyFill="1" applyBorder="1" applyAlignment="1" applyProtection="1">
      <alignment horizontal="center"/>
      <protection locked="0"/>
    </xf>
    <xf numFmtId="165" fontId="10" fillId="10" borderId="33" xfId="0" applyNumberFormat="1" applyFont="1" applyFill="1" applyBorder="1" applyAlignment="1" applyProtection="1">
      <alignment horizontal="center"/>
      <protection locked="0"/>
    </xf>
    <xf numFmtId="165" fontId="10" fillId="10" borderId="95" xfId="0" applyNumberFormat="1" applyFont="1" applyFill="1" applyBorder="1" applyAlignment="1" applyProtection="1">
      <alignment horizontal="center"/>
      <protection locked="0"/>
    </xf>
    <xf numFmtId="0" fontId="28" fillId="11" borderId="30" xfId="0" applyFont="1" applyFill="1" applyBorder="1" applyAlignment="1">
      <alignment horizontal="center" vertical="center" wrapText="1"/>
    </xf>
    <xf numFmtId="0" fontId="28" fillId="11" borderId="5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8" fillId="11" borderId="40" xfId="0" applyFont="1" applyFill="1" applyBorder="1" applyAlignment="1">
      <alignment horizontal="center"/>
    </xf>
    <xf numFmtId="0" fontId="28" fillId="11" borderId="32" xfId="0" applyFont="1" applyFill="1" applyBorder="1" applyAlignment="1">
      <alignment horizontal="center"/>
    </xf>
    <xf numFmtId="0" fontId="28" fillId="11" borderId="67" xfId="2" applyFont="1" applyFill="1" applyBorder="1" applyAlignment="1">
      <alignment horizontal="center"/>
    </xf>
    <xf numFmtId="0" fontId="28" fillId="11" borderId="70" xfId="2" applyFont="1" applyFill="1" applyBorder="1" applyAlignment="1">
      <alignment horizontal="center"/>
    </xf>
    <xf numFmtId="9" fontId="9" fillId="10" borderId="1" xfId="3" applyFont="1" applyFill="1" applyBorder="1" applyAlignment="1" applyProtection="1">
      <alignment horizontal="center"/>
      <protection locked="0"/>
    </xf>
    <xf numFmtId="1" fontId="5" fillId="10" borderId="10" xfId="0" applyNumberFormat="1" applyFont="1" applyFill="1" applyBorder="1" applyAlignment="1" applyProtection="1">
      <alignment horizontal="center"/>
      <protection locked="0"/>
    </xf>
    <xf numFmtId="2" fontId="5" fillId="10" borderId="11" xfId="0" applyNumberFormat="1" applyFont="1" applyFill="1" applyBorder="1" applyAlignment="1" applyProtection="1">
      <alignment horizontal="center"/>
      <protection locked="0"/>
    </xf>
    <xf numFmtId="1" fontId="5" fillId="10" borderId="12" xfId="0" applyNumberFormat="1" applyFont="1" applyFill="1" applyBorder="1" applyAlignment="1" applyProtection="1">
      <alignment horizontal="center"/>
      <protection locked="0"/>
    </xf>
    <xf numFmtId="2" fontId="5" fillId="10" borderId="13" xfId="0" applyNumberFormat="1" applyFont="1" applyFill="1" applyBorder="1" applyAlignment="1" applyProtection="1">
      <alignment horizontal="center"/>
      <protection locked="0"/>
    </xf>
    <xf numFmtId="2" fontId="5" fillId="10" borderId="14" xfId="0" applyNumberFormat="1" applyFont="1" applyFill="1" applyBorder="1" applyAlignment="1" applyProtection="1">
      <alignment horizontal="center"/>
      <protection locked="0"/>
    </xf>
    <xf numFmtId="165" fontId="5" fillId="10" borderId="12" xfId="2" applyNumberFormat="1" applyFont="1" applyFill="1" applyBorder="1" applyAlignment="1" applyProtection="1">
      <alignment horizontal="center"/>
      <protection locked="0"/>
    </xf>
    <xf numFmtId="2" fontId="5" fillId="10" borderId="14" xfId="2" applyNumberFormat="1" applyFont="1" applyFill="1" applyBorder="1" applyAlignment="1" applyProtection="1">
      <alignment horizontal="center"/>
      <protection locked="0"/>
    </xf>
    <xf numFmtId="1" fontId="5" fillId="10" borderId="15" xfId="2" applyNumberFormat="1" applyFont="1" applyFill="1" applyBorder="1" applyAlignment="1" applyProtection="1">
      <alignment horizontal="center"/>
      <protection locked="0"/>
    </xf>
    <xf numFmtId="2" fontId="5" fillId="10" borderId="16" xfId="2" applyNumberFormat="1" applyFont="1" applyFill="1" applyBorder="1" applyAlignment="1" applyProtection="1">
      <alignment horizontal="center"/>
      <protection locked="0"/>
    </xf>
    <xf numFmtId="1" fontId="5" fillId="10" borderId="79" xfId="2" applyNumberFormat="1" applyFont="1" applyFill="1" applyBorder="1" applyAlignment="1">
      <alignment horizontal="center"/>
    </xf>
    <xf numFmtId="1" fontId="5" fillId="10" borderId="80" xfId="2" applyNumberFormat="1" applyFont="1" applyFill="1" applyBorder="1" applyAlignment="1">
      <alignment horizontal="center"/>
    </xf>
    <xf numFmtId="0" fontId="29" fillId="11" borderId="78" xfId="2" applyFont="1" applyFill="1" applyBorder="1"/>
    <xf numFmtId="2" fontId="26" fillId="14" borderId="68" xfId="2" applyNumberFormat="1" applyFont="1" applyFill="1" applyBorder="1" applyAlignment="1">
      <alignment horizontal="center"/>
    </xf>
    <xf numFmtId="0" fontId="26" fillId="14" borderId="7" xfId="2" applyFont="1" applyFill="1" applyBorder="1" applyAlignment="1">
      <alignment horizontal="center"/>
    </xf>
    <xf numFmtId="0" fontId="26" fillId="14" borderId="69" xfId="2" applyFont="1" applyFill="1" applyBorder="1" applyAlignment="1">
      <alignment horizontal="center"/>
    </xf>
    <xf numFmtId="166" fontId="4" fillId="15" borderId="71" xfId="3" applyNumberFormat="1" applyFont="1" applyFill="1" applyBorder="1" applyAlignment="1" applyProtection="1">
      <alignment horizontal="center"/>
    </xf>
    <xf numFmtId="166" fontId="4" fillId="15" borderId="72" xfId="3" applyNumberFormat="1" applyFont="1" applyFill="1" applyBorder="1" applyAlignment="1" applyProtection="1">
      <alignment horizontal="center"/>
    </xf>
    <xf numFmtId="166" fontId="4" fillId="15" borderId="73" xfId="3" applyNumberFormat="1" applyFont="1" applyFill="1" applyBorder="1" applyAlignment="1" applyProtection="1">
      <alignment horizontal="center"/>
    </xf>
    <xf numFmtId="0" fontId="1" fillId="15" borderId="73" xfId="2" applyFont="1" applyFill="1" applyBorder="1"/>
    <xf numFmtId="10" fontId="4" fillId="15" borderId="84" xfId="3" applyNumberFormat="1" applyFont="1" applyFill="1" applyBorder="1" applyAlignment="1" applyProtection="1">
      <alignment horizontal="center"/>
    </xf>
    <xf numFmtId="165" fontId="4" fillId="15" borderId="69" xfId="2" applyNumberFormat="1" applyFont="1" applyFill="1" applyBorder="1" applyAlignment="1">
      <alignment horizontal="center"/>
    </xf>
    <xf numFmtId="10" fontId="4" fillId="15" borderId="73" xfId="3" applyNumberFormat="1" applyFont="1" applyFill="1" applyBorder="1" applyAlignment="1" applyProtection="1">
      <alignment horizontal="center"/>
    </xf>
    <xf numFmtId="164" fontId="4" fillId="15" borderId="77" xfId="4" applyNumberFormat="1" applyFont="1" applyFill="1" applyBorder="1" applyAlignment="1" applyProtection="1">
      <alignment horizontal="center"/>
    </xf>
    <xf numFmtId="10" fontId="4" fillId="15" borderId="82" xfId="3" applyNumberFormat="1" applyFont="1" applyFill="1" applyBorder="1" applyAlignment="1" applyProtection="1">
      <alignment horizontal="center"/>
    </xf>
    <xf numFmtId="165" fontId="10" fillId="15" borderId="87" xfId="0" applyNumberFormat="1" applyFont="1" applyFill="1" applyBorder="1" applyAlignment="1" applyProtection="1">
      <alignment horizontal="center" vertical="center"/>
      <protection hidden="1"/>
    </xf>
    <xf numFmtId="165" fontId="10" fillId="15" borderId="32" xfId="0" applyNumberFormat="1" applyFont="1" applyFill="1" applyBorder="1" applyAlignment="1" applyProtection="1">
      <alignment horizontal="center" vertical="center"/>
      <protection hidden="1"/>
    </xf>
    <xf numFmtId="165" fontId="10" fillId="15" borderId="92" xfId="0" applyNumberFormat="1" applyFont="1" applyFill="1" applyBorder="1" applyAlignment="1" applyProtection="1">
      <alignment horizontal="center" vertical="center"/>
      <protection hidden="1"/>
    </xf>
    <xf numFmtId="165" fontId="10" fillId="15" borderId="89" xfId="0" applyNumberFormat="1" applyFont="1" applyFill="1" applyBorder="1" applyAlignment="1" applyProtection="1">
      <alignment horizontal="center" vertical="center"/>
      <protection hidden="1"/>
    </xf>
    <xf numFmtId="165" fontId="10" fillId="15" borderId="91" xfId="0" applyNumberFormat="1" applyFont="1" applyFill="1" applyBorder="1" applyAlignment="1" applyProtection="1">
      <alignment horizontal="center" vertical="center"/>
      <protection hidden="1"/>
    </xf>
    <xf numFmtId="165" fontId="10" fillId="15" borderId="95" xfId="0" applyNumberFormat="1" applyFont="1" applyFill="1" applyBorder="1" applyAlignment="1" applyProtection="1">
      <alignment horizontal="center" vertical="center"/>
      <protection hidden="1"/>
    </xf>
    <xf numFmtId="0" fontId="24" fillId="11" borderId="75" xfId="0" applyFont="1" applyFill="1" applyBorder="1" applyAlignment="1" applyProtection="1">
      <alignment horizontal="center"/>
      <protection locked="0"/>
    </xf>
    <xf numFmtId="0" fontId="24" fillId="11" borderId="18" xfId="0" applyFont="1" applyFill="1" applyBorder="1" applyAlignment="1">
      <alignment horizontal="center" vertical="center" wrapText="1" shrinkToFit="1"/>
    </xf>
    <xf numFmtId="0" fontId="24" fillId="11" borderId="2" xfId="0" applyFont="1" applyFill="1" applyBorder="1" applyAlignment="1">
      <alignment horizontal="center" vertical="center" wrapText="1" shrinkToFit="1"/>
    </xf>
    <xf numFmtId="165" fontId="24" fillId="11" borderId="64" xfId="0" applyNumberFormat="1" applyFont="1" applyFill="1" applyBorder="1" applyAlignment="1">
      <alignment horizontal="center" vertical="center" wrapText="1" shrinkToFit="1"/>
    </xf>
    <xf numFmtId="1" fontId="10" fillId="16" borderId="9" xfId="0" applyNumberFormat="1" applyFont="1" applyFill="1" applyBorder="1" applyAlignment="1" applyProtection="1">
      <alignment horizontal="center" vertical="center"/>
      <protection locked="0"/>
    </xf>
    <xf numFmtId="2" fontId="5" fillId="3" borderId="12" xfId="2" applyNumberFormat="1" applyFont="1" applyFill="1" applyBorder="1" applyAlignment="1" applyProtection="1">
      <alignment horizontal="center"/>
      <protection locked="0"/>
    </xf>
    <xf numFmtId="0" fontId="1" fillId="0" borderId="0" xfId="0" applyFont="1"/>
    <xf numFmtId="1" fontId="0" fillId="0" borderId="0" xfId="0" applyNumberFormat="1"/>
    <xf numFmtId="0" fontId="31" fillId="0" borderId="74" xfId="2" applyFont="1" applyBorder="1"/>
    <xf numFmtId="0" fontId="31" fillId="0" borderId="8" xfId="2" applyFont="1" applyBorder="1"/>
    <xf numFmtId="9" fontId="32" fillId="10" borderId="1" xfId="3" applyFont="1" applyFill="1" applyBorder="1" applyAlignment="1" applyProtection="1">
      <alignment horizontal="center"/>
      <protection locked="0"/>
    </xf>
    <xf numFmtId="0" fontId="5" fillId="10" borderId="7" xfId="0" applyFont="1" applyFill="1" applyBorder="1" applyAlignment="1">
      <alignment horizontal="center" vertical="center"/>
    </xf>
    <xf numFmtId="9" fontId="1" fillId="15" borderId="73" xfId="1" applyFont="1" applyFill="1" applyBorder="1" applyAlignment="1">
      <alignment horizontal="center"/>
    </xf>
    <xf numFmtId="0" fontId="2" fillId="4" borderId="8" xfId="0" applyFont="1" applyFill="1" applyBorder="1" applyAlignment="1">
      <alignment horizontal="right" vertical="center"/>
    </xf>
    <xf numFmtId="2" fontId="5" fillId="10" borderId="10" xfId="0" applyNumberFormat="1" applyFont="1" applyFill="1" applyBorder="1" applyAlignment="1" applyProtection="1">
      <alignment horizontal="center"/>
      <protection locked="0"/>
    </xf>
    <xf numFmtId="2" fontId="4" fillId="15" borderId="69" xfId="2" applyNumberFormat="1" applyFont="1" applyFill="1" applyBorder="1" applyAlignment="1">
      <alignment horizontal="center"/>
    </xf>
    <xf numFmtId="9" fontId="0" fillId="0" borderId="0" xfId="1" applyFont="1"/>
    <xf numFmtId="0" fontId="34" fillId="5" borderId="0" xfId="0" applyFont="1" applyFill="1"/>
    <xf numFmtId="0" fontId="0" fillId="20" borderId="0" xfId="0" applyFill="1"/>
    <xf numFmtId="0" fontId="0" fillId="21" borderId="0" xfId="0" applyFill="1"/>
    <xf numFmtId="10" fontId="0" fillId="0" borderId="0" xfId="0" applyNumberFormat="1"/>
    <xf numFmtId="0" fontId="12" fillId="20" borderId="41" xfId="0" applyFont="1" applyFill="1" applyBorder="1" applyAlignment="1" applyProtection="1">
      <alignment horizontal="center"/>
      <protection locked="0"/>
    </xf>
    <xf numFmtId="1" fontId="35" fillId="10" borderId="10" xfId="0" applyNumberFormat="1" applyFont="1" applyFill="1" applyBorder="1" applyAlignment="1" applyProtection="1">
      <alignment horizontal="center"/>
      <protection locked="0"/>
    </xf>
    <xf numFmtId="2" fontId="37" fillId="5" borderId="0" xfId="0" applyNumberFormat="1" applyFont="1" applyFill="1" applyAlignment="1">
      <alignment horizontal="center"/>
    </xf>
    <xf numFmtId="10" fontId="37" fillId="5" borderId="0" xfId="1" applyNumberFormat="1" applyFont="1" applyFill="1" applyBorder="1" applyAlignment="1" applyProtection="1"/>
    <xf numFmtId="0" fontId="10" fillId="10" borderId="8" xfId="0" applyFont="1" applyFill="1" applyBorder="1" applyAlignment="1" applyProtection="1">
      <alignment horizontal="left" vertical="center"/>
      <protection locked="0"/>
    </xf>
    <xf numFmtId="0" fontId="24" fillId="11" borderId="3" xfId="0" applyFont="1" applyFill="1" applyBorder="1" applyAlignment="1" applyProtection="1">
      <alignment horizontal="center" vertical="center"/>
      <protection locked="0"/>
    </xf>
    <xf numFmtId="0" fontId="24" fillId="11" borderId="8" xfId="0" applyFont="1" applyFill="1" applyBorder="1" applyAlignment="1" applyProtection="1">
      <alignment horizontal="center" vertical="center"/>
      <protection locked="0"/>
    </xf>
    <xf numFmtId="0" fontId="12" fillId="10" borderId="8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 applyProtection="1">
      <alignment horizontal="left" vertical="center"/>
      <protection locked="0"/>
    </xf>
    <xf numFmtId="0" fontId="12" fillId="4" borderId="3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3" xfId="2" applyFont="1" applyBorder="1" applyAlignment="1">
      <alignment horizontal="left" vertical="center" wrapText="1" shrinkToFit="1"/>
    </xf>
    <xf numFmtId="0" fontId="13" fillId="0" borderId="8" xfId="2" applyFont="1" applyBorder="1" applyAlignment="1">
      <alignment horizontal="left" vertical="center" wrapText="1" shrinkToFit="1"/>
    </xf>
    <xf numFmtId="0" fontId="13" fillId="0" borderId="1" xfId="2" applyFont="1" applyBorder="1" applyAlignment="1">
      <alignment horizontal="left" vertical="center" wrapText="1" shrinkToFit="1"/>
    </xf>
    <xf numFmtId="0" fontId="15" fillId="0" borderId="3" xfId="0" applyFont="1" applyBorder="1" applyAlignment="1">
      <alignment horizontal="center" vertical="center" wrapText="1" shrinkToFit="1"/>
    </xf>
    <xf numFmtId="0" fontId="15" fillId="0" borderId="8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 shrinkToFit="1"/>
    </xf>
    <xf numFmtId="0" fontId="2" fillId="5" borderId="0" xfId="0" applyFont="1" applyFill="1" applyAlignment="1" applyProtection="1">
      <alignment horizontal="center" vertical="center" wrapText="1"/>
      <protection hidden="1"/>
    </xf>
    <xf numFmtId="14" fontId="12" fillId="10" borderId="8" xfId="0" applyNumberFormat="1" applyFont="1" applyFill="1" applyBorder="1" applyAlignment="1">
      <alignment horizontal="center" vertical="center"/>
    </xf>
    <xf numFmtId="14" fontId="12" fillId="10" borderId="1" xfId="0" applyNumberFormat="1" applyFont="1" applyFill="1" applyBorder="1" applyAlignment="1">
      <alignment horizontal="center" vertical="center"/>
    </xf>
    <xf numFmtId="174" fontId="23" fillId="5" borderId="0" xfId="5" applyNumberFormat="1" applyFont="1" applyFill="1" applyBorder="1" applyAlignment="1" applyProtection="1">
      <alignment horizontal="center" vertical="center"/>
      <protection hidden="1"/>
    </xf>
    <xf numFmtId="166" fontId="10" fillId="10" borderId="36" xfId="1" applyNumberFormat="1" applyFont="1" applyFill="1" applyBorder="1" applyAlignment="1" applyProtection="1">
      <alignment horizontal="center" vertical="center"/>
      <protection locked="0"/>
    </xf>
    <xf numFmtId="166" fontId="10" fillId="10" borderId="62" xfId="1" applyNumberFormat="1" applyFont="1" applyFill="1" applyBorder="1" applyAlignment="1" applyProtection="1">
      <alignment horizontal="center" vertical="center"/>
      <protection locked="0"/>
    </xf>
    <xf numFmtId="166" fontId="10" fillId="10" borderId="23" xfId="1" applyNumberFormat="1" applyFont="1" applyFill="1" applyBorder="1" applyAlignment="1" applyProtection="1">
      <alignment horizontal="center" vertical="center"/>
      <protection locked="0"/>
    </xf>
    <xf numFmtId="166" fontId="10" fillId="10" borderId="42" xfId="1" applyNumberFormat="1" applyFont="1" applyFill="1" applyBorder="1" applyAlignment="1" applyProtection="1">
      <alignment horizontal="center" vertical="center"/>
      <protection locked="0"/>
    </xf>
    <xf numFmtId="168" fontId="10" fillId="12" borderId="8" xfId="1" applyNumberFormat="1" applyFont="1" applyFill="1" applyBorder="1" applyAlignment="1" applyProtection="1">
      <alignment horizontal="center" vertical="center"/>
    </xf>
    <xf numFmtId="168" fontId="10" fillId="12" borderId="1" xfId="1" applyNumberFormat="1" applyFont="1" applyFill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4" fillId="11" borderId="54" xfId="0" applyFont="1" applyFill="1" applyBorder="1" applyAlignment="1" applyProtection="1">
      <alignment horizontal="center" vertical="center"/>
      <protection locked="0"/>
    </xf>
    <xf numFmtId="0" fontId="24" fillId="11" borderId="24" xfId="0" applyFont="1" applyFill="1" applyBorder="1" applyAlignment="1" applyProtection="1">
      <alignment horizontal="center" vertical="center"/>
      <protection locked="0"/>
    </xf>
    <xf numFmtId="0" fontId="24" fillId="11" borderId="28" xfId="0" applyFont="1" applyFill="1" applyBorder="1" applyAlignment="1" applyProtection="1">
      <alignment horizontal="center" vertical="center"/>
      <protection locked="0"/>
    </xf>
    <xf numFmtId="0" fontId="24" fillId="11" borderId="52" xfId="0" applyFont="1" applyFill="1" applyBorder="1" applyAlignment="1" applyProtection="1">
      <alignment horizontal="center" vertical="center"/>
      <protection locked="0"/>
    </xf>
    <xf numFmtId="0" fontId="12" fillId="10" borderId="8" xfId="1" applyNumberFormat="1" applyFont="1" applyFill="1" applyBorder="1" applyAlignment="1" applyProtection="1">
      <alignment horizontal="center" vertical="center"/>
      <protection locked="0"/>
    </xf>
    <xf numFmtId="0" fontId="12" fillId="10" borderId="1" xfId="1" applyNumberFormat="1" applyFont="1" applyFill="1" applyBorder="1" applyAlignment="1" applyProtection="1">
      <alignment horizontal="center" vertical="center"/>
      <protection locked="0"/>
    </xf>
    <xf numFmtId="166" fontId="10" fillId="2" borderId="53" xfId="1" applyNumberFormat="1" applyFont="1" applyFill="1" applyBorder="1" applyAlignment="1" applyProtection="1">
      <alignment horizontal="center" vertical="center"/>
    </xf>
    <xf numFmtId="166" fontId="10" fillId="2" borderId="41" xfId="1" applyNumberFormat="1" applyFont="1" applyFill="1" applyBorder="1" applyAlignment="1" applyProtection="1">
      <alignment horizontal="center" vertical="center"/>
    </xf>
    <xf numFmtId="166" fontId="10" fillId="0" borderId="11" xfId="1" applyNumberFormat="1" applyFont="1" applyBorder="1" applyAlignment="1" applyProtection="1">
      <alignment horizontal="center" vertical="center"/>
    </xf>
    <xf numFmtId="166" fontId="10" fillId="0" borderId="51" xfId="1" applyNumberFormat="1" applyFont="1" applyBorder="1" applyAlignment="1" applyProtection="1">
      <alignment horizontal="center" vertical="center"/>
    </xf>
    <xf numFmtId="166" fontId="10" fillId="3" borderId="53" xfId="1" applyNumberFormat="1" applyFont="1" applyFill="1" applyBorder="1" applyAlignment="1" applyProtection="1">
      <alignment horizontal="center" vertical="center"/>
      <protection locked="0"/>
    </xf>
    <xf numFmtId="166" fontId="10" fillId="3" borderId="51" xfId="1" applyNumberFormat="1" applyFont="1" applyFill="1" applyBorder="1" applyAlignment="1" applyProtection="1">
      <alignment horizontal="center" vertical="center"/>
      <protection locked="0"/>
    </xf>
    <xf numFmtId="166" fontId="10" fillId="3" borderId="41" xfId="1" applyNumberFormat="1" applyFont="1" applyFill="1" applyBorder="1" applyAlignment="1" applyProtection="1">
      <alignment horizontal="center" vertical="center"/>
      <protection locked="0"/>
    </xf>
    <xf numFmtId="10" fontId="10" fillId="12" borderId="8" xfId="1" applyNumberFormat="1" applyFont="1" applyFill="1" applyBorder="1" applyAlignment="1" applyProtection="1">
      <alignment horizontal="center" vertical="center"/>
    </xf>
    <xf numFmtId="10" fontId="10" fillId="12" borderId="1" xfId="1" applyNumberFormat="1" applyFont="1" applyFill="1" applyBorder="1" applyAlignment="1" applyProtection="1">
      <alignment horizontal="center" vertical="center"/>
    </xf>
    <xf numFmtId="10" fontId="10" fillId="10" borderId="49" xfId="1" applyNumberFormat="1" applyFont="1" applyFill="1" applyBorder="1" applyAlignment="1" applyProtection="1">
      <alignment horizontal="center" vertical="center"/>
      <protection locked="0"/>
    </xf>
    <xf numFmtId="10" fontId="10" fillId="10" borderId="31" xfId="1" applyNumberFormat="1" applyFont="1" applyFill="1" applyBorder="1" applyAlignment="1" applyProtection="1">
      <alignment horizontal="center" vertical="center"/>
      <protection locked="0"/>
    </xf>
    <xf numFmtId="10" fontId="10" fillId="10" borderId="21" xfId="1" applyNumberFormat="1" applyFont="1" applyFill="1" applyBorder="1" applyAlignment="1" applyProtection="1">
      <alignment horizontal="center" vertical="center"/>
      <protection locked="0"/>
    </xf>
    <xf numFmtId="10" fontId="10" fillId="10" borderId="33" xfId="1" applyNumberFormat="1" applyFont="1" applyFill="1" applyBorder="1" applyAlignment="1" applyProtection="1">
      <alignment horizontal="center" vertical="center"/>
      <protection locked="0"/>
    </xf>
    <xf numFmtId="10" fontId="10" fillId="10" borderId="63" xfId="1" applyNumberFormat="1" applyFont="1" applyFill="1" applyBorder="1" applyAlignment="1" applyProtection="1">
      <alignment horizontal="center" vertical="center"/>
      <protection locked="0"/>
    </xf>
    <xf numFmtId="10" fontId="10" fillId="10" borderId="62" xfId="1" applyNumberFormat="1" applyFont="1" applyFill="1" applyBorder="1" applyAlignment="1" applyProtection="1">
      <alignment horizontal="center" vertical="center"/>
      <protection locked="0"/>
    </xf>
    <xf numFmtId="165" fontId="10" fillId="10" borderId="21" xfId="0" applyNumberFormat="1" applyFont="1" applyFill="1" applyBorder="1" applyAlignment="1" applyProtection="1">
      <alignment horizontal="center" vertical="center"/>
      <protection locked="0"/>
    </xf>
    <xf numFmtId="165" fontId="10" fillId="10" borderId="35" xfId="0" applyNumberFormat="1" applyFont="1" applyFill="1" applyBorder="1" applyAlignment="1" applyProtection="1">
      <alignment horizontal="center" vertical="center"/>
      <protection locked="0"/>
    </xf>
    <xf numFmtId="165" fontId="10" fillId="10" borderId="9" xfId="0" applyNumberFormat="1" applyFont="1" applyFill="1" applyBorder="1" applyAlignment="1" applyProtection="1">
      <alignment horizontal="center" vertical="center"/>
      <protection locked="0"/>
    </xf>
    <xf numFmtId="165" fontId="24" fillId="11" borderId="20" xfId="0" applyNumberFormat="1" applyFont="1" applyFill="1" applyBorder="1" applyAlignment="1">
      <alignment horizontal="center" vertical="center"/>
    </xf>
    <xf numFmtId="165" fontId="24" fillId="11" borderId="49" xfId="0" applyNumberFormat="1" applyFont="1" applyFill="1" applyBorder="1" applyAlignment="1">
      <alignment horizontal="center" vertical="center"/>
    </xf>
    <xf numFmtId="165" fontId="24" fillId="11" borderId="50" xfId="0" applyNumberFormat="1" applyFont="1" applyFill="1" applyBorder="1" applyAlignment="1">
      <alignment horizontal="center" vertical="center"/>
    </xf>
    <xf numFmtId="165" fontId="24" fillId="11" borderId="45" xfId="0" applyNumberFormat="1" applyFont="1" applyFill="1" applyBorder="1" applyAlignment="1">
      <alignment horizontal="center" vertical="center"/>
    </xf>
    <xf numFmtId="0" fontId="24" fillId="11" borderId="45" xfId="0" applyFont="1" applyFill="1" applyBorder="1" applyAlignment="1">
      <alignment horizontal="center" vertical="center"/>
    </xf>
    <xf numFmtId="0" fontId="24" fillId="11" borderId="49" xfId="0" applyFont="1" applyFill="1" applyBorder="1" applyAlignment="1">
      <alignment horizontal="center" vertical="center"/>
    </xf>
    <xf numFmtId="0" fontId="24" fillId="11" borderId="50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25" fillId="11" borderId="34" xfId="0" applyFont="1" applyFill="1" applyBorder="1" applyAlignment="1" applyProtection="1">
      <alignment horizontal="left" vertical="center"/>
      <protection hidden="1"/>
    </xf>
    <xf numFmtId="0" fontId="25" fillId="11" borderId="90" xfId="0" applyFont="1" applyFill="1" applyBorder="1" applyAlignment="1" applyProtection="1">
      <alignment horizontal="left" vertical="center"/>
      <protection hidden="1"/>
    </xf>
    <xf numFmtId="2" fontId="10" fillId="12" borderId="13" xfId="0" applyNumberFormat="1" applyFont="1" applyFill="1" applyBorder="1" applyAlignment="1" applyProtection="1">
      <alignment horizontal="center" vertical="center"/>
      <protection locked="0"/>
    </xf>
    <xf numFmtId="2" fontId="10" fillId="12" borderId="21" xfId="0" applyNumberFormat="1" applyFont="1" applyFill="1" applyBorder="1" applyAlignment="1" applyProtection="1">
      <alignment horizontal="center" vertical="center"/>
      <protection locked="0"/>
    </xf>
    <xf numFmtId="2" fontId="10" fillId="12" borderId="35" xfId="0" applyNumberFormat="1" applyFont="1" applyFill="1" applyBorder="1" applyAlignment="1" applyProtection="1">
      <alignment horizontal="center" vertical="center"/>
      <protection locked="0"/>
    </xf>
    <xf numFmtId="2" fontId="10" fillId="12" borderId="9" xfId="0" applyNumberFormat="1" applyFont="1" applyFill="1" applyBorder="1" applyAlignment="1" applyProtection="1">
      <alignment horizontal="center" vertical="center"/>
      <protection locked="0"/>
    </xf>
    <xf numFmtId="172" fontId="10" fillId="12" borderId="36" xfId="0" applyNumberFormat="1" applyFont="1" applyFill="1" applyBorder="1" applyAlignment="1">
      <alignment horizontal="center" vertical="center"/>
    </xf>
    <xf numFmtId="172" fontId="10" fillId="12" borderId="42" xfId="0" applyNumberFormat="1" applyFont="1" applyFill="1" applyBorder="1" applyAlignment="1">
      <alignment horizontal="center" vertical="center"/>
    </xf>
    <xf numFmtId="172" fontId="19" fillId="12" borderId="6" xfId="0" applyNumberFormat="1" applyFont="1" applyFill="1" applyBorder="1" applyAlignment="1">
      <alignment horizontal="center" vertical="center"/>
    </xf>
    <xf numFmtId="172" fontId="19" fillId="12" borderId="37" xfId="0" applyNumberFormat="1" applyFont="1" applyFill="1" applyBorder="1" applyAlignment="1">
      <alignment horizontal="center" vertical="center"/>
    </xf>
    <xf numFmtId="0" fontId="25" fillId="11" borderId="93" xfId="0" applyFont="1" applyFill="1" applyBorder="1" applyAlignment="1" applyProtection="1">
      <alignment horizontal="left" vertical="center"/>
      <protection hidden="1"/>
    </xf>
    <xf numFmtId="0" fontId="25" fillId="11" borderId="94" xfId="0" applyFont="1" applyFill="1" applyBorder="1" applyAlignment="1" applyProtection="1">
      <alignment horizontal="left" vertical="center"/>
      <protection hidden="1"/>
    </xf>
    <xf numFmtId="0" fontId="2" fillId="7" borderId="3" xfId="0" applyFont="1" applyFill="1" applyBorder="1" applyAlignment="1" applyProtection="1">
      <alignment horizontal="center" vertical="center"/>
      <protection hidden="1"/>
    </xf>
    <xf numFmtId="0" fontId="2" fillId="7" borderId="8" xfId="0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10" fillId="12" borderId="13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35" xfId="0" applyFont="1" applyFill="1" applyBorder="1" applyAlignment="1">
      <alignment horizontal="center" vertical="center"/>
    </xf>
    <xf numFmtId="1" fontId="10" fillId="12" borderId="9" xfId="0" applyNumberFormat="1" applyFont="1" applyFill="1" applyBorder="1" applyAlignment="1">
      <alignment horizontal="center" vertical="center"/>
    </xf>
    <xf numFmtId="1" fontId="10" fillId="12" borderId="35" xfId="0" applyNumberFormat="1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25" fillId="11" borderId="88" xfId="0" applyFont="1" applyFill="1" applyBorder="1" applyAlignment="1" applyProtection="1">
      <alignment horizontal="left" vertical="center"/>
      <protection hidden="1"/>
    </xf>
    <xf numFmtId="0" fontId="25" fillId="11" borderId="15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>
      <alignment horizontal="center"/>
    </xf>
    <xf numFmtId="0" fontId="2" fillId="4" borderId="3" xfId="0" quotePrefix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5" fillId="11" borderId="4" xfId="0" applyFont="1" applyFill="1" applyBorder="1" applyAlignment="1" applyProtection="1">
      <alignment horizontal="left" vertical="center"/>
      <protection hidden="1"/>
    </xf>
    <xf numFmtId="0" fontId="25" fillId="11" borderId="12" xfId="0" applyFont="1" applyFill="1" applyBorder="1" applyAlignment="1" applyProtection="1">
      <alignment horizontal="left" vertical="center"/>
      <protection hidden="1"/>
    </xf>
    <xf numFmtId="170" fontId="19" fillId="12" borderId="3" xfId="0" applyNumberFormat="1" applyFont="1" applyFill="1" applyBorder="1" applyAlignment="1">
      <alignment horizontal="center" vertical="center"/>
    </xf>
    <xf numFmtId="170" fontId="19" fillId="12" borderId="8" xfId="0" applyNumberFormat="1" applyFont="1" applyFill="1" applyBorder="1" applyAlignment="1">
      <alignment horizontal="center" vertical="center"/>
    </xf>
    <xf numFmtId="170" fontId="19" fillId="12" borderId="37" xfId="0" applyNumberFormat="1" applyFont="1" applyFill="1" applyBorder="1" applyAlignment="1">
      <alignment horizontal="center" vertical="center"/>
    </xf>
    <xf numFmtId="170" fontId="19" fillId="12" borderId="6" xfId="0" applyNumberFormat="1" applyFont="1" applyFill="1" applyBorder="1" applyAlignment="1">
      <alignment horizontal="center" vertical="center"/>
    </xf>
    <xf numFmtId="170" fontId="10" fillId="12" borderId="36" xfId="0" applyNumberFormat="1" applyFont="1" applyFill="1" applyBorder="1" applyAlignment="1">
      <alignment horizontal="center" vertical="center"/>
    </xf>
    <xf numFmtId="170" fontId="10" fillId="12" borderId="63" xfId="0" applyNumberFormat="1" applyFont="1" applyFill="1" applyBorder="1" applyAlignment="1">
      <alignment horizontal="center" vertical="center"/>
    </xf>
    <xf numFmtId="170" fontId="10" fillId="12" borderId="42" xfId="0" applyNumberFormat="1" applyFont="1" applyFill="1" applyBorder="1" applyAlignment="1">
      <alignment horizontal="center" vertical="center"/>
    </xf>
    <xf numFmtId="0" fontId="25" fillId="11" borderId="59" xfId="0" applyFont="1" applyFill="1" applyBorder="1" applyAlignment="1" applyProtection="1">
      <alignment horizontal="left" vertical="center"/>
      <protection hidden="1"/>
    </xf>
    <xf numFmtId="170" fontId="10" fillId="12" borderId="23" xfId="0" applyNumberFormat="1" applyFont="1" applyFill="1" applyBorder="1" applyAlignment="1">
      <alignment horizontal="center" vertical="center"/>
    </xf>
    <xf numFmtId="0" fontId="24" fillId="11" borderId="20" xfId="0" applyFont="1" applyFill="1" applyBorder="1" applyAlignment="1">
      <alignment horizontal="center" vertical="center" wrapText="1" shrinkToFit="1"/>
    </xf>
    <xf numFmtId="0" fontId="24" fillId="11" borderId="65" xfId="0" applyFont="1" applyFill="1" applyBorder="1" applyAlignment="1">
      <alignment horizontal="center" vertical="center" wrapText="1" shrinkToFit="1"/>
    </xf>
    <xf numFmtId="0" fontId="24" fillId="11" borderId="64" xfId="0" applyFont="1" applyFill="1" applyBorder="1" applyAlignment="1">
      <alignment horizontal="center" vertical="center" wrapText="1" shrinkToFit="1"/>
    </xf>
    <xf numFmtId="0" fontId="24" fillId="11" borderId="49" xfId="0" applyFont="1" applyFill="1" applyBorder="1" applyAlignment="1">
      <alignment horizontal="center" vertical="center" wrapText="1" shrinkToFit="1"/>
    </xf>
    <xf numFmtId="165" fontId="24" fillId="11" borderId="64" xfId="0" applyNumberFormat="1" applyFont="1" applyFill="1" applyBorder="1" applyAlignment="1">
      <alignment horizontal="center" vertical="center" wrapText="1" shrinkToFit="1"/>
    </xf>
    <xf numFmtId="165" fontId="24" fillId="11" borderId="65" xfId="0" applyNumberFormat="1" applyFont="1" applyFill="1" applyBorder="1" applyAlignment="1">
      <alignment horizontal="center" vertical="center" wrapText="1" shrinkToFit="1"/>
    </xf>
    <xf numFmtId="165" fontId="24" fillId="11" borderId="31" xfId="0" applyNumberFormat="1" applyFont="1" applyFill="1" applyBorder="1" applyAlignment="1">
      <alignment horizontal="center" vertical="center" wrapText="1" shrinkToFit="1"/>
    </xf>
    <xf numFmtId="0" fontId="28" fillId="11" borderId="3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66" fontId="10" fillId="10" borderId="17" xfId="1" applyNumberFormat="1" applyFont="1" applyFill="1" applyBorder="1" applyAlignment="1" applyProtection="1">
      <alignment horizontal="center"/>
      <protection locked="0"/>
    </xf>
    <xf numFmtId="166" fontId="10" fillId="10" borderId="66" xfId="1" applyNumberFormat="1" applyFont="1" applyFill="1" applyBorder="1" applyAlignment="1" applyProtection="1">
      <alignment horizontal="center"/>
      <protection locked="0"/>
    </xf>
    <xf numFmtId="165" fontId="10" fillId="10" borderId="17" xfId="0" applyNumberFormat="1" applyFont="1" applyFill="1" applyBorder="1" applyAlignment="1" applyProtection="1">
      <alignment horizontal="center"/>
      <protection locked="0"/>
    </xf>
    <xf numFmtId="165" fontId="10" fillId="10" borderId="66" xfId="0" applyNumberFormat="1" applyFont="1" applyFill="1" applyBorder="1" applyAlignment="1" applyProtection="1">
      <alignment horizontal="center"/>
      <protection locked="0"/>
    </xf>
    <xf numFmtId="2" fontId="26" fillId="13" borderId="20" xfId="2" applyNumberFormat="1" applyFont="1" applyFill="1" applyBorder="1" applyAlignment="1">
      <alignment horizontal="center"/>
    </xf>
    <xf numFmtId="2" fontId="26" fillId="13" borderId="49" xfId="2" applyNumberFormat="1" applyFont="1" applyFill="1" applyBorder="1" applyAlignment="1">
      <alignment horizontal="center"/>
    </xf>
    <xf numFmtId="2" fontId="26" fillId="13" borderId="83" xfId="2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2" fontId="26" fillId="14" borderId="20" xfId="2" applyNumberFormat="1" applyFont="1" applyFill="1" applyBorder="1" applyAlignment="1">
      <alignment horizontal="center"/>
    </xf>
    <xf numFmtId="2" fontId="26" fillId="14" borderId="49" xfId="2" applyNumberFormat="1" applyFont="1" applyFill="1" applyBorder="1" applyAlignment="1">
      <alignment horizontal="center"/>
    </xf>
    <xf numFmtId="2" fontId="26" fillId="14" borderId="83" xfId="2" applyNumberFormat="1" applyFont="1" applyFill="1" applyBorder="1" applyAlignment="1">
      <alignment horizontal="center"/>
    </xf>
    <xf numFmtId="2" fontId="26" fillId="11" borderId="20" xfId="2" applyNumberFormat="1" applyFont="1" applyFill="1" applyBorder="1" applyAlignment="1">
      <alignment horizontal="center"/>
    </xf>
    <xf numFmtId="2" fontId="26" fillId="11" borderId="49" xfId="2" applyNumberFormat="1" applyFont="1" applyFill="1" applyBorder="1" applyAlignment="1">
      <alignment horizontal="center"/>
    </xf>
    <xf numFmtId="2" fontId="26" fillId="11" borderId="65" xfId="2" applyNumberFormat="1" applyFont="1" applyFill="1" applyBorder="1" applyAlignment="1">
      <alignment horizontal="center"/>
    </xf>
    <xf numFmtId="0" fontId="12" fillId="5" borderId="28" xfId="0" applyFont="1" applyFill="1" applyBorder="1" applyAlignment="1" applyProtection="1">
      <alignment horizontal="center" vertical="center" wrapText="1"/>
      <protection locked="0"/>
    </xf>
    <xf numFmtId="0" fontId="12" fillId="5" borderId="24" xfId="0" applyFont="1" applyFill="1" applyBorder="1" applyAlignment="1" applyProtection="1">
      <alignment horizontal="center" vertical="center" wrapText="1"/>
      <protection locked="0"/>
    </xf>
    <xf numFmtId="0" fontId="12" fillId="5" borderId="44" xfId="0" applyFont="1" applyFill="1" applyBorder="1" applyAlignment="1" applyProtection="1">
      <alignment horizontal="center" vertical="center" wrapText="1"/>
      <protection locked="0"/>
    </xf>
    <xf numFmtId="0" fontId="12" fillId="5" borderId="29" xfId="0" applyFont="1" applyFill="1" applyBorder="1" applyAlignment="1" applyProtection="1">
      <alignment horizontal="center" vertical="center" wrapText="1"/>
      <protection locked="0"/>
    </xf>
    <xf numFmtId="0" fontId="12" fillId="5" borderId="58" xfId="0" applyFont="1" applyFill="1" applyBorder="1" applyAlignment="1" applyProtection="1">
      <alignment horizontal="center" vertical="center" wrapText="1"/>
      <protection locked="0"/>
    </xf>
    <xf numFmtId="0" fontId="12" fillId="5" borderId="43" xfId="0" applyFont="1" applyFill="1" applyBorder="1" applyAlignment="1" applyProtection="1">
      <alignment horizontal="center" vertical="center" wrapText="1"/>
      <protection locked="0"/>
    </xf>
    <xf numFmtId="0" fontId="10" fillId="5" borderId="60" xfId="0" applyFont="1" applyFill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10" fillId="5" borderId="61" xfId="0" applyFont="1" applyFill="1" applyBorder="1" applyAlignment="1" applyProtection="1">
      <alignment horizontal="center" vertical="center" wrapText="1"/>
      <protection locked="0"/>
    </xf>
    <xf numFmtId="0" fontId="10" fillId="5" borderId="54" xfId="0" applyFont="1" applyFill="1" applyBorder="1" applyAlignment="1" applyProtection="1">
      <alignment horizontal="center" vertical="center" wrapText="1"/>
      <protection locked="0"/>
    </xf>
    <xf numFmtId="0" fontId="10" fillId="5" borderId="24" xfId="0" applyFont="1" applyFill="1" applyBorder="1" applyAlignment="1" applyProtection="1">
      <alignment horizontal="center" vertical="center" wrapText="1"/>
      <protection locked="0"/>
    </xf>
    <xf numFmtId="0" fontId="10" fillId="5" borderId="55" xfId="0" applyFont="1" applyFill="1" applyBorder="1" applyAlignment="1" applyProtection="1">
      <alignment horizontal="center" vertical="center" wrapText="1"/>
      <protection locked="0"/>
    </xf>
    <xf numFmtId="0" fontId="10" fillId="5" borderId="29" xfId="0" applyFont="1" applyFill="1" applyBorder="1" applyAlignment="1" applyProtection="1">
      <alignment horizontal="center" vertical="center" wrapText="1"/>
      <protection locked="0"/>
    </xf>
    <xf numFmtId="0" fontId="10" fillId="5" borderId="48" xfId="0" applyFont="1" applyFill="1" applyBorder="1" applyAlignment="1" applyProtection="1">
      <alignment horizontal="center" vertical="center" wrapText="1"/>
      <protection locked="0"/>
    </xf>
    <xf numFmtId="0" fontId="10" fillId="5" borderId="43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0" xfId="0" applyFont="1" applyFill="1" applyAlignment="1" applyProtection="1">
      <alignment horizontal="center" vertical="center" wrapText="1"/>
      <protection locked="0"/>
    </xf>
    <xf numFmtId="0" fontId="10" fillId="5" borderId="47" xfId="0" applyFont="1" applyFill="1" applyBorder="1" applyAlignment="1" applyProtection="1">
      <alignment horizontal="center" vertical="center" wrapText="1"/>
      <protection locked="0"/>
    </xf>
    <xf numFmtId="0" fontId="12" fillId="5" borderId="22" xfId="0" applyFont="1" applyFill="1" applyBorder="1" applyAlignment="1" applyProtection="1">
      <alignment horizontal="center" vertical="center"/>
      <protection locked="0"/>
    </xf>
    <xf numFmtId="0" fontId="12" fillId="5" borderId="41" xfId="0" applyFont="1" applyFill="1" applyBorder="1" applyAlignment="1" applyProtection="1">
      <alignment horizontal="center" vertical="center"/>
      <protection locked="0"/>
    </xf>
    <xf numFmtId="0" fontId="24" fillId="11" borderId="3" xfId="0" applyFont="1" applyFill="1" applyBorder="1" applyAlignment="1" applyProtection="1">
      <alignment horizontal="center"/>
      <protection locked="0"/>
    </xf>
    <xf numFmtId="0" fontId="24" fillId="11" borderId="85" xfId="0" applyFont="1" applyFill="1" applyBorder="1" applyAlignment="1" applyProtection="1">
      <alignment horizontal="center"/>
      <protection locked="0"/>
    </xf>
    <xf numFmtId="0" fontId="24" fillId="11" borderId="47" xfId="0" applyFont="1" applyFill="1" applyBorder="1" applyAlignment="1" applyProtection="1">
      <alignment horizontal="center"/>
      <protection locked="0"/>
    </xf>
    <xf numFmtId="0" fontId="24" fillId="11" borderId="43" xfId="0" applyFont="1" applyFill="1" applyBorder="1" applyAlignment="1" applyProtection="1">
      <alignment horizontal="center"/>
      <protection locked="0"/>
    </xf>
    <xf numFmtId="0" fontId="12" fillId="5" borderId="21" xfId="0" applyFont="1" applyFill="1" applyBorder="1" applyAlignment="1" applyProtection="1">
      <alignment horizontal="center" vertical="center"/>
      <protection locked="0"/>
    </xf>
    <xf numFmtId="0" fontId="12" fillId="5" borderId="33" xfId="0" applyFont="1" applyFill="1" applyBorder="1" applyAlignment="1" applyProtection="1">
      <alignment horizontal="center" vertical="center"/>
      <protection locked="0"/>
    </xf>
    <xf numFmtId="0" fontId="12" fillId="5" borderId="11" xfId="0" applyFont="1" applyFill="1" applyBorder="1" applyAlignment="1" applyProtection="1">
      <alignment horizontal="center"/>
      <protection locked="0"/>
    </xf>
    <xf numFmtId="0" fontId="12" fillId="5" borderId="102" xfId="0" applyFont="1" applyFill="1" applyBorder="1" applyAlignment="1" applyProtection="1">
      <alignment horizontal="center"/>
      <protection locked="0"/>
    </xf>
    <xf numFmtId="2" fontId="26" fillId="11" borderId="81" xfId="2" applyNumberFormat="1" applyFont="1" applyFill="1" applyBorder="1" applyAlignment="1">
      <alignment horizontal="center"/>
    </xf>
    <xf numFmtId="2" fontId="26" fillId="11" borderId="79" xfId="2" applyNumberFormat="1" applyFont="1" applyFill="1" applyBorder="1" applyAlignment="1">
      <alignment horizontal="center"/>
    </xf>
    <xf numFmtId="0" fontId="12" fillId="5" borderId="3" xfId="0" applyFont="1" applyFill="1" applyBorder="1" applyAlignment="1" applyProtection="1">
      <alignment horizontal="left" vertical="center"/>
      <protection locked="0"/>
    </xf>
    <xf numFmtId="0" fontId="12" fillId="5" borderId="8" xfId="0" applyFont="1" applyFill="1" applyBorder="1" applyAlignment="1" applyProtection="1">
      <alignment horizontal="left" vertical="center"/>
      <protection locked="0"/>
    </xf>
    <xf numFmtId="0" fontId="12" fillId="5" borderId="2" xfId="0" applyFont="1" applyFill="1" applyBorder="1" applyAlignment="1" applyProtection="1">
      <alignment horizontal="left" vertical="center"/>
      <protection locked="0"/>
    </xf>
    <xf numFmtId="0" fontId="12" fillId="5" borderId="1" xfId="0" applyFont="1" applyFill="1" applyBorder="1" applyAlignment="1" applyProtection="1">
      <alignment horizontal="left" vertical="center"/>
      <protection locked="0"/>
    </xf>
    <xf numFmtId="2" fontId="4" fillId="5" borderId="0" xfId="0" applyNumberFormat="1" applyFont="1" applyFill="1" applyAlignment="1">
      <alignment horizontal="center"/>
    </xf>
    <xf numFmtId="0" fontId="24" fillId="11" borderId="8" xfId="0" applyFont="1" applyFill="1" applyBorder="1" applyAlignment="1" applyProtection="1">
      <alignment horizontal="center"/>
      <protection locked="0"/>
    </xf>
    <xf numFmtId="0" fontId="24" fillId="11" borderId="1" xfId="0" applyFont="1" applyFill="1" applyBorder="1" applyAlignment="1" applyProtection="1">
      <alignment horizontal="center"/>
      <protection locked="0"/>
    </xf>
    <xf numFmtId="0" fontId="28" fillId="17" borderId="0" xfId="0" applyFont="1" applyFill="1" applyAlignment="1">
      <alignment horizontal="center" vertical="center"/>
    </xf>
    <xf numFmtId="0" fontId="17" fillId="5" borderId="28" xfId="0" applyFont="1" applyFill="1" applyBorder="1" applyAlignment="1" applyProtection="1">
      <alignment horizontal="center" vertical="center" wrapText="1"/>
      <protection locked="0"/>
    </xf>
    <xf numFmtId="0" fontId="17" fillId="5" borderId="2" xfId="0" applyFont="1" applyFill="1" applyBorder="1" applyAlignment="1" applyProtection="1">
      <alignment horizontal="center" vertical="center" wrapText="1"/>
      <protection locked="0"/>
    </xf>
    <xf numFmtId="0" fontId="17" fillId="5" borderId="24" xfId="0" applyFont="1" applyFill="1" applyBorder="1" applyAlignment="1" applyProtection="1">
      <alignment horizontal="center" vertical="center" wrapText="1"/>
      <protection locked="0"/>
    </xf>
    <xf numFmtId="0" fontId="17" fillId="5" borderId="44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Alignment="1" applyProtection="1">
      <alignment horizontal="center" vertical="center" wrapText="1"/>
      <protection locked="0"/>
    </xf>
    <xf numFmtId="0" fontId="17" fillId="5" borderId="29" xfId="0" applyFont="1" applyFill="1" applyBorder="1" applyAlignment="1" applyProtection="1">
      <alignment horizontal="center" vertical="center" wrapText="1"/>
      <protection locked="0"/>
    </xf>
    <xf numFmtId="0" fontId="17" fillId="5" borderId="58" xfId="0" applyFont="1" applyFill="1" applyBorder="1" applyAlignment="1" applyProtection="1">
      <alignment horizontal="center" vertical="center" wrapText="1"/>
      <protection locked="0"/>
    </xf>
    <xf numFmtId="0" fontId="17" fillId="5" borderId="47" xfId="0" applyFont="1" applyFill="1" applyBorder="1" applyAlignment="1" applyProtection="1">
      <alignment horizontal="center" vertical="center" wrapText="1"/>
      <protection locked="0"/>
    </xf>
    <xf numFmtId="0" fontId="17" fillId="5" borderId="43" xfId="0" applyFont="1" applyFill="1" applyBorder="1" applyAlignment="1" applyProtection="1">
      <alignment horizontal="center" vertical="center" wrapText="1"/>
      <protection locked="0"/>
    </xf>
    <xf numFmtId="2" fontId="26" fillId="11" borderId="13" xfId="2" applyNumberFormat="1" applyFont="1" applyFill="1" applyBorder="1" applyAlignment="1">
      <alignment horizontal="center"/>
    </xf>
    <xf numFmtId="2" fontId="26" fillId="11" borderId="21" xfId="2" applyNumberFormat="1" applyFont="1" applyFill="1" applyBorder="1" applyAlignment="1">
      <alignment horizontal="center"/>
    </xf>
    <xf numFmtId="2" fontId="26" fillId="11" borderId="66" xfId="2" applyNumberFormat="1" applyFont="1" applyFill="1" applyBorder="1" applyAlignment="1">
      <alignment horizontal="center"/>
    </xf>
    <xf numFmtId="2" fontId="26" fillId="11" borderId="23" xfId="2" applyNumberFormat="1" applyFont="1" applyFill="1" applyBorder="1" applyAlignment="1">
      <alignment horizontal="center"/>
    </xf>
    <xf numFmtId="2" fontId="26" fillId="11" borderId="63" xfId="2" applyNumberFormat="1" applyFont="1" applyFill="1" applyBorder="1" applyAlignment="1">
      <alignment horizontal="center"/>
    </xf>
    <xf numFmtId="2" fontId="26" fillId="11" borderId="86" xfId="2" applyNumberFormat="1" applyFont="1" applyFill="1" applyBorder="1" applyAlignment="1">
      <alignment horizontal="center"/>
    </xf>
    <xf numFmtId="2" fontId="26" fillId="11" borderId="3" xfId="2" applyNumberFormat="1" applyFont="1" applyFill="1" applyBorder="1" applyAlignment="1">
      <alignment horizontal="center"/>
    </xf>
    <xf numFmtId="2" fontId="26" fillId="11" borderId="8" xfId="2" applyNumberFormat="1" applyFont="1" applyFill="1" applyBorder="1" applyAlignment="1">
      <alignment horizontal="center"/>
    </xf>
    <xf numFmtId="2" fontId="26" fillId="11" borderId="85" xfId="2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2" fillId="5" borderId="63" xfId="0" applyFont="1" applyFill="1" applyBorder="1" applyAlignment="1" applyProtection="1">
      <alignment horizontal="center" vertical="center"/>
      <protection locked="0"/>
    </xf>
    <xf numFmtId="0" fontId="12" fillId="5" borderId="62" xfId="0" applyFont="1" applyFill="1" applyBorder="1" applyAlignment="1" applyProtection="1">
      <alignment horizontal="center" vertical="center"/>
      <protection locked="0"/>
    </xf>
    <xf numFmtId="0" fontId="8" fillId="0" borderId="2" xfId="0" applyFont="1" applyBorder="1" applyAlignment="1">
      <alignment horizontal="center"/>
    </xf>
    <xf numFmtId="0" fontId="22" fillId="7" borderId="3" xfId="0" applyFont="1" applyFill="1" applyBorder="1" applyAlignment="1" applyProtection="1">
      <alignment horizontal="center"/>
      <protection hidden="1"/>
    </xf>
    <xf numFmtId="0" fontId="22" fillId="7" borderId="8" xfId="0" applyFont="1" applyFill="1" applyBorder="1" applyAlignment="1" applyProtection="1">
      <alignment horizontal="center"/>
      <protection hidden="1"/>
    </xf>
    <xf numFmtId="0" fontId="22" fillId="7" borderId="1" xfId="0" applyFont="1" applyFill="1" applyBorder="1" applyAlignment="1" applyProtection="1">
      <alignment horizontal="center"/>
      <protection hidden="1"/>
    </xf>
    <xf numFmtId="0" fontId="22" fillId="7" borderId="75" xfId="0" applyFont="1" applyFill="1" applyBorder="1" applyAlignment="1" applyProtection="1">
      <alignment horizontal="center"/>
      <protection hidden="1"/>
    </xf>
    <xf numFmtId="0" fontId="22" fillId="7" borderId="76" xfId="0" applyFont="1" applyFill="1" applyBorder="1" applyAlignment="1" applyProtection="1">
      <alignment horizontal="center"/>
      <protection hidden="1"/>
    </xf>
    <xf numFmtId="0" fontId="22" fillId="7" borderId="96" xfId="0" applyFont="1" applyFill="1" applyBorder="1" applyAlignment="1" applyProtection="1">
      <alignment horizontal="center"/>
      <protection hidden="1"/>
    </xf>
    <xf numFmtId="0" fontId="12" fillId="5" borderId="13" xfId="0" applyFont="1" applyFill="1" applyBorder="1" applyAlignment="1" applyProtection="1">
      <alignment horizontal="center"/>
      <protection locked="0"/>
    </xf>
    <xf numFmtId="0" fontId="12" fillId="5" borderId="66" xfId="0" applyFont="1" applyFill="1" applyBorder="1" applyAlignment="1" applyProtection="1">
      <alignment horizontal="center"/>
      <protection locked="0"/>
    </xf>
    <xf numFmtId="0" fontId="12" fillId="5" borderId="23" xfId="0" applyFont="1" applyFill="1" applyBorder="1" applyAlignment="1" applyProtection="1">
      <alignment horizontal="center"/>
      <protection locked="0"/>
    </xf>
    <xf numFmtId="0" fontId="12" fillId="5" borderId="86" xfId="0" applyFont="1" applyFill="1" applyBorder="1" applyAlignment="1" applyProtection="1">
      <alignment horizontal="center"/>
      <protection locked="0"/>
    </xf>
    <xf numFmtId="0" fontId="22" fillId="5" borderId="0" xfId="0" applyFont="1" applyFill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68" fontId="10" fillId="2" borderId="8" xfId="1" applyNumberFormat="1" applyFont="1" applyFill="1" applyBorder="1" applyAlignment="1" applyProtection="1">
      <alignment horizontal="center" vertical="center"/>
    </xf>
    <xf numFmtId="168" fontId="10" fillId="2" borderId="1" xfId="1" applyNumberFormat="1" applyFont="1" applyFill="1" applyBorder="1" applyAlignment="1" applyProtection="1">
      <alignment horizontal="center" vertical="center"/>
    </xf>
    <xf numFmtId="0" fontId="10" fillId="3" borderId="54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horizontal="center" vertical="center"/>
      <protection locked="0"/>
    </xf>
    <xf numFmtId="0" fontId="10" fillId="3" borderId="52" xfId="0" applyFont="1" applyFill="1" applyBorder="1" applyAlignment="1" applyProtection="1">
      <alignment horizontal="center" vertical="center"/>
      <protection locked="0"/>
    </xf>
    <xf numFmtId="10" fontId="10" fillId="2" borderId="8" xfId="1" applyNumberFormat="1" applyFont="1" applyFill="1" applyBorder="1" applyAlignment="1" applyProtection="1">
      <alignment horizontal="center" vertical="center"/>
    </xf>
    <xf numFmtId="10" fontId="10" fillId="2" borderId="1" xfId="1" applyNumberFormat="1" applyFont="1" applyFill="1" applyBorder="1" applyAlignment="1" applyProtection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0" fillId="0" borderId="49" xfId="0" applyNumberFormat="1" applyFont="1" applyBorder="1" applyAlignment="1">
      <alignment horizontal="center" vertical="center"/>
    </xf>
    <xf numFmtId="165" fontId="10" fillId="0" borderId="50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165" fontId="10" fillId="10" borderId="33" xfId="0" applyNumberFormat="1" applyFont="1" applyFill="1" applyBorder="1" applyAlignment="1" applyProtection="1">
      <alignment horizontal="center" vertical="center"/>
      <protection locked="0"/>
    </xf>
    <xf numFmtId="0" fontId="10" fillId="0" borderId="31" xfId="0" applyFont="1" applyBorder="1" applyAlignment="1">
      <alignment horizontal="center" vertical="center"/>
    </xf>
    <xf numFmtId="0" fontId="10" fillId="0" borderId="34" xfId="0" applyFont="1" applyBorder="1" applyAlignment="1" applyProtection="1">
      <alignment horizontal="left" vertical="center"/>
      <protection hidden="1"/>
    </xf>
    <xf numFmtId="0" fontId="10" fillId="0" borderId="90" xfId="0" applyFont="1" applyBorder="1" applyAlignment="1" applyProtection="1">
      <alignment horizontal="left" vertical="center"/>
      <protection hidden="1"/>
    </xf>
    <xf numFmtId="2" fontId="10" fillId="10" borderId="13" xfId="0" applyNumberFormat="1" applyFont="1" applyFill="1" applyBorder="1" applyAlignment="1" applyProtection="1">
      <alignment horizontal="center" vertical="center"/>
      <protection locked="0"/>
    </xf>
    <xf numFmtId="2" fontId="10" fillId="10" borderId="21" xfId="0" applyNumberFormat="1" applyFont="1" applyFill="1" applyBorder="1" applyAlignment="1" applyProtection="1">
      <alignment horizontal="center" vertical="center"/>
      <protection locked="0"/>
    </xf>
    <xf numFmtId="2" fontId="10" fillId="10" borderId="35" xfId="0" applyNumberFormat="1" applyFont="1" applyFill="1" applyBorder="1" applyAlignment="1" applyProtection="1">
      <alignment horizontal="center" vertical="center"/>
      <protection locked="0"/>
    </xf>
    <xf numFmtId="2" fontId="10" fillId="10" borderId="9" xfId="0" applyNumberFormat="1" applyFont="1" applyFill="1" applyBorder="1" applyAlignment="1" applyProtection="1">
      <alignment horizontal="center" vertical="center"/>
      <protection locked="0"/>
    </xf>
    <xf numFmtId="170" fontId="10" fillId="0" borderId="36" xfId="0" applyNumberFormat="1" applyFont="1" applyBorder="1" applyAlignment="1">
      <alignment horizontal="center" vertical="center"/>
    </xf>
    <xf numFmtId="170" fontId="10" fillId="0" borderId="42" xfId="0" applyNumberFormat="1" applyFont="1" applyBorder="1" applyAlignment="1">
      <alignment horizontal="center" vertical="center"/>
    </xf>
    <xf numFmtId="175" fontId="19" fillId="0" borderId="6" xfId="0" applyNumberFormat="1" applyFont="1" applyBorder="1" applyAlignment="1">
      <alignment horizontal="center" vertical="center"/>
    </xf>
    <xf numFmtId="175" fontId="19" fillId="0" borderId="37" xfId="0" applyNumberFormat="1" applyFont="1" applyBorder="1" applyAlignment="1">
      <alignment horizontal="center" vertical="center"/>
    </xf>
    <xf numFmtId="170" fontId="19" fillId="0" borderId="6" xfId="0" applyNumberFormat="1" applyFont="1" applyBorder="1" applyAlignment="1">
      <alignment horizontal="center" vertical="center"/>
    </xf>
    <xf numFmtId="170" fontId="19" fillId="0" borderId="1" xfId="0" applyNumberFormat="1" applyFont="1" applyBorder="1" applyAlignment="1">
      <alignment horizontal="center" vertical="center"/>
    </xf>
    <xf numFmtId="0" fontId="10" fillId="0" borderId="93" xfId="0" applyFont="1" applyBorder="1" applyAlignment="1" applyProtection="1">
      <alignment horizontal="left" vertical="center"/>
      <protection hidden="1"/>
    </xf>
    <xf numFmtId="0" fontId="10" fillId="0" borderId="94" xfId="0" applyFont="1" applyBorder="1" applyAlignment="1" applyProtection="1">
      <alignment horizontal="left" vertical="center"/>
      <protection hidden="1"/>
    </xf>
    <xf numFmtId="0" fontId="10" fillId="0" borderId="1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" fontId="10" fillId="10" borderId="33" xfId="0" applyNumberFormat="1" applyFont="1" applyFill="1" applyBorder="1" applyAlignment="1" applyProtection="1">
      <alignment horizontal="center" vertical="center"/>
      <protection locked="0"/>
    </xf>
    <xf numFmtId="0" fontId="10" fillId="0" borderId="33" xfId="0" applyFont="1" applyBorder="1" applyAlignment="1">
      <alignment horizontal="center" vertical="center"/>
    </xf>
    <xf numFmtId="0" fontId="10" fillId="0" borderId="88" xfId="0" applyFont="1" applyBorder="1" applyAlignment="1" applyProtection="1">
      <alignment horizontal="left" vertical="center"/>
      <protection hidden="1"/>
    </xf>
    <xf numFmtId="0" fontId="10" fillId="0" borderId="15" xfId="0" applyFont="1" applyBorder="1" applyAlignment="1" applyProtection="1">
      <alignment horizontal="left" vertical="center"/>
      <protection hidden="1"/>
    </xf>
    <xf numFmtId="0" fontId="10" fillId="0" borderId="4" xfId="0" applyFont="1" applyBorder="1" applyAlignment="1" applyProtection="1">
      <alignment horizontal="left" vertical="center"/>
      <protection hidden="1"/>
    </xf>
    <xf numFmtId="0" fontId="10" fillId="0" borderId="12" xfId="0" applyFont="1" applyBorder="1" applyAlignment="1" applyProtection="1">
      <alignment horizontal="left" vertical="center"/>
      <protection hidden="1"/>
    </xf>
    <xf numFmtId="170" fontId="19" fillId="0" borderId="3" xfId="0" applyNumberFormat="1" applyFont="1" applyBorder="1" applyAlignment="1">
      <alignment horizontal="center" vertical="center"/>
    </xf>
    <xf numFmtId="170" fontId="19" fillId="0" borderId="8" xfId="0" applyNumberFormat="1" applyFont="1" applyBorder="1" applyAlignment="1">
      <alignment horizontal="center" vertical="center"/>
    </xf>
    <xf numFmtId="170" fontId="19" fillId="0" borderId="37" xfId="0" applyNumberFormat="1" applyFont="1" applyBorder="1" applyAlignment="1">
      <alignment horizontal="center" vertical="center"/>
    </xf>
    <xf numFmtId="172" fontId="19" fillId="0" borderId="6" xfId="0" applyNumberFormat="1" applyFont="1" applyBorder="1" applyAlignment="1">
      <alignment horizontal="center" vertical="center"/>
    </xf>
    <xf numFmtId="172" fontId="19" fillId="0" borderId="37" xfId="0" applyNumberFormat="1" applyFont="1" applyBorder="1" applyAlignment="1">
      <alignment horizontal="center" vertical="center"/>
    </xf>
    <xf numFmtId="170" fontId="10" fillId="0" borderId="63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171" fontId="10" fillId="0" borderId="42" xfId="0" applyNumberFormat="1" applyFont="1" applyBorder="1" applyAlignment="1">
      <alignment horizontal="center" vertical="center"/>
    </xf>
    <xf numFmtId="171" fontId="10" fillId="0" borderId="62" xfId="0" applyNumberFormat="1" applyFont="1" applyBorder="1" applyAlignment="1">
      <alignment horizontal="center" vertical="center"/>
    </xf>
    <xf numFmtId="0" fontId="10" fillId="0" borderId="59" xfId="0" applyFont="1" applyBorder="1" applyAlignment="1" applyProtection="1">
      <alignment horizontal="left" vertical="center"/>
      <protection hidden="1"/>
    </xf>
    <xf numFmtId="170" fontId="10" fillId="0" borderId="23" xfId="0" applyNumberFormat="1" applyFont="1" applyBorder="1" applyAlignment="1">
      <alignment horizontal="center" vertical="center"/>
    </xf>
    <xf numFmtId="172" fontId="10" fillId="0" borderId="36" xfId="0" applyNumberFormat="1" applyFont="1" applyBorder="1" applyAlignment="1">
      <alignment horizontal="center" vertical="center"/>
    </xf>
    <xf numFmtId="172" fontId="10" fillId="0" borderId="42" xfId="0" applyNumberFormat="1" applyFont="1" applyBorder="1" applyAlignment="1">
      <alignment horizontal="center" vertical="center"/>
    </xf>
    <xf numFmtId="165" fontId="12" fillId="0" borderId="64" xfId="0" applyNumberFormat="1" applyFont="1" applyBorder="1" applyAlignment="1">
      <alignment horizontal="center" vertical="center" wrapText="1" shrinkToFit="1"/>
    </xf>
    <xf numFmtId="165" fontId="12" fillId="0" borderId="65" xfId="0" applyNumberFormat="1" applyFont="1" applyBorder="1" applyAlignment="1">
      <alignment horizontal="center" vertical="center" wrapText="1" shrinkToFit="1"/>
    </xf>
    <xf numFmtId="165" fontId="12" fillId="0" borderId="31" xfId="0" applyNumberFormat="1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10" fillId="3" borderId="17" xfId="1" applyNumberFormat="1" applyFont="1" applyFill="1" applyBorder="1" applyAlignment="1" applyProtection="1">
      <alignment horizontal="center"/>
      <protection locked="0"/>
    </xf>
    <xf numFmtId="166" fontId="10" fillId="3" borderId="66" xfId="1" applyNumberFormat="1" applyFont="1" applyFill="1" applyBorder="1" applyAlignment="1" applyProtection="1">
      <alignment horizontal="center"/>
      <protection locked="0"/>
    </xf>
    <xf numFmtId="165" fontId="10" fillId="3" borderId="17" xfId="0" applyNumberFormat="1" applyFont="1" applyFill="1" applyBorder="1" applyAlignment="1" applyProtection="1">
      <alignment horizontal="center"/>
      <protection locked="0"/>
    </xf>
    <xf numFmtId="165" fontId="10" fillId="3" borderId="66" xfId="0" applyNumberFormat="1" applyFont="1" applyFill="1" applyBorder="1" applyAlignment="1" applyProtection="1">
      <alignment horizontal="center"/>
      <protection locked="0"/>
    </xf>
    <xf numFmtId="2" fontId="4" fillId="0" borderId="20" xfId="2" applyNumberFormat="1" applyFont="1" applyBorder="1" applyAlignment="1">
      <alignment horizontal="center"/>
    </xf>
    <xf numFmtId="2" fontId="4" fillId="0" borderId="49" xfId="2" applyNumberFormat="1" applyFont="1" applyBorder="1" applyAlignment="1">
      <alignment horizontal="center"/>
    </xf>
    <xf numFmtId="2" fontId="4" fillId="0" borderId="83" xfId="2" applyNumberFormat="1" applyFont="1" applyBorder="1" applyAlignment="1">
      <alignment horizontal="center"/>
    </xf>
    <xf numFmtId="0" fontId="12" fillId="0" borderId="20" xfId="0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horizontal="center" vertical="center" wrapText="1" shrinkToFit="1"/>
    </xf>
    <xf numFmtId="0" fontId="12" fillId="0" borderId="64" xfId="0" applyFont="1" applyBorder="1" applyAlignment="1">
      <alignment horizontal="center" vertical="center" wrapText="1" shrinkToFit="1"/>
    </xf>
    <xf numFmtId="0" fontId="12" fillId="0" borderId="49" xfId="0" applyFont="1" applyBorder="1" applyAlignment="1">
      <alignment horizontal="center" vertical="center" wrapText="1" shrinkToFit="1"/>
    </xf>
    <xf numFmtId="2" fontId="4" fillId="0" borderId="65" xfId="2" applyNumberFormat="1" applyFont="1" applyBorder="1" applyAlignment="1">
      <alignment horizontal="center"/>
    </xf>
    <xf numFmtId="2" fontId="4" fillId="0" borderId="13" xfId="2" applyNumberFormat="1" applyFont="1" applyBorder="1" applyAlignment="1">
      <alignment horizontal="center"/>
    </xf>
    <xf numFmtId="2" fontId="4" fillId="0" borderId="21" xfId="2" applyNumberFormat="1" applyFont="1" applyBorder="1" applyAlignment="1">
      <alignment horizontal="center"/>
    </xf>
    <xf numFmtId="2" fontId="4" fillId="0" borderId="66" xfId="2" applyNumberFormat="1" applyFont="1" applyBorder="1" applyAlignment="1">
      <alignment horizontal="center"/>
    </xf>
    <xf numFmtId="2" fontId="4" fillId="0" borderId="23" xfId="2" applyNumberFormat="1" applyFont="1" applyBorder="1" applyAlignment="1">
      <alignment horizontal="center"/>
    </xf>
    <xf numFmtId="2" fontId="4" fillId="0" borderId="63" xfId="2" applyNumberFormat="1" applyFont="1" applyBorder="1" applyAlignment="1">
      <alignment horizontal="center"/>
    </xf>
    <xf numFmtId="2" fontId="4" fillId="0" borderId="86" xfId="2" applyNumberFormat="1" applyFont="1" applyBorder="1" applyAlignment="1">
      <alignment horizontal="center"/>
    </xf>
    <xf numFmtId="2" fontId="4" fillId="0" borderId="3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85" xfId="2" applyNumberFormat="1" applyFont="1" applyBorder="1" applyAlignment="1">
      <alignment horizontal="center"/>
    </xf>
    <xf numFmtId="2" fontId="4" fillId="0" borderId="81" xfId="2" applyNumberFormat="1" applyFont="1" applyBorder="1" applyAlignment="1">
      <alignment horizontal="center"/>
    </xf>
    <xf numFmtId="2" fontId="4" fillId="0" borderId="79" xfId="2" applyNumberFormat="1" applyFont="1" applyBorder="1" applyAlignment="1">
      <alignment horizontal="center"/>
    </xf>
    <xf numFmtId="0" fontId="12" fillId="5" borderId="8" xfId="0" applyFont="1" applyFill="1" applyBorder="1" applyAlignment="1" applyProtection="1">
      <alignment horizontal="center"/>
      <protection locked="0"/>
    </xf>
    <xf numFmtId="0" fontId="12" fillId="5" borderId="1" xfId="0" applyFont="1" applyFill="1" applyBorder="1" applyAlignment="1" applyProtection="1">
      <alignment horizontal="center"/>
      <protection locked="0"/>
    </xf>
    <xf numFmtId="0" fontId="12" fillId="5" borderId="3" xfId="0" applyFont="1" applyFill="1" applyBorder="1" applyAlignment="1" applyProtection="1">
      <alignment horizontal="center"/>
      <protection locked="0"/>
    </xf>
    <xf numFmtId="0" fontId="12" fillId="5" borderId="85" xfId="0" applyFont="1" applyFill="1" applyBorder="1" applyAlignment="1" applyProtection="1">
      <alignment horizontal="center"/>
      <protection locked="0"/>
    </xf>
    <xf numFmtId="0" fontId="12" fillId="5" borderId="47" xfId="0" applyFont="1" applyFill="1" applyBorder="1" applyAlignment="1" applyProtection="1">
      <alignment horizontal="center"/>
      <protection locked="0"/>
    </xf>
    <xf numFmtId="0" fontId="12" fillId="5" borderId="43" xfId="0" applyFont="1" applyFill="1" applyBorder="1" applyAlignment="1" applyProtection="1">
      <alignment horizontal="center"/>
      <protection locked="0"/>
    </xf>
    <xf numFmtId="1" fontId="10" fillId="10" borderId="17" xfId="0" applyNumberFormat="1" applyFont="1" applyFill="1" applyBorder="1" applyAlignment="1" applyProtection="1">
      <alignment horizontal="center"/>
      <protection locked="0"/>
    </xf>
    <xf numFmtId="1" fontId="10" fillId="10" borderId="66" xfId="0" applyNumberFormat="1" applyFont="1" applyFill="1" applyBorder="1" applyAlignment="1" applyProtection="1">
      <alignment horizontal="center"/>
      <protection locked="0"/>
    </xf>
    <xf numFmtId="1" fontId="10" fillId="10" borderId="7" xfId="0" applyNumberFormat="1" applyFont="1" applyFill="1" applyBorder="1" applyAlignment="1" applyProtection="1">
      <alignment horizontal="center"/>
      <protection locked="0"/>
    </xf>
    <xf numFmtId="0" fontId="24" fillId="11" borderId="3" xfId="0" applyFont="1" applyFill="1" applyBorder="1" applyAlignment="1">
      <alignment horizontal="center" vertical="center"/>
    </xf>
    <xf numFmtId="0" fontId="24" fillId="11" borderId="8" xfId="0" applyFont="1" applyFill="1" applyBorder="1" applyAlignment="1">
      <alignment horizontal="center" vertical="center"/>
    </xf>
    <xf numFmtId="1" fontId="10" fillId="10" borderId="103" xfId="0" applyNumberFormat="1" applyFont="1" applyFill="1" applyBorder="1" applyAlignment="1" applyProtection="1">
      <alignment horizontal="center"/>
      <protection locked="0"/>
    </xf>
    <xf numFmtId="1" fontId="10" fillId="10" borderId="86" xfId="0" applyNumberFormat="1" applyFont="1" applyFill="1" applyBorder="1" applyAlignment="1" applyProtection="1">
      <alignment horizontal="center"/>
      <protection locked="0"/>
    </xf>
    <xf numFmtId="1" fontId="10" fillId="10" borderId="104" xfId="0" applyNumberFormat="1" applyFont="1" applyFill="1" applyBorder="1" applyAlignment="1" applyProtection="1">
      <alignment horizontal="center"/>
      <protection locked="0"/>
    </xf>
    <xf numFmtId="1" fontId="10" fillId="10" borderId="47" xfId="0" applyNumberFormat="1" applyFont="1" applyFill="1" applyBorder="1" applyAlignment="1" applyProtection="1">
      <alignment horizontal="center"/>
      <protection locked="0"/>
    </xf>
    <xf numFmtId="1" fontId="10" fillId="10" borderId="105" xfId="0" applyNumberFormat="1" applyFont="1" applyFill="1" applyBorder="1" applyAlignment="1" applyProtection="1">
      <alignment horizontal="center"/>
      <protection locked="0"/>
    </xf>
    <xf numFmtId="2" fontId="33" fillId="18" borderId="9" xfId="0" applyNumberFormat="1" applyFont="1" applyFill="1" applyBorder="1" applyAlignment="1" applyProtection="1">
      <alignment horizontal="center" vertical="center"/>
      <protection locked="0"/>
    </xf>
    <xf numFmtId="2" fontId="33" fillId="18" borderId="35" xfId="0" applyNumberFormat="1" applyFont="1" applyFill="1" applyBorder="1" applyAlignment="1" applyProtection="1">
      <alignment horizontal="center" vertical="center"/>
      <protection locked="0"/>
    </xf>
    <xf numFmtId="2" fontId="33" fillId="19" borderId="9" xfId="0" applyNumberFormat="1" applyFont="1" applyFill="1" applyBorder="1" applyAlignment="1" applyProtection="1">
      <alignment horizontal="center" vertical="center"/>
      <protection locked="0"/>
    </xf>
    <xf numFmtId="2" fontId="33" fillId="19" borderId="35" xfId="0" applyNumberFormat="1" applyFont="1" applyFill="1" applyBorder="1" applyAlignment="1" applyProtection="1">
      <alignment horizontal="center" vertical="center"/>
      <protection locked="0"/>
    </xf>
    <xf numFmtId="178" fontId="12" fillId="10" borderId="8" xfId="0" applyNumberFormat="1" applyFont="1" applyFill="1" applyBorder="1" applyAlignment="1" applyProtection="1">
      <alignment horizontal="center" vertical="center"/>
      <protection locked="0"/>
    </xf>
    <xf numFmtId="165" fontId="36" fillId="11" borderId="64" xfId="0" applyNumberFormat="1" applyFont="1" applyFill="1" applyBorder="1" applyAlignment="1">
      <alignment horizontal="center" vertical="center" wrapText="1" shrinkToFit="1"/>
    </xf>
    <xf numFmtId="165" fontId="36" fillId="11" borderId="31" xfId="0" applyNumberFormat="1" applyFont="1" applyFill="1" applyBorder="1" applyAlignment="1">
      <alignment horizontal="center" vertical="center" wrapText="1" shrinkToFit="1"/>
    </xf>
    <xf numFmtId="2" fontId="5" fillId="5" borderId="106" xfId="0" applyNumberFormat="1" applyFont="1" applyFill="1" applyBorder="1" applyAlignment="1" applyProtection="1">
      <alignment horizontal="center"/>
      <protection locked="0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2" fillId="20" borderId="13" xfId="0" applyFont="1" applyFill="1" applyBorder="1" applyAlignment="1" applyProtection="1">
      <alignment horizontal="center"/>
      <protection locked="0"/>
    </xf>
    <xf numFmtId="0" fontId="12" fillId="20" borderId="66" xfId="0" applyFont="1" applyFill="1" applyBorder="1" applyAlignment="1" applyProtection="1">
      <alignment horizontal="center"/>
      <protection locked="0"/>
    </xf>
    <xf numFmtId="0" fontId="12" fillId="20" borderId="21" xfId="0" applyFont="1" applyFill="1" applyBorder="1" applyAlignment="1" applyProtection="1">
      <alignment horizontal="center" vertical="center"/>
      <protection locked="0"/>
    </xf>
    <xf numFmtId="0" fontId="12" fillId="20" borderId="33" xfId="0" applyFont="1" applyFill="1" applyBorder="1" applyAlignment="1" applyProtection="1">
      <alignment horizontal="center" vertical="center"/>
      <protection locked="0"/>
    </xf>
    <xf numFmtId="0" fontId="10" fillId="3" borderId="8" xfId="0" applyFont="1" applyFill="1" applyBorder="1" applyAlignment="1" applyProtection="1">
      <alignment horizontal="left" vertical="center"/>
      <protection locked="0"/>
    </xf>
    <xf numFmtId="0" fontId="12" fillId="8" borderId="8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14" fontId="12" fillId="8" borderId="8" xfId="0" applyNumberFormat="1" applyFont="1" applyFill="1" applyBorder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vertical="center"/>
    </xf>
    <xf numFmtId="166" fontId="10" fillId="3" borderId="36" xfId="1" applyNumberFormat="1" applyFont="1" applyFill="1" applyBorder="1" applyAlignment="1" applyProtection="1">
      <alignment horizontal="center" vertical="center"/>
      <protection locked="0"/>
    </xf>
    <xf numFmtId="166" fontId="10" fillId="3" borderId="62" xfId="1" applyNumberFormat="1" applyFont="1" applyFill="1" applyBorder="1" applyAlignment="1" applyProtection="1">
      <alignment horizontal="center" vertical="center"/>
      <protection locked="0"/>
    </xf>
    <xf numFmtId="166" fontId="10" fillId="3" borderId="23" xfId="1" applyNumberFormat="1" applyFont="1" applyFill="1" applyBorder="1" applyAlignment="1" applyProtection="1">
      <alignment horizontal="center" vertical="center"/>
      <protection locked="0"/>
    </xf>
    <xf numFmtId="166" fontId="10" fillId="3" borderId="42" xfId="1" applyNumberFormat="1" applyFont="1" applyFill="1" applyBorder="1" applyAlignment="1" applyProtection="1">
      <alignment horizontal="center" vertical="center"/>
      <protection locked="0"/>
    </xf>
    <xf numFmtId="0" fontId="12" fillId="3" borderId="8" xfId="1" applyNumberFormat="1" applyFont="1" applyFill="1" applyBorder="1" applyAlignment="1" applyProtection="1">
      <alignment horizontal="center" vertical="center"/>
      <protection locked="0"/>
    </xf>
    <xf numFmtId="0" fontId="12" fillId="3" borderId="1" xfId="1" applyNumberFormat="1" applyFont="1" applyFill="1" applyBorder="1" applyAlignment="1" applyProtection="1">
      <alignment horizontal="center" vertical="center"/>
      <protection locked="0"/>
    </xf>
    <xf numFmtId="165" fontId="10" fillId="3" borderId="21" xfId="0" applyNumberFormat="1" applyFont="1" applyFill="1" applyBorder="1" applyAlignment="1" applyProtection="1">
      <alignment horizontal="center" vertical="center"/>
      <protection locked="0"/>
    </xf>
    <xf numFmtId="165" fontId="10" fillId="3" borderId="35" xfId="0" applyNumberFormat="1" applyFont="1" applyFill="1" applyBorder="1" applyAlignment="1" applyProtection="1">
      <alignment horizontal="center" vertical="center"/>
      <protection locked="0"/>
    </xf>
    <xf numFmtId="165" fontId="10" fillId="3" borderId="9" xfId="0" applyNumberFormat="1" applyFont="1" applyFill="1" applyBorder="1" applyAlignment="1" applyProtection="1">
      <alignment horizontal="center" vertical="center"/>
      <protection locked="0"/>
    </xf>
    <xf numFmtId="165" fontId="10" fillId="3" borderId="33" xfId="0" applyNumberFormat="1" applyFont="1" applyFill="1" applyBorder="1" applyAlignment="1" applyProtection="1">
      <alignment horizontal="center" vertical="center"/>
      <protection locked="0"/>
    </xf>
    <xf numFmtId="2" fontId="10" fillId="3" borderId="13" xfId="0" applyNumberFormat="1" applyFont="1" applyFill="1" applyBorder="1" applyAlignment="1" applyProtection="1">
      <alignment horizontal="center" vertical="center"/>
      <protection locked="0"/>
    </xf>
    <xf numFmtId="2" fontId="10" fillId="3" borderId="21" xfId="0" applyNumberFormat="1" applyFont="1" applyFill="1" applyBorder="1" applyAlignment="1" applyProtection="1">
      <alignment horizontal="center" vertical="center"/>
      <protection locked="0"/>
    </xf>
    <xf numFmtId="2" fontId="10" fillId="3" borderId="35" xfId="0" applyNumberFormat="1" applyFont="1" applyFill="1" applyBorder="1" applyAlignment="1" applyProtection="1">
      <alignment horizontal="center" vertical="center"/>
      <protection locked="0"/>
    </xf>
    <xf numFmtId="2" fontId="10" fillId="3" borderId="9" xfId="0" applyNumberFormat="1" applyFont="1" applyFill="1" applyBorder="1" applyAlignment="1" applyProtection="1">
      <alignment horizontal="center" vertical="center"/>
      <protection locked="0"/>
    </xf>
    <xf numFmtId="172" fontId="19" fillId="0" borderId="1" xfId="0" applyNumberFormat="1" applyFont="1" applyBorder="1" applyAlignment="1">
      <alignment horizontal="center" vertical="center"/>
    </xf>
    <xf numFmtId="2" fontId="10" fillId="3" borderId="33" xfId="0" applyNumberFormat="1" applyFont="1" applyFill="1" applyBorder="1" applyAlignment="1" applyProtection="1">
      <alignment horizontal="center" vertical="center"/>
      <protection locked="0"/>
    </xf>
    <xf numFmtId="176" fontId="10" fillId="0" borderId="36" xfId="0" applyNumberFormat="1" applyFont="1" applyBorder="1" applyAlignment="1">
      <alignment horizontal="center" vertical="center"/>
    </xf>
    <xf numFmtId="176" fontId="10" fillId="0" borderId="42" xfId="0" applyNumberFormat="1" applyFont="1" applyBorder="1" applyAlignment="1">
      <alignment horizontal="center" vertical="center"/>
    </xf>
    <xf numFmtId="0" fontId="12" fillId="3" borderId="49" xfId="0" applyFont="1" applyFill="1" applyBorder="1" applyAlignment="1" applyProtection="1">
      <alignment horizontal="center"/>
      <protection locked="0"/>
    </xf>
    <xf numFmtId="2" fontId="12" fillId="3" borderId="21" xfId="0" applyNumberFormat="1" applyFont="1" applyFill="1" applyBorder="1" applyAlignment="1" applyProtection="1">
      <alignment horizontal="center"/>
      <protection locked="0"/>
    </xf>
    <xf numFmtId="1" fontId="10" fillId="3" borderId="9" xfId="0" applyNumberFormat="1" applyFont="1" applyFill="1" applyBorder="1" applyAlignment="1" applyProtection="1">
      <alignment horizontal="center" vertical="center"/>
      <protection locked="0"/>
    </xf>
    <xf numFmtId="1" fontId="10" fillId="3" borderId="35" xfId="0" applyNumberFormat="1" applyFont="1" applyFill="1" applyBorder="1" applyAlignment="1" applyProtection="1">
      <alignment horizontal="center" vertical="center"/>
      <protection locked="0"/>
    </xf>
  </cellXfs>
  <cellStyles count="7">
    <cellStyle name="Moeda" xfId="5" builtinId="4"/>
    <cellStyle name="Normal" xfId="0" builtinId="0"/>
    <cellStyle name="Normal 2" xfId="2" xr:uid="{00000000-0005-0000-0000-000002000000}"/>
    <cellStyle name="Normal 3" xfId="6" xr:uid="{00000000-0005-0000-0000-000003000000}"/>
    <cellStyle name="Porcentagem" xfId="1" builtinId="5"/>
    <cellStyle name="Porcentagem 2" xfId="3" xr:uid="{00000000-0005-0000-0000-000005000000}"/>
    <cellStyle name="Separador de milhares 2" xfId="4" xr:uid="{00000000-0005-0000-0000-000006000000}"/>
  </cellStyles>
  <dxfs count="648"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fgColor rgb="FF7030A0"/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  <dxf>
      <fill>
        <patternFill patternType="mediumGray">
          <bgColor rgb="FF7030A0"/>
        </patternFill>
      </fill>
    </dxf>
    <dxf>
      <font>
        <color rgb="FF7030A0"/>
      </font>
      <fill>
        <patternFill patternType="lightGray">
          <bgColor rgb="FF7030A0"/>
        </patternFill>
      </fill>
    </dxf>
  </dxfs>
  <tableStyles count="0" defaultTableStyle="TableStyleMedium9" defaultPivotStyle="PivotStyleLight16"/>
  <colors>
    <mruColors>
      <color rgb="FFFFFF29"/>
      <color rgb="FFFFFF99"/>
      <color rgb="FFFFFF66"/>
      <color rgb="FFFFFFCC"/>
      <color rgb="FFF9E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microsoft.com/office/2017/10/relationships/person" Target="persons/perso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8" Type="http://schemas.microsoft.com/office/2017/10/relationships/person" Target="persons/person5.xml"/><Relationship Id="rId113" Type="http://schemas.microsoft.com/office/2017/10/relationships/person" Target="persons/person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16" Type="http://schemas.microsoft.com/office/2017/10/relationships/person" Target="persons/person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19" Type="http://schemas.microsoft.com/office/2017/10/relationships/person" Target="persons/person1.xml"/><Relationship Id="rId114" Type="http://schemas.microsoft.com/office/2017/10/relationships/person" Target="persons/person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115" Type="http://schemas.microsoft.com/office/2017/10/relationships/person" Target="persons/person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/Relationships>
</file>

<file path=xl/ctrlProps/ctrlProp1.xml><?xml version="1.0" encoding="utf-8"?>
<formControlPr xmlns="http://schemas.microsoft.com/office/spreadsheetml/2009/9/main" objectType="Radio" checked="Checked" firstButton="1" noThreeD="1"/>
</file>

<file path=xl/ctrlProps/ctrlProp2.xml><?xml version="1.0" encoding="utf-8"?>
<formControlPr xmlns="http://schemas.microsoft.com/office/spreadsheetml/2009/9/main" objectType="Radio" noThreeD="1"/>
</file>

<file path=xl/ctrlProps/ctrlProp3.xml><?xml version="1.0" encoding="utf-8"?>
<formControlPr xmlns="http://schemas.microsoft.com/office/spreadsheetml/2009/9/main" objectType="Radio" checked="Checked" firstButton="1" noThreeD="1"/>
</file>

<file path=xl/ctrlProps/ctrlProp4.xml><?xml version="1.0" encoding="utf-8"?>
<formControlPr xmlns="http://schemas.microsoft.com/office/spreadsheetml/2009/9/main" objectType="Radio" noThreeD="1"/>
</file>

<file path=xl/ctrlProps/ctrlProp5.xml><?xml version="1.0" encoding="utf-8"?>
<formControlPr xmlns="http://schemas.microsoft.com/office/spreadsheetml/2009/9/main" objectType="Radio" checked="Checked" firstButton="1" noThreeD="1"/>
</file>

<file path=xl/ctrlProps/ctrlProp6.xml><?xml version="1.0" encoding="utf-8"?>
<formControlPr xmlns="http://schemas.microsoft.com/office/spreadsheetml/2009/9/main" objectType="Radio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checked="Checked" firstButton="1" noThreeD="1"/>
</file>

<file path=xl/ctrlProps/ctrlProp10.xml><?xml version="1.0" encoding="utf-8"?>
<formControlPr xmlns="http://schemas.microsoft.com/office/spreadsheetml/2009/9/main" objectType="Radio" noThreeD="1"/>
</file>

<file path=xl/ctrlProps/ctrlProp11.xml><?xml version="1.0" encoding="utf-8"?>
<formControlPr xmlns="http://schemas.microsoft.com/office/spreadsheetml/2009/9/main" objectType="Radio" checked="Checked" firstButton="1" noThreeD="1"/>
</file>

<file path=xl/ctrlProps/ctrlProp12.xml><?xml version="1.0" encoding="utf-8"?>
<formControlPr xmlns="http://schemas.microsoft.com/office/spreadsheetml/2009/9/main" objectType="Radio" noThreeD="1"/>
</file>

<file path=xl/ctrlProps/ctrlProp13.xml><?xml version="1.0" encoding="utf-8"?>
<formControlPr xmlns="http://schemas.microsoft.com/office/spreadsheetml/2009/9/main" objectType="Radio" checked="Checked" firstButton="1" noThreeD="1"/>
</file>

<file path=xl/ctrlProps/ctrlProp14.xml><?xml version="1.0" encoding="utf-8"?>
<formControlPr xmlns="http://schemas.microsoft.com/office/spreadsheetml/2009/9/main" objectType="Radio" noThreeD="1"/>
</file>

<file path=xl/ctrlProps/ctrlProp15.xml><?xml version="1.0" encoding="utf-8"?>
<formControlPr xmlns="http://schemas.microsoft.com/office/spreadsheetml/2009/9/main" objectType="Radio" checked="Checked" firstButton="1" noThreeD="1"/>
</file>

<file path=xl/ctrlProps/ctrlProp16.xml><?xml version="1.0" encoding="utf-8"?>
<formControlPr xmlns="http://schemas.microsoft.com/office/spreadsheetml/2009/9/main" objectType="Radio" noThreeD="1"/>
</file>

<file path=xl/ctrlProps/ctrlProp17.xml><?xml version="1.0" encoding="utf-8"?>
<formControlPr xmlns="http://schemas.microsoft.com/office/spreadsheetml/2009/9/main" objectType="Radio" checked="Checked" firstButton="1" noThreeD="1"/>
</file>

<file path=xl/ctrlProps/ctrlProp18.xml><?xml version="1.0" encoding="utf-8"?>
<formControlPr xmlns="http://schemas.microsoft.com/office/spreadsheetml/2009/9/main" objectType="Radio" noThreeD="1"/>
</file>

<file path=xl/ctrlProps/ctrlProp19.xml><?xml version="1.0" encoding="utf-8"?>
<formControlPr xmlns="http://schemas.microsoft.com/office/spreadsheetml/2009/9/main" objectType="Radio" checked="Checked" firstButton="1" noThreeD="1"/>
</file>

<file path=xl/ctrlProps/ctrlProp20.xml><?xml version="1.0" encoding="utf-8"?>
<formControlPr xmlns="http://schemas.microsoft.com/office/spreadsheetml/2009/9/main" objectType="Radio" noThreeD="1"/>
</file>

<file path=xl/ctrlProps/ctrlProp21.xml><?xml version="1.0" encoding="utf-8"?>
<formControlPr xmlns="http://schemas.microsoft.com/office/spreadsheetml/2009/9/main" objectType="Radio" checked="Checked" firstButton="1" noThreeD="1"/>
</file>

<file path=xl/ctrlProps/ctrlProp22.xml><?xml version="1.0" encoding="utf-8"?>
<formControlPr xmlns="http://schemas.microsoft.com/office/spreadsheetml/2009/9/main" objectType="Radio" noThreeD="1"/>
</file>

<file path=xl/ctrlProps/ctrlProp23.xml><?xml version="1.0" encoding="utf-8"?>
<formControlPr xmlns="http://schemas.microsoft.com/office/spreadsheetml/2009/9/main" objectType="Radio" checked="Checked" firstButton="1" noThreeD="1"/>
</file>

<file path=xl/ctrlProps/ctrlProp24.xml><?xml version="1.0" encoding="utf-8"?>
<formControlPr xmlns="http://schemas.microsoft.com/office/spreadsheetml/2009/9/main" objectType="Radio" noThreeD="1"/>
</file>

<file path=xl/ctrlProps/ctrlProp25.xml><?xml version="1.0" encoding="utf-8"?>
<formControlPr xmlns="http://schemas.microsoft.com/office/spreadsheetml/2009/9/main" objectType="Radio" checked="Checked" firstButton="1" noThreeD="1"/>
</file>

<file path=xl/ctrlProps/ctrlProp26.xml><?xml version="1.0" encoding="utf-8"?>
<formControlPr xmlns="http://schemas.microsoft.com/office/spreadsheetml/2009/9/main" objectType="Radio" noThreeD="1"/>
</file>

<file path=xl/ctrlProps/ctrlProp27.xml><?xml version="1.0" encoding="utf-8"?>
<formControlPr xmlns="http://schemas.microsoft.com/office/spreadsheetml/2009/9/main" objectType="Radio" checked="Checked" firstButton="1" noThreeD="1"/>
</file>

<file path=xl/ctrlProps/ctrlProp28.xml><?xml version="1.0" encoding="utf-8"?>
<formControlPr xmlns="http://schemas.microsoft.com/office/spreadsheetml/2009/9/main" objectType="Radio" noThreeD="1"/>
</file>

<file path=xl/ctrlProps/ctrlProp29.xml><?xml version="1.0" encoding="utf-8"?>
<formControlPr xmlns="http://schemas.microsoft.com/office/spreadsheetml/2009/9/main" objectType="Radio" checked="Checked" firstButton="1" noThreeD="1"/>
</file>

<file path=xl/ctrlProps/ctrlProp30.xml><?xml version="1.0" encoding="utf-8"?>
<formControlPr xmlns="http://schemas.microsoft.com/office/spreadsheetml/2009/9/main" objectType="Radio" noThreeD="1"/>
</file>

<file path=xl/ctrlProps/ctrlProp31.xml><?xml version="1.0" encoding="utf-8"?>
<formControlPr xmlns="http://schemas.microsoft.com/office/spreadsheetml/2009/9/main" objectType="Radio" checked="Checked" firstButton="1" noThreeD="1"/>
</file>

<file path=xl/ctrlProps/ctrlProp32.xml><?xml version="1.0" encoding="utf-8"?>
<formControlPr xmlns="http://schemas.microsoft.com/office/spreadsheetml/2009/9/main" objectType="Radio" noThreeD="1"/>
</file>

<file path=xl/ctrlProps/ctrlProp33.xml><?xml version="1.0" encoding="utf-8"?>
<formControlPr xmlns="http://schemas.microsoft.com/office/spreadsheetml/2009/9/main" objectType="Radio" checked="Checked" firstButton="1" noThreeD="1"/>
</file>

<file path=xl/ctrlProps/ctrlProp34.xml><?xml version="1.0" encoding="utf-8"?>
<formControlPr xmlns="http://schemas.microsoft.com/office/spreadsheetml/2009/9/main" objectType="Radio" noThreeD="1"/>
</file>

<file path=xl/ctrlProps/ctrlProp35.xml><?xml version="1.0" encoding="utf-8"?>
<formControlPr xmlns="http://schemas.microsoft.com/office/spreadsheetml/2009/9/main" objectType="Radio" checked="Checked" firstButton="1" noThreeD="1"/>
</file>

<file path=xl/ctrlProps/ctrlProp36.xml><?xml version="1.0" encoding="utf-8"?>
<formControlPr xmlns="http://schemas.microsoft.com/office/spreadsheetml/2009/9/main" objectType="Radio" noThreeD="1"/>
</file>

<file path=xl/ctrlProps/ctrlProp37.xml><?xml version="1.0" encoding="utf-8"?>
<formControlPr xmlns="http://schemas.microsoft.com/office/spreadsheetml/2009/9/main" objectType="Radio" checked="Checked" firstButton="1" noThreeD="1"/>
</file>

<file path=xl/ctrlProps/ctrlProp38.xml><?xml version="1.0" encoding="utf-8"?>
<formControlPr xmlns="http://schemas.microsoft.com/office/spreadsheetml/2009/9/main" objectType="Radio" noThreeD="1"/>
</file>

<file path=xl/ctrlProps/ctrlProp39.xml><?xml version="1.0" encoding="utf-8"?>
<formControlPr xmlns="http://schemas.microsoft.com/office/spreadsheetml/2009/9/main" objectType="Radio" checked="Checked" firstButton="1" noThreeD="1"/>
</file>

<file path=xl/ctrlProps/ctrlProp40.xml><?xml version="1.0" encoding="utf-8"?>
<formControlPr xmlns="http://schemas.microsoft.com/office/spreadsheetml/2009/9/main" objectType="Radio" noThreeD="1"/>
</file>

<file path=xl/ctrlProps/ctrlProp41.xml><?xml version="1.0" encoding="utf-8"?>
<formControlPr xmlns="http://schemas.microsoft.com/office/spreadsheetml/2009/9/main" objectType="Radio" checked="Checked" firstButton="1" noThreeD="1"/>
</file>

<file path=xl/ctrlProps/ctrlProp42.xml><?xml version="1.0" encoding="utf-8"?>
<formControlPr xmlns="http://schemas.microsoft.com/office/spreadsheetml/2009/9/main" objectType="Radio" noThreeD="1"/>
</file>

<file path=xl/ctrlProps/ctrlProp43.xml><?xml version="1.0" encoding="utf-8"?>
<formControlPr xmlns="http://schemas.microsoft.com/office/spreadsheetml/2009/9/main" objectType="Radio" checked="Checked" firstButton="1" noThreeD="1"/>
</file>

<file path=xl/ctrlProps/ctrlProp44.xml><?xml version="1.0" encoding="utf-8"?>
<formControlPr xmlns="http://schemas.microsoft.com/office/spreadsheetml/2009/9/main" objectType="Radio" noThreeD="1"/>
</file>

<file path=xl/ctrlProps/ctrlProp45.xml><?xml version="1.0" encoding="utf-8"?>
<formControlPr xmlns="http://schemas.microsoft.com/office/spreadsheetml/2009/9/main" objectType="Radio" checked="Checked" firstButton="1" noThreeD="1"/>
</file>

<file path=xl/ctrlProps/ctrlProp46.xml><?xml version="1.0" encoding="utf-8"?>
<formControlPr xmlns="http://schemas.microsoft.com/office/spreadsheetml/2009/9/main" objectType="Radio" noThreeD="1"/>
</file>

<file path=xl/ctrlProps/ctrlProp47.xml><?xml version="1.0" encoding="utf-8"?>
<formControlPr xmlns="http://schemas.microsoft.com/office/spreadsheetml/2009/9/main" objectType="Radio" checked="Checked" firstButton="1" noThreeD="1"/>
</file>

<file path=xl/ctrlProps/ctrlProp48.xml><?xml version="1.0" encoding="utf-8"?>
<formControlPr xmlns="http://schemas.microsoft.com/office/spreadsheetml/2009/9/main" objectType="Radio" noThreeD="1"/>
</file>

<file path=xl/ctrlProps/ctrlProp49.xml><?xml version="1.0" encoding="utf-8"?>
<formControlPr xmlns="http://schemas.microsoft.com/office/spreadsheetml/2009/9/main" objectType="Radio" checked="Checked" firstButton="1" noThreeD="1"/>
</file>

<file path=xl/ctrlProps/ctrlProp50.xml><?xml version="1.0" encoding="utf-8"?>
<formControlPr xmlns="http://schemas.microsoft.com/office/spreadsheetml/2009/9/main" objectType="Radio" noThreeD="1"/>
</file>

<file path=xl/ctrlProps/ctrlProp51.xml><?xml version="1.0" encoding="utf-8"?>
<formControlPr xmlns="http://schemas.microsoft.com/office/spreadsheetml/2009/9/main" objectType="Radio" checked="Checked" firstButton="1" noThreeD="1"/>
</file>

<file path=xl/ctrlProps/ctrlProp52.xml><?xml version="1.0" encoding="utf-8"?>
<formControlPr xmlns="http://schemas.microsoft.com/office/spreadsheetml/2009/9/main" objectType="Radio" noThreeD="1"/>
</file>

<file path=xl/ctrlProps/ctrlProp53.xml><?xml version="1.0" encoding="utf-8"?>
<formControlPr xmlns="http://schemas.microsoft.com/office/spreadsheetml/2009/9/main" objectType="Radio" checked="Checked" firstButton="1" noThreeD="1"/>
</file>

<file path=xl/ctrlProps/ctrlProp54.xml><?xml version="1.0" encoding="utf-8"?>
<formControlPr xmlns="http://schemas.microsoft.com/office/spreadsheetml/2009/9/main" objectType="Radio" noThreeD="1"/>
</file>

<file path=xl/ctrlProps/ctrlProp55.xml><?xml version="1.0" encoding="utf-8"?>
<formControlPr xmlns="http://schemas.microsoft.com/office/spreadsheetml/2009/9/main" objectType="Radio" checked="Checked" firstButton="1" noThreeD="1"/>
</file>

<file path=xl/ctrlProps/ctrlProp56.xml><?xml version="1.0" encoding="utf-8"?>
<formControlPr xmlns="http://schemas.microsoft.com/office/spreadsheetml/2009/9/main" objectType="Radio" noThreeD="1"/>
</file>

<file path=xl/ctrlProps/ctrlProp57.xml><?xml version="1.0" encoding="utf-8"?>
<formControlPr xmlns="http://schemas.microsoft.com/office/spreadsheetml/2009/9/main" objectType="Radio" checked="Checked" firstButton="1" noThreeD="1"/>
</file>

<file path=xl/ctrlProps/ctrlProp58.xml><?xml version="1.0" encoding="utf-8"?>
<formControlPr xmlns="http://schemas.microsoft.com/office/spreadsheetml/2009/9/main" objectType="Radio" noThreeD="1"/>
</file>

<file path=xl/ctrlProps/ctrlProp59.xml><?xml version="1.0" encoding="utf-8"?>
<formControlPr xmlns="http://schemas.microsoft.com/office/spreadsheetml/2009/9/main" objectType="Radio" checked="Checked" firstButton="1" noThreeD="1"/>
</file>

<file path=xl/ctrlProps/ctrlProp60.xml><?xml version="1.0" encoding="utf-8"?>
<formControlPr xmlns="http://schemas.microsoft.com/office/spreadsheetml/2009/9/main" objectType="Radio" noThreeD="1"/>
</file>

<file path=xl/ctrlProps/ctrlProp61.xml><?xml version="1.0" encoding="utf-8"?>
<formControlPr xmlns="http://schemas.microsoft.com/office/spreadsheetml/2009/9/main" objectType="Radio" checked="Checked" firstButton="1" noThreeD="1"/>
</file>

<file path=xl/ctrlProps/ctrlProp62.xml><?xml version="1.0" encoding="utf-8"?>
<formControlPr xmlns="http://schemas.microsoft.com/office/spreadsheetml/2009/9/main" objectType="Radio" noThreeD="1"/>
</file>

<file path=xl/ctrlProps/ctrlProp63.xml><?xml version="1.0" encoding="utf-8"?>
<formControlPr xmlns="http://schemas.microsoft.com/office/spreadsheetml/2009/9/main" objectType="Radio" checked="Checked" firstButton="1" noThreeD="1"/>
</file>

<file path=xl/ctrlProps/ctrlProp64.xml><?xml version="1.0" encoding="utf-8"?>
<formControlPr xmlns="http://schemas.microsoft.com/office/spreadsheetml/2009/9/main" objectType="Radio" noThreeD="1"/>
</file>

<file path=xl/ctrlProps/ctrlProp65.xml><?xml version="1.0" encoding="utf-8"?>
<formControlPr xmlns="http://schemas.microsoft.com/office/spreadsheetml/2009/9/main" objectType="Radio" checked="Checked" firstButton="1" noThreeD="1"/>
</file>

<file path=xl/ctrlProps/ctrlProp66.xml><?xml version="1.0" encoding="utf-8"?>
<formControlPr xmlns="http://schemas.microsoft.com/office/spreadsheetml/2009/9/main" objectType="Radio" noThreeD="1"/>
</file>

<file path=xl/ctrlProps/ctrlProp67.xml><?xml version="1.0" encoding="utf-8"?>
<formControlPr xmlns="http://schemas.microsoft.com/office/spreadsheetml/2009/9/main" objectType="Radio" checked="Checked" firstButton="1" noThreeD="1"/>
</file>

<file path=xl/ctrlProps/ctrlProp68.xml><?xml version="1.0" encoding="utf-8"?>
<formControlPr xmlns="http://schemas.microsoft.com/office/spreadsheetml/2009/9/main" objectType="Radio" noThreeD="1"/>
</file>

<file path=xl/ctrlProps/ctrlProp69.xml><?xml version="1.0" encoding="utf-8"?>
<formControlPr xmlns="http://schemas.microsoft.com/office/spreadsheetml/2009/9/main" objectType="Radio" checked="Checked" firstButton="1" noThreeD="1"/>
</file>

<file path=xl/ctrlProps/ctrlProp70.xml><?xml version="1.0" encoding="utf-8"?>
<formControlPr xmlns="http://schemas.microsoft.com/office/spreadsheetml/2009/9/main" objectType="Radio" noThreeD="1"/>
</file>

<file path=xl/ctrlProps/ctrlProp71.xml><?xml version="1.0" encoding="utf-8"?>
<formControlPr xmlns="http://schemas.microsoft.com/office/spreadsheetml/2009/9/main" objectType="Radio" checked="Checked" firstButton="1" noThreeD="1"/>
</file>

<file path=xl/ctrlProps/ctrlProp72.xml><?xml version="1.0" encoding="utf-8"?>
<formControlPr xmlns="http://schemas.microsoft.com/office/spreadsheetml/2009/9/main" objectType="Radio" noThreeD="1"/>
</file>

<file path=xl/ctrlProps/ctrlProp73.xml><?xml version="1.0" encoding="utf-8"?>
<formControlPr xmlns="http://schemas.microsoft.com/office/spreadsheetml/2009/9/main" objectType="Radio" checked="Checked" firstButton="1" noThreeD="1"/>
</file>

<file path=xl/ctrlProps/ctrlProp74.xml><?xml version="1.0" encoding="utf-8"?>
<formControlPr xmlns="http://schemas.microsoft.com/office/spreadsheetml/2009/9/main" objectType="Radio" noThreeD="1"/>
</file>

<file path=xl/ctrlProps/ctrlProp75.xml><?xml version="1.0" encoding="utf-8"?>
<formControlPr xmlns="http://schemas.microsoft.com/office/spreadsheetml/2009/9/main" objectType="Radio" checked="Checked" firstButton="1" noThreeD="1"/>
</file>

<file path=xl/ctrlProps/ctrlProp76.xml><?xml version="1.0" encoding="utf-8"?>
<formControlPr xmlns="http://schemas.microsoft.com/office/spreadsheetml/2009/9/main" objectType="Radio" noThreeD="1"/>
</file>

<file path=xl/ctrlProps/ctrlProp77.xml><?xml version="1.0" encoding="utf-8"?>
<formControlPr xmlns="http://schemas.microsoft.com/office/spreadsheetml/2009/9/main" objectType="Radio" checked="Checked" firstButton="1" noThreeD="1"/>
</file>

<file path=xl/ctrlProps/ctrlProp78.xml><?xml version="1.0" encoding="utf-8"?>
<formControlPr xmlns="http://schemas.microsoft.com/office/spreadsheetml/2009/9/main" objectType="Radio" noThreeD="1"/>
</file>

<file path=xl/ctrlProps/ctrlProp79.xml><?xml version="1.0" encoding="utf-8"?>
<formControlPr xmlns="http://schemas.microsoft.com/office/spreadsheetml/2009/9/main" objectType="Radio" checked="Checked" firstButton="1" noThreeD="1"/>
</file>

<file path=xl/ctrlProps/ctrlProp80.xml><?xml version="1.0" encoding="utf-8"?>
<formControlPr xmlns="http://schemas.microsoft.com/office/spreadsheetml/2009/9/main" objectType="Radio" noThreeD="1"/>
</file>

<file path=xl/ctrlProps/ctrlProp81.xml><?xml version="1.0" encoding="utf-8"?>
<formControlPr xmlns="http://schemas.microsoft.com/office/spreadsheetml/2009/9/main" objectType="Radio" checked="Checked" firstButton="1" noThreeD="1"/>
</file>

<file path=xl/ctrlProps/ctrlProp82.xml><?xml version="1.0" encoding="utf-8"?>
<formControlPr xmlns="http://schemas.microsoft.com/office/spreadsheetml/2009/9/main" objectType="Radio" noThreeD="1"/>
</file>

<file path=xl/ctrlProps/ctrlProp83.xml><?xml version="1.0" encoding="utf-8"?>
<formControlPr xmlns="http://schemas.microsoft.com/office/spreadsheetml/2009/9/main" objectType="Radio" checked="Checked" firstButton="1" noThreeD="1"/>
</file>

<file path=xl/ctrlProps/ctrlProp84.xml><?xml version="1.0" encoding="utf-8"?>
<formControlPr xmlns="http://schemas.microsoft.com/office/spreadsheetml/2009/9/main" objectType="Radio" noThreeD="1"/>
</file>

<file path=xl/ctrlProps/ctrlProp85.xml><?xml version="1.0" encoding="utf-8"?>
<formControlPr xmlns="http://schemas.microsoft.com/office/spreadsheetml/2009/9/main" objectType="Radio" checked="Checked" firstButton="1" noThreeD="1"/>
</file>

<file path=xl/ctrlProps/ctrlProp86.xml><?xml version="1.0" encoding="utf-8"?>
<formControlPr xmlns="http://schemas.microsoft.com/office/spreadsheetml/2009/9/main" objectType="Radio" noThreeD="1"/>
</file>

<file path=xl/ctrlProps/ctrlProp87.xml><?xml version="1.0" encoding="utf-8"?>
<formControlPr xmlns="http://schemas.microsoft.com/office/spreadsheetml/2009/9/main" objectType="Radio" checked="Checked" firstButton="1" noThreeD="1"/>
</file>

<file path=xl/ctrlProps/ctrlProp88.xml><?xml version="1.0" encoding="utf-8"?>
<formControlPr xmlns="http://schemas.microsoft.com/office/spreadsheetml/2009/9/main" objectType="Radio" noThreeD="1"/>
</file>

<file path=xl/ctrlProps/ctrlProp89.xml><?xml version="1.0" encoding="utf-8"?>
<formControlPr xmlns="http://schemas.microsoft.com/office/spreadsheetml/2009/9/main" objectType="Radio" checked="Checked" firstButton="1" noThreeD="1"/>
</file>

<file path=xl/ctrlProps/ctrlProp90.xml><?xml version="1.0" encoding="utf-8"?>
<formControlPr xmlns="http://schemas.microsoft.com/office/spreadsheetml/2009/9/main" objectType="Radio" noThreeD="1"/>
</file>

<file path=xl/ctrlProps/ctrlProp91.xml><?xml version="1.0" encoding="utf-8"?>
<formControlPr xmlns="http://schemas.microsoft.com/office/spreadsheetml/2009/9/main" objectType="Radio" checked="Checked" firstButton="1" noThreeD="1"/>
</file>

<file path=xl/ctrlProps/ctrlProp92.xml><?xml version="1.0" encoding="utf-8"?>
<formControlPr xmlns="http://schemas.microsoft.com/office/spreadsheetml/2009/9/main" objectType="Radio" noThreeD="1"/>
</file>

<file path=xl/ctrlProps/ctrlProp93.xml><?xml version="1.0" encoding="utf-8"?>
<formControlPr xmlns="http://schemas.microsoft.com/office/spreadsheetml/2009/9/main" objectType="Radio" checked="Checked" firstButton="1" noThreeD="1"/>
</file>

<file path=xl/ctrlProps/ctrlProp94.xml><?xml version="1.0" encoding="utf-8"?>
<formControlPr xmlns="http://schemas.microsoft.com/office/spreadsheetml/2009/9/main" objectType="Radio" noThreeD="1"/>
</file>

<file path=xl/ctrlProps/ctrlProp95.xml><?xml version="1.0" encoding="utf-8"?>
<formControlPr xmlns="http://schemas.microsoft.com/office/spreadsheetml/2009/9/main" objectType="Radio" checked="Checked" firstButton="1" noThreeD="1"/>
</file>

<file path=xl/ctrlProps/ctrlProp96.xml><?xml version="1.0" encoding="utf-8"?>
<formControlPr xmlns="http://schemas.microsoft.com/office/spreadsheetml/2009/9/main" objectType="Radio" noThreeD="1"/>
</file>

<file path=xl/ctrlProps/ctrlProp97.xml><?xml version="1.0" encoding="utf-8"?>
<formControlPr xmlns="http://schemas.microsoft.com/office/spreadsheetml/2009/9/main" objectType="Radio" checked="Checked" firstButton="1" noThreeD="1"/>
</file>

<file path=xl/ctrlProps/ctrlProp98.xml><?xml version="1.0" encoding="utf-8"?>
<formControlPr xmlns="http://schemas.microsoft.com/office/spreadsheetml/2009/9/main" objectType="Radio" noThreeD="1"/>
</file>

<file path=xl/ctrlProps/ctrlProp99.xml><?xml version="1.0" encoding="utf-8"?>
<formControlPr xmlns="http://schemas.microsoft.com/office/spreadsheetml/2009/9/main" objectType="Radio" checked="Checked" firstButton="1" noThreeD="1"/>
</file>

<file path=xl/ctrlProps/ctrlProp100.xml><?xml version="1.0" encoding="utf-8"?>
<formControlPr xmlns="http://schemas.microsoft.com/office/spreadsheetml/2009/9/main" objectType="Radio" noThreeD="1"/>
</file>

<file path=xl/ctrlProps/ctrlProp101.xml><?xml version="1.0" encoding="utf-8"?>
<formControlPr xmlns="http://schemas.microsoft.com/office/spreadsheetml/2009/9/main" objectType="Radio" checked="Checked" firstButton="1" noThreeD="1"/>
</file>

<file path=xl/ctrlProps/ctrlProp102.xml><?xml version="1.0" encoding="utf-8"?>
<formControlPr xmlns="http://schemas.microsoft.com/office/spreadsheetml/2009/9/main" objectType="Radio" noThreeD="1"/>
</file>

<file path=xl/ctrlProps/ctrlProp103.xml><?xml version="1.0" encoding="utf-8"?>
<formControlPr xmlns="http://schemas.microsoft.com/office/spreadsheetml/2009/9/main" objectType="Radio" checked="Checked" firstButton="1" noThreeD="1"/>
</file>

<file path=xl/ctrlProps/ctrlProp104.xml><?xml version="1.0" encoding="utf-8"?>
<formControlPr xmlns="http://schemas.microsoft.com/office/spreadsheetml/2009/9/main" objectType="Radio" noThreeD="1"/>
</file>

<file path=xl/ctrlProps/ctrlProp105.xml><?xml version="1.0" encoding="utf-8"?>
<formControlPr xmlns="http://schemas.microsoft.com/office/spreadsheetml/2009/9/main" objectType="Radio" checked="Checked" firstButton="1" noThreeD="1"/>
</file>

<file path=xl/ctrlProps/ctrlProp106.xml><?xml version="1.0" encoding="utf-8"?>
<formControlPr xmlns="http://schemas.microsoft.com/office/spreadsheetml/2009/9/main" objectType="Radio" noThreeD="1"/>
</file>

<file path=xl/ctrlProps/ctrlProp107.xml><?xml version="1.0" encoding="utf-8"?>
<formControlPr xmlns="http://schemas.microsoft.com/office/spreadsheetml/2009/9/main" objectType="Radio" checked="Checked" firstButton="1" noThreeD="1"/>
</file>

<file path=xl/ctrlProps/ctrlProp108.xml><?xml version="1.0" encoding="utf-8"?>
<formControlPr xmlns="http://schemas.microsoft.com/office/spreadsheetml/2009/9/main" objectType="Radio" noThreeD="1"/>
</file>

<file path=xl/ctrlProps/ctrlProp109.xml><?xml version="1.0" encoding="utf-8"?>
<formControlPr xmlns="http://schemas.microsoft.com/office/spreadsheetml/2009/9/main" objectType="Radio" checked="Checked" firstButton="1" noThreeD="1"/>
</file>

<file path=xl/ctrlProps/ctrlProp110.xml><?xml version="1.0" encoding="utf-8"?>
<formControlPr xmlns="http://schemas.microsoft.com/office/spreadsheetml/2009/9/main" objectType="Radio" noThreeD="1"/>
</file>

<file path=xl/ctrlProps/ctrlProp111.xml><?xml version="1.0" encoding="utf-8"?>
<formControlPr xmlns="http://schemas.microsoft.com/office/spreadsheetml/2009/9/main" objectType="Radio" checked="Checked" firstButton="1" noThreeD="1"/>
</file>

<file path=xl/ctrlProps/ctrlProp112.xml><?xml version="1.0" encoding="utf-8"?>
<formControlPr xmlns="http://schemas.microsoft.com/office/spreadsheetml/2009/9/main" objectType="Radio" noThreeD="1"/>
</file>

<file path=xl/ctrlProps/ctrlProp113.xml><?xml version="1.0" encoding="utf-8"?>
<formControlPr xmlns="http://schemas.microsoft.com/office/spreadsheetml/2009/9/main" objectType="Radio" checked="Checked" firstButton="1" noThreeD="1"/>
</file>

<file path=xl/ctrlProps/ctrlProp114.xml><?xml version="1.0" encoding="utf-8"?>
<formControlPr xmlns="http://schemas.microsoft.com/office/spreadsheetml/2009/9/main" objectType="Radio" noThreeD="1"/>
</file>

<file path=xl/ctrlProps/ctrlProp115.xml><?xml version="1.0" encoding="utf-8"?>
<formControlPr xmlns="http://schemas.microsoft.com/office/spreadsheetml/2009/9/main" objectType="Radio" checked="Checked" firstButton="1" noThreeD="1"/>
</file>

<file path=xl/ctrlProps/ctrlProp116.xml><?xml version="1.0" encoding="utf-8"?>
<formControlPr xmlns="http://schemas.microsoft.com/office/spreadsheetml/2009/9/main" objectType="Radio" noThreeD="1"/>
</file>

<file path=xl/ctrlProps/ctrlProp117.xml><?xml version="1.0" encoding="utf-8"?>
<formControlPr xmlns="http://schemas.microsoft.com/office/spreadsheetml/2009/9/main" objectType="Radio" checked="Checked" firstButton="1" noThreeD="1"/>
</file>

<file path=xl/ctrlProps/ctrlProp118.xml><?xml version="1.0" encoding="utf-8"?>
<formControlPr xmlns="http://schemas.microsoft.com/office/spreadsheetml/2009/9/main" objectType="Radio" noThreeD="1"/>
</file>

<file path=xl/ctrlProps/ctrlProp119.xml><?xml version="1.0" encoding="utf-8"?>
<formControlPr xmlns="http://schemas.microsoft.com/office/spreadsheetml/2009/9/main" objectType="Radio" checked="Checked" firstButton="1" noThreeD="1"/>
</file>

<file path=xl/ctrlProps/ctrlProp120.xml><?xml version="1.0" encoding="utf-8"?>
<formControlPr xmlns="http://schemas.microsoft.com/office/spreadsheetml/2009/9/main" objectType="Radio" noThreeD="1"/>
</file>

<file path=xl/ctrlProps/ctrlProp121.xml><?xml version="1.0" encoding="utf-8"?>
<formControlPr xmlns="http://schemas.microsoft.com/office/spreadsheetml/2009/9/main" objectType="Radio" checked="Checked" firstButton="1" noThreeD="1"/>
</file>

<file path=xl/ctrlProps/ctrlProp122.xml><?xml version="1.0" encoding="utf-8"?>
<formControlPr xmlns="http://schemas.microsoft.com/office/spreadsheetml/2009/9/main" objectType="Radio" noThreeD="1"/>
</file>

<file path=xl/ctrlProps/ctrlProp123.xml><?xml version="1.0" encoding="utf-8"?>
<formControlPr xmlns="http://schemas.microsoft.com/office/spreadsheetml/2009/9/main" objectType="Radio" checked="Checked" firstButton="1" noThreeD="1"/>
</file>

<file path=xl/ctrlProps/ctrlProp124.xml><?xml version="1.0" encoding="utf-8"?>
<formControlPr xmlns="http://schemas.microsoft.com/office/spreadsheetml/2009/9/main" objectType="Radio" noThreeD="1"/>
</file>

<file path=xl/ctrlProps/ctrlProp125.xml><?xml version="1.0" encoding="utf-8"?>
<formControlPr xmlns="http://schemas.microsoft.com/office/spreadsheetml/2009/9/main" objectType="Radio" checked="Checked" firstButton="1" noThreeD="1"/>
</file>

<file path=xl/ctrlProps/ctrlProp126.xml><?xml version="1.0" encoding="utf-8"?>
<formControlPr xmlns="http://schemas.microsoft.com/office/spreadsheetml/2009/9/main" objectType="Radio" noThreeD="1"/>
</file>

<file path=xl/ctrlProps/ctrlProp127.xml><?xml version="1.0" encoding="utf-8"?>
<formControlPr xmlns="http://schemas.microsoft.com/office/spreadsheetml/2009/9/main" objectType="Radio" checked="Checked" firstButton="1" noThreeD="1"/>
</file>

<file path=xl/ctrlProps/ctrlProp128.xml><?xml version="1.0" encoding="utf-8"?>
<formControlPr xmlns="http://schemas.microsoft.com/office/spreadsheetml/2009/9/main" objectType="Radio" noThreeD="1"/>
</file>

<file path=xl/ctrlProps/ctrlProp129.xml><?xml version="1.0" encoding="utf-8"?>
<formControlPr xmlns="http://schemas.microsoft.com/office/spreadsheetml/2009/9/main" objectType="Radio" checked="Checked" firstButton="1" noThreeD="1"/>
</file>

<file path=xl/ctrlProps/ctrlProp130.xml><?xml version="1.0" encoding="utf-8"?>
<formControlPr xmlns="http://schemas.microsoft.com/office/spreadsheetml/2009/9/main" objectType="Radio" noThreeD="1"/>
</file>

<file path=xl/ctrlProps/ctrlProp131.xml><?xml version="1.0" encoding="utf-8"?>
<formControlPr xmlns="http://schemas.microsoft.com/office/spreadsheetml/2009/9/main" objectType="Radio" checked="Checked" firstButton="1" noThreeD="1"/>
</file>

<file path=xl/ctrlProps/ctrlProp132.xml><?xml version="1.0" encoding="utf-8"?>
<formControlPr xmlns="http://schemas.microsoft.com/office/spreadsheetml/2009/9/main" objectType="Radio" noThreeD="1"/>
</file>

<file path=xl/ctrlProps/ctrlProp133.xml><?xml version="1.0" encoding="utf-8"?>
<formControlPr xmlns="http://schemas.microsoft.com/office/spreadsheetml/2009/9/main" objectType="Radio" checked="Checked" firstButton="1" noThreeD="1"/>
</file>

<file path=xl/ctrlProps/ctrlProp134.xml><?xml version="1.0" encoding="utf-8"?>
<formControlPr xmlns="http://schemas.microsoft.com/office/spreadsheetml/2009/9/main" objectType="Radio" noThreeD="1"/>
</file>

<file path=xl/ctrlProps/ctrlProp135.xml><?xml version="1.0" encoding="utf-8"?>
<formControlPr xmlns="http://schemas.microsoft.com/office/spreadsheetml/2009/9/main" objectType="Radio" checked="Checked" firstButton="1" noThreeD="1"/>
</file>

<file path=xl/ctrlProps/ctrlProp136.xml><?xml version="1.0" encoding="utf-8"?>
<formControlPr xmlns="http://schemas.microsoft.com/office/spreadsheetml/2009/9/main" objectType="Radio" noThreeD="1"/>
</file>

<file path=xl/ctrlProps/ctrlProp137.xml><?xml version="1.0" encoding="utf-8"?>
<formControlPr xmlns="http://schemas.microsoft.com/office/spreadsheetml/2009/9/main" objectType="Radio" checked="Checked" firstButton="1" noThreeD="1"/>
</file>

<file path=xl/ctrlProps/ctrlProp138.xml><?xml version="1.0" encoding="utf-8"?>
<formControlPr xmlns="http://schemas.microsoft.com/office/spreadsheetml/2009/9/main" objectType="Radio" noThreeD="1"/>
</file>

<file path=xl/ctrlProps/ctrlProp139.xml><?xml version="1.0" encoding="utf-8"?>
<formControlPr xmlns="http://schemas.microsoft.com/office/spreadsheetml/2009/9/main" objectType="Radio" checked="Checked" firstButton="1" noThreeD="1"/>
</file>

<file path=xl/ctrlProps/ctrlProp140.xml><?xml version="1.0" encoding="utf-8"?>
<formControlPr xmlns="http://schemas.microsoft.com/office/spreadsheetml/2009/9/main" objectType="Radio" noThreeD="1"/>
</file>

<file path=xl/ctrlProps/ctrlProp141.xml><?xml version="1.0" encoding="utf-8"?>
<formControlPr xmlns="http://schemas.microsoft.com/office/spreadsheetml/2009/9/main" objectType="Radio" checked="Checked" firstButton="1" noThreeD="1"/>
</file>

<file path=xl/ctrlProps/ctrlProp142.xml><?xml version="1.0" encoding="utf-8"?>
<formControlPr xmlns="http://schemas.microsoft.com/office/spreadsheetml/2009/9/main" objectType="Radio" noThreeD="1"/>
</file>

<file path=xl/ctrlProps/ctrlProp143.xml><?xml version="1.0" encoding="utf-8"?>
<formControlPr xmlns="http://schemas.microsoft.com/office/spreadsheetml/2009/9/main" objectType="Radio" checked="Checked" firstButton="1" noThreeD="1"/>
</file>

<file path=xl/ctrlProps/ctrlProp144.xml><?xml version="1.0" encoding="utf-8"?>
<formControlPr xmlns="http://schemas.microsoft.com/office/spreadsheetml/2009/9/main" objectType="Radio" noThreeD="1"/>
</file>

<file path=xl/ctrlProps/ctrlProp145.xml><?xml version="1.0" encoding="utf-8"?>
<formControlPr xmlns="http://schemas.microsoft.com/office/spreadsheetml/2009/9/main" objectType="Radio" checked="Checked" firstButton="1" noThreeD="1"/>
</file>

<file path=xl/ctrlProps/ctrlProp146.xml><?xml version="1.0" encoding="utf-8"?>
<formControlPr xmlns="http://schemas.microsoft.com/office/spreadsheetml/2009/9/main" objectType="Radio" noThreeD="1"/>
</file>

<file path=xl/ctrlProps/ctrlProp147.xml><?xml version="1.0" encoding="utf-8"?>
<formControlPr xmlns="http://schemas.microsoft.com/office/spreadsheetml/2009/9/main" objectType="Radio" checked="Checked" firstButton="1" noThreeD="1"/>
</file>

<file path=xl/ctrlProps/ctrlProp148.xml><?xml version="1.0" encoding="utf-8"?>
<formControlPr xmlns="http://schemas.microsoft.com/office/spreadsheetml/2009/9/main" objectType="Radio" noThreeD="1"/>
</file>

<file path=xl/ctrlProps/ctrlProp149.xml><?xml version="1.0" encoding="utf-8"?>
<formControlPr xmlns="http://schemas.microsoft.com/office/spreadsheetml/2009/9/main" objectType="Radio" checked="Checked" firstButton="1" noThreeD="1"/>
</file>

<file path=xl/ctrlProps/ctrlProp150.xml><?xml version="1.0" encoding="utf-8"?>
<formControlPr xmlns="http://schemas.microsoft.com/office/spreadsheetml/2009/9/main" objectType="Radio" noThreeD="1"/>
</file>

<file path=xl/ctrlProps/ctrlProp151.xml><?xml version="1.0" encoding="utf-8"?>
<formControlPr xmlns="http://schemas.microsoft.com/office/spreadsheetml/2009/9/main" objectType="Radio" checked="Checked" firstButton="1" noThreeD="1"/>
</file>

<file path=xl/ctrlProps/ctrlProp152.xml><?xml version="1.0" encoding="utf-8"?>
<formControlPr xmlns="http://schemas.microsoft.com/office/spreadsheetml/2009/9/main" objectType="Radio" noThreeD="1"/>
</file>

<file path=xl/ctrlProps/ctrlProp153.xml><?xml version="1.0" encoding="utf-8"?>
<formControlPr xmlns="http://schemas.microsoft.com/office/spreadsheetml/2009/9/main" objectType="Radio" checked="Checked" firstButton="1" noThreeD="1"/>
</file>

<file path=xl/ctrlProps/ctrlProp154.xml><?xml version="1.0" encoding="utf-8"?>
<formControlPr xmlns="http://schemas.microsoft.com/office/spreadsheetml/2009/9/main" objectType="Radio" noThreeD="1"/>
</file>

<file path=xl/ctrlProps/ctrlProp155.xml><?xml version="1.0" encoding="utf-8"?>
<formControlPr xmlns="http://schemas.microsoft.com/office/spreadsheetml/2009/9/main" objectType="Radio" checked="Checked" firstButton="1" noThreeD="1"/>
</file>

<file path=xl/ctrlProps/ctrlProp156.xml><?xml version="1.0" encoding="utf-8"?>
<formControlPr xmlns="http://schemas.microsoft.com/office/spreadsheetml/2009/9/main" objectType="Radio" noThreeD="1"/>
</file>

<file path=xl/ctrlProps/ctrlProp157.xml><?xml version="1.0" encoding="utf-8"?>
<formControlPr xmlns="http://schemas.microsoft.com/office/spreadsheetml/2009/9/main" objectType="Radio" checked="Checked" firstButton="1" noThreeD="1"/>
</file>

<file path=xl/ctrlProps/ctrlProp158.xml><?xml version="1.0" encoding="utf-8"?>
<formControlPr xmlns="http://schemas.microsoft.com/office/spreadsheetml/2009/9/main" objectType="Radio" noThreeD="1"/>
</file>

<file path=xl/ctrlProps/ctrlProp159.xml><?xml version="1.0" encoding="utf-8"?>
<formControlPr xmlns="http://schemas.microsoft.com/office/spreadsheetml/2009/9/main" objectType="Radio" checked="Checked" firstButton="1" noThreeD="1"/>
</file>

<file path=xl/ctrlProps/ctrlProp160.xml><?xml version="1.0" encoding="utf-8"?>
<formControlPr xmlns="http://schemas.microsoft.com/office/spreadsheetml/2009/9/main" objectType="Radio" noThreeD="1"/>
</file>

<file path=xl/ctrlProps/ctrlProp161.xml><?xml version="1.0" encoding="utf-8"?>
<formControlPr xmlns="http://schemas.microsoft.com/office/spreadsheetml/2009/9/main" objectType="Radio" checked="Checked" firstButton="1" noThreeD="1"/>
</file>

<file path=xl/ctrlProps/ctrlProp162.xml><?xml version="1.0" encoding="utf-8"?>
<formControlPr xmlns="http://schemas.microsoft.com/office/spreadsheetml/2009/9/main" objectType="Radio" noThreeD="1"/>
</file>

<file path=xl/ctrlProps/ctrlProp163.xml><?xml version="1.0" encoding="utf-8"?>
<formControlPr xmlns="http://schemas.microsoft.com/office/spreadsheetml/2009/9/main" objectType="Radio" checked="Checked" firstButton="1" noThreeD="1"/>
</file>

<file path=xl/ctrlProps/ctrlProp164.xml><?xml version="1.0" encoding="utf-8"?>
<formControlPr xmlns="http://schemas.microsoft.com/office/spreadsheetml/2009/9/main" objectType="Radio" noThreeD="1"/>
</file>

<file path=xl/ctrlProps/ctrlProp165.xml><?xml version="1.0" encoding="utf-8"?>
<formControlPr xmlns="http://schemas.microsoft.com/office/spreadsheetml/2009/9/main" objectType="Radio" checked="Checked" firstButton="1" noThreeD="1"/>
</file>

<file path=xl/ctrlProps/ctrlProp166.xml><?xml version="1.0" encoding="utf-8"?>
<formControlPr xmlns="http://schemas.microsoft.com/office/spreadsheetml/2009/9/main" objectType="Radio" noThreeD="1"/>
</file>

<file path=xl/ctrlProps/ctrlProp167.xml><?xml version="1.0" encoding="utf-8"?>
<formControlPr xmlns="http://schemas.microsoft.com/office/spreadsheetml/2009/9/main" objectType="Radio" checked="Checked" firstButton="1" noThreeD="1"/>
</file>

<file path=xl/ctrlProps/ctrlProp168.xml><?xml version="1.0" encoding="utf-8"?>
<formControlPr xmlns="http://schemas.microsoft.com/office/spreadsheetml/2009/9/main" objectType="Radio" noThreeD="1"/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c-bauchemie.com.br/" TargetMode="External"/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c-bauchemie.com.br/" TargetMode="External"/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c-bauchemie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619383" y="1939925"/>
          <a:ext cx="110172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678025" y="1934029"/>
          <a:ext cx="239395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 bwMode="auto">
        <a:xfrm flipV="1">
          <a:off x="5333081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 bwMode="auto">
        <a:xfrm>
          <a:off x="3514724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 bwMode="auto">
        <a:xfrm flipV="1">
          <a:off x="70148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 flipV="1">
          <a:off x="4108636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1" name="Forma liv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70148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2" name="Forma liv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 flipH="1">
          <a:off x="4024595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 bwMode="auto">
        <a:xfrm>
          <a:off x="5201840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4" name="Forma liv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5705475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5" name="Forma liv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 flipH="1">
          <a:off x="5213749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 bwMode="auto">
        <a:xfrm>
          <a:off x="6947296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7" name="Forma liv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7255903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 bwMode="auto">
        <a:xfrm>
          <a:off x="7096125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 bwMode="auto">
        <a:xfrm flipV="1">
          <a:off x="35763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20" name="Forma liv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 bwMode="auto">
        <a:xfrm>
          <a:off x="35763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 bwMode="auto">
        <a:xfrm>
          <a:off x="3657600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 bwMode="auto">
        <a:xfrm>
          <a:off x="1807368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 bwMode="auto">
        <a:xfrm>
          <a:off x="2021683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 bwMode="auto">
        <a:xfrm>
          <a:off x="2241947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 bwMode="auto">
        <a:xfrm flipH="1">
          <a:off x="1872856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7534274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 bwMode="auto">
        <a:xfrm>
          <a:off x="8617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 bwMode="auto">
        <a:xfrm>
          <a:off x="10640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9" name="Forma liv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10744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30" name="Forma liv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 bwMode="auto">
        <a:xfrm>
          <a:off x="8693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 bwMode="auto">
        <a:xfrm>
          <a:off x="12275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2" name="Forma liv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 bwMode="auto">
        <a:xfrm>
          <a:off x="12310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2769" name="OptionButton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0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2770" name="Option Button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0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8369" name="OptionButton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1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8370" name="Option Button 2" hidden="1">
              <a:extLst>
                <a:ext uri="{63B3BB69-23CF-44E3-9099-C40C66FF867C}">
                  <a14:compatExt spid="_x0000_s58370"/>
                </a:ext>
                <a:ext uri="{FF2B5EF4-FFF2-40B4-BE49-F238E27FC236}">
                  <a16:creationId xmlns:a16="http://schemas.microsoft.com/office/drawing/2014/main" id="{00000000-0008-0000-0100-000002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9393" name="OptionButton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2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9394" name="Option Button 2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2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0417" name="OptionButton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3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0418" name="Option Button 2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3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7345" name="OptionButton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4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7346" name="Option Button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4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7041" name="OptionButton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5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7042" name="Option Button 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5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04449" name="OptionButton" hidden="1">
              <a:extLst>
                <a:ext uri="{63B3BB69-23CF-44E3-9099-C40C66FF867C}">
                  <a14:compatExt spid="_x0000_s104449"/>
                </a:ext>
                <a:ext uri="{FF2B5EF4-FFF2-40B4-BE49-F238E27FC236}">
                  <a16:creationId xmlns:a16="http://schemas.microsoft.com/office/drawing/2014/main" id="{00000000-0008-0000-0600-0000019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04450" name="Option Button 2" hidden="1">
              <a:extLst>
                <a:ext uri="{63B3BB69-23CF-44E3-9099-C40C66FF867C}">
                  <a14:compatExt spid="_x0000_s104450"/>
                </a:ext>
                <a:ext uri="{FF2B5EF4-FFF2-40B4-BE49-F238E27FC236}">
                  <a16:creationId xmlns:a16="http://schemas.microsoft.com/office/drawing/2014/main" id="{00000000-0008-0000-0600-0000029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03425" name="OptionButton" hidden="1">
              <a:extLst>
                <a:ext uri="{63B3BB69-23CF-44E3-9099-C40C66FF867C}">
                  <a14:compatExt spid="_x0000_s103425"/>
                </a:ext>
                <a:ext uri="{FF2B5EF4-FFF2-40B4-BE49-F238E27FC236}">
                  <a16:creationId xmlns:a16="http://schemas.microsoft.com/office/drawing/2014/main" id="{00000000-0008-0000-0700-000001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03426" name="Option Button 2" hidden="1">
              <a:extLst>
                <a:ext uri="{63B3BB69-23CF-44E3-9099-C40C66FF867C}">
                  <a14:compatExt spid="_x0000_s103426"/>
                </a:ext>
                <a:ext uri="{FF2B5EF4-FFF2-40B4-BE49-F238E27FC236}">
                  <a16:creationId xmlns:a16="http://schemas.microsoft.com/office/drawing/2014/main" id="{00000000-0008-0000-0700-000002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20833" name="OptionButton" hidden="1">
              <a:extLst>
                <a:ext uri="{63B3BB69-23CF-44E3-9099-C40C66FF867C}">
                  <a14:compatExt spid="_x0000_s120833"/>
                </a:ext>
                <a:ext uri="{FF2B5EF4-FFF2-40B4-BE49-F238E27FC236}">
                  <a16:creationId xmlns:a16="http://schemas.microsoft.com/office/drawing/2014/main" id="{00000000-0008-0000-0800-000001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20834" name="Option Button 2" hidden="1">
              <a:extLst>
                <a:ext uri="{63B3BB69-23CF-44E3-9099-C40C66FF867C}">
                  <a14:compatExt spid="_x0000_s120834"/>
                </a:ext>
                <a:ext uri="{FF2B5EF4-FFF2-40B4-BE49-F238E27FC236}">
                  <a16:creationId xmlns:a16="http://schemas.microsoft.com/office/drawing/2014/main" id="{00000000-0008-0000-0800-000002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21857" name="OptionButton" hidden="1">
              <a:extLst>
                <a:ext uri="{63B3BB69-23CF-44E3-9099-C40C66FF867C}">
                  <a14:compatExt spid="_x0000_s121857"/>
                </a:ext>
                <a:ext uri="{FF2B5EF4-FFF2-40B4-BE49-F238E27FC236}">
                  <a16:creationId xmlns:a16="http://schemas.microsoft.com/office/drawing/2014/main" id="{00000000-0008-0000-0900-000001D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21858" name="Option Button 2" hidden="1">
              <a:extLst>
                <a:ext uri="{63B3BB69-23CF-44E3-9099-C40C66FF867C}">
                  <a14:compatExt spid="_x0000_s121858"/>
                </a:ext>
                <a:ext uri="{FF2B5EF4-FFF2-40B4-BE49-F238E27FC236}">
                  <a16:creationId xmlns:a16="http://schemas.microsoft.com/office/drawing/2014/main" id="{00000000-0008-0000-0900-000002D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37217" name="OptionButton" hidden="1">
              <a:extLst>
                <a:ext uri="{63B3BB69-23CF-44E3-9099-C40C66FF867C}">
                  <a14:compatExt spid="_x0000_s137217"/>
                </a:ext>
                <a:ext uri="{FF2B5EF4-FFF2-40B4-BE49-F238E27FC236}">
                  <a16:creationId xmlns:a16="http://schemas.microsoft.com/office/drawing/2014/main" id="{00000000-0008-0000-0A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37218" name="Option Button 2" hidden="1">
              <a:extLst>
                <a:ext uri="{63B3BB69-23CF-44E3-9099-C40C66FF867C}">
                  <a14:compatExt spid="_x0000_s137218"/>
                </a:ext>
                <a:ext uri="{FF2B5EF4-FFF2-40B4-BE49-F238E27FC236}">
                  <a16:creationId xmlns:a16="http://schemas.microsoft.com/office/drawing/2014/main" id="{00000000-0008-0000-0A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38241" name="OptionButton" hidden="1">
              <a:extLst>
                <a:ext uri="{63B3BB69-23CF-44E3-9099-C40C66FF867C}">
                  <a14:compatExt spid="_x0000_s138241"/>
                </a:ext>
                <a:ext uri="{FF2B5EF4-FFF2-40B4-BE49-F238E27FC236}">
                  <a16:creationId xmlns:a16="http://schemas.microsoft.com/office/drawing/2014/main" id="{00000000-0008-0000-0B00-0000011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38242" name="Option Button 2" hidden="1">
              <a:extLst>
                <a:ext uri="{63B3BB69-23CF-44E3-9099-C40C66FF867C}">
                  <a14:compatExt spid="_x0000_s138242"/>
                </a:ext>
                <a:ext uri="{FF2B5EF4-FFF2-40B4-BE49-F238E27FC236}">
                  <a16:creationId xmlns:a16="http://schemas.microsoft.com/office/drawing/2014/main" id="{00000000-0008-0000-0B00-0000021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53601" name="OptionButton" hidden="1">
              <a:extLst>
                <a:ext uri="{63B3BB69-23CF-44E3-9099-C40C66FF867C}">
                  <a14:compatExt spid="_x0000_s153601"/>
                </a:ext>
                <a:ext uri="{FF2B5EF4-FFF2-40B4-BE49-F238E27FC236}">
                  <a16:creationId xmlns:a16="http://schemas.microsoft.com/office/drawing/2014/main" id="{00000000-0008-0000-0C00-0000015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53602" name="Option Button 2" hidden="1">
              <a:extLst>
                <a:ext uri="{63B3BB69-23CF-44E3-9099-C40C66FF867C}">
                  <a14:compatExt spid="_x0000_s153602"/>
                </a:ext>
                <a:ext uri="{FF2B5EF4-FFF2-40B4-BE49-F238E27FC236}">
                  <a16:creationId xmlns:a16="http://schemas.microsoft.com/office/drawing/2014/main" id="{00000000-0008-0000-0C00-0000025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9089" name="OptionButton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D00-000001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9090" name="Option Button 2" hidden="1">
              <a:extLst>
                <a:ext uri="{63B3BB69-23CF-44E3-9099-C40C66FF867C}">
                  <a14:compatExt spid="_x0000_s89090"/>
                </a:ext>
                <a:ext uri="{FF2B5EF4-FFF2-40B4-BE49-F238E27FC236}">
                  <a16:creationId xmlns:a16="http://schemas.microsoft.com/office/drawing/2014/main" id="{00000000-0008-0000-0D00-000002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13876558" y="1939925"/>
          <a:ext cx="12065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4935200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CxnSpPr/>
      </xdr:nvCxnSpPr>
      <xdr:spPr bwMode="auto">
        <a:xfrm>
          <a:off x="887477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CxnSpPr/>
      </xdr:nvCxnSpPr>
      <xdr:spPr bwMode="auto">
        <a:xfrm>
          <a:off x="1089738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 bwMode="auto">
        <a:xfrm>
          <a:off x="1100178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 bwMode="auto">
        <a:xfrm>
          <a:off x="895019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CxnSpPr/>
      </xdr:nvCxnSpPr>
      <xdr:spPr bwMode="auto">
        <a:xfrm>
          <a:off x="1253251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 bwMode="auto">
        <a:xfrm>
          <a:off x="1256805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5297" name="OptionButton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E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5298" name="Option Button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E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74753" name="OptionButton" hidden="1">
              <a:extLst>
                <a:ext uri="{63B3BB69-23CF-44E3-9099-C40C66FF867C}">
                  <a14:compatExt spid="_x0000_s74753"/>
                </a:ext>
                <a:ext uri="{FF2B5EF4-FFF2-40B4-BE49-F238E27FC236}">
                  <a16:creationId xmlns:a16="http://schemas.microsoft.com/office/drawing/2014/main" id="{00000000-0008-0000-0F00-000001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74754" name="Option Button 2" hidden="1">
              <a:extLst>
                <a:ext uri="{63B3BB69-23CF-44E3-9099-C40C66FF867C}">
                  <a14:compatExt spid="_x0000_s74754"/>
                </a:ext>
                <a:ext uri="{FF2B5EF4-FFF2-40B4-BE49-F238E27FC236}">
                  <a16:creationId xmlns:a16="http://schemas.microsoft.com/office/drawing/2014/main" id="{00000000-0008-0000-0F00-000002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5041" name="OptionButton" hidden="1">
              <a:extLst>
                <a:ext uri="{63B3BB69-23CF-44E3-9099-C40C66FF867C}">
                  <a14:compatExt spid="_x0000_s215041"/>
                </a:ext>
                <a:ext uri="{FF2B5EF4-FFF2-40B4-BE49-F238E27FC236}">
                  <a16:creationId xmlns:a16="http://schemas.microsoft.com/office/drawing/2014/main" id="{00000000-0008-0000-1000-0000014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5042" name="Option Button 2" hidden="1">
              <a:extLst>
                <a:ext uri="{63B3BB69-23CF-44E3-9099-C40C66FF867C}">
                  <a14:compatExt spid="_x0000_s215042"/>
                </a:ext>
                <a:ext uri="{FF2B5EF4-FFF2-40B4-BE49-F238E27FC236}">
                  <a16:creationId xmlns:a16="http://schemas.microsoft.com/office/drawing/2014/main" id="{00000000-0008-0000-1000-0000024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6065" name="OptionButton" hidden="1">
              <a:extLst>
                <a:ext uri="{63B3BB69-23CF-44E3-9099-C40C66FF867C}">
                  <a14:compatExt spid="_x0000_s216065"/>
                </a:ext>
                <a:ext uri="{FF2B5EF4-FFF2-40B4-BE49-F238E27FC236}">
                  <a16:creationId xmlns:a16="http://schemas.microsoft.com/office/drawing/2014/main" id="{00000000-0008-0000-1100-0000014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6066" name="Option Button 2" hidden="1">
              <a:extLst>
                <a:ext uri="{63B3BB69-23CF-44E3-9099-C40C66FF867C}">
                  <a14:compatExt spid="_x0000_s216066"/>
                </a:ext>
                <a:ext uri="{FF2B5EF4-FFF2-40B4-BE49-F238E27FC236}">
                  <a16:creationId xmlns:a16="http://schemas.microsoft.com/office/drawing/2014/main" id="{00000000-0008-0000-1100-0000024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82273" name="OptionButton" hidden="1">
              <a:extLst>
                <a:ext uri="{63B3BB69-23CF-44E3-9099-C40C66FF867C}">
                  <a14:compatExt spid="_x0000_s182273"/>
                </a:ext>
                <a:ext uri="{FF2B5EF4-FFF2-40B4-BE49-F238E27FC236}">
                  <a16:creationId xmlns:a16="http://schemas.microsoft.com/office/drawing/2014/main" id="{00000000-0008-0000-1200-000001C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82274" name="Option Button 2" hidden="1">
              <a:extLst>
                <a:ext uri="{63B3BB69-23CF-44E3-9099-C40C66FF867C}">
                  <a14:compatExt spid="_x0000_s182274"/>
                </a:ext>
                <a:ext uri="{FF2B5EF4-FFF2-40B4-BE49-F238E27FC236}">
                  <a16:creationId xmlns:a16="http://schemas.microsoft.com/office/drawing/2014/main" id="{00000000-0008-0000-1200-000002C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83297" name="OptionButton" hidden="1">
              <a:extLst>
                <a:ext uri="{63B3BB69-23CF-44E3-9099-C40C66FF867C}">
                  <a14:compatExt spid="_x0000_s183297"/>
                </a:ext>
                <a:ext uri="{FF2B5EF4-FFF2-40B4-BE49-F238E27FC236}">
                  <a16:creationId xmlns:a16="http://schemas.microsoft.com/office/drawing/2014/main" id="{00000000-0008-0000-1300-000001C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83298" name="Option Button 2" hidden="1">
              <a:extLst>
                <a:ext uri="{63B3BB69-23CF-44E3-9099-C40C66FF867C}">
                  <a14:compatExt spid="_x0000_s183298"/>
                </a:ext>
                <a:ext uri="{FF2B5EF4-FFF2-40B4-BE49-F238E27FC236}">
                  <a16:creationId xmlns:a16="http://schemas.microsoft.com/office/drawing/2014/main" id="{00000000-0008-0000-1300-000002C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68961" name="OptionButton" hidden="1">
              <a:extLst>
                <a:ext uri="{63B3BB69-23CF-44E3-9099-C40C66FF867C}">
                  <a14:compatExt spid="_x0000_s168961"/>
                </a:ext>
                <a:ext uri="{FF2B5EF4-FFF2-40B4-BE49-F238E27FC236}">
                  <a16:creationId xmlns:a16="http://schemas.microsoft.com/office/drawing/2014/main" id="{00000000-0008-0000-1400-000001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68962" name="Option Button 2" hidden="1">
              <a:extLst>
                <a:ext uri="{63B3BB69-23CF-44E3-9099-C40C66FF867C}">
                  <a14:compatExt spid="_x0000_s168962"/>
                </a:ext>
                <a:ext uri="{FF2B5EF4-FFF2-40B4-BE49-F238E27FC236}">
                  <a16:creationId xmlns:a16="http://schemas.microsoft.com/office/drawing/2014/main" id="{00000000-0008-0000-1400-000002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95585" name="OptionButton" hidden="1">
              <a:extLst>
                <a:ext uri="{63B3BB69-23CF-44E3-9099-C40C66FF867C}">
                  <a14:compatExt spid="_x0000_s195585"/>
                </a:ext>
                <a:ext uri="{FF2B5EF4-FFF2-40B4-BE49-F238E27FC236}">
                  <a16:creationId xmlns:a16="http://schemas.microsoft.com/office/drawing/2014/main" id="{00000000-0008-0000-1500-000001F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95586" name="Option Button 2" hidden="1">
              <a:extLst>
                <a:ext uri="{63B3BB69-23CF-44E3-9099-C40C66FF867C}">
                  <a14:compatExt spid="_x0000_s195586"/>
                </a:ext>
                <a:ext uri="{FF2B5EF4-FFF2-40B4-BE49-F238E27FC236}">
                  <a16:creationId xmlns:a16="http://schemas.microsoft.com/office/drawing/2014/main" id="{00000000-0008-0000-1500-000002F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</a:t>
          </a:r>
        </a:p>
        <a:p>
          <a:endParaRPr lang="pt-BR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1969" name="OptionButton" hidden="1">
              <a:extLst>
                <a:ext uri="{63B3BB69-23CF-44E3-9099-C40C66FF867C}">
                  <a14:compatExt spid="_x0000_s211969"/>
                </a:ext>
                <a:ext uri="{FF2B5EF4-FFF2-40B4-BE49-F238E27FC236}">
                  <a16:creationId xmlns:a16="http://schemas.microsoft.com/office/drawing/2014/main" id="{00000000-0008-0000-1600-0000013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1970" name="Option Button 2" hidden="1">
              <a:extLst>
                <a:ext uri="{63B3BB69-23CF-44E3-9099-C40C66FF867C}">
                  <a14:compatExt spid="_x0000_s211970"/>
                </a:ext>
                <a:ext uri="{FF2B5EF4-FFF2-40B4-BE49-F238E27FC236}">
                  <a16:creationId xmlns:a16="http://schemas.microsoft.com/office/drawing/2014/main" id="{00000000-0008-0000-1600-0000023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</a:t>
          </a:r>
        </a:p>
        <a:p>
          <a:endParaRPr lang="pt-BR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2993" name="OptionButton" hidden="1">
              <a:extLst>
                <a:ext uri="{63B3BB69-23CF-44E3-9099-C40C66FF867C}">
                  <a14:compatExt spid="_x0000_s212993"/>
                </a:ext>
                <a:ext uri="{FF2B5EF4-FFF2-40B4-BE49-F238E27FC236}">
                  <a16:creationId xmlns:a16="http://schemas.microsoft.com/office/drawing/2014/main" id="{00000000-0008-0000-1700-0000014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2994" name="Option Button 2" hidden="1">
              <a:extLst>
                <a:ext uri="{63B3BB69-23CF-44E3-9099-C40C66FF867C}">
                  <a14:compatExt spid="_x0000_s212994"/>
                </a:ext>
                <a:ext uri="{FF2B5EF4-FFF2-40B4-BE49-F238E27FC236}">
                  <a16:creationId xmlns:a16="http://schemas.microsoft.com/office/drawing/2014/main" id="{00000000-0008-0000-1700-0000024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</a:t>
          </a:r>
        </a:p>
        <a:p>
          <a:endParaRPr lang="pt-BR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4017" name="OptionButton" hidden="1">
              <a:extLst>
                <a:ext uri="{63B3BB69-23CF-44E3-9099-C40C66FF867C}">
                  <a14:compatExt spid="_x0000_s214017"/>
                </a:ext>
                <a:ext uri="{FF2B5EF4-FFF2-40B4-BE49-F238E27FC236}">
                  <a16:creationId xmlns:a16="http://schemas.microsoft.com/office/drawing/2014/main" id="{00000000-0008-0000-1800-0000014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4018" name="Option Button 2" hidden="1">
              <a:extLst>
                <a:ext uri="{63B3BB69-23CF-44E3-9099-C40C66FF867C}">
                  <a14:compatExt spid="_x0000_s214018"/>
                </a:ext>
                <a:ext uri="{FF2B5EF4-FFF2-40B4-BE49-F238E27FC236}">
                  <a16:creationId xmlns:a16="http://schemas.microsoft.com/office/drawing/2014/main" id="{00000000-0008-0000-1800-0000024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196609" name="OptionButton" hidden="1">
              <a:extLst>
                <a:ext uri="{63B3BB69-23CF-44E3-9099-C40C66FF867C}">
                  <a14:compatExt spid="_x0000_s196609"/>
                </a:ext>
                <a:ext uri="{FF2B5EF4-FFF2-40B4-BE49-F238E27FC236}">
                  <a16:creationId xmlns:a16="http://schemas.microsoft.com/office/drawing/2014/main" id="{00000000-0008-0000-1900-0000010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196610" name="Option Button 2" hidden="1">
              <a:extLst>
                <a:ext uri="{63B3BB69-23CF-44E3-9099-C40C66FF867C}">
                  <a14:compatExt spid="_x0000_s196610"/>
                </a:ext>
                <a:ext uri="{FF2B5EF4-FFF2-40B4-BE49-F238E27FC236}">
                  <a16:creationId xmlns:a16="http://schemas.microsoft.com/office/drawing/2014/main" id="{00000000-0008-0000-1900-0000020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08897" name="OptionButton" hidden="1">
              <a:extLst>
                <a:ext uri="{63B3BB69-23CF-44E3-9099-C40C66FF867C}">
                  <a14:compatExt spid="_x0000_s208897"/>
                </a:ext>
                <a:ext uri="{FF2B5EF4-FFF2-40B4-BE49-F238E27FC236}">
                  <a16:creationId xmlns:a16="http://schemas.microsoft.com/office/drawing/2014/main" id="{00000000-0008-0000-1A00-0000013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08898" name="Option Button 2" hidden="1">
              <a:extLst>
                <a:ext uri="{63B3BB69-23CF-44E3-9099-C40C66FF867C}">
                  <a14:compatExt spid="_x0000_s208898"/>
                </a:ext>
                <a:ext uri="{FF2B5EF4-FFF2-40B4-BE49-F238E27FC236}">
                  <a16:creationId xmlns:a16="http://schemas.microsoft.com/office/drawing/2014/main" id="{00000000-0008-0000-1A00-0000023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09921" name="OptionButton" hidden="1">
              <a:extLst>
                <a:ext uri="{63B3BB69-23CF-44E3-9099-C40C66FF867C}">
                  <a14:compatExt spid="_x0000_s209921"/>
                </a:ext>
                <a:ext uri="{FF2B5EF4-FFF2-40B4-BE49-F238E27FC236}">
                  <a16:creationId xmlns:a16="http://schemas.microsoft.com/office/drawing/2014/main" id="{00000000-0008-0000-1B00-000001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09922" name="Option Button 2" hidden="1">
              <a:extLst>
                <a:ext uri="{63B3BB69-23CF-44E3-9099-C40C66FF867C}">
                  <a14:compatExt spid="_x0000_s209922"/>
                </a:ext>
                <a:ext uri="{FF2B5EF4-FFF2-40B4-BE49-F238E27FC236}">
                  <a16:creationId xmlns:a16="http://schemas.microsoft.com/office/drawing/2014/main" id="{00000000-0008-0000-1B00-000002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10945" name="OptionButton" hidden="1">
              <a:extLst>
                <a:ext uri="{63B3BB69-23CF-44E3-9099-C40C66FF867C}">
                  <a14:compatExt spid="_x0000_s210945"/>
                </a:ext>
                <a:ext uri="{FF2B5EF4-FFF2-40B4-BE49-F238E27FC236}">
                  <a16:creationId xmlns:a16="http://schemas.microsoft.com/office/drawing/2014/main" id="{00000000-0008-0000-1C00-0000013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10946" name="Option Button 2" hidden="1">
              <a:extLst>
                <a:ext uri="{63B3BB69-23CF-44E3-9099-C40C66FF867C}">
                  <a14:compatExt spid="_x0000_s210946"/>
                </a:ext>
                <a:ext uri="{FF2B5EF4-FFF2-40B4-BE49-F238E27FC236}">
                  <a16:creationId xmlns:a16="http://schemas.microsoft.com/office/drawing/2014/main" id="{00000000-0008-0000-1C00-0000023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38593" name="OptionButton" hidden="1">
              <a:extLst>
                <a:ext uri="{63B3BB69-23CF-44E3-9099-C40C66FF867C}">
                  <a14:compatExt spid="_x0000_s238593"/>
                </a:ext>
                <a:ext uri="{FF2B5EF4-FFF2-40B4-BE49-F238E27FC236}">
                  <a16:creationId xmlns:a16="http://schemas.microsoft.com/office/drawing/2014/main" id="{00000000-0008-0000-1D00-000001A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38594" name="Option Button 2" hidden="1">
              <a:extLst>
                <a:ext uri="{63B3BB69-23CF-44E3-9099-C40C66FF867C}">
                  <a14:compatExt spid="_x0000_s238594"/>
                </a:ext>
                <a:ext uri="{FF2B5EF4-FFF2-40B4-BE49-F238E27FC236}">
                  <a16:creationId xmlns:a16="http://schemas.microsoft.com/office/drawing/2014/main" id="{00000000-0008-0000-1D00-000002A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63169" name="OptionButton" hidden="1">
              <a:extLst>
                <a:ext uri="{63B3BB69-23CF-44E3-9099-C40C66FF867C}">
                  <a14:compatExt spid="_x0000_s263169"/>
                </a:ext>
                <a:ext uri="{FF2B5EF4-FFF2-40B4-BE49-F238E27FC236}">
                  <a16:creationId xmlns:a16="http://schemas.microsoft.com/office/drawing/2014/main" id="{00000000-0008-0000-1E00-0000010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63170" name="Option Button 2" hidden="1">
              <a:extLst>
                <a:ext uri="{63B3BB69-23CF-44E3-9099-C40C66FF867C}">
                  <a14:compatExt spid="_x0000_s263170"/>
                </a:ext>
                <a:ext uri="{FF2B5EF4-FFF2-40B4-BE49-F238E27FC236}">
                  <a16:creationId xmlns:a16="http://schemas.microsoft.com/office/drawing/2014/main" id="{00000000-0008-0000-1E00-0000020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50881" name="OptionButton" hidden="1">
              <a:extLst>
                <a:ext uri="{63B3BB69-23CF-44E3-9099-C40C66FF867C}">
                  <a14:compatExt spid="_x0000_s250881"/>
                </a:ext>
                <a:ext uri="{FF2B5EF4-FFF2-40B4-BE49-F238E27FC236}">
                  <a16:creationId xmlns:a16="http://schemas.microsoft.com/office/drawing/2014/main" id="{00000000-0008-0000-1F00-000001D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50882" name="Option Button 2" hidden="1">
              <a:extLst>
                <a:ext uri="{63B3BB69-23CF-44E3-9099-C40C66FF867C}">
                  <a14:compatExt spid="_x0000_s250882"/>
                </a:ext>
                <a:ext uri="{FF2B5EF4-FFF2-40B4-BE49-F238E27FC236}">
                  <a16:creationId xmlns:a16="http://schemas.microsoft.com/office/drawing/2014/main" id="{00000000-0008-0000-1F00-000002D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0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0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0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0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0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0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0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0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64193" name="OptionButton" hidden="1">
              <a:extLst>
                <a:ext uri="{63B3BB69-23CF-44E3-9099-C40C66FF867C}">
                  <a14:compatExt spid="_x0000_s264193"/>
                </a:ext>
                <a:ext uri="{FF2B5EF4-FFF2-40B4-BE49-F238E27FC236}">
                  <a16:creationId xmlns:a16="http://schemas.microsoft.com/office/drawing/2014/main" id="{00000000-0008-0000-2000-0000010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64194" name="Option Button 2" hidden="1">
              <a:extLst>
                <a:ext uri="{63B3BB69-23CF-44E3-9099-C40C66FF867C}">
                  <a14:compatExt spid="_x0000_s264194"/>
                </a:ext>
                <a:ext uri="{FF2B5EF4-FFF2-40B4-BE49-F238E27FC236}">
                  <a16:creationId xmlns:a16="http://schemas.microsoft.com/office/drawing/2014/main" id="{00000000-0008-0000-2000-0000020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1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1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1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1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1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1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1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1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1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1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1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77505" name="OptionButton" hidden="1">
              <a:extLst>
                <a:ext uri="{63B3BB69-23CF-44E3-9099-C40C66FF867C}">
                  <a14:compatExt spid="_x0000_s277505"/>
                </a:ext>
                <a:ext uri="{FF2B5EF4-FFF2-40B4-BE49-F238E27FC236}">
                  <a16:creationId xmlns:a16="http://schemas.microsoft.com/office/drawing/2014/main" id="{00000000-0008-0000-2100-0000013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77506" name="Option Button 2" hidden="1">
              <a:extLst>
                <a:ext uri="{63B3BB69-23CF-44E3-9099-C40C66FF867C}">
                  <a14:compatExt spid="_x0000_s277506"/>
                </a:ext>
                <a:ext uri="{FF2B5EF4-FFF2-40B4-BE49-F238E27FC236}">
                  <a16:creationId xmlns:a16="http://schemas.microsoft.com/office/drawing/2014/main" id="{00000000-0008-0000-2100-0000023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2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2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2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2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2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2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2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2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2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2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2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2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2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89793" name="OptionButton" hidden="1">
              <a:extLst>
                <a:ext uri="{63B3BB69-23CF-44E3-9099-C40C66FF867C}">
                  <a14:compatExt spid="_x0000_s289793"/>
                </a:ext>
                <a:ext uri="{FF2B5EF4-FFF2-40B4-BE49-F238E27FC236}">
                  <a16:creationId xmlns:a16="http://schemas.microsoft.com/office/drawing/2014/main" id="{00000000-0008-0000-2200-0000016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89794" name="Option Button 2" hidden="1">
              <a:extLst>
                <a:ext uri="{63B3BB69-23CF-44E3-9099-C40C66FF867C}">
                  <a14:compatExt spid="_x0000_s289794"/>
                </a:ext>
                <a:ext uri="{FF2B5EF4-FFF2-40B4-BE49-F238E27FC236}">
                  <a16:creationId xmlns:a16="http://schemas.microsoft.com/office/drawing/2014/main" id="{00000000-0008-0000-2200-0000026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3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3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3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3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3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3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3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3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3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3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3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3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90817" name="OptionButton" hidden="1">
              <a:extLst>
                <a:ext uri="{63B3BB69-23CF-44E3-9099-C40C66FF867C}">
                  <a14:compatExt spid="_x0000_s290817"/>
                </a:ext>
                <a:ext uri="{FF2B5EF4-FFF2-40B4-BE49-F238E27FC236}">
                  <a16:creationId xmlns:a16="http://schemas.microsoft.com/office/drawing/2014/main" id="{00000000-0008-0000-2300-0000017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90818" name="Option Button 2" hidden="1">
              <a:extLst>
                <a:ext uri="{63B3BB69-23CF-44E3-9099-C40C66FF867C}">
                  <a14:compatExt spid="_x0000_s290818"/>
                </a:ext>
                <a:ext uri="{FF2B5EF4-FFF2-40B4-BE49-F238E27FC236}">
                  <a16:creationId xmlns:a16="http://schemas.microsoft.com/office/drawing/2014/main" id="{00000000-0008-0000-2300-0000027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4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4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4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4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4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4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4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291841" name="OptionButton" hidden="1">
              <a:extLst>
                <a:ext uri="{63B3BB69-23CF-44E3-9099-C40C66FF867C}">
                  <a14:compatExt spid="_x0000_s291841"/>
                </a:ext>
                <a:ext uri="{FF2B5EF4-FFF2-40B4-BE49-F238E27FC236}">
                  <a16:creationId xmlns:a16="http://schemas.microsoft.com/office/drawing/2014/main" id="{00000000-0008-0000-2400-0000017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291842" name="Option Button 2" hidden="1">
              <a:extLst>
                <a:ext uri="{63B3BB69-23CF-44E3-9099-C40C66FF867C}">
                  <a14:compatExt spid="_x0000_s291842"/>
                </a:ext>
                <a:ext uri="{FF2B5EF4-FFF2-40B4-BE49-F238E27FC236}">
                  <a16:creationId xmlns:a16="http://schemas.microsoft.com/office/drawing/2014/main" id="{00000000-0008-0000-2400-0000027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56F4AC-C724-4977-BC34-51C0B5704E9B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D53BB62-3AD0-493B-8FC1-000698BE5C65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3AEA1CF8-F185-49B0-B968-EC30FC1F7517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675A85F-093F-42B3-8EEA-E6E33EEEFA3A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2D9EE6A6-A82D-4B53-81D7-02DB5E25E2E3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D05280D-EB04-4A6D-A023-6FFBA90DDF34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216A9E25-759F-4E10-9D50-D599264FA075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942A9B97-CB3F-4E71-B18F-6ADB30375D4C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0E799B7-3E8E-40E9-B856-CBC8E937A19A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8F59F870-4357-4182-BB1F-D483F64791FD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EC0C2A5F-0E08-45AF-B619-76C981E8F9CE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B5B67812-AF21-4264-B520-18017FBEB1C8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B13E311-CA10-408A-9905-24A363F9B9F9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91C0138A-EFCB-4CA7-A439-1AC494D242FD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F1CC77C-961E-4862-B47D-71C4910B5152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6AD11C36-3D24-4821-A0D5-B0AD8E599480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D9679C3-7193-4267-91B0-60A2DD524F1A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FC7176AE-7521-4047-BB06-BEA25E496804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BC0BB8A0-3642-4049-BE1F-FDF196599A49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54A57E91-F9B2-4A15-AD2A-5ED87D3B8C7B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1B26360B-CBD3-4210-90E6-A70E43A0096B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364D513-D47E-4B19-AFCD-62966D6F03DB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24A6FC0-79C5-4F5E-863F-CC481158BEED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96001651-DB07-4E43-817E-B4EBB6EB6C72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62B6EF99-E84B-404A-9C18-FDE0F933C858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E6E123E4-FDC3-4F9C-B794-8E93506C8D9D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8C53E3B8-AA63-48DD-ABE8-2B32DB7B6581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D48B9333-827F-405D-8926-60712C15C82A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66945" name="OptionButton" hidden="1">
              <a:extLst>
                <a:ext uri="{63B3BB69-23CF-44E3-9099-C40C66FF867C}">
                  <a14:compatExt spid="_x0000_s466945"/>
                </a:ext>
                <a:ext uri="{FF2B5EF4-FFF2-40B4-BE49-F238E27FC236}">
                  <a16:creationId xmlns:a16="http://schemas.microsoft.com/office/drawing/2014/main" id="{00000000-0008-0000-2500-0000012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66946" name="Option Button 2" hidden="1">
              <a:extLst>
                <a:ext uri="{63B3BB69-23CF-44E3-9099-C40C66FF867C}">
                  <a14:compatExt spid="_x0000_s466946"/>
                </a:ext>
                <a:ext uri="{FF2B5EF4-FFF2-40B4-BE49-F238E27FC236}">
                  <a16:creationId xmlns:a16="http://schemas.microsoft.com/office/drawing/2014/main" id="{00000000-0008-0000-2500-0000022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F41F44-5835-4883-B222-038FB9CE0718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034FFFC-BF6B-4DE7-95D6-A8EFC41CEB49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7B2D160-050C-4EC6-B6C9-E03BF08D9912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70543CE4-1A11-4B27-A194-DA72C760DF9B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3F75E860-1798-4968-8A66-83CE64196FBB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3FF56F4E-3FCF-48A2-A7CF-368D00576A0F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79EFFA97-CD9A-47B7-9395-5C71FA22A1E8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5B6BBAE0-E0AF-4D04-B7A6-03F5CF3E3243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2ABECD7A-3F8B-4DC0-86B7-E0A8CA1D1572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ACDF2C00-70CC-4937-9404-07F846C67A68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1AD435D-E521-4A71-865F-3B582416E27D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FA5D18D-B8E5-4048-A7C2-43056CDAFDAF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57E1A89F-361D-40C1-9ABA-1066B3960F88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AB8C431-A2F5-4C84-BA5B-E45BE5ACB2B4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C96E69D-9521-4EF8-9A0B-A2F24ABBE06E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837CE80F-8978-4978-9B53-745DA9E9CE31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4444200-BE41-48C6-BE9E-962EF9F44427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BE1AA7D0-9F91-418F-8DE3-C9FC09EFE6EB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4D6879C-43C7-4DE4-B611-D40226178977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F1BC97B7-E2C4-46F7-AD29-D7941F851FBB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8B33271B-9DA3-48EF-8786-833B2EC9CA13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1868AC1-8768-4BC3-A7C0-EA810EF7CAE8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BFF9C033-528C-4D99-AA63-1C4396BA96E4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69F6D2D6-AA9D-41D8-A64F-F3E9FDE79EAC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9DBAF40C-C2FB-4894-8DE3-4A8E2682C2AE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7511ABA2-20E4-47F3-9291-6393FB31F609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A566C2D-69BC-4145-BF27-6FB361B4BDBC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A7A527CD-5385-485A-9411-32DD1FA72596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13377" name="OptionButton" hidden="1">
              <a:extLst>
                <a:ext uri="{63B3BB69-23CF-44E3-9099-C40C66FF867C}">
                  <a14:compatExt spid="_x0000_s613377"/>
                </a:ext>
                <a:ext uri="{FF2B5EF4-FFF2-40B4-BE49-F238E27FC236}">
                  <a16:creationId xmlns:a16="http://schemas.microsoft.com/office/drawing/2014/main" id="{00000000-0008-0000-2600-0000015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13378" name="Option Button 2" hidden="1">
              <a:extLst>
                <a:ext uri="{63B3BB69-23CF-44E3-9099-C40C66FF867C}">
                  <a14:compatExt spid="_x0000_s613378"/>
                </a:ext>
                <a:ext uri="{FF2B5EF4-FFF2-40B4-BE49-F238E27FC236}">
                  <a16:creationId xmlns:a16="http://schemas.microsoft.com/office/drawing/2014/main" id="{00000000-0008-0000-2600-0000025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6FBFC83-9FA9-43A9-AFC0-B04B780E7EB2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446A7E6-A1E0-4810-9251-761F8D6D5C04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BE58686-38C8-433B-B0C1-77F8C6CCA95D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C8314E2-0393-4989-A664-0C4D2C33E1A2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502DBD1A-2B46-4968-B1A2-A1527542A2AB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3A8619D-E82F-4D85-A249-483898AF85C7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1E920B8B-9340-4F02-B5E5-102B5665EB3E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4600E9A2-0CCE-4151-B7DC-41203E9A83B9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980F59F-345E-48A2-8E85-BA19165AF73A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D3A8BB4-547F-49BD-8087-4116A5EE4E70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F952F33C-173E-4539-8A31-588DDBDD27B6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1F0187D-4BBB-40B6-B1F8-AA1F20D27DC1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84C4AA83-C858-49B2-AF1D-8FD9AD803F18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C870F972-5B15-4405-9104-5EBE0F189E22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964E4CA-FC5A-4DFC-BD87-313BEB8C079E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B3E2C68D-94FA-4E76-AEEA-3D74F805D2DB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E46BD58-5728-4F81-AB6A-B57D89699DB6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9F319DA9-EA57-4815-84BD-F5C7531CEA36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29AEACD4-314F-4B9F-B4C5-B95367C15EB2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AF8E78AF-0A60-400F-A532-4D7969079308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4BAAA0F-6ED3-47EF-8434-0B8EA2313770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04A2767-8122-4B1A-81A2-8C31B0B82ECD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6C53758E-AF23-4B6A-8F1C-E83CCD063A23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64E1938C-5304-4AD4-9B0D-EF049B7646ED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2C3181-A947-4DCE-B562-674819F0F98C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FF6CC6FE-8FCD-4D07-A2BC-734C4700AE04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90809558-FB44-4E96-901F-4D3489755EB3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6F320480-B60F-4ED5-B7FB-BE2DE673864A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14401" name="OptionButton" hidden="1">
              <a:extLst>
                <a:ext uri="{63B3BB69-23CF-44E3-9099-C40C66FF867C}">
                  <a14:compatExt spid="_x0000_s614401"/>
                </a:ext>
                <a:ext uri="{FF2B5EF4-FFF2-40B4-BE49-F238E27FC236}">
                  <a16:creationId xmlns:a16="http://schemas.microsoft.com/office/drawing/2014/main" id="{00000000-0008-0000-2700-0000016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14402" name="Option Button 2" hidden="1">
              <a:extLst>
                <a:ext uri="{63B3BB69-23CF-44E3-9099-C40C66FF867C}">
                  <a14:compatExt spid="_x0000_s614402"/>
                </a:ext>
                <a:ext uri="{FF2B5EF4-FFF2-40B4-BE49-F238E27FC236}">
                  <a16:creationId xmlns:a16="http://schemas.microsoft.com/office/drawing/2014/main" id="{00000000-0008-0000-2700-0000026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6039A2D-B64A-4209-A546-00AA03027B0D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3C15211-22B8-473B-967D-BB702D1620A3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85285C8-9D60-42A5-A7D4-B2108FE7308D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6C08FE0E-CA8C-4F7A-8416-E0B834A25FC3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6BBF1C79-3907-4950-B149-59762CF5636F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DA2EBB9-98FC-418F-A8BD-015D6B5C9372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8CC3B07-6116-4335-8CD4-F6A5486D3A2F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4409BC84-360B-44C2-ABAF-4E773ABEB257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BB7B7F58-1BB3-44C6-A9EA-1D00FD34C905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2DDE6190-1BE1-4CB8-AF29-484B0FDCFFB1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F6FBD0CF-5A64-4486-8931-6A3C72CB9CC1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CEA965D-8E8E-41E7-8540-410D1E1E64BB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73AC63E1-50C1-4EF3-B59D-9C16D42073BF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4670289F-D851-45FD-983B-2272C71F18BA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A5FA4666-B6A9-45C1-8DB5-E470BB530698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B6369AA7-FA31-4184-AB17-E1AAEDAEB3A7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7F3C0397-D19F-4FEA-8707-B1489E77372F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ADC34FEF-6EF2-4353-A5B0-9639D71E3232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5D763B4-B2F3-4428-B2C2-B790CA25D46C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441EEC1B-161E-425A-B5CE-C6C515A9B275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89AE6DFB-977D-4BCF-AA72-9B693538E337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1B74A67-513E-4EE9-A164-64070B7087D0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F7581F97-3AE1-418A-B483-FB919799E321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A45DB2E9-B211-47D1-BB36-DEC24DE2FDAD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73E387A9-A547-4D0A-BC1F-BE5B7CA7BA94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EE40DBCF-BA2B-4452-AEF5-C53BD24433F9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A8207AA4-E3D0-4EA5-9EB2-9010FD757833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F6B74941-175B-4B42-8515-D781E9018E04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19201" name="OptionButton" hidden="1">
              <a:extLst>
                <a:ext uri="{63B3BB69-23CF-44E3-9099-C40C66FF867C}">
                  <a14:compatExt spid="_x0000_s819201"/>
                </a:ext>
                <a:ext uri="{FF2B5EF4-FFF2-40B4-BE49-F238E27FC236}">
                  <a16:creationId xmlns:a16="http://schemas.microsoft.com/office/drawing/2014/main" id="{00000000-0008-0000-2800-00000180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19202" name="Option Button 2" hidden="1">
              <a:extLst>
                <a:ext uri="{63B3BB69-23CF-44E3-9099-C40C66FF867C}">
                  <a14:compatExt spid="_x0000_s819202"/>
                </a:ext>
                <a:ext uri="{FF2B5EF4-FFF2-40B4-BE49-F238E27FC236}">
                  <a16:creationId xmlns:a16="http://schemas.microsoft.com/office/drawing/2014/main" id="{00000000-0008-0000-2800-00000280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183E23E-7548-454C-94B5-26FB257A2AED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C9A44F7-E1F6-41FE-A131-E2C56582A872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FDE8DDE-AC96-4513-BFEE-992881C62D83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EF87A184-CFA1-449B-850F-62BF42753241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D0B12FFF-7832-4FED-8148-51D4BC9A4484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B6C0A02-A487-4F19-BB39-E83CEEFA7FCF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C1C6FB4E-EC24-426D-AB8B-E69A45CE8A8D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5FF82621-EA13-429B-8698-30498392AC54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37993C0-313A-4ADA-8FAD-B9EC1455654A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410896CB-6370-4313-BF27-70D6CD88FBE2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10EA90D4-F226-45B7-A9F2-31D0FE4920B8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CBB8351-87CF-4F68-82DD-4074A7BD815F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5680AE00-B913-4D9B-A599-BB58EF5EAD50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3620BBE8-5330-406E-A5A1-B88B88D49E1F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2370DD2-F7D8-4E4D-9834-A5F162E12557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E62ACB19-CEF3-408E-BFA7-18194941D3E3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3827CAC-8402-48A7-B5A1-C97FCBAAE73E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B6FDA3E-40AC-481B-8E75-20978E7366E9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0EF85F7-9754-4876-8980-CF7826B224C9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C5891C2B-0645-404B-82C8-F8C9068437F6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7EE405C-5A6F-4E9F-B09E-13FF271F591E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70DDC8B-CBB1-4590-8C15-72D78785FD32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D13CA653-313F-4DA6-9C10-DD943FCB40FF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FBC4E54D-7649-4E5C-99BB-5DB49BA5B509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66975D90-EB2A-485A-897C-5FF2E9326599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2952FD78-1089-4BCC-93AE-49D2B74D4F14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D5549132-CEFD-4090-9002-1E31ED7505E0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8354DF93-2938-4CA3-A260-742C3280F1E3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919553" name="OptionButton" hidden="1">
              <a:extLst>
                <a:ext uri="{63B3BB69-23CF-44E3-9099-C40C66FF867C}">
                  <a14:compatExt spid="_x0000_s919553"/>
                </a:ext>
                <a:ext uri="{FF2B5EF4-FFF2-40B4-BE49-F238E27FC236}">
                  <a16:creationId xmlns:a16="http://schemas.microsoft.com/office/drawing/2014/main" id="{00000000-0008-0000-2900-0000010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919554" name="Option Button 2" hidden="1">
              <a:extLst>
                <a:ext uri="{63B3BB69-23CF-44E3-9099-C40C66FF867C}">
                  <a14:compatExt spid="_x0000_s919554"/>
                </a:ext>
                <a:ext uri="{FF2B5EF4-FFF2-40B4-BE49-F238E27FC236}">
                  <a16:creationId xmlns:a16="http://schemas.microsoft.com/office/drawing/2014/main" id="{00000000-0008-0000-2900-0000020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F6B4949-29DA-47DD-A094-DB597E594E41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8E9E7EE-4CAA-446C-9C0C-C9136736D6DB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A28CADF-E529-4D03-9520-5E5D6FCF72AB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E6D5CE2-1895-412A-B6B9-6BCFE4ABF0F8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343A873-6568-4AF4-9B73-C1270278D334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DF8E6E8-2F43-4523-BC69-FBB2DEDE89F7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607D10A1-CE39-48A1-805F-F869E0CD6CFE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AC74CB75-734B-4568-9D09-B23ECD8F9C31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B6965EE8-3EDD-42AA-B5F2-DA82D1D0BF21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581A0F2B-C4B4-48BE-A236-BB0C7DE0949D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77DE26FE-491D-4CAE-89A9-3D4596D3720B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38F0875B-6403-40A1-8511-5AAEEB444FF7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4F541C6-0202-48E3-975E-E0FF06B5489B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CA5370CA-C901-492D-9527-5964DFD846E3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3244ECF4-BC46-4064-82B8-5E00A503B515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72A67158-2489-4032-8BAD-DCD4E04EBB93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7C10DB2C-B2E1-46C6-8650-5FD35249E665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3DCE8AFA-D792-41FD-8B83-8DA614F11EC7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C7431BE1-4BB1-499A-984E-2279E6245F52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CCCFA68B-1957-4FBF-9540-16764E3DCA8A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EEC9B63-38DE-42C9-BC61-95A228D1D49D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2CED943-6B07-4830-BD2C-EE0259265193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A2A5678-9DBA-4ADE-A1C1-DD7948FE80F8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C77648CF-2152-4FD6-933A-C6C195101B78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6C2A6D8-80EB-4AED-92D9-D7BFACC7461B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39CDA5BD-D8F2-4830-86E7-9039CD6AACA1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5C0E778C-FB55-41CC-B325-95B3FE0AAA78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4E9AACD6-0BC2-4219-9FF3-FB76BF9B8D89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16129" name="OptionButton" hidden="1">
              <a:extLst>
                <a:ext uri="{63B3BB69-23CF-44E3-9099-C40C66FF867C}">
                  <a14:compatExt spid="_x0000_s816129"/>
                </a:ext>
                <a:ext uri="{FF2B5EF4-FFF2-40B4-BE49-F238E27FC236}">
                  <a16:creationId xmlns:a16="http://schemas.microsoft.com/office/drawing/2014/main" id="{00000000-0008-0000-2A00-0000017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16130" name="Option Button 2" hidden="1">
              <a:extLst>
                <a:ext uri="{63B3BB69-23CF-44E3-9099-C40C66FF867C}">
                  <a14:compatExt spid="_x0000_s816130"/>
                </a:ext>
                <a:ext uri="{FF2B5EF4-FFF2-40B4-BE49-F238E27FC236}">
                  <a16:creationId xmlns:a16="http://schemas.microsoft.com/office/drawing/2014/main" id="{00000000-0008-0000-2A00-0000027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FC4AAB1-3549-46E2-8619-AA659A826F0C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525E6CA-26C3-4A27-8902-08C786C76EFC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0EEA134-F60F-4811-9743-F661F5F4CE95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5930E576-D6D8-4172-BAB9-0B012F084B31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8C47023-8F91-459F-8651-A362B3BEF378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F9EF20A-226B-4962-8D2F-CF187B1D1E30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84A306A5-F747-4CA0-8346-DA86163943D2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4768A813-2390-4248-9A6B-7042406B87B7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320CA17-2ACB-4B18-8398-A1B0BD36C5E6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1406B565-C8B8-44E9-A0D8-0D165161989D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EF0464DD-EF89-4E75-A6BA-EE7C6B35C2D2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F8B3064E-E3B3-4E6F-8D2D-1D4DEF4A44E1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2EAA7FD2-ADF2-43E2-A8D7-06642371E428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EDE2C151-315C-403D-9E66-970DBDB7603C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A17608D-287B-4A04-97A6-EF06C4F9E288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8BBF0C00-3963-4493-9378-9A8BAF870408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CE7653B-AC94-43D9-BF49-02310E7E0F79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04E7883-E5EE-47C9-9694-F4E5536644AD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8BC431B-8F26-4AFA-8979-B780E1235E61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FF51D5CC-B5F7-4448-93B2-0F820D2D38A9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D7B5FD61-59AC-464F-AEED-9A51497C281A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9347E8B-BA27-46E6-88B9-577670783C1E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8D45600-4261-45CA-927C-7D13983EEE3B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54AEC31A-2AA6-450E-A71A-6BE7B95450F2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95A0E85E-DE14-4C22-9C8A-F6EBA984C071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D34A7898-6564-4CD2-B27A-B3B1F31E5260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EE3DA75C-BBB7-40B8-AF57-86263D6C8F70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CAA0DC0C-E0AF-488E-9906-13749D939358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10305" name="OptionButton" hidden="1">
              <a:extLst>
                <a:ext uri="{63B3BB69-23CF-44E3-9099-C40C66FF867C}">
                  <a14:compatExt spid="_x0000_s610305"/>
                </a:ext>
                <a:ext uri="{FF2B5EF4-FFF2-40B4-BE49-F238E27FC236}">
                  <a16:creationId xmlns:a16="http://schemas.microsoft.com/office/drawing/2014/main" id="{00000000-0008-0000-2B00-0000015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10306" name="Option Button 2" hidden="1">
              <a:extLst>
                <a:ext uri="{63B3BB69-23CF-44E3-9099-C40C66FF867C}">
                  <a14:compatExt spid="_x0000_s610306"/>
                </a:ext>
                <a:ext uri="{FF2B5EF4-FFF2-40B4-BE49-F238E27FC236}">
                  <a16:creationId xmlns:a16="http://schemas.microsoft.com/office/drawing/2014/main" id="{00000000-0008-0000-2B00-0000025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2E97F59-B6C2-41D4-BD42-03F303B965DA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EAFC4C6-4B32-4821-8089-21FF1B5C0860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BE54EA9E-864E-4929-BA9A-CC957861683B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7C988369-ABFE-4533-BC8D-8EB08281959D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672C41E-1297-4C0A-8143-39EB493D7FDC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AF3B3C6-1C65-44E7-A572-385564876D64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514B3E9-87A5-4D18-85EC-3B6D9C3FCB2C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9D189D61-08FD-43E8-84B9-FCA184FCBCF6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9D042821-6D86-4672-BCAF-E6624AB6EFCB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DAC73A04-6138-4D64-8E88-6609E7771BB1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38AF942D-986D-4A82-B943-0EDDC912CDD9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5CC5F8C-6742-463B-B845-37343F1D77F2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5E859C-83EE-4934-A055-17CAAB6084FA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3A050CEB-FE47-4033-B6CC-49A14F9DEA69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DAEAF5C-7D58-4E05-B50F-0E35C0C0E3D7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C45F0E69-D08C-4B8E-A51D-D31B338C6174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EEFCD24C-D700-4D26-8F74-9FF80543202A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FE4FE813-29A2-4276-9083-3A5C735200EE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A8906DF-D633-4743-98B7-7004FF3DF2EC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294151AD-E382-41C0-910A-1D73460EA660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5BA6AE0-1994-464B-921D-AD0750CF55B6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B9A58E42-75A6-44C7-B50A-6A29703606EC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B6C1213-8C4D-47B1-8CD3-36AEEFD2433E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25383A65-E57E-4900-B97F-E5C387320251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FAF39384-BAC7-437A-A549-140C60A5670C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DDC0A6B6-260B-488D-8B71-CB86C317A4B3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8D59E6C1-1A43-4C8E-9DB6-8655C6658E13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DC33E201-EC38-4F43-BD68-8C538E89FDCB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84033" name="OptionButton" hidden="1">
              <a:extLst>
                <a:ext uri="{63B3BB69-23CF-44E3-9099-C40C66FF867C}">
                  <a14:compatExt spid="_x0000_s684033"/>
                </a:ext>
                <a:ext uri="{FF2B5EF4-FFF2-40B4-BE49-F238E27FC236}">
                  <a16:creationId xmlns:a16="http://schemas.microsoft.com/office/drawing/2014/main" id="{00000000-0008-0000-2F00-0000017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84034" name="Option Button 2" hidden="1">
              <a:extLst>
                <a:ext uri="{63B3BB69-23CF-44E3-9099-C40C66FF867C}">
                  <a14:compatExt spid="_x0000_s684034"/>
                </a:ext>
                <a:ext uri="{FF2B5EF4-FFF2-40B4-BE49-F238E27FC236}">
                  <a16:creationId xmlns:a16="http://schemas.microsoft.com/office/drawing/2014/main" id="{00000000-0008-0000-2F00-0000027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42C727-1F35-4F47-99CD-63D7183F94F5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AAC3880-CD55-4E05-8F94-5F0F9317C541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EBEA7E4-0E72-4981-B39F-48086F3E7923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E3653DC-4183-445E-B175-2E1751E6F1A5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6D7FE01-260D-44B3-B342-F8DF3EC82232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6741EC0-579F-45D6-B5F4-1765D243945F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D83315B-8C34-4592-A7A2-A2F15EE4A3DE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C7AF93A-B264-4095-948A-1FCC746FA5E4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4279D7F-0AFD-4E35-95D2-FB831EAD4E5F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A96B440F-F202-4D24-9A85-D3FC8D7DD24F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175025B1-736F-42B3-A58F-D7524931B349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F54D54E4-88F5-4B67-8CA4-B44D3DACDE4D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9957DCEE-C67B-4CBD-804E-96F48FCF7697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6A33DFC1-39FA-4E10-98CC-A30521F4A732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1471CF97-FC83-4DB3-BD2D-E8D8A1CF64A1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B0050C47-4ABF-46EB-BE62-9AF973CB2A14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2CD7D5CA-14B2-4E04-883A-4941C304A480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870C0DC9-6360-4062-98CE-13F2B37BF72D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31B4C01F-3BBB-42B4-855D-989C89FF42B6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58FEB269-B197-4465-9246-1844E56B5658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FB89629D-E1B2-411C-8ED7-D39EBA2A9133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95BA921-F97E-4F2A-8906-CE99E8D32E27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3F2BAEE-BD41-4395-8611-F76CE9AC9473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9C5D4A47-D4A3-4796-A5A2-948BB2E2D17A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537A34D-8EB3-47B0-88BB-3CFF4A5EB991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8B57DB3A-294F-4394-832D-A4C527A3FBED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DFE71CB7-B7D3-40D5-B128-68C94E53AE2F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32A839F6-0041-4A38-8A06-56C0B549B9B3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18177" name="OptionButton" hidden="1">
              <a:extLst>
                <a:ext uri="{63B3BB69-23CF-44E3-9099-C40C66FF867C}">
                  <a14:compatExt spid="_x0000_s818177"/>
                </a:ext>
                <a:ext uri="{FF2B5EF4-FFF2-40B4-BE49-F238E27FC236}">
                  <a16:creationId xmlns:a16="http://schemas.microsoft.com/office/drawing/2014/main" id="{00000000-0008-0000-3000-0000017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18178" name="Option Button 2" hidden="1">
              <a:extLst>
                <a:ext uri="{63B3BB69-23CF-44E3-9099-C40C66FF867C}">
                  <a14:compatExt spid="_x0000_s818178"/>
                </a:ext>
                <a:ext uri="{FF2B5EF4-FFF2-40B4-BE49-F238E27FC236}">
                  <a16:creationId xmlns:a16="http://schemas.microsoft.com/office/drawing/2014/main" id="{00000000-0008-0000-3000-0000027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51F839F-88A5-4BB0-A27B-67201D8712A9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2BE23DE-4120-4206-AEE9-3EA117AB68E4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35FDA9C-C5FA-4F2B-B098-B1CDF5C6623D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4C453E4-4EB5-48FA-BF10-0A344328CFC4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741F91F7-A36F-48FA-9D46-C2EAB43586ED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7972B69-F5CF-4235-859E-1C8DAF192C07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F74BAFFF-55DE-4C02-84F1-28D8585981AC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34DFC673-14EF-44ED-A060-340F564E055D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D4EF736-8886-427B-968B-13368938CF4D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B11FDA5A-CBEE-41FC-B4F7-F2FBA6F905E6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B96E0540-11A9-4A66-81A8-4A55F60A7747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162D1091-2BAC-46FD-9415-3353E1991BDE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CCE12169-266B-4E30-988F-6BEA5216EA4C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250710CE-68D7-44EB-BD28-F94B6C2C234B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3CD60F37-D177-46F9-829F-EEC661152454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76EF7D92-DD7A-416C-87F9-118FC2206FE9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3A9E990-7801-43CD-A45B-B20A62B11EE4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08E0CB4-40E7-4A9A-A701-595EF42E2910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BA769A-C0DF-4B90-A8C2-8E641A3F7B93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BBA9364C-8393-4C5C-A542-A8768DCDB8BB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1F190245-9ACD-44DC-BBD5-3DCA7075B48B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2180D198-5EE4-41CB-9BA3-71E73952D7CF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DAA1CC7-4388-4137-AF5C-D5FB1491556A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AA846B5A-45CB-4AB1-BF3D-0D27910AF0AA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2685A67F-3079-4485-A0BE-0D7B3A9B18F0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F56F7C31-7F96-4CBA-B518-4A46F26A8171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B5D05B7E-6111-4273-A484-DBE43FBD2292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70526334-53E4-4AEF-A294-992E87A61280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870401" name="OptionButton" hidden="1">
              <a:extLst>
                <a:ext uri="{63B3BB69-23CF-44E3-9099-C40C66FF867C}">
                  <a14:compatExt spid="_x0000_s870401"/>
                </a:ext>
                <a:ext uri="{FF2B5EF4-FFF2-40B4-BE49-F238E27FC236}">
                  <a16:creationId xmlns:a16="http://schemas.microsoft.com/office/drawing/2014/main" id="{00000000-0008-0000-3100-0000014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870402" name="Option Button 2" hidden="1">
              <a:extLst>
                <a:ext uri="{63B3BB69-23CF-44E3-9099-C40C66FF867C}">
                  <a14:compatExt spid="_x0000_s870402"/>
                </a:ext>
                <a:ext uri="{FF2B5EF4-FFF2-40B4-BE49-F238E27FC236}">
                  <a16:creationId xmlns:a16="http://schemas.microsoft.com/office/drawing/2014/main" id="{00000000-0008-0000-3100-0000024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2C22631-316C-45E0-BB9F-E13A97412DB0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04AE52E-9FB6-427E-9308-0184936AC887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B3397A70-3879-410C-943E-A66F881F11DB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E839DD7-38B0-4BDB-B695-4A915AA4BA53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696FE50C-DCD8-4C77-9CE8-80071341531F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C908B4A6-25D5-4F36-9C13-E93ECCC79270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F84E2027-7D85-4BF9-9433-E2646264CBF3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4A51CC84-010F-4129-9E29-9EF8F8367355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62E4AC4-CF93-4A76-8E34-816C17325D91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97EF6C74-3EB0-4655-B034-325621477996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4BBFAF39-F53E-4A8E-B120-614DAE36E65F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17454D9-E0A8-42C3-9E91-BCF9AEAF1C58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E194468-3239-48F9-8713-974F729E423A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7B711BA3-B22D-48E9-A916-A68EA69DB0EA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F4D10F2-BBDE-438F-907A-C301908B3F04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B5ED2796-CBA6-4039-8746-4DEFBE7BD0F2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3D57D73-95E9-4F3D-BFA1-B026C3B7A8D1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7D35F6C2-70F8-48F4-8976-A7B8AAB6CC0E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2B8A4348-2499-45CF-AC82-039EF6C3E90B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BD453278-246A-4556-9E08-4E1CB0E89A2A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9FA20FDC-1676-4383-BB92-6E2DDFBE8A0D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2EF16D5-0D18-4195-B4F7-B8B353055BC5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A52368D2-5B9A-4E4F-BB5C-F55763B4C2DA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82009BCC-3A07-468C-A9DC-06B4F44D5E94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31BBA4DA-D1AA-426C-BB6E-02641259805A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9B4C7972-B205-4B6A-A76F-95ACD006FC66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1D74FA2-4D0E-437C-B626-BF3C0C9D91D6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42924C56-97DD-485C-AF48-58A2078C4262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728065" name="OptionButton" hidden="1">
              <a:extLst>
                <a:ext uri="{63B3BB69-23CF-44E3-9099-C40C66FF867C}">
                  <a14:compatExt spid="_x0000_s728065"/>
                </a:ext>
                <a:ext uri="{FF2B5EF4-FFF2-40B4-BE49-F238E27FC236}">
                  <a16:creationId xmlns:a16="http://schemas.microsoft.com/office/drawing/2014/main" id="{00000000-0008-0000-3200-0000011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728066" name="Option Button 2" hidden="1">
              <a:extLst>
                <a:ext uri="{63B3BB69-23CF-44E3-9099-C40C66FF867C}">
                  <a14:compatExt spid="_x0000_s728066"/>
                </a:ext>
                <a:ext uri="{FF2B5EF4-FFF2-40B4-BE49-F238E27FC236}">
                  <a16:creationId xmlns:a16="http://schemas.microsoft.com/office/drawing/2014/main" id="{00000000-0008-0000-3200-0000021C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9BBA4BE-FD89-4A87-90AB-580FD89B45F7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EB29A66-8A00-461D-94DE-02E014BAA441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9733ED9-7F09-4FD5-BD57-512D1DC2750F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1A286E3-4BB4-43EE-951E-05F17FE7901D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A63DE9F4-5069-4A9A-9319-C9938353234E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DAB7206-B3C7-4998-85BE-0DFEF46FEE9C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96B4872A-6A26-4531-9ACB-67A1355A3BE7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F965DDD3-7CF5-4625-9BD9-4DFF40F9302F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847A7D7-4D3E-4C41-9E9D-8CA7A52E9CE4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A2DADA06-69FD-4650-A7AC-487D54134788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CA8281B6-2DB6-4782-B1E3-FF887662A779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E23C509-2357-498F-9487-CEEC9C3787C0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16C1335-B9CE-4B5B-9674-3A316963D105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8DB0CC99-01BB-4992-B8BB-BA4BB86F22FE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DDAA8AD-A289-4433-91CB-D7F999AFAFC7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9336859F-8EF0-4050-9A1B-D448360DE409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45D191E-2230-407F-A272-2D01F5E37654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C0C658A-913A-48C6-808A-B8528FE69ED9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A4A2A29E-AD3B-4B00-9BA6-15704F5302DD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D048FA69-7411-46DA-B757-C13E836407F4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DAADED7E-DDA9-42A1-834B-3A018A7DDE19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5B54A3E-74E6-4657-8607-FE135795521B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97EB9FC6-7A98-4F82-B07D-0DCC3170F0A9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EC0D72-E6DE-481D-A298-623E95DE9442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9FA9497E-F361-43E5-9A87-11F8059151CA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E00B6AEC-9639-4EF7-9FA2-CB38027E25D3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DCFDCE2-367B-47BE-B422-E2811476BB49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D500E8C-B429-4BC4-8E7C-4A920B4C4C93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83009" name="OptionButton" hidden="1">
              <a:extLst>
                <a:ext uri="{63B3BB69-23CF-44E3-9099-C40C66FF867C}">
                  <a14:compatExt spid="_x0000_s683009"/>
                </a:ext>
                <a:ext uri="{FF2B5EF4-FFF2-40B4-BE49-F238E27FC236}">
                  <a16:creationId xmlns:a16="http://schemas.microsoft.com/office/drawing/2014/main" id="{00000000-0008-0000-3300-0000016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83010" name="Option Button 2" hidden="1">
              <a:extLst>
                <a:ext uri="{63B3BB69-23CF-44E3-9099-C40C66FF867C}">
                  <a14:compatExt spid="_x0000_s683010"/>
                </a:ext>
                <a:ext uri="{FF2B5EF4-FFF2-40B4-BE49-F238E27FC236}">
                  <a16:creationId xmlns:a16="http://schemas.microsoft.com/office/drawing/2014/main" id="{00000000-0008-0000-3300-0000026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5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5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5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5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5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5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5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5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5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5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5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5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5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5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04129" name="OptionButton" hidden="1">
              <a:extLst>
                <a:ext uri="{63B3BB69-23CF-44E3-9099-C40C66FF867C}">
                  <a14:compatExt spid="_x0000_s304129"/>
                </a:ext>
                <a:ext uri="{FF2B5EF4-FFF2-40B4-BE49-F238E27FC236}">
                  <a16:creationId xmlns:a16="http://schemas.microsoft.com/office/drawing/2014/main" id="{00000000-0008-0000-3400-000001A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04130" name="Option Button 2" hidden="1">
              <a:extLst>
                <a:ext uri="{63B3BB69-23CF-44E3-9099-C40C66FF867C}">
                  <a14:compatExt spid="_x0000_s304130"/>
                </a:ext>
                <a:ext uri="{FF2B5EF4-FFF2-40B4-BE49-F238E27FC236}">
                  <a16:creationId xmlns:a16="http://schemas.microsoft.com/office/drawing/2014/main" id="{00000000-0008-0000-3400-000002A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7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7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7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7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7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7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7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7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7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7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7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7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7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7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16417" name="OptionButton" hidden="1">
              <a:extLst>
                <a:ext uri="{63B3BB69-23CF-44E3-9099-C40C66FF867C}">
                  <a14:compatExt spid="_x0000_s316417"/>
                </a:ext>
                <a:ext uri="{FF2B5EF4-FFF2-40B4-BE49-F238E27FC236}">
                  <a16:creationId xmlns:a16="http://schemas.microsoft.com/office/drawing/2014/main" id="{00000000-0008-0000-3500-000001D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16418" name="Option Button 2" hidden="1">
              <a:extLst>
                <a:ext uri="{63B3BB69-23CF-44E3-9099-C40C66FF867C}">
                  <a14:compatExt spid="_x0000_s316418"/>
                </a:ext>
                <a:ext uri="{FF2B5EF4-FFF2-40B4-BE49-F238E27FC236}">
                  <a16:creationId xmlns:a16="http://schemas.microsoft.com/office/drawing/2014/main" id="{00000000-0008-0000-3500-000002D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8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8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8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8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8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8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8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8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8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8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8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8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8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8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31777" name="OptionButton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36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31778" name="Option Button 2" hidden="1">
              <a:extLst>
                <a:ext uri="{63B3BB69-23CF-44E3-9099-C40C66FF867C}">
                  <a14:compatExt spid="_x0000_s331778"/>
                </a:ext>
                <a:ext uri="{FF2B5EF4-FFF2-40B4-BE49-F238E27FC236}">
                  <a16:creationId xmlns:a16="http://schemas.microsoft.com/office/drawing/2014/main" id="{00000000-0008-0000-3600-000002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9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9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9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9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9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9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9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9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9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9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9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9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9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47137" name="OptionButton" hidden="1">
              <a:extLst>
                <a:ext uri="{63B3BB69-23CF-44E3-9099-C40C66FF867C}">
                  <a14:compatExt spid="_x0000_s347137"/>
                </a:ext>
                <a:ext uri="{FF2B5EF4-FFF2-40B4-BE49-F238E27FC236}">
                  <a16:creationId xmlns:a16="http://schemas.microsoft.com/office/drawing/2014/main" id="{00000000-0008-0000-3700-0000014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47138" name="Option Button 2" hidden="1">
              <a:extLst>
                <a:ext uri="{63B3BB69-23CF-44E3-9099-C40C66FF867C}">
                  <a14:compatExt spid="_x0000_s347138"/>
                </a:ext>
                <a:ext uri="{FF2B5EF4-FFF2-40B4-BE49-F238E27FC236}">
                  <a16:creationId xmlns:a16="http://schemas.microsoft.com/office/drawing/2014/main" id="{00000000-0008-0000-3700-0000024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A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A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A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A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A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A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A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A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A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A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A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A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A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A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28705" name="OptionButton" hidden="1">
              <a:extLst>
                <a:ext uri="{63B3BB69-23CF-44E3-9099-C40C66FF867C}">
                  <a14:compatExt spid="_x0000_s328705"/>
                </a:ext>
                <a:ext uri="{FF2B5EF4-FFF2-40B4-BE49-F238E27FC236}">
                  <a16:creationId xmlns:a16="http://schemas.microsoft.com/office/drawing/2014/main" id="{00000000-0008-0000-3800-0000010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28706" name="Option Button 2" hidden="1">
              <a:extLst>
                <a:ext uri="{63B3BB69-23CF-44E3-9099-C40C66FF867C}">
                  <a14:compatExt spid="_x0000_s328706"/>
                </a:ext>
                <a:ext uri="{FF2B5EF4-FFF2-40B4-BE49-F238E27FC236}">
                  <a16:creationId xmlns:a16="http://schemas.microsoft.com/office/drawing/2014/main" id="{00000000-0008-0000-3800-0000020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B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B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B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B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B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B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B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B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B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B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B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B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29729" name="OptionButton" hidden="1">
              <a:extLst>
                <a:ext uri="{63B3BB69-23CF-44E3-9099-C40C66FF867C}">
                  <a14:compatExt spid="_x0000_s329729"/>
                </a:ext>
                <a:ext uri="{FF2B5EF4-FFF2-40B4-BE49-F238E27FC236}">
                  <a16:creationId xmlns:a16="http://schemas.microsoft.com/office/drawing/2014/main" id="{00000000-0008-0000-3900-0000010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29730" name="Option Button 2" hidden="1">
              <a:extLst>
                <a:ext uri="{63B3BB69-23CF-44E3-9099-C40C66FF867C}">
                  <a14:compatExt spid="_x0000_s329730"/>
                </a:ext>
                <a:ext uri="{FF2B5EF4-FFF2-40B4-BE49-F238E27FC236}">
                  <a16:creationId xmlns:a16="http://schemas.microsoft.com/office/drawing/2014/main" id="{00000000-0008-0000-3900-0000020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 txBox="1"/>
      </xdr:nvSpPr>
      <xdr:spPr>
        <a:xfrm>
          <a:off x="14171833" y="1939925"/>
          <a:ext cx="13398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/>
      </xdr:nvSpPr>
      <xdr:spPr>
        <a:xfrm>
          <a:off x="15363825" y="1934029"/>
          <a:ext cx="22891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CxnSpPr/>
      </xdr:nvCxnSpPr>
      <xdr:spPr bwMode="auto">
        <a:xfrm flipV="1">
          <a:off x="559025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CxnSpPr/>
      </xdr:nvCxnSpPr>
      <xdr:spPr bwMode="auto">
        <a:xfrm>
          <a:off x="377189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CxnSpPr/>
      </xdr:nvCxnSpPr>
      <xdr:spPr bwMode="auto">
        <a:xfrm flipV="1">
          <a:off x="72720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CxnSpPr/>
      </xdr:nvCxnSpPr>
      <xdr:spPr bwMode="auto">
        <a:xfrm flipV="1">
          <a:off x="436581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72720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/>
      </xdr:nvSpPr>
      <xdr:spPr bwMode="auto">
        <a:xfrm flipH="1">
          <a:off x="428177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CxnSpPr/>
      </xdr:nvCxnSpPr>
      <xdr:spPr bwMode="auto">
        <a:xfrm>
          <a:off x="545901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/>
      </xdr:nvSpPr>
      <xdr:spPr bwMode="auto">
        <a:xfrm>
          <a:off x="596265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SpPr/>
      </xdr:nvSpPr>
      <xdr:spPr bwMode="auto">
        <a:xfrm flipH="1">
          <a:off x="547092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CxnSpPr/>
      </xdr:nvCxnSpPr>
      <xdr:spPr bwMode="auto">
        <a:xfrm>
          <a:off x="720447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0000000-0008-0000-2C00-00000E000000}"/>
            </a:ext>
          </a:extLst>
        </xdr:cNvPr>
        <xdr:cNvSpPr/>
      </xdr:nvSpPr>
      <xdr:spPr bwMode="auto">
        <a:xfrm>
          <a:off x="751307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CxnSpPr/>
      </xdr:nvCxnSpPr>
      <xdr:spPr bwMode="auto">
        <a:xfrm>
          <a:off x="735330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CxnSpPr/>
      </xdr:nvCxnSpPr>
      <xdr:spPr bwMode="auto">
        <a:xfrm flipV="1">
          <a:off x="383353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SpPr/>
      </xdr:nvSpPr>
      <xdr:spPr bwMode="auto">
        <a:xfrm>
          <a:off x="383353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CxnSpPr/>
      </xdr:nvCxnSpPr>
      <xdr:spPr bwMode="auto">
        <a:xfrm>
          <a:off x="391477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CxnSpPr/>
      </xdr:nvCxnSpPr>
      <xdr:spPr bwMode="auto">
        <a:xfrm>
          <a:off x="206454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CxnSpPr/>
      </xdr:nvCxnSpPr>
      <xdr:spPr bwMode="auto">
        <a:xfrm>
          <a:off x="227885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C00-000015000000}"/>
            </a:ext>
          </a:extLst>
        </xdr:cNvPr>
        <xdr:cNvCxnSpPr/>
      </xdr:nvCxnSpPr>
      <xdr:spPr bwMode="auto">
        <a:xfrm>
          <a:off x="249912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C00-000016000000}"/>
            </a:ext>
          </a:extLst>
        </xdr:cNvPr>
        <xdr:cNvCxnSpPr/>
      </xdr:nvCxnSpPr>
      <xdr:spPr bwMode="auto">
        <a:xfrm flipH="1">
          <a:off x="213003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2C00-000017000000}"/>
            </a:ext>
          </a:extLst>
        </xdr:cNvPr>
        <xdr:cNvSpPr/>
      </xdr:nvSpPr>
      <xdr:spPr bwMode="auto">
        <a:xfrm>
          <a:off x="779144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C00-000018000000}"/>
            </a:ext>
          </a:extLst>
        </xdr:cNvPr>
        <xdr:cNvCxnSpPr/>
      </xdr:nvCxnSpPr>
      <xdr:spPr bwMode="auto">
        <a:xfrm>
          <a:off x="8998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C00-000019000000}"/>
            </a:ext>
          </a:extLst>
        </xdr:cNvPr>
        <xdr:cNvCxnSpPr/>
      </xdr:nvCxnSpPr>
      <xdr:spPr bwMode="auto">
        <a:xfrm>
          <a:off x="11021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00000000-0008-0000-2C00-00001A000000}"/>
            </a:ext>
          </a:extLst>
        </xdr:cNvPr>
        <xdr:cNvSpPr/>
      </xdr:nvSpPr>
      <xdr:spPr bwMode="auto">
        <a:xfrm>
          <a:off x="11125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00000000-0008-0000-2C00-00001B000000}"/>
            </a:ext>
          </a:extLst>
        </xdr:cNvPr>
        <xdr:cNvSpPr/>
      </xdr:nvSpPr>
      <xdr:spPr bwMode="auto">
        <a:xfrm>
          <a:off x="9074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C00-00001C000000}"/>
            </a:ext>
          </a:extLst>
        </xdr:cNvPr>
        <xdr:cNvCxnSpPr/>
      </xdr:nvCxnSpPr>
      <xdr:spPr bwMode="auto">
        <a:xfrm>
          <a:off x="12656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0000000-0008-0000-2C00-00001D000000}"/>
            </a:ext>
          </a:extLst>
        </xdr:cNvPr>
        <xdr:cNvSpPr/>
      </xdr:nvSpPr>
      <xdr:spPr bwMode="auto">
        <a:xfrm>
          <a:off x="12691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30753" name="OptionButton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3A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30754" name="Option Button 2" hidden="1">
              <a:extLst>
                <a:ext uri="{63B3BB69-23CF-44E3-9099-C40C66FF867C}">
                  <a14:compatExt spid="_x0000_s330754"/>
                </a:ext>
                <a:ext uri="{FF2B5EF4-FFF2-40B4-BE49-F238E27FC236}">
                  <a16:creationId xmlns:a16="http://schemas.microsoft.com/office/drawing/2014/main" id="{00000000-0008-0000-3A00-000002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EE905C1-3A1D-4DD1-8529-9A840870315A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10025FD-CD9F-438B-96DE-1423B20102BD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6E272EA-A538-4296-8C78-ECB99AC32162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B9285FF-7684-45AD-B2B1-2497E91EBBD2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2D315F7-3C0B-4287-A4F3-1D33C98B621F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7756282-A360-45AE-82F2-8CA3229465C2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8831BC92-0C82-4B04-A42B-86AC654E7033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D26E4CF7-1A03-4255-B871-78260A60AC9B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A43829C-02DD-41A5-BCD6-1BE27113C72F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1B4F96E9-75C0-4A3A-A9BE-9851511182EC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ED70A676-FD97-4BED-A5D2-10497167D30C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13DFF37-9B35-437B-ACE9-BD94A2B03784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9AD8B83-8111-4AC0-91C2-5CFC02CE7E81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97FEC64-36B2-4D16-936A-A91036E61668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B325AEF-F322-41B5-8435-A0A37F710605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8EF36E44-C869-4472-9E93-0ABED593C752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6685464-CACB-4269-9F81-1F50A124B626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AE712F7A-F06F-4736-AB76-30517973D164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B8DF7FD-CB7E-46C2-BA2C-D9A46E22E1F7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31D9E602-E77E-4D3D-80D8-88747E48E1D1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C41FFFF-A1C6-4F94-BF12-B427A9944840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9D0B81CC-2393-417A-B0E9-10CC231BB36E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AAC33A9-A8F0-497B-914C-D2A7367D52AA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0043A2A-3D80-4610-B11F-0C058EBE10B2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67CD1A28-296C-4DEB-9C77-7840FD4E1A4A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37DE6A31-FAA8-4B97-AD13-A3C2ED9E8FD2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28F448FF-9D74-4D08-8814-ED31F247E0E3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2F261F3C-38EC-42CC-9AEF-60FA47BA2942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66593" name="OptionButton" hidden="1">
              <a:extLst>
                <a:ext uri="{63B3BB69-23CF-44E3-9099-C40C66FF867C}">
                  <a14:compatExt spid="_x0000_s366593"/>
                </a:ext>
                <a:ext uri="{FF2B5EF4-FFF2-40B4-BE49-F238E27FC236}">
                  <a16:creationId xmlns:a16="http://schemas.microsoft.com/office/drawing/2014/main" id="{00000000-0008-0000-3B00-0000019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66594" name="Option Button 2" hidden="1">
              <a:extLst>
                <a:ext uri="{63B3BB69-23CF-44E3-9099-C40C66FF867C}">
                  <a14:compatExt spid="_x0000_s366594"/>
                </a:ext>
                <a:ext uri="{FF2B5EF4-FFF2-40B4-BE49-F238E27FC236}">
                  <a16:creationId xmlns:a16="http://schemas.microsoft.com/office/drawing/2014/main" id="{00000000-0008-0000-3B00-0000029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80C1FEA-646A-4CB6-9518-048804FB22F1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090DC04-8821-4B60-B5CD-5F65A7D3EDD8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6B258C6-8025-442A-AF76-A0BCB83CB00F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C957217-D3A0-4C6B-9916-F0ECAEF49D6A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A23628DE-4BC9-4741-8B00-2BE8AA417136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E076DDD-7727-40CF-B332-12028387187B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1B6AE28-8314-4456-81EB-84EB5864E5D6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37FF0372-92BE-4B30-AC1D-334CE8FC18D9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F95DC7BC-5B19-40F2-A11E-24F717338281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5B3B881A-AEE3-4BB5-9AFA-F22A0B1CEDC2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4DE6D654-1C9B-4ED1-9A24-6CCABE646858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80B4EF00-3C89-446C-A7EB-B3734A2E1165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DA223F61-AACC-4F32-B0E7-B17F5B1338E3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47368A8C-DDAD-4F0E-915A-D2F76AE5AE20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D3561E4-D943-425E-9BEC-54BB93996E7E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9CE5BF81-544A-491F-9ABB-CF1E997FADD6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904347DB-7358-4FAC-BBB7-9B2551329264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823218A6-E21F-429F-B6F0-22FDE4570157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98C47B68-EF47-4C2E-B2EB-F4BF123B5D16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2AF7396-00FB-4EEE-AAB0-B163CF3E5DDE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7069BCD0-0493-4B51-8A14-048AC40FD345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6B406EC-E3D5-41F8-835D-20086424626C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2A052CA5-B3B9-42EC-A54C-739DD3C43F0F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42339A8A-59AE-4E9C-A43B-29757BE09360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11C00CB7-EAA5-4AB1-81DC-5F524A2C9147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87A19E6F-18B4-4EA8-A776-81811A06E2AE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FA5D1D77-0948-4029-AE29-CA41C48F73F6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DC160F38-48F0-45D4-895E-07D745AAF8D0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94241" name="OptionButton" hidden="1">
              <a:extLst>
                <a:ext uri="{63B3BB69-23CF-44E3-9099-C40C66FF867C}">
                  <a14:compatExt spid="_x0000_s394241"/>
                </a:ext>
                <a:ext uri="{FF2B5EF4-FFF2-40B4-BE49-F238E27FC236}">
                  <a16:creationId xmlns:a16="http://schemas.microsoft.com/office/drawing/2014/main" id="{00000000-0008-0000-3C00-0000010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94242" name="Option Button 2" hidden="1">
              <a:extLst>
                <a:ext uri="{63B3BB69-23CF-44E3-9099-C40C66FF867C}">
                  <a14:compatExt spid="_x0000_s394242"/>
                </a:ext>
                <a:ext uri="{FF2B5EF4-FFF2-40B4-BE49-F238E27FC236}">
                  <a16:creationId xmlns:a16="http://schemas.microsoft.com/office/drawing/2014/main" id="{00000000-0008-0000-3C00-0000020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065EABC-D945-402A-A54F-19EA4E5FAA3F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1C25512-E1CF-4616-A72E-C0414DF55B31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6A75325-9A57-442E-B914-291E3F32714B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8BF9787-1746-4014-B814-E1FC7554FE55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27715C29-0A06-4E02-990E-7F836FCA77C7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D2448A5-19EB-43D0-AC02-12D8A7370D98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2BCE2C0-77F1-4E4B-8302-2B76193A98EE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EEFDA8D-3FDD-40B3-99B7-DB6122200BD9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222BD325-4C3C-437E-B67F-FFEF160F5A10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C6A5CA3D-089A-4A83-AB19-E339E7B990E8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2467032B-8BF5-47E4-A51D-EEBAF60BA949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B4ED7C50-3B59-4BA6-8967-FACAE6C6EE74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65469F56-B1F4-4AFA-AAD8-FF25EDE76A4C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F6FC95E9-C46E-44FB-8E5F-083CAD165724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AEBC1911-281F-44E1-BCE1-05BF5EAFA1AB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F6E1AF02-C8C4-4517-B4B9-44F45637D422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FFE76F0-1217-4073-80E9-A8DB7A1E24A5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1128FFF7-00D0-43E5-8BAF-EEA58659F176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BEF54BA0-F794-4C50-97E6-884B9DE5EAFE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2B310C8D-D98B-4C12-9060-F95B5D6FEC2F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C98B2C97-A746-45D7-AE84-F23F91637924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602CF6E-B72A-428C-861D-80C7AE95BFBA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1A5894F8-DFA4-4E16-BAFC-0E04461560D4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999065E3-55C2-4932-BBBB-1A0E91CAB956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1D90BABF-5BF3-41E0-B4CA-B99CE6C324FB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6B7BA0D8-11EB-477F-B131-DFD1D3D45105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E94BE987-828E-494B-A45C-AA756866D249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67EB5F93-67A0-4C1D-B6AE-59B4BA4D1755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67617" name="OptionButton" hidden="1">
              <a:extLst>
                <a:ext uri="{63B3BB69-23CF-44E3-9099-C40C66FF867C}">
                  <a14:compatExt spid="_x0000_s367617"/>
                </a:ext>
                <a:ext uri="{FF2B5EF4-FFF2-40B4-BE49-F238E27FC236}">
                  <a16:creationId xmlns:a16="http://schemas.microsoft.com/office/drawing/2014/main" id="{00000000-0008-0000-3D00-0000019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67618" name="Option Button 2" hidden="1">
              <a:extLst>
                <a:ext uri="{63B3BB69-23CF-44E3-9099-C40C66FF867C}">
                  <a14:compatExt spid="_x0000_s367618"/>
                </a:ext>
                <a:ext uri="{FF2B5EF4-FFF2-40B4-BE49-F238E27FC236}">
                  <a16:creationId xmlns:a16="http://schemas.microsoft.com/office/drawing/2014/main" id="{00000000-0008-0000-3D00-0000029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3C915C0-DF9D-46C0-87FB-458CCB7DE804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47232F8-B6EB-48B2-A0DA-1B1664679CEA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DF864953-8AF5-4457-B094-FC1E9468E00C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23F04CE-F059-498D-8393-7180C9337CDA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325E3322-77AA-4034-ADBC-1241359ED96A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14A3675-2104-4022-913C-65DC7EA48915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5FE082AA-07CF-47CD-9E23-0B6CD6995052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57664672-5E80-48A3-BF80-90C08E033DFC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EA2B5FF-68FB-4B0D-A64A-454FDE4241DC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6EEF8984-FC0E-4CB3-A45F-8731EE54D394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B57D11E3-FBA4-4145-BEF5-3EE173D4ECF0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803F5ED1-13C0-4C13-BD07-B4D64DEB63CF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CAB54E8-E6C8-4452-98A8-10CA38C3377C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CBF071EC-D251-4F99-8561-301B036905A1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CD1273CF-6D21-4455-B091-F5264FE5BE94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9B4F951C-CC24-432C-8130-826FBA997438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4570401-F65E-45A8-9E78-809E810A9434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1E0AF1BD-F590-4460-A2C8-AB69F03D5847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BC61A0E-5B81-4512-BCBE-34DBE17B8DCD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191C7F58-3654-4F87-9E79-C1D1D1B34E3D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30733CF9-FEB1-4301-8D63-D77EA8527A20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408A5BDF-038E-4340-8F24-F272159F4C28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2ADA4CAF-AEF1-48D8-8C2D-3E0AF71CC537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132E1581-7541-4A24-B1EF-B94D9A75F19F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4E6B9FDC-180E-4D31-81B5-A47E3F499061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2BDCF6C4-0B08-4F5C-96BD-AE61CC31E901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EA64DE3-AEA4-44A8-A914-8FE3EF37B4D6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CB237AF9-055E-49B1-8C54-08B7F4109D2A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68641" name="OptionButton" hidden="1">
              <a:extLst>
                <a:ext uri="{63B3BB69-23CF-44E3-9099-C40C66FF867C}">
                  <a14:compatExt spid="_x0000_s368641"/>
                </a:ext>
                <a:ext uri="{FF2B5EF4-FFF2-40B4-BE49-F238E27FC236}">
                  <a16:creationId xmlns:a16="http://schemas.microsoft.com/office/drawing/2014/main" id="{00000000-0008-0000-3E00-000001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68642" name="Option Button 2" hidden="1">
              <a:extLst>
                <a:ext uri="{63B3BB69-23CF-44E3-9099-C40C66FF867C}">
                  <a14:compatExt spid="_x0000_s368642"/>
                </a:ext>
                <a:ext uri="{FF2B5EF4-FFF2-40B4-BE49-F238E27FC236}">
                  <a16:creationId xmlns:a16="http://schemas.microsoft.com/office/drawing/2014/main" id="{00000000-0008-0000-3E00-000002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3EEFF76-6B89-4CA9-97E8-FFE2FA21E49C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0709C2E-7861-4EB6-B5B0-7A3B6D07101F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A5184E16-8F09-4377-A123-90F5D845E264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573BF47-71EE-405F-BC7B-FD0AA99C7096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879F278-04C6-439F-A359-A102007C53A1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97AF6C8-ACF5-4545-AA45-BA80C49E142C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14A40A7B-0887-4F78-A772-A58392220EA5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C627B4B9-9550-4139-9462-E2D674C9D9DC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CCF5284-DE41-4042-803B-432BFA833C44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453C5010-5358-4E27-B18E-83C85E95FF96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88AF8345-0DEB-4DD4-B33F-39C8A74BF107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FFABEAA-7269-4E93-AEBC-723595A6576C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502D8983-18F4-4A6A-B524-F10FD2FDEAB9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C05C2883-A49F-4F61-896B-90C2378AF854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25314F2B-AAFE-4182-BF73-CF002471CB86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CB4E31ED-65AD-4983-847D-461E1F727B42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EC749951-B006-4447-AA5F-1760E582931F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F5018E40-2610-419A-8EBD-12DD5651F3EE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8477BDE-02CE-4804-8B0B-4ED80DE6ED2C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492170C0-B93F-452D-94DA-E2094F8A18B3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A0F326B-BAFA-4F6E-81DF-72B66B7B60F5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FDC9D32C-1817-4923-9169-8D7626896A5E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7EF78360-3504-4ECC-B12E-834B9B8D27D3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6DB4CDE-2D32-4966-B720-5FF8A5B8EF80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6989A7FA-B347-489D-B583-92E34806E9DA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F43D0DFB-5EA3-4D31-99EF-0AE19850F4CE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E3AD101-3A6F-45F7-B1F8-371EF1EF62AF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9F3AD63B-4EC9-4C4A-A6E8-F51DDA8AB87A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80929" name="OptionButton" hidden="1">
              <a:extLst>
                <a:ext uri="{63B3BB69-23CF-44E3-9099-C40C66FF867C}">
                  <a14:compatExt spid="_x0000_s380929"/>
                </a:ext>
                <a:ext uri="{FF2B5EF4-FFF2-40B4-BE49-F238E27FC236}">
                  <a16:creationId xmlns:a16="http://schemas.microsoft.com/office/drawing/2014/main" id="{00000000-0008-0000-3F00-000001D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80930" name="Option Button 2" hidden="1">
              <a:extLst>
                <a:ext uri="{63B3BB69-23CF-44E3-9099-C40C66FF867C}">
                  <a14:compatExt spid="_x0000_s380930"/>
                </a:ext>
                <a:ext uri="{FF2B5EF4-FFF2-40B4-BE49-F238E27FC236}">
                  <a16:creationId xmlns:a16="http://schemas.microsoft.com/office/drawing/2014/main" id="{00000000-0008-0000-3F00-000002D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66E4787-3D21-431F-91CB-25509051C3B0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1C24B8-FF04-4BCD-BD73-A9AF820F9DD1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B1AA670-8DA7-4111-A45A-D2F3AD867CB8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AE265B2-C02F-4176-BE34-8BAB750846AA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3B228BDB-6EEF-4FF4-8C7B-87F82B8C51F0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5CAA308-A754-46E4-9CB3-ACEE2C71396F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632C60CA-6F03-4689-9445-759B937EF34C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A8513D07-D81D-4E33-9838-E53ACD64D1B3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5949E1F-F46B-4A40-ACEE-C69ADFEFA971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A2892555-F81D-4CAB-8F9C-9C9C04F4843A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C717B007-8D7E-4A1A-9013-72622C82E632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8154CE88-57A4-484D-844E-014D77EDF4ED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9C739017-B8CC-48AD-9039-F240CB88A0CD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7FD22B9E-9970-4102-AC0C-D66543412EB4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D34BE091-4DA3-4F4B-83E8-A7CB7056DE1C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0EC679BC-B137-421F-8BD1-766DA581A972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1881A794-10A5-4718-905F-76752E4BFF31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5ED7BC1F-9F20-4A1F-BAB6-DF3329D00F76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9028ED18-8D03-4974-AD29-BAA4627BC605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3FCA6081-8AA7-4DA7-BC3A-C992E88F21B2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78890EC7-1301-4509-A9C7-5EB7786310FF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2FC345E-CA3F-4446-8051-F0C5112C1491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247A77B-1448-4182-B6E1-48D0C25B3EAD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FF76F203-0A15-406A-BFF7-9FCF824DBC9D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B0FA5752-A0EB-43B7-BD5D-6F7E6536073E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1AE35A99-BA95-4763-AACA-FC8172F6ED0C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25897449-B05E-4BD2-A1AE-FFF4A78386FE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C9227892-7331-4F79-B563-759674FD6EB2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81953" name="OptionButton" hidden="1">
              <a:extLst>
                <a:ext uri="{63B3BB69-23CF-44E3-9099-C40C66FF867C}">
                  <a14:compatExt spid="_x0000_s381953"/>
                </a:ext>
                <a:ext uri="{FF2B5EF4-FFF2-40B4-BE49-F238E27FC236}">
                  <a16:creationId xmlns:a16="http://schemas.microsoft.com/office/drawing/2014/main" id="{00000000-0008-0000-4000-000001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81954" name="Option Button 2" hidden="1">
              <a:extLst>
                <a:ext uri="{63B3BB69-23CF-44E3-9099-C40C66FF867C}">
                  <a14:compatExt spid="_x0000_s381954"/>
                </a:ext>
                <a:ext uri="{FF2B5EF4-FFF2-40B4-BE49-F238E27FC236}">
                  <a16:creationId xmlns:a16="http://schemas.microsoft.com/office/drawing/2014/main" id="{00000000-0008-0000-4000-000002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CBD5933-CBED-405C-9FCC-77E71C24840E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7F13543-9EB7-4E64-BD58-AD8A468B64C7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D43DF6CC-EFC9-4BDB-8CBA-327C6320454B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2BDC837-2FDD-4B9A-8395-D0166D858388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26D3B12-26B2-4384-B292-241B5C1889F8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FEA9CE7-49FD-4136-8684-47A88CCF86A5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B864AF7-C6A1-4944-B08D-D5F5709A0945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EABFC9DA-D89B-4289-87DF-8A5A7B5BDB05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FAE3EA1-B740-4D3A-BF0C-1630EB3FC5DB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A55E737A-79D8-4836-93A0-0F54EDDF0C78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4BA3EFEE-1A03-4DC8-AC5F-EF5998377C63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412EF8B-D782-4D89-B073-C67451F7E03D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F3A79E9A-2F4D-4C8F-B7C4-9B35D7B1B615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6C9B0367-205C-4058-841D-0281F73970E9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BD5AF7B6-0554-40CE-A556-C04563BB4EA9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E516AD65-14B5-4654-B0F4-CC7896EDF534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4E1067F5-D957-492D-8FC2-671BB1C7A814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5EF49AC6-9433-4220-9654-C27FEA89EA84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214C8F3F-BEF8-41E9-8005-4F76DE2E65FE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E2BB0203-EF6E-41F6-A19E-E5C7ED6A63F0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B93DC808-E28A-42A4-BB63-0605C271B23D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FA5A1C5-B97D-4D2E-A3ED-F5DA07648E22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280C789A-FE91-4136-A87B-13E483D954BD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E662CEAD-606B-46EF-BB4D-BC0758FE11B9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CFF691A5-A5CF-435E-A315-810C42869AC9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3870E245-DA51-4FFF-B3D4-01B24B073E7C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F7EFF48B-F3EB-4BDB-9476-97A03797FBF7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342BF467-9C93-4506-ABBE-FD0D9DB24EAF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95265" name="OptionButton" hidden="1">
              <a:extLst>
                <a:ext uri="{63B3BB69-23CF-44E3-9099-C40C66FF867C}">
                  <a14:compatExt spid="_x0000_s395265"/>
                </a:ext>
                <a:ext uri="{FF2B5EF4-FFF2-40B4-BE49-F238E27FC236}">
                  <a16:creationId xmlns:a16="http://schemas.microsoft.com/office/drawing/2014/main" id="{00000000-0008-0000-4100-0000010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95266" name="Option Button 2" hidden="1">
              <a:extLst>
                <a:ext uri="{63B3BB69-23CF-44E3-9099-C40C66FF867C}">
                  <a14:compatExt spid="_x0000_s395266"/>
                </a:ext>
                <a:ext uri="{FF2B5EF4-FFF2-40B4-BE49-F238E27FC236}">
                  <a16:creationId xmlns:a16="http://schemas.microsoft.com/office/drawing/2014/main" id="{00000000-0008-0000-4100-0000020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3DA5BFB-E276-4BC7-A56A-C1B3A8589667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2D3BF34-54C0-425B-84B3-ADDBF798FCAB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5C5E51F-A851-48D7-A4DC-221C27183E9B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E098628A-2C7B-4411-A1CD-A7CF70DBEA0F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2807C320-0F38-4CAB-9B51-1FC2087796D7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87081AA-FD42-4E0F-A3F4-0775EE008A40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56E2B76B-6AE3-43B1-ACE0-08235799ADC1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749E628E-0FB3-44CA-B357-D74CE5731008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27AB4B16-2226-4A04-95D0-1AEF7F0060E4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BF3B40E6-9963-4113-AD29-C0A52C624D62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4D54E04A-C7A3-43E0-AD25-A8FAD54424FF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BD44B44-AE52-459C-BDCA-E0AB89551F8C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63694B03-CD82-41A4-B08E-206B8CDB17F3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9B1DBF36-D264-4D27-81CE-3541FF7357C8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8C82B0CA-E7C7-4846-82CA-571F64ECA71E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7F4139BC-A9FB-43D7-9814-22C122D2BDBA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7E0B984A-E35D-4992-BC49-92C958F2A304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D74B2DD-7B38-4BDC-B5DA-00DBA9191FDA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7F24FA6-B0A3-4DF3-A5D6-FF18BF19FA57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9EB410A-D93F-46B8-9104-3E0F7F21E0F9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2974D56F-7FD7-4281-B685-633B1263800C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7D00E50F-22C5-40AB-A743-F680D8E0735C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A096C6F3-2A6E-440E-8D12-6963A0B2C2F8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CD010118-5549-4D28-A8DF-DA664C181558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10099C37-5DD3-4B75-99A2-94AE7889F37D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72EDB26E-682A-4B0B-B49C-AC9D4E79106E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78849535-5138-49BE-B529-2552F926327F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B557A7E4-AA7F-45FF-979F-BFEAD089BC34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12001" name="OptionButton" hidden="1">
              <a:extLst>
                <a:ext uri="{63B3BB69-23CF-44E3-9099-C40C66FF867C}">
                  <a14:compatExt spid="_x0000_s512001"/>
                </a:ext>
                <a:ext uri="{FF2B5EF4-FFF2-40B4-BE49-F238E27FC236}">
                  <a16:creationId xmlns:a16="http://schemas.microsoft.com/office/drawing/2014/main" id="{00000000-0008-0000-4200-000001D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12002" name="Option Button 2" hidden="1">
              <a:extLst>
                <a:ext uri="{63B3BB69-23CF-44E3-9099-C40C66FF867C}">
                  <a14:compatExt spid="_x0000_s512002"/>
                </a:ext>
                <a:ext uri="{FF2B5EF4-FFF2-40B4-BE49-F238E27FC236}">
                  <a16:creationId xmlns:a16="http://schemas.microsoft.com/office/drawing/2014/main" id="{00000000-0008-0000-4200-000002D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A6BBE48-CA0A-48F5-A5DD-F3757B226950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9BB76B9-2828-4437-B1F1-12E77F1D8C3E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D46AFDC-0496-4934-92F0-ECBFF2627209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855075A-FDD9-4869-AD26-46DB9231161B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7244CB8-850E-43C9-A294-9A76084E0C59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716EF55-F567-4413-8E15-3C8A0272F356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19C21248-C6FB-4CD3-B8BC-36A2E0D32FE3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383637A2-D147-4613-BC02-2A9A654722FE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1B7D165-A1B5-4D5B-8F2A-754F6919427F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1829B4F3-2A77-4C5C-9F17-0919815E6C2A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836CA130-7783-4F7A-BEE0-F4B7B046FE13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2073C58-9334-4BA3-B8D7-3AC50AEC492F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DE5D4ABD-A071-4042-9A75-EE4C88C0E58E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C007D21A-D676-40E4-B261-15693F045392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92CDEE6-E56A-4582-82C2-764622AE3EAB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3EB6DBC2-6D62-42AC-95BD-B991AE506451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18B3068-DF8B-4820-91D0-BD4F31958AB7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29B93069-098D-4C97-90C1-7467F245304F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B4DAE38B-2B58-4509-8FD7-AEA1DE3CE156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4D2EE966-4AE3-4F07-8258-12FCD824652F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191235F5-9F7A-4A4C-A83E-8E5AD3390A48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28B480A0-03DB-495F-B446-3E064F4F2815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2288445A-D2D1-45A4-847F-DCAD11749987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8D29128-5DDA-4233-9117-617A50E8C302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2F45ED4C-06A5-42D6-B5F4-BF49860E743F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B23A0C64-7214-4297-B4F0-5C7D27E5417B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AB8F13C4-7B38-403C-9B2B-2B61A172F04C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E31870F2-2B40-48A1-A212-791D63CA9820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56385" name="OptionButton" hidden="1">
              <a:extLst>
                <a:ext uri="{63B3BB69-23CF-44E3-9099-C40C66FF867C}">
                  <a14:compatExt spid="_x0000_s656385"/>
                </a:ext>
                <a:ext uri="{FF2B5EF4-FFF2-40B4-BE49-F238E27FC236}">
                  <a16:creationId xmlns:a16="http://schemas.microsoft.com/office/drawing/2014/main" id="{00000000-0008-0000-4300-0000010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56386" name="Option Button 2" hidden="1">
              <a:extLst>
                <a:ext uri="{63B3BB69-23CF-44E3-9099-C40C66FF867C}">
                  <a14:compatExt spid="_x0000_s656386"/>
                </a:ext>
                <a:ext uri="{FF2B5EF4-FFF2-40B4-BE49-F238E27FC236}">
                  <a16:creationId xmlns:a16="http://schemas.microsoft.com/office/drawing/2014/main" id="{00000000-0008-0000-4300-0000020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D936EFD-AF78-4570-B8A9-F46DA7458DF2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2BCC25B-D23F-4A94-96B0-E8F1CF76EB19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AF97B08-5C95-4CD9-B40E-B834181CD6AC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7029DC65-8678-4C69-B2CE-F9716BA05E8E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A9E3735-A57F-47AF-A944-5DA184A96265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6AACDC3-1649-4A7A-A342-2D1206F577A4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B8849CEA-C7B9-4D18-835B-F1A6FB3E46C8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3447B9E-E3C6-4292-A4D4-171341622C93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D343899-84CA-4E1D-BF35-6364CE36DFD6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E5C76BA7-20B9-4F4C-816D-5E26B179624E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5E059609-D331-45F4-850C-6B3AD2D0680B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E7335CB-AF10-4C2C-99B2-6B5C78C7CD0F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E54AA17F-7DAF-4E37-9968-670378F82BC1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C4136FF-5BAD-4572-8D7C-DCB5FE23C08C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1DDF09A-9C54-4C5A-82EF-D1589C118544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B854D52D-C8D6-4D5B-AE2F-5CFE7F38F910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C56001A2-B4AD-4DDB-99E1-02A257382680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EBE2BB9D-FB97-4D92-9AE7-0731CC4909F1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D1528D12-69C7-460B-AC0A-D3FB1A6620B0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21A66476-A4D5-4BAF-8F25-C0243818165B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606B832-420C-4613-8201-8571136AFCD0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57233E7-2FD2-4F87-B43F-82EB2601890A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B75BD5B0-C142-41A4-BDF8-148BF5450DB5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C550D97-7FFD-482F-BC51-16B3F5E9DBAD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7BFD4BC9-306A-4359-8DFC-074271ABEB7B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561DBFE8-29CB-4DA0-BE39-ABD3AE5CE324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85D266F1-F1E3-412E-B276-D1E350A5CA44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D49F18FB-8F19-4975-A29F-5B6299E8D2F8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59105" name="OptionButton" hidden="1">
              <a:extLst>
                <a:ext uri="{63B3BB69-23CF-44E3-9099-C40C66FF867C}">
                  <a14:compatExt spid="_x0000_s559105"/>
                </a:ext>
                <a:ext uri="{FF2B5EF4-FFF2-40B4-BE49-F238E27FC236}">
                  <a16:creationId xmlns:a16="http://schemas.microsoft.com/office/drawing/2014/main" id="{00000000-0008-0000-4400-0000018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59106" name="Option Button 2" hidden="1">
              <a:extLst>
                <a:ext uri="{63B3BB69-23CF-44E3-9099-C40C66FF867C}">
                  <a14:compatExt spid="_x0000_s559106"/>
                </a:ext>
                <a:ext uri="{FF2B5EF4-FFF2-40B4-BE49-F238E27FC236}">
                  <a16:creationId xmlns:a16="http://schemas.microsoft.com/office/drawing/2014/main" id="{00000000-0008-0000-4400-0000028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0B295E2-BFDA-4800-BC49-61F1DA13B1CA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7DD0361-EF06-4CA7-8165-327BC36C0D11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C03F3E8-D5DA-4AA3-968B-2491BA9AD17D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5008B000-61DB-4337-A769-6649D6B46CE0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5B7F86FA-0727-48EC-8DB2-CE62C73254C7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2C46BB1-6BA0-42D1-9CFA-5DC3AD8888BE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23AF589-96E8-4332-91C8-ED1DCB2ABA00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193B53FF-336A-42B0-863C-8A79E55D0482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213092D-EC8C-432C-A778-987AEB681B77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9BE535DB-EA89-49D0-89DA-1B183496A61A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3050F1D8-0427-4191-AA51-4BA5EA10E8EA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E362FE7-CB8A-4807-B7B0-D28A8B9170A5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C925C0D-4549-4336-8099-D6F2588EBBE3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2939D4B-3328-4427-AB67-FC97F03273D6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160D6EDB-B907-4C06-A18B-9E689EAF2317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D1D91D52-6D82-47BC-840E-422AD69B79DB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E231F35-332F-40A7-B643-01C42423D4DA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D79A1B0F-9E4B-4AF8-9B82-2AACF4450663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89AE93FA-A935-49CE-8647-8AF30126345E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F20DB98D-EA37-4534-88B3-7A1B0E398E46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B16031E9-6291-4D10-B3E9-DE3AB5385056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0AF046A-B347-4162-BDCE-9900979BE15B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A1BF8BD7-4E78-46F0-8420-E050EC66257D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19EB5D4-7EFD-4F9E-A602-14E260FAFA70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749B5DC1-82D9-4282-8EF3-F36E1461A29D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ADA8A42D-E437-4467-9C79-EC0BDAA6AC98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7D6C89E5-ED8B-451B-AF4C-67B6EA8EB40E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ABD454B-02D5-454F-95DE-9FBD96855B65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11649" name="OptionButton" hidden="1">
              <a:extLst>
                <a:ext uri="{63B3BB69-23CF-44E3-9099-C40C66FF867C}">
                  <a14:compatExt spid="_x0000_s411649"/>
                </a:ext>
                <a:ext uri="{FF2B5EF4-FFF2-40B4-BE49-F238E27FC236}">
                  <a16:creationId xmlns:a16="http://schemas.microsoft.com/office/drawing/2014/main" id="{00000000-0008-0000-4500-000001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11650" name="Option Button 2" hidden="1">
              <a:extLst>
                <a:ext uri="{63B3BB69-23CF-44E3-9099-C40C66FF867C}">
                  <a14:compatExt spid="_x0000_s411650"/>
                </a:ext>
                <a:ext uri="{FF2B5EF4-FFF2-40B4-BE49-F238E27FC236}">
                  <a16:creationId xmlns:a16="http://schemas.microsoft.com/office/drawing/2014/main" id="{00000000-0008-0000-4500-000002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33EDE75-2D7C-4F5A-9970-C525FD886AEB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2FEF5D5-11C0-4A28-BFD5-AEC5A47988F6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D0696B1-5AA2-48E9-82AA-34AE147EE2C6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3766D56-7CDD-494F-A7A0-5308D283E6C4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7A668187-3756-486F-B40B-D89214330DA6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43C41D3-CB5F-4A68-972C-7A9BBBBBA876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05FDACA7-186C-4119-9E10-EDAE5CEFABBB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7CC01ACA-E4EA-43EB-9AD9-F1623DABD8B7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3D6AF42-2169-4F07-865F-64ECA043151B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8E860A55-8D2B-498E-9DE5-6EDDF1E515A6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7B764896-37D2-40F5-ADFF-2BE28B6A0478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0D300F9-D143-4C64-85FF-BDC2DAE33977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9EFF4350-26C0-4AEA-9B7C-16804441CB13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DC67AA02-3055-4F65-B05D-051EA757C2F0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41E3F166-A589-483C-BB36-41FDBAC6E843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5BDC5711-DEE9-4F95-BC4E-60BE17B0CC63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C9DBF20-DF8E-4277-B359-840AC823959B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59793D2B-4CA3-450C-B2D6-77DC8C5F7990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B36479B8-905F-4148-8BA9-8A66F9C93E50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FF7CD6D1-A767-46F6-B541-DC321491E703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D8BD8308-87BD-4CF8-B852-A04D845BDB11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CA2150A-D01C-47C9-80F5-877058A2F225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92B79385-2F48-443C-940B-3AEB49554CDF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E48C4F1D-CE02-4BBB-B298-9B3F2EB31562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26987646-6029-4843-9330-EFB889F49728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A2E66F8B-0678-4CF9-B73F-4F591DB4DE2B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4858C96-2A67-4CFA-8CD3-DB26C245688F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673EFB6-B2B5-44A3-B2AD-96971D606E9F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23937" name="OptionButton" hidden="1">
              <a:extLst>
                <a:ext uri="{63B3BB69-23CF-44E3-9099-C40C66FF867C}">
                  <a14:compatExt spid="_x0000_s423937"/>
                </a:ext>
                <a:ext uri="{FF2B5EF4-FFF2-40B4-BE49-F238E27FC236}">
                  <a16:creationId xmlns:a16="http://schemas.microsoft.com/office/drawing/2014/main" id="{00000000-0008-0000-4600-0000017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23938" name="Option Button 2" hidden="1">
              <a:extLst>
                <a:ext uri="{63B3BB69-23CF-44E3-9099-C40C66FF867C}">
                  <a14:compatExt spid="_x0000_s423938"/>
                </a:ext>
                <a:ext uri="{FF2B5EF4-FFF2-40B4-BE49-F238E27FC236}">
                  <a16:creationId xmlns:a16="http://schemas.microsoft.com/office/drawing/2014/main" id="{00000000-0008-0000-4600-0000027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7448B3E-9117-4B84-A810-5B9094B2F7C0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C8FDBEA-E0D3-4987-93B1-504571C09463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2354F59-B518-4C82-B7BB-DA7B403CBAFC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1A2D823-6925-485D-8500-A73B7C2B6B68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5BD229A-E367-4C04-AB3C-479F54E48646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E7E20C2-60B5-4BA3-B63A-587370F2A57C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CB432E2D-02BE-4A36-B5A2-6CC84638872F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B9FB430-D890-4773-8346-660D893E0577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F352725-EE4D-4B4F-AE65-4FA8433DFB3D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4B382BD3-71DB-43A8-A4A3-4203153B647D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C333AF26-E982-49F7-9C9D-D6A83A7C8946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364B124-591D-4217-961B-92209BF80C02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7C803C5D-29C9-43E7-8D1E-A69FE653F3AA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2F591A37-1862-45B6-9E10-9A10E73DD529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81F63A6-D338-4951-8365-5C41246A4455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ECC9476B-BF2D-4AEE-A09D-027472560DB6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E0579FA-69FB-42D4-8B1A-BD6A7B99FBCC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E20855FF-9F0C-4EC7-B9C3-9BA31E38FAB2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80489A5-D589-4FC9-84CC-88D636DC9500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120A4A50-2F82-4C78-9C97-388F7E58B440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28A48D99-01C7-4BEA-ADA5-60FE0C231AE1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5BF62F2E-D2AB-43AD-A921-D64D0E855E51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63F69EF3-67A0-4A0C-A615-10430C732064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BCE0E3B-4573-45D8-A816-967AAABA591E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5FE317BD-D76F-4E18-B8BE-426D33372F73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393B395A-DA5B-4369-B35B-0530D5ADF297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6160F580-333D-43E6-A335-FCAAFB86B53C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B41D3BC-0F1F-45B6-8BA2-357DACB94261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36225" name="OptionButton" hidden="1">
              <a:extLst>
                <a:ext uri="{63B3BB69-23CF-44E3-9099-C40C66FF867C}">
                  <a14:compatExt spid="_x0000_s436225"/>
                </a:ext>
                <a:ext uri="{FF2B5EF4-FFF2-40B4-BE49-F238E27FC236}">
                  <a16:creationId xmlns:a16="http://schemas.microsoft.com/office/drawing/2014/main" id="{00000000-0008-0000-4700-000001A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36226" name="Option Button 2" hidden="1">
              <a:extLst>
                <a:ext uri="{63B3BB69-23CF-44E3-9099-C40C66FF867C}">
                  <a14:compatExt spid="_x0000_s436226"/>
                </a:ext>
                <a:ext uri="{FF2B5EF4-FFF2-40B4-BE49-F238E27FC236}">
                  <a16:creationId xmlns:a16="http://schemas.microsoft.com/office/drawing/2014/main" id="{00000000-0008-0000-4700-000002A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A50AD14-DAA1-4135-8528-A1D0CC1F8693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DB34BB2-58EC-4F2F-B03F-3F9772D6302A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98C1406-C03A-4376-BD9F-BC87AA059FB9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B8351BFB-C757-4916-87EF-99ECAE077F2E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99766A2-4A74-4ED9-B1A5-E40B5C1069B3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384B5FF-F4BE-4541-A0FD-2FF89D47E6F8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37E31BC1-71B7-421C-9D37-B2204EC58F3F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0A89192E-E9AE-47BE-BE48-BC54F55357FF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45B2F92-5305-4289-9953-BA4E3A213D4F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2AC2FD4E-7417-4727-B1A4-E032FE054F0B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36C7B9B3-26A3-4362-A4E7-A6160C8DF04B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958CA664-3391-4CA3-BE5F-D95D6B2D5B0C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9BBBC41C-2B5E-4414-B92E-6FCA345845E4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FD20E3A7-A2D6-41E1-95FC-CAFF6F1BCA78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BF9CE8A3-6B48-4FE2-927C-DE2FD61F9531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F5C3C614-03AC-4211-BF21-57AD689AAD11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DB3B3BF-8BAE-473F-9DF9-88FB093B25E8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2E974B90-FD7B-4E73-A77D-6770555ED36C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4867B408-6BF0-46D4-B85B-0AA293F2AA71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818FF5A6-FD0A-48DA-81BD-12700AFF72EC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505D4DF2-CB39-4C8E-9AD8-FE526C8C73C3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87B1D08-A70F-4F05-9C22-235542B3C642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7991C7BB-B66B-4E70-9791-58F211405706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44475E6B-7EBB-43AB-9DBC-D74C01E55026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587F6E7A-D4E2-4DE1-8A22-DB6FE3A14193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CE1D3E0E-CA12-4941-87FA-9FE81882B8C0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2908542E-1A62-4BC9-B9EF-5EB627D03AC6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7BBFC6A2-DD4E-4E88-9503-F783F35A8F7A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615425" name="OptionButton" hidden="1">
              <a:extLst>
                <a:ext uri="{63B3BB69-23CF-44E3-9099-C40C66FF867C}">
                  <a14:compatExt spid="_x0000_s615425"/>
                </a:ext>
                <a:ext uri="{FF2B5EF4-FFF2-40B4-BE49-F238E27FC236}">
                  <a16:creationId xmlns:a16="http://schemas.microsoft.com/office/drawing/2014/main" id="{00000000-0008-0000-4900-0000016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615426" name="Option Button 2" hidden="1">
              <a:extLst>
                <a:ext uri="{63B3BB69-23CF-44E3-9099-C40C66FF867C}">
                  <a14:compatExt spid="_x0000_s615426"/>
                </a:ext>
                <a:ext uri="{FF2B5EF4-FFF2-40B4-BE49-F238E27FC236}">
                  <a16:creationId xmlns:a16="http://schemas.microsoft.com/office/drawing/2014/main" id="{00000000-0008-0000-4900-0000026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D052D1F-9759-4C8A-8E15-D820AD041C4E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C2AC6F3-C177-4D01-A209-3B81B76AA69A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683BDA1F-641B-43D0-893A-B5B35D46D7F9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E603CD1-CE22-4C54-BE41-55EB8C5CB000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49627CB-F310-4624-8E6C-73CBBA2F6549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CD7DC68-E660-4948-9653-778F7146BF08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7761959B-670E-4524-B443-AD3AC2C6CA77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EAA78D8D-E2BD-4FC1-8EA8-675D303D3B9E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8ADFD30-13DC-4347-A616-4A8A7D83357C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3F3DA6CB-8C7D-48FC-B993-2A23DADCEE5D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04639765-A436-422A-AD23-7748A6314600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0EECD3C-7B2E-427D-9B90-3222A9F96FB8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48DBBE76-9302-41F9-8E85-6EFB6A13C0B9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2902163F-867A-4EEB-B907-45CA1219B207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9F4B7BB3-89AB-4CC2-9FD5-C7F89C26E21F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DCF4D5D5-B273-462D-8577-1323458D394A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7A9C511A-6E26-4AFD-B488-B0B332E1CDE9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A8A50F5-A0A4-4AF2-800F-BF6B123B6452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6CD110CA-05C0-4991-BBA6-DBA016D9ADAA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926EE5A3-3031-451A-B0F3-40697815B46E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584D4018-9B11-4B97-BA49-B220ACF0592A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F0C24DAE-4560-4D47-B329-645E06AA2FB6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EE07873-940E-4BCF-8719-1B306BF76478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E33E8AE-92B8-4A2A-B44F-8846D7639758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6702BC0D-81D8-41CE-9B8D-4322F192D5C6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F4ABB84B-BB45-4BA4-BC01-56B80444EAB2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DE8A9CC4-B291-4BE6-9F09-F9569F852CD8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01FF3838-75DB-4008-937F-739C2FE3F078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68993" name="OptionButton" hidden="1">
              <a:extLst>
                <a:ext uri="{63B3BB69-23CF-44E3-9099-C40C66FF867C}">
                  <a14:compatExt spid="_x0000_s468993"/>
                </a:ext>
                <a:ext uri="{FF2B5EF4-FFF2-40B4-BE49-F238E27FC236}">
                  <a16:creationId xmlns:a16="http://schemas.microsoft.com/office/drawing/2014/main" id="{00000000-0008-0000-4F00-0000012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68994" name="Option Button 2" hidden="1">
              <a:extLst>
                <a:ext uri="{63B3BB69-23CF-44E3-9099-C40C66FF867C}">
                  <a14:compatExt spid="_x0000_s468994"/>
                </a:ext>
                <a:ext uri="{FF2B5EF4-FFF2-40B4-BE49-F238E27FC236}">
                  <a16:creationId xmlns:a16="http://schemas.microsoft.com/office/drawing/2014/main" id="{00000000-0008-0000-4F00-0000022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7E1CA0A-C0D1-43C7-A9FA-7402DEC77621}"/>
            </a:ext>
          </a:extLst>
        </xdr:cNvPr>
        <xdr:cNvSpPr txBox="1"/>
      </xdr:nvSpPr>
      <xdr:spPr>
        <a:xfrm>
          <a:off x="14564263" y="1917065"/>
          <a:ext cx="14008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E76BF2D-8985-4069-8DC1-2CFCA95A72C9}"/>
            </a:ext>
          </a:extLst>
        </xdr:cNvPr>
        <xdr:cNvSpPr txBox="1"/>
      </xdr:nvSpPr>
      <xdr:spPr>
        <a:xfrm>
          <a:off x="15792450" y="1911169"/>
          <a:ext cx="2359660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58E8455-81A0-4F81-A51F-B6C4951714AA}"/>
            </a:ext>
          </a:extLst>
        </xdr:cNvPr>
        <xdr:cNvCxnSpPr/>
      </xdr:nvCxnSpPr>
      <xdr:spPr bwMode="auto">
        <a:xfrm flipV="1">
          <a:off x="5759801" y="876100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5405750-3C79-4542-A844-66E7FF1E6A7B}"/>
            </a:ext>
          </a:extLst>
        </xdr:cNvPr>
        <xdr:cNvCxnSpPr/>
      </xdr:nvCxnSpPr>
      <xdr:spPr bwMode="auto">
        <a:xfrm>
          <a:off x="3880484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A4C7A7AD-EDCD-4AE6-85D5-EF93ED93E451}"/>
            </a:ext>
          </a:extLst>
        </xdr:cNvPr>
        <xdr:cNvCxnSpPr/>
      </xdr:nvCxnSpPr>
      <xdr:spPr bwMode="auto">
        <a:xfrm flipV="1">
          <a:off x="7485418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6C7B3FE-D6C1-4C91-80C8-EC5A1F57BB06}"/>
            </a:ext>
          </a:extLst>
        </xdr:cNvPr>
        <xdr:cNvCxnSpPr/>
      </xdr:nvCxnSpPr>
      <xdr:spPr bwMode="auto">
        <a:xfrm flipV="1">
          <a:off x="4470586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C8ED8EF3-92EC-49C3-9579-D08BE04F6E57}"/>
            </a:ext>
          </a:extLst>
        </xdr:cNvPr>
        <xdr:cNvSpPr/>
      </xdr:nvSpPr>
      <xdr:spPr bwMode="auto">
        <a:xfrm>
          <a:off x="7485417" y="8636976"/>
          <a:ext cx="7843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A333CFEB-1064-41E2-872A-96840A043259}"/>
            </a:ext>
          </a:extLst>
        </xdr:cNvPr>
        <xdr:cNvSpPr/>
      </xdr:nvSpPr>
      <xdr:spPr bwMode="auto">
        <a:xfrm flipH="1">
          <a:off x="4384640" y="8629468"/>
          <a:ext cx="89862" cy="501422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3F13374-FE59-42BE-A30E-1455C63E027F}"/>
            </a:ext>
          </a:extLst>
        </xdr:cNvPr>
        <xdr:cNvCxnSpPr/>
      </xdr:nvCxnSpPr>
      <xdr:spPr bwMode="auto">
        <a:xfrm>
          <a:off x="5632370" y="9331812"/>
          <a:ext cx="67019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7E978E04-D44D-4D7F-8B05-6570A5C7DE5F}"/>
            </a:ext>
          </a:extLst>
        </xdr:cNvPr>
        <xdr:cNvSpPr/>
      </xdr:nvSpPr>
      <xdr:spPr bwMode="auto">
        <a:xfrm>
          <a:off x="6145530" y="8761571"/>
          <a:ext cx="124652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4CE5CBB6-1D4D-4D4D-828F-270CCE824D1C}"/>
            </a:ext>
          </a:extLst>
        </xdr:cNvPr>
        <xdr:cNvSpPr/>
      </xdr:nvSpPr>
      <xdr:spPr bwMode="auto">
        <a:xfrm flipH="1">
          <a:off x="5638564" y="8761571"/>
          <a:ext cx="13417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3368C863-7295-4203-92EF-354935739896}"/>
            </a:ext>
          </a:extLst>
        </xdr:cNvPr>
        <xdr:cNvCxnSpPr/>
      </xdr:nvCxnSpPr>
      <xdr:spPr bwMode="auto">
        <a:xfrm>
          <a:off x="7410211" y="9331812"/>
          <a:ext cx="66829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B913B5FD-36E8-428B-8488-66FCD8A66F58}"/>
            </a:ext>
          </a:extLst>
        </xdr:cNvPr>
        <xdr:cNvSpPr/>
      </xdr:nvSpPr>
      <xdr:spPr bwMode="auto">
        <a:xfrm>
          <a:off x="7718818" y="8632984"/>
          <a:ext cx="319328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41301DA4-8F72-451F-A1B2-8051998ECBD2}"/>
            </a:ext>
          </a:extLst>
        </xdr:cNvPr>
        <xdr:cNvCxnSpPr/>
      </xdr:nvCxnSpPr>
      <xdr:spPr bwMode="auto">
        <a:xfrm>
          <a:off x="7559040" y="8627027"/>
          <a:ext cx="17645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6F25797A-074D-415A-B513-829D2D2C7AFC}"/>
            </a:ext>
          </a:extLst>
        </xdr:cNvPr>
        <xdr:cNvCxnSpPr/>
      </xdr:nvCxnSpPr>
      <xdr:spPr bwMode="auto">
        <a:xfrm flipV="1">
          <a:off x="3940213" y="9130890"/>
          <a:ext cx="0" cy="200921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967BFBFD-4936-40C3-BDFA-DC6774712408}"/>
            </a:ext>
          </a:extLst>
        </xdr:cNvPr>
        <xdr:cNvSpPr/>
      </xdr:nvSpPr>
      <xdr:spPr bwMode="auto">
        <a:xfrm>
          <a:off x="3940212" y="8636976"/>
          <a:ext cx="87957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2A419320-C279-4C7A-A680-26A689118326}"/>
            </a:ext>
          </a:extLst>
        </xdr:cNvPr>
        <xdr:cNvCxnSpPr/>
      </xdr:nvCxnSpPr>
      <xdr:spPr bwMode="auto">
        <a:xfrm>
          <a:off x="4021455" y="8627029"/>
          <a:ext cx="367188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F042E940-DCE4-41EC-9C0D-8882684AFEF5}"/>
            </a:ext>
          </a:extLst>
        </xdr:cNvPr>
        <xdr:cNvCxnSpPr/>
      </xdr:nvCxnSpPr>
      <xdr:spPr bwMode="auto">
        <a:xfrm>
          <a:off x="2123598" y="9331812"/>
          <a:ext cx="65543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3CD1638D-56EE-489F-AC60-8A028370FB83}"/>
            </a:ext>
          </a:extLst>
        </xdr:cNvPr>
        <xdr:cNvCxnSpPr/>
      </xdr:nvCxnSpPr>
      <xdr:spPr bwMode="auto">
        <a:xfrm>
          <a:off x="2334103" y="8656556"/>
          <a:ext cx="21836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6999797-8A0A-4BF0-BD4D-AEAF7B02B711}"/>
            </a:ext>
          </a:extLst>
        </xdr:cNvPr>
        <xdr:cNvCxnSpPr/>
      </xdr:nvCxnSpPr>
      <xdr:spPr bwMode="auto">
        <a:xfrm>
          <a:off x="2552462" y="8656559"/>
          <a:ext cx="148828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1FEC60AB-262A-45BB-982A-2ABEBBCDA1F8}"/>
            </a:ext>
          </a:extLst>
        </xdr:cNvPr>
        <xdr:cNvCxnSpPr/>
      </xdr:nvCxnSpPr>
      <xdr:spPr bwMode="auto">
        <a:xfrm flipH="1">
          <a:off x="2187181" y="8656559"/>
          <a:ext cx="146923" cy="677703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15C2412-CA93-4E15-9F3C-20CB28F4F8DD}"/>
            </a:ext>
          </a:extLst>
        </xdr:cNvPr>
        <xdr:cNvSpPr/>
      </xdr:nvSpPr>
      <xdr:spPr bwMode="auto">
        <a:xfrm>
          <a:off x="8008619" y="9278535"/>
          <a:ext cx="71199" cy="47624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10161D81-ADA6-46F5-A173-87AA8FE47334}"/>
            </a:ext>
          </a:extLst>
        </xdr:cNvPr>
        <xdr:cNvCxnSpPr/>
      </xdr:nvCxnSpPr>
      <xdr:spPr bwMode="auto">
        <a:xfrm>
          <a:off x="9255774" y="9009642"/>
          <a:ext cx="75671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BE238BD8-2EA1-4012-BDBD-0327EAB7CBE8}"/>
            </a:ext>
          </a:extLst>
        </xdr:cNvPr>
        <xdr:cNvCxnSpPr/>
      </xdr:nvCxnSpPr>
      <xdr:spPr bwMode="auto">
        <a:xfrm>
          <a:off x="11335534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42142850-AA6E-453D-8937-473E5981FA9D}"/>
            </a:ext>
          </a:extLst>
        </xdr:cNvPr>
        <xdr:cNvSpPr/>
      </xdr:nvSpPr>
      <xdr:spPr bwMode="auto">
        <a:xfrm>
          <a:off x="11438033" y="8880322"/>
          <a:ext cx="47591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89DAF1C1-EDDD-470F-9B59-2DF40557FDE3}"/>
            </a:ext>
          </a:extLst>
        </xdr:cNvPr>
        <xdr:cNvSpPr/>
      </xdr:nvSpPr>
      <xdr:spPr bwMode="auto">
        <a:xfrm>
          <a:off x="9331190" y="8980583"/>
          <a:ext cx="613386" cy="31220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9457080B-B8E8-4927-A486-2B223E9D0E1E}"/>
            </a:ext>
          </a:extLst>
        </xdr:cNvPr>
        <xdr:cNvCxnSpPr/>
      </xdr:nvCxnSpPr>
      <xdr:spPr bwMode="auto">
        <a:xfrm>
          <a:off x="13020190" y="9009642"/>
          <a:ext cx="659429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15047C7C-57F5-4F0A-928D-BB4F67B58FD5}"/>
            </a:ext>
          </a:extLst>
        </xdr:cNvPr>
        <xdr:cNvSpPr/>
      </xdr:nvSpPr>
      <xdr:spPr bwMode="auto">
        <a:xfrm>
          <a:off x="13055736" y="8959941"/>
          <a:ext cx="593951" cy="48713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70017" name="OptionButton" hidden="1">
              <a:extLst>
                <a:ext uri="{63B3BB69-23CF-44E3-9099-C40C66FF867C}">
                  <a14:compatExt spid="_x0000_s470017"/>
                </a:ext>
                <a:ext uri="{FF2B5EF4-FFF2-40B4-BE49-F238E27FC236}">
                  <a16:creationId xmlns:a16="http://schemas.microsoft.com/office/drawing/2014/main" id="{00000000-0008-0000-5000-0000012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70018" name="Option Button 2" hidden="1">
              <a:extLst>
                <a:ext uri="{63B3BB69-23CF-44E3-9099-C40C66FF867C}">
                  <a14:compatExt spid="_x0000_s470018"/>
                </a:ext>
                <a:ext uri="{FF2B5EF4-FFF2-40B4-BE49-F238E27FC236}">
                  <a16:creationId xmlns:a16="http://schemas.microsoft.com/office/drawing/2014/main" id="{00000000-0008-0000-5000-0000022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F47425F-A5F1-4C1B-94E0-99113A5AE760}"/>
            </a:ext>
          </a:extLst>
        </xdr:cNvPr>
        <xdr:cNvSpPr txBox="1"/>
      </xdr:nvSpPr>
      <xdr:spPr>
        <a:xfrm>
          <a:off x="14562358" y="1930400"/>
          <a:ext cx="139509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0455509-86BD-4146-BA7E-FDF039068CAC}"/>
            </a:ext>
          </a:extLst>
        </xdr:cNvPr>
        <xdr:cNvSpPr txBox="1"/>
      </xdr:nvSpPr>
      <xdr:spPr>
        <a:xfrm>
          <a:off x="15788640" y="1924504"/>
          <a:ext cx="235966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F7836A1-266D-4201-B618-C80641560C3E}"/>
            </a:ext>
          </a:extLst>
        </xdr:cNvPr>
        <xdr:cNvCxnSpPr/>
      </xdr:nvCxnSpPr>
      <xdr:spPr bwMode="auto">
        <a:xfrm flipV="1">
          <a:off x="5750276" y="8814340"/>
          <a:ext cx="384001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7BDFC474-1C66-4660-9049-7FC3664D5C15}"/>
            </a:ext>
          </a:extLst>
        </xdr:cNvPr>
        <xdr:cNvCxnSpPr/>
      </xdr:nvCxnSpPr>
      <xdr:spPr bwMode="auto">
        <a:xfrm>
          <a:off x="3874769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BFDEF96-641A-421E-9B34-C01D893BC52D}"/>
            </a:ext>
          </a:extLst>
        </xdr:cNvPr>
        <xdr:cNvCxnSpPr/>
      </xdr:nvCxnSpPr>
      <xdr:spPr bwMode="auto">
        <a:xfrm flipV="1">
          <a:off x="7481608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9DD8D51-D5CE-4C03-8E29-E49F46A61E8F}"/>
            </a:ext>
          </a:extLst>
        </xdr:cNvPr>
        <xdr:cNvCxnSpPr/>
      </xdr:nvCxnSpPr>
      <xdr:spPr bwMode="auto">
        <a:xfrm flipV="1">
          <a:off x="4468681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8" name="Forma livre 10">
          <a:extLst>
            <a:ext uri="{FF2B5EF4-FFF2-40B4-BE49-F238E27FC236}">
              <a16:creationId xmlns:a16="http://schemas.microsoft.com/office/drawing/2014/main" id="{72D5E51B-BA9D-41D2-B10F-B2515AAD1CCB}"/>
            </a:ext>
          </a:extLst>
        </xdr:cNvPr>
        <xdr:cNvSpPr/>
      </xdr:nvSpPr>
      <xdr:spPr bwMode="auto">
        <a:xfrm>
          <a:off x="7481607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9" name="Forma livre 11">
          <a:extLst>
            <a:ext uri="{FF2B5EF4-FFF2-40B4-BE49-F238E27FC236}">
              <a16:creationId xmlns:a16="http://schemas.microsoft.com/office/drawing/2014/main" id="{8EA9BB0B-CA70-4FD0-ADA5-4AC246F4F6FA}"/>
            </a:ext>
          </a:extLst>
        </xdr:cNvPr>
        <xdr:cNvSpPr/>
      </xdr:nvSpPr>
      <xdr:spPr bwMode="auto">
        <a:xfrm flipH="1">
          <a:off x="4384640" y="8678998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4DCCEDC-8D11-4D16-AED6-C59FD2CEDDB1}"/>
            </a:ext>
          </a:extLst>
        </xdr:cNvPr>
        <xdr:cNvCxnSpPr/>
      </xdr:nvCxnSpPr>
      <xdr:spPr bwMode="auto">
        <a:xfrm>
          <a:off x="5619035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1" name="Forma livre 13">
          <a:extLst>
            <a:ext uri="{FF2B5EF4-FFF2-40B4-BE49-F238E27FC236}">
              <a16:creationId xmlns:a16="http://schemas.microsoft.com/office/drawing/2014/main" id="{1088C8C6-1D24-456B-AB35-A9795DF8FF4C}"/>
            </a:ext>
          </a:extLst>
        </xdr:cNvPr>
        <xdr:cNvSpPr/>
      </xdr:nvSpPr>
      <xdr:spPr bwMode="auto">
        <a:xfrm>
          <a:off x="6136005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2" name="Forma livre 14">
          <a:extLst>
            <a:ext uri="{FF2B5EF4-FFF2-40B4-BE49-F238E27FC236}">
              <a16:creationId xmlns:a16="http://schemas.microsoft.com/office/drawing/2014/main" id="{99B70008-F12E-4F8D-B08B-135B2C9392F3}"/>
            </a:ext>
          </a:extLst>
        </xdr:cNvPr>
        <xdr:cNvSpPr/>
      </xdr:nvSpPr>
      <xdr:spPr bwMode="auto">
        <a:xfrm flipH="1">
          <a:off x="5630944" y="8814911"/>
          <a:ext cx="130367" cy="57435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A3E0DABA-5CBD-4FB3-BE68-B3A258B2A759}"/>
            </a:ext>
          </a:extLst>
        </xdr:cNvPr>
        <xdr:cNvCxnSpPr/>
      </xdr:nvCxnSpPr>
      <xdr:spPr bwMode="auto">
        <a:xfrm>
          <a:off x="7414021" y="9392772"/>
          <a:ext cx="672101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4" name="Forma livre 16">
          <a:extLst>
            <a:ext uri="{FF2B5EF4-FFF2-40B4-BE49-F238E27FC236}">
              <a16:creationId xmlns:a16="http://schemas.microsoft.com/office/drawing/2014/main" id="{0804ED12-A4BA-460E-B0F9-AADFBD05A09D}"/>
            </a:ext>
          </a:extLst>
        </xdr:cNvPr>
        <xdr:cNvSpPr/>
      </xdr:nvSpPr>
      <xdr:spPr bwMode="auto">
        <a:xfrm>
          <a:off x="7722628" y="8682514"/>
          <a:ext cx="315518" cy="71338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84D63E61-C9CB-4C88-A536-7DE332385A6F}"/>
            </a:ext>
          </a:extLst>
        </xdr:cNvPr>
        <xdr:cNvCxnSpPr/>
      </xdr:nvCxnSpPr>
      <xdr:spPr bwMode="auto">
        <a:xfrm>
          <a:off x="7562850" y="8676557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7320446-5952-45F9-8FCE-72C84B2A7EF2}"/>
            </a:ext>
          </a:extLst>
        </xdr:cNvPr>
        <xdr:cNvCxnSpPr/>
      </xdr:nvCxnSpPr>
      <xdr:spPr bwMode="auto">
        <a:xfrm flipV="1">
          <a:off x="3936403" y="9186135"/>
          <a:ext cx="0" cy="20663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7" name="Forma livre 19">
          <a:extLst>
            <a:ext uri="{FF2B5EF4-FFF2-40B4-BE49-F238E27FC236}">
              <a16:creationId xmlns:a16="http://schemas.microsoft.com/office/drawing/2014/main" id="{5800D4E6-C284-40FF-9C36-64AC65163F72}"/>
            </a:ext>
          </a:extLst>
        </xdr:cNvPr>
        <xdr:cNvSpPr/>
      </xdr:nvSpPr>
      <xdr:spPr bwMode="auto">
        <a:xfrm>
          <a:off x="3936402" y="8684601"/>
          <a:ext cx="86052" cy="50713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C25047E-D1D7-4582-940C-88B7C875975C}"/>
            </a:ext>
          </a:extLst>
        </xdr:cNvPr>
        <xdr:cNvCxnSpPr/>
      </xdr:nvCxnSpPr>
      <xdr:spPr bwMode="auto">
        <a:xfrm>
          <a:off x="4017645" y="8676559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A05336DC-3F00-4A20-B863-789D670C8720}"/>
            </a:ext>
          </a:extLst>
        </xdr:cNvPr>
        <xdr:cNvCxnSpPr/>
      </xdr:nvCxnSpPr>
      <xdr:spPr bwMode="auto">
        <a:xfrm>
          <a:off x="2117883" y="9392772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37C6656-A371-44CA-BE30-42EC7AF515A6}"/>
            </a:ext>
          </a:extLst>
        </xdr:cNvPr>
        <xdr:cNvCxnSpPr/>
      </xdr:nvCxnSpPr>
      <xdr:spPr bwMode="auto">
        <a:xfrm>
          <a:off x="2332198" y="8700371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249F095-E368-41AF-A59A-8DC82251E6D1}"/>
            </a:ext>
          </a:extLst>
        </xdr:cNvPr>
        <xdr:cNvCxnSpPr/>
      </xdr:nvCxnSpPr>
      <xdr:spPr bwMode="auto">
        <a:xfrm>
          <a:off x="2552462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A0B1DCDD-AB23-4CFC-AA41-BE4AFAB53795}"/>
            </a:ext>
          </a:extLst>
        </xdr:cNvPr>
        <xdr:cNvCxnSpPr/>
      </xdr:nvCxnSpPr>
      <xdr:spPr bwMode="auto">
        <a:xfrm flipH="1">
          <a:off x="2183371" y="8700374"/>
          <a:ext cx="148828" cy="69484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44547248-60CF-4B18-BBBA-2BBDFC12D815}"/>
            </a:ext>
          </a:extLst>
        </xdr:cNvPr>
        <xdr:cNvSpPr/>
      </xdr:nvSpPr>
      <xdr:spPr bwMode="auto">
        <a:xfrm>
          <a:off x="8014334" y="9335685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EC04CFB-A561-4F0C-9855-EF5A9EB2849F}"/>
            </a:ext>
          </a:extLst>
        </xdr:cNvPr>
        <xdr:cNvCxnSpPr/>
      </xdr:nvCxnSpPr>
      <xdr:spPr bwMode="auto">
        <a:xfrm>
          <a:off x="9263394" y="9066792"/>
          <a:ext cx="75861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D20E1B96-AA19-4986-BC24-7A941D571E9D}"/>
            </a:ext>
          </a:extLst>
        </xdr:cNvPr>
        <xdr:cNvCxnSpPr/>
      </xdr:nvCxnSpPr>
      <xdr:spPr bwMode="auto">
        <a:xfrm>
          <a:off x="11339344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6" name="Forma livre 28">
          <a:extLst>
            <a:ext uri="{FF2B5EF4-FFF2-40B4-BE49-F238E27FC236}">
              <a16:creationId xmlns:a16="http://schemas.microsoft.com/office/drawing/2014/main" id="{1A3CFE06-CC96-43EB-9F73-1C8FB5F46052}"/>
            </a:ext>
          </a:extLst>
        </xdr:cNvPr>
        <xdr:cNvSpPr/>
      </xdr:nvSpPr>
      <xdr:spPr bwMode="auto">
        <a:xfrm>
          <a:off x="11443748" y="8933662"/>
          <a:ext cx="472108" cy="13116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7" name="Forma livre 29">
          <a:extLst>
            <a:ext uri="{FF2B5EF4-FFF2-40B4-BE49-F238E27FC236}">
              <a16:creationId xmlns:a16="http://schemas.microsoft.com/office/drawing/2014/main" id="{BF24B9C5-0822-472A-82EE-2D67796CAFF8}"/>
            </a:ext>
          </a:extLst>
        </xdr:cNvPr>
        <xdr:cNvSpPr/>
      </xdr:nvSpPr>
      <xdr:spPr bwMode="auto">
        <a:xfrm>
          <a:off x="9338810" y="9035828"/>
          <a:ext cx="621006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1BEE1D19-B5C7-44E1-868D-7C130DEDD894}"/>
            </a:ext>
          </a:extLst>
        </xdr:cNvPr>
        <xdr:cNvCxnSpPr/>
      </xdr:nvCxnSpPr>
      <xdr:spPr bwMode="auto">
        <a:xfrm>
          <a:off x="13022095" y="9066792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29" name="Forma livre 31">
          <a:extLst>
            <a:ext uri="{FF2B5EF4-FFF2-40B4-BE49-F238E27FC236}">
              <a16:creationId xmlns:a16="http://schemas.microsoft.com/office/drawing/2014/main" id="{45AFBA8E-9801-4037-A3D2-B4DA759C8D8B}"/>
            </a:ext>
          </a:extLst>
        </xdr:cNvPr>
        <xdr:cNvSpPr/>
      </xdr:nvSpPr>
      <xdr:spPr bwMode="auto">
        <a:xfrm>
          <a:off x="13057641" y="9011376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82305" name="OptionButton" hidden="1">
              <a:extLst>
                <a:ext uri="{63B3BB69-23CF-44E3-9099-C40C66FF867C}">
                  <a14:compatExt spid="_x0000_s482305"/>
                </a:ext>
                <a:ext uri="{FF2B5EF4-FFF2-40B4-BE49-F238E27FC236}">
                  <a16:creationId xmlns:a16="http://schemas.microsoft.com/office/drawing/2014/main" id="{00000000-0008-0000-5100-0000015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82306" name="Option Button 2" hidden="1">
              <a:extLst>
                <a:ext uri="{63B3BB69-23CF-44E3-9099-C40C66FF867C}">
                  <a14:compatExt spid="_x0000_s482306"/>
                </a:ext>
                <a:ext uri="{FF2B5EF4-FFF2-40B4-BE49-F238E27FC236}">
                  <a16:creationId xmlns:a16="http://schemas.microsoft.com/office/drawing/2014/main" id="{00000000-0008-0000-5100-0000025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/>
      </xdr:nvSpPr>
      <xdr:spPr>
        <a:xfrm>
          <a:off x="13619383" y="1939925"/>
          <a:ext cx="110172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/>
      </xdr:nvSpPr>
      <xdr:spPr>
        <a:xfrm>
          <a:off x="14678025" y="1934029"/>
          <a:ext cx="239395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5" name="CaixaDeText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 txBox="1"/>
      </xdr:nvSpPr>
      <xdr:spPr>
        <a:xfrm>
          <a:off x="14258440" y="11519805"/>
          <a:ext cx="281036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 txBox="1"/>
      </xdr:nvSpPr>
      <xdr:spPr>
        <a:xfrm>
          <a:off x="163081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CxnSpPr/>
      </xdr:nvCxnSpPr>
      <xdr:spPr bwMode="auto">
        <a:xfrm flipV="1">
          <a:off x="5333081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CxnSpPr/>
      </xdr:nvCxnSpPr>
      <xdr:spPr bwMode="auto">
        <a:xfrm>
          <a:off x="3514724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CxnSpPr/>
      </xdr:nvCxnSpPr>
      <xdr:spPr bwMode="auto">
        <a:xfrm flipV="1">
          <a:off x="70148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CxnSpPr/>
      </xdr:nvCxnSpPr>
      <xdr:spPr bwMode="auto">
        <a:xfrm flipV="1">
          <a:off x="4108636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1" name="Forma livre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SpPr/>
      </xdr:nvSpPr>
      <xdr:spPr bwMode="auto">
        <a:xfrm>
          <a:off x="70148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2" name="Forma livre 11">
          <a:extLst>
            <a:ext uri="{FF2B5EF4-FFF2-40B4-BE49-F238E27FC236}">
              <a16:creationId xmlns:a16="http://schemas.microsoft.com/office/drawing/2014/main" id="{00000000-0008-0000-2D00-00000C000000}"/>
            </a:ext>
          </a:extLst>
        </xdr:cNvPr>
        <xdr:cNvSpPr/>
      </xdr:nvSpPr>
      <xdr:spPr bwMode="auto">
        <a:xfrm flipH="1">
          <a:off x="4024595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CxnSpPr/>
      </xdr:nvCxnSpPr>
      <xdr:spPr bwMode="auto">
        <a:xfrm>
          <a:off x="5201840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4" name="Forma livre 13">
          <a:extLst>
            <a:ext uri="{FF2B5EF4-FFF2-40B4-BE49-F238E27FC236}">
              <a16:creationId xmlns:a16="http://schemas.microsoft.com/office/drawing/2014/main" id="{00000000-0008-0000-2D00-00000E000000}"/>
            </a:ext>
          </a:extLst>
        </xdr:cNvPr>
        <xdr:cNvSpPr/>
      </xdr:nvSpPr>
      <xdr:spPr bwMode="auto">
        <a:xfrm>
          <a:off x="5705475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5" name="Forma livre 14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SpPr/>
      </xdr:nvSpPr>
      <xdr:spPr bwMode="auto">
        <a:xfrm flipH="1">
          <a:off x="5213749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CxnSpPr/>
      </xdr:nvCxnSpPr>
      <xdr:spPr bwMode="auto">
        <a:xfrm>
          <a:off x="6947296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7" name="Forma livre 16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SpPr/>
      </xdr:nvSpPr>
      <xdr:spPr bwMode="auto">
        <a:xfrm>
          <a:off x="7255903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CxnSpPr/>
      </xdr:nvCxnSpPr>
      <xdr:spPr bwMode="auto">
        <a:xfrm>
          <a:off x="7096125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D00-000013000000}"/>
            </a:ext>
          </a:extLst>
        </xdr:cNvPr>
        <xdr:cNvCxnSpPr/>
      </xdr:nvCxnSpPr>
      <xdr:spPr bwMode="auto">
        <a:xfrm flipV="1">
          <a:off x="35763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20" name="Forma livre 19">
          <a:extLst>
            <a:ext uri="{FF2B5EF4-FFF2-40B4-BE49-F238E27FC236}">
              <a16:creationId xmlns:a16="http://schemas.microsoft.com/office/drawing/2014/main" id="{00000000-0008-0000-2D00-000014000000}"/>
            </a:ext>
          </a:extLst>
        </xdr:cNvPr>
        <xdr:cNvSpPr/>
      </xdr:nvSpPr>
      <xdr:spPr bwMode="auto">
        <a:xfrm>
          <a:off x="35763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CxnSpPr/>
      </xdr:nvCxnSpPr>
      <xdr:spPr bwMode="auto">
        <a:xfrm>
          <a:off x="3657600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CxnSpPr/>
      </xdr:nvCxnSpPr>
      <xdr:spPr bwMode="auto">
        <a:xfrm>
          <a:off x="1807368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2D00-000017000000}"/>
            </a:ext>
          </a:extLst>
        </xdr:cNvPr>
        <xdr:cNvCxnSpPr/>
      </xdr:nvCxnSpPr>
      <xdr:spPr bwMode="auto">
        <a:xfrm>
          <a:off x="2021683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D00-000018000000}"/>
            </a:ext>
          </a:extLst>
        </xdr:cNvPr>
        <xdr:cNvCxnSpPr/>
      </xdr:nvCxnSpPr>
      <xdr:spPr bwMode="auto">
        <a:xfrm>
          <a:off x="2241947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D00-000019000000}"/>
            </a:ext>
          </a:extLst>
        </xdr:cNvPr>
        <xdr:cNvCxnSpPr/>
      </xdr:nvCxnSpPr>
      <xdr:spPr bwMode="auto">
        <a:xfrm flipH="1">
          <a:off x="1872856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0000000-0008-0000-2D00-00001A000000}"/>
            </a:ext>
          </a:extLst>
        </xdr:cNvPr>
        <xdr:cNvSpPr/>
      </xdr:nvSpPr>
      <xdr:spPr bwMode="auto">
        <a:xfrm>
          <a:off x="7534274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2D00-00001B000000}"/>
            </a:ext>
          </a:extLst>
        </xdr:cNvPr>
        <xdr:cNvCxnSpPr/>
      </xdr:nvCxnSpPr>
      <xdr:spPr bwMode="auto">
        <a:xfrm>
          <a:off x="8617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D00-00001C000000}"/>
            </a:ext>
          </a:extLst>
        </xdr:cNvPr>
        <xdr:cNvCxnSpPr/>
      </xdr:nvCxnSpPr>
      <xdr:spPr bwMode="auto">
        <a:xfrm>
          <a:off x="10640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9" name="Forma livre 28">
          <a:extLst>
            <a:ext uri="{FF2B5EF4-FFF2-40B4-BE49-F238E27FC236}">
              <a16:creationId xmlns:a16="http://schemas.microsoft.com/office/drawing/2014/main" id="{00000000-0008-0000-2D00-00001D000000}"/>
            </a:ext>
          </a:extLst>
        </xdr:cNvPr>
        <xdr:cNvSpPr/>
      </xdr:nvSpPr>
      <xdr:spPr bwMode="auto">
        <a:xfrm>
          <a:off x="10744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30" name="Forma livre 29">
          <a:extLst>
            <a:ext uri="{FF2B5EF4-FFF2-40B4-BE49-F238E27FC236}">
              <a16:creationId xmlns:a16="http://schemas.microsoft.com/office/drawing/2014/main" id="{00000000-0008-0000-2D00-00001E000000}"/>
            </a:ext>
          </a:extLst>
        </xdr:cNvPr>
        <xdr:cNvSpPr/>
      </xdr:nvSpPr>
      <xdr:spPr bwMode="auto">
        <a:xfrm>
          <a:off x="8693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2D00-00001F000000}"/>
            </a:ext>
          </a:extLst>
        </xdr:cNvPr>
        <xdr:cNvCxnSpPr/>
      </xdr:nvCxnSpPr>
      <xdr:spPr bwMode="auto">
        <a:xfrm>
          <a:off x="12275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2" name="Forma livre 31">
          <a:extLst>
            <a:ext uri="{FF2B5EF4-FFF2-40B4-BE49-F238E27FC236}">
              <a16:creationId xmlns:a16="http://schemas.microsoft.com/office/drawing/2014/main" id="{00000000-0008-0000-2D00-000020000000}"/>
            </a:ext>
          </a:extLst>
        </xdr:cNvPr>
        <xdr:cNvSpPr/>
      </xdr:nvSpPr>
      <xdr:spPr bwMode="auto">
        <a:xfrm>
          <a:off x="12310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4817" name="OptionButton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53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4818" name="Option Button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53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114300</xdr:colOff>
      <xdr:row>1</xdr:row>
      <xdr:rowOff>98425</xdr:rowOff>
    </xdr:from>
    <xdr:to>
      <xdr:col>3</xdr:col>
      <xdr:colOff>370114</xdr:colOff>
      <xdr:row>1</xdr:row>
      <xdr:rowOff>889000</xdr:rowOff>
    </xdr:to>
    <xdr:pic>
      <xdr:nvPicPr>
        <xdr:cNvPr id="2" name="Picture 1" descr="MC LOGO mini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875"/>
          <a:ext cx="1608364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/>
      </xdr:nvSpPr>
      <xdr:spPr>
        <a:xfrm>
          <a:off x="13619383" y="1939925"/>
          <a:ext cx="110172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 txBox="1"/>
      </xdr:nvSpPr>
      <xdr:spPr>
        <a:xfrm>
          <a:off x="14678025" y="1934029"/>
          <a:ext cx="239395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 txBox="1"/>
      </xdr:nvSpPr>
      <xdr:spPr>
        <a:xfrm>
          <a:off x="14258440" y="11519805"/>
          <a:ext cx="281036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 txBox="1"/>
      </xdr:nvSpPr>
      <xdr:spPr>
        <a:xfrm>
          <a:off x="163081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CxnSpPr/>
      </xdr:nvCxnSpPr>
      <xdr:spPr bwMode="auto">
        <a:xfrm flipV="1">
          <a:off x="5333081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CxnSpPr/>
      </xdr:nvCxnSpPr>
      <xdr:spPr bwMode="auto">
        <a:xfrm>
          <a:off x="3514724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CxnSpPr/>
      </xdr:nvCxnSpPr>
      <xdr:spPr bwMode="auto">
        <a:xfrm flipV="1">
          <a:off x="70148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CxnSpPr/>
      </xdr:nvCxnSpPr>
      <xdr:spPr bwMode="auto">
        <a:xfrm flipV="1">
          <a:off x="4108636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1" name="Forma livre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/>
      </xdr:nvSpPr>
      <xdr:spPr bwMode="auto">
        <a:xfrm>
          <a:off x="70148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2" name="Forma livre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/>
      </xdr:nvSpPr>
      <xdr:spPr bwMode="auto">
        <a:xfrm flipH="1">
          <a:off x="4024595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CxnSpPr/>
      </xdr:nvCxnSpPr>
      <xdr:spPr bwMode="auto">
        <a:xfrm>
          <a:off x="5201840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4" name="Forma livre 13">
          <a:extLst>
            <a:ext uri="{FF2B5EF4-FFF2-40B4-BE49-F238E27FC236}">
              <a16:creationId xmlns:a16="http://schemas.microsoft.com/office/drawing/2014/main" id="{00000000-0008-0000-2E00-00000E000000}"/>
            </a:ext>
          </a:extLst>
        </xdr:cNvPr>
        <xdr:cNvSpPr/>
      </xdr:nvSpPr>
      <xdr:spPr bwMode="auto">
        <a:xfrm>
          <a:off x="5705475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5" name="Forma livre 14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SpPr/>
      </xdr:nvSpPr>
      <xdr:spPr bwMode="auto">
        <a:xfrm flipH="1">
          <a:off x="5213749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CxnSpPr/>
      </xdr:nvCxnSpPr>
      <xdr:spPr bwMode="auto">
        <a:xfrm>
          <a:off x="6947296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7" name="Forma livre 16">
          <a:extLst>
            <a:ext uri="{FF2B5EF4-FFF2-40B4-BE49-F238E27FC236}">
              <a16:creationId xmlns:a16="http://schemas.microsoft.com/office/drawing/2014/main" id="{00000000-0008-0000-2E00-000011000000}"/>
            </a:ext>
          </a:extLst>
        </xdr:cNvPr>
        <xdr:cNvSpPr/>
      </xdr:nvSpPr>
      <xdr:spPr bwMode="auto">
        <a:xfrm>
          <a:off x="7255903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E00-000012000000}"/>
            </a:ext>
          </a:extLst>
        </xdr:cNvPr>
        <xdr:cNvCxnSpPr/>
      </xdr:nvCxnSpPr>
      <xdr:spPr bwMode="auto">
        <a:xfrm>
          <a:off x="7096125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CxnSpPr/>
      </xdr:nvCxnSpPr>
      <xdr:spPr bwMode="auto">
        <a:xfrm flipV="1">
          <a:off x="35763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20" name="Forma livre 19">
          <a:extLst>
            <a:ext uri="{FF2B5EF4-FFF2-40B4-BE49-F238E27FC236}">
              <a16:creationId xmlns:a16="http://schemas.microsoft.com/office/drawing/2014/main" id="{00000000-0008-0000-2E00-000014000000}"/>
            </a:ext>
          </a:extLst>
        </xdr:cNvPr>
        <xdr:cNvSpPr/>
      </xdr:nvSpPr>
      <xdr:spPr bwMode="auto">
        <a:xfrm>
          <a:off x="35763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E00-000015000000}"/>
            </a:ext>
          </a:extLst>
        </xdr:cNvPr>
        <xdr:cNvCxnSpPr/>
      </xdr:nvCxnSpPr>
      <xdr:spPr bwMode="auto">
        <a:xfrm>
          <a:off x="3657600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E00-000016000000}"/>
            </a:ext>
          </a:extLst>
        </xdr:cNvPr>
        <xdr:cNvCxnSpPr/>
      </xdr:nvCxnSpPr>
      <xdr:spPr bwMode="auto">
        <a:xfrm>
          <a:off x="1807368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2E00-000017000000}"/>
            </a:ext>
          </a:extLst>
        </xdr:cNvPr>
        <xdr:cNvCxnSpPr/>
      </xdr:nvCxnSpPr>
      <xdr:spPr bwMode="auto">
        <a:xfrm>
          <a:off x="2021683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E00-000018000000}"/>
            </a:ext>
          </a:extLst>
        </xdr:cNvPr>
        <xdr:cNvCxnSpPr/>
      </xdr:nvCxnSpPr>
      <xdr:spPr bwMode="auto">
        <a:xfrm>
          <a:off x="2241947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CxnSpPr/>
      </xdr:nvCxnSpPr>
      <xdr:spPr bwMode="auto">
        <a:xfrm flipH="1">
          <a:off x="1872856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0000000-0008-0000-2E00-00001A000000}"/>
            </a:ext>
          </a:extLst>
        </xdr:cNvPr>
        <xdr:cNvSpPr/>
      </xdr:nvSpPr>
      <xdr:spPr bwMode="auto">
        <a:xfrm>
          <a:off x="7534274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2E00-00001B000000}"/>
            </a:ext>
          </a:extLst>
        </xdr:cNvPr>
        <xdr:cNvCxnSpPr/>
      </xdr:nvCxnSpPr>
      <xdr:spPr bwMode="auto">
        <a:xfrm>
          <a:off x="8617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E00-00001C000000}"/>
            </a:ext>
          </a:extLst>
        </xdr:cNvPr>
        <xdr:cNvCxnSpPr/>
      </xdr:nvCxnSpPr>
      <xdr:spPr bwMode="auto">
        <a:xfrm>
          <a:off x="10640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9" name="Forma livre 28">
          <a:extLst>
            <a:ext uri="{FF2B5EF4-FFF2-40B4-BE49-F238E27FC236}">
              <a16:creationId xmlns:a16="http://schemas.microsoft.com/office/drawing/2014/main" id="{00000000-0008-0000-2E00-00001D000000}"/>
            </a:ext>
          </a:extLst>
        </xdr:cNvPr>
        <xdr:cNvSpPr/>
      </xdr:nvSpPr>
      <xdr:spPr bwMode="auto">
        <a:xfrm>
          <a:off x="10744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30" name="Forma livre 29">
          <a:extLst>
            <a:ext uri="{FF2B5EF4-FFF2-40B4-BE49-F238E27FC236}">
              <a16:creationId xmlns:a16="http://schemas.microsoft.com/office/drawing/2014/main" id="{00000000-0008-0000-2E00-00001E000000}"/>
            </a:ext>
          </a:extLst>
        </xdr:cNvPr>
        <xdr:cNvSpPr/>
      </xdr:nvSpPr>
      <xdr:spPr bwMode="auto">
        <a:xfrm>
          <a:off x="8693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2E00-00001F000000}"/>
            </a:ext>
          </a:extLst>
        </xdr:cNvPr>
        <xdr:cNvCxnSpPr/>
      </xdr:nvCxnSpPr>
      <xdr:spPr bwMode="auto">
        <a:xfrm>
          <a:off x="12275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2" name="Forma livre 31">
          <a:extLst>
            <a:ext uri="{FF2B5EF4-FFF2-40B4-BE49-F238E27FC236}">
              <a16:creationId xmlns:a16="http://schemas.microsoft.com/office/drawing/2014/main" id="{00000000-0008-0000-2E00-000020000000}"/>
            </a:ext>
          </a:extLst>
        </xdr:cNvPr>
        <xdr:cNvSpPr/>
      </xdr:nvSpPr>
      <xdr:spPr bwMode="auto">
        <a:xfrm>
          <a:off x="12310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36865" name="OptionButton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54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36866" name="Option Button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54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114300</xdr:colOff>
      <xdr:row>1</xdr:row>
      <xdr:rowOff>98425</xdr:rowOff>
    </xdr:from>
    <xdr:to>
      <xdr:col>3</xdr:col>
      <xdr:colOff>370114</xdr:colOff>
      <xdr:row>1</xdr:row>
      <xdr:rowOff>889000</xdr:rowOff>
    </xdr:to>
    <xdr:pic>
      <xdr:nvPicPr>
        <xdr:cNvPr id="2" name="Picture 1" descr="MC LOGO mini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875"/>
          <a:ext cx="1608364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/>
      </xdr:nvSpPr>
      <xdr:spPr>
        <a:xfrm>
          <a:off x="13619383" y="1939925"/>
          <a:ext cx="1101725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SpPr txBox="1"/>
      </xdr:nvSpPr>
      <xdr:spPr>
        <a:xfrm>
          <a:off x="14678025" y="1934029"/>
          <a:ext cx="239395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 txBox="1"/>
      </xdr:nvSpPr>
      <xdr:spPr>
        <a:xfrm>
          <a:off x="14258440" y="11519805"/>
          <a:ext cx="281036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 txBox="1"/>
      </xdr:nvSpPr>
      <xdr:spPr>
        <a:xfrm>
          <a:off x="163081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CxnSpPr/>
      </xdr:nvCxnSpPr>
      <xdr:spPr bwMode="auto">
        <a:xfrm flipV="1">
          <a:off x="5333081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CxnSpPr/>
      </xdr:nvCxnSpPr>
      <xdr:spPr bwMode="auto">
        <a:xfrm>
          <a:off x="3514724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CxnSpPr/>
      </xdr:nvCxnSpPr>
      <xdr:spPr bwMode="auto">
        <a:xfrm flipV="1">
          <a:off x="70148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CxnSpPr/>
      </xdr:nvCxnSpPr>
      <xdr:spPr bwMode="auto">
        <a:xfrm flipV="1">
          <a:off x="4108636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1" name="Forma livre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/>
      </xdr:nvSpPr>
      <xdr:spPr bwMode="auto">
        <a:xfrm>
          <a:off x="70148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2" name="Forma livre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/>
      </xdr:nvSpPr>
      <xdr:spPr bwMode="auto">
        <a:xfrm flipH="1">
          <a:off x="4024595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CxnSpPr/>
      </xdr:nvCxnSpPr>
      <xdr:spPr bwMode="auto">
        <a:xfrm>
          <a:off x="5201840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4" name="Forma livre 13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SpPr/>
      </xdr:nvSpPr>
      <xdr:spPr bwMode="auto">
        <a:xfrm>
          <a:off x="5705475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5" name="Forma livre 14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SpPr/>
      </xdr:nvSpPr>
      <xdr:spPr bwMode="auto">
        <a:xfrm flipH="1">
          <a:off x="5213749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2F00-000010000000}"/>
            </a:ext>
          </a:extLst>
        </xdr:cNvPr>
        <xdr:cNvCxnSpPr/>
      </xdr:nvCxnSpPr>
      <xdr:spPr bwMode="auto">
        <a:xfrm>
          <a:off x="6947296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7" name="Forma livre 16">
          <a:extLst>
            <a:ext uri="{FF2B5EF4-FFF2-40B4-BE49-F238E27FC236}">
              <a16:creationId xmlns:a16="http://schemas.microsoft.com/office/drawing/2014/main" id="{00000000-0008-0000-2F00-000011000000}"/>
            </a:ext>
          </a:extLst>
        </xdr:cNvPr>
        <xdr:cNvSpPr/>
      </xdr:nvSpPr>
      <xdr:spPr bwMode="auto">
        <a:xfrm>
          <a:off x="7255903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2F00-000012000000}"/>
            </a:ext>
          </a:extLst>
        </xdr:cNvPr>
        <xdr:cNvCxnSpPr/>
      </xdr:nvCxnSpPr>
      <xdr:spPr bwMode="auto">
        <a:xfrm>
          <a:off x="7096125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2F00-000013000000}"/>
            </a:ext>
          </a:extLst>
        </xdr:cNvPr>
        <xdr:cNvCxnSpPr/>
      </xdr:nvCxnSpPr>
      <xdr:spPr bwMode="auto">
        <a:xfrm flipV="1">
          <a:off x="357635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20" name="Forma livre 19">
          <a:extLst>
            <a:ext uri="{FF2B5EF4-FFF2-40B4-BE49-F238E27FC236}">
              <a16:creationId xmlns:a16="http://schemas.microsoft.com/office/drawing/2014/main" id="{00000000-0008-0000-2F00-000014000000}"/>
            </a:ext>
          </a:extLst>
        </xdr:cNvPr>
        <xdr:cNvSpPr/>
      </xdr:nvSpPr>
      <xdr:spPr bwMode="auto">
        <a:xfrm>
          <a:off x="357635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2F00-000015000000}"/>
            </a:ext>
          </a:extLst>
        </xdr:cNvPr>
        <xdr:cNvCxnSpPr/>
      </xdr:nvCxnSpPr>
      <xdr:spPr bwMode="auto">
        <a:xfrm>
          <a:off x="3657600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2F00-000016000000}"/>
            </a:ext>
          </a:extLst>
        </xdr:cNvPr>
        <xdr:cNvCxnSpPr/>
      </xdr:nvCxnSpPr>
      <xdr:spPr bwMode="auto">
        <a:xfrm>
          <a:off x="1807368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2F00-000017000000}"/>
            </a:ext>
          </a:extLst>
        </xdr:cNvPr>
        <xdr:cNvCxnSpPr/>
      </xdr:nvCxnSpPr>
      <xdr:spPr bwMode="auto">
        <a:xfrm>
          <a:off x="2021683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2F00-000018000000}"/>
            </a:ext>
          </a:extLst>
        </xdr:cNvPr>
        <xdr:cNvCxnSpPr/>
      </xdr:nvCxnSpPr>
      <xdr:spPr bwMode="auto">
        <a:xfrm>
          <a:off x="2241947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CxnSpPr/>
      </xdr:nvCxnSpPr>
      <xdr:spPr bwMode="auto">
        <a:xfrm flipH="1">
          <a:off x="1872856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SpPr/>
      </xdr:nvSpPr>
      <xdr:spPr bwMode="auto">
        <a:xfrm>
          <a:off x="7534274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2F00-00001B000000}"/>
            </a:ext>
          </a:extLst>
        </xdr:cNvPr>
        <xdr:cNvCxnSpPr/>
      </xdr:nvCxnSpPr>
      <xdr:spPr bwMode="auto">
        <a:xfrm>
          <a:off x="8617599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2F00-00001C000000}"/>
            </a:ext>
          </a:extLst>
        </xdr:cNvPr>
        <xdr:cNvCxnSpPr/>
      </xdr:nvCxnSpPr>
      <xdr:spPr bwMode="auto">
        <a:xfrm>
          <a:off x="10640209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9" name="Forma livre 28">
          <a:extLst>
            <a:ext uri="{FF2B5EF4-FFF2-40B4-BE49-F238E27FC236}">
              <a16:creationId xmlns:a16="http://schemas.microsoft.com/office/drawing/2014/main" id="{00000000-0008-0000-2F00-00001D000000}"/>
            </a:ext>
          </a:extLst>
        </xdr:cNvPr>
        <xdr:cNvSpPr/>
      </xdr:nvSpPr>
      <xdr:spPr bwMode="auto">
        <a:xfrm>
          <a:off x="10744613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30" name="Forma livre 29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SpPr/>
      </xdr:nvSpPr>
      <xdr:spPr bwMode="auto">
        <a:xfrm>
          <a:off x="8693015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2F00-00001F000000}"/>
            </a:ext>
          </a:extLst>
        </xdr:cNvPr>
        <xdr:cNvCxnSpPr/>
      </xdr:nvCxnSpPr>
      <xdr:spPr bwMode="auto">
        <a:xfrm>
          <a:off x="12275335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2" name="Forma livre 31">
          <a:extLst>
            <a:ext uri="{FF2B5EF4-FFF2-40B4-BE49-F238E27FC236}">
              <a16:creationId xmlns:a16="http://schemas.microsoft.com/office/drawing/2014/main" id="{00000000-0008-0000-2F00-000020000000}"/>
            </a:ext>
          </a:extLst>
        </xdr:cNvPr>
        <xdr:cNvSpPr/>
      </xdr:nvSpPr>
      <xdr:spPr bwMode="auto">
        <a:xfrm>
          <a:off x="12310881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6081" name="OptionButton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55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6082" name="Option Button 2" hidden="1">
              <a:extLst>
                <a:ext uri="{63B3BB69-23CF-44E3-9099-C40C66FF867C}">
                  <a14:compatExt spid="_x0000_s46082"/>
                </a:ext>
                <a:ext uri="{FF2B5EF4-FFF2-40B4-BE49-F238E27FC236}">
                  <a16:creationId xmlns:a16="http://schemas.microsoft.com/office/drawing/2014/main" id="{00000000-0008-0000-5500-00000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0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0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0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0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0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0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7105" name="OptionButton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56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7106" name="Option Button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56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1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1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8129" name="OptionButton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57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8130" name="Option Button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57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2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2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2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2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2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2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2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2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2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49153" name="OptionButton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58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49154" name="Option Button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58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3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3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3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3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0177" name="OptionButton" hidden="1">
              <a:extLst>
                <a:ext uri="{63B3BB69-23CF-44E3-9099-C40C66FF867C}">
                  <a14:compatExt spid="_x0000_s50177"/>
                </a:ext>
                <a:ext uri="{FF2B5EF4-FFF2-40B4-BE49-F238E27FC236}">
                  <a16:creationId xmlns:a16="http://schemas.microsoft.com/office/drawing/2014/main" id="{00000000-0008-0000-5900-000001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0178" name="Option Button 2" hidden="1">
              <a:extLst>
                <a:ext uri="{63B3BB69-23CF-44E3-9099-C40C66FF867C}">
                  <a14:compatExt spid="_x0000_s50178"/>
                </a:ext>
                <a:ext uri="{FF2B5EF4-FFF2-40B4-BE49-F238E27FC236}">
                  <a16:creationId xmlns:a16="http://schemas.microsoft.com/office/drawing/2014/main" id="{00000000-0008-0000-5900-000002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4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4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4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4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1201" name="OptionButton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5A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1202" name="Option Button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5A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5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5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5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5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5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5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5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5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5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5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2225" name="OptionButton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5B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2226" name="Option Button 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00000000-0008-0000-5B00-000002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6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6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6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6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6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6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6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6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6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6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6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6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6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6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6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3249" name="OptionButton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5C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3250" name="Option Button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5C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617758</xdr:colOff>
      <xdr:row>5</xdr:row>
      <xdr:rowOff>25400</xdr:rowOff>
    </xdr:from>
    <xdr:to>
      <xdr:col>26</xdr:col>
      <xdr:colOff>747933</xdr:colOff>
      <xdr:row>5</xdr:row>
      <xdr:rowOff>241300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 txBox="1"/>
      </xdr:nvSpPr>
      <xdr:spPr>
        <a:xfrm>
          <a:off x="13895608" y="1939925"/>
          <a:ext cx="164465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Cliente</a:t>
          </a:r>
        </a:p>
      </xdr:txBody>
    </xdr:sp>
    <xdr:clientData/>
  </xdr:twoCellAnchor>
  <xdr:twoCellAnchor>
    <xdr:from>
      <xdr:col>26</xdr:col>
      <xdr:colOff>419100</xdr:colOff>
      <xdr:row>5</xdr:row>
      <xdr:rowOff>19504</xdr:rowOff>
    </xdr:from>
    <xdr:to>
      <xdr:col>30</xdr:col>
      <xdr:colOff>584200</xdr:colOff>
      <xdr:row>5</xdr:row>
      <xdr:rowOff>244929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/>
      </xdr:nvSpPr>
      <xdr:spPr>
        <a:xfrm>
          <a:off x="15211425" y="1934029"/>
          <a:ext cx="2936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 b="1">
              <a:latin typeface="Arial" pitchFamily="34" charset="0"/>
              <a:cs typeface="Arial" pitchFamily="34" charset="0"/>
            </a:rPr>
            <a:t>Traço MC</a:t>
          </a:r>
        </a:p>
      </xdr:txBody>
    </xdr:sp>
    <xdr:clientData/>
  </xdr:twoCellAnchor>
  <xdr:twoCellAnchor>
    <xdr:from>
      <xdr:col>25</xdr:col>
      <xdr:colOff>656740</xdr:colOff>
      <xdr:row>39</xdr:row>
      <xdr:rowOff>13605</xdr:rowOff>
    </xdr:from>
    <xdr:to>
      <xdr:col>31</xdr:col>
      <xdr:colOff>136065</xdr:colOff>
      <xdr:row>39</xdr:row>
      <xdr:rowOff>217715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SpPr txBox="1"/>
      </xdr:nvSpPr>
      <xdr:spPr>
        <a:xfrm>
          <a:off x="14744215" y="11519805"/>
          <a:ext cx="3400910" cy="204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>
              <a:solidFill>
                <a:schemeClr val="tx2"/>
              </a:solidFill>
            </a:rPr>
            <a:t>www.mc-bauchemie.com.br</a:t>
          </a:r>
        </a:p>
      </xdr:txBody>
    </xdr:sp>
    <xdr:clientData/>
  </xdr:twoCellAnchor>
  <xdr:twoCellAnchor>
    <xdr:from>
      <xdr:col>29</xdr:col>
      <xdr:colOff>68036</xdr:colOff>
      <xdr:row>38</xdr:row>
      <xdr:rowOff>0</xdr:rowOff>
    </xdr:from>
    <xdr:to>
      <xdr:col>30</xdr:col>
      <xdr:colOff>381000</xdr:colOff>
      <xdr:row>39</xdr:row>
      <xdr:rowOff>176893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 txBox="1"/>
      </xdr:nvSpPr>
      <xdr:spPr>
        <a:xfrm>
          <a:off x="17222561" y="11258550"/>
          <a:ext cx="741589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pt-BR" sz="700" baseline="0">
            <a:latin typeface="Arial" pitchFamily="34" charset="0"/>
            <a:cs typeface="Arial" pitchFamily="34" charset="0"/>
          </a:endParaRPr>
        </a:p>
        <a:p>
          <a:pPr algn="ctr"/>
          <a:r>
            <a:rPr lang="pt-BR" sz="700" baseline="0">
              <a:latin typeface="Arial" pitchFamily="34" charset="0"/>
              <a:cs typeface="Arial" pitchFamily="34" charset="0"/>
            </a:rPr>
            <a:t>17/10/2013</a:t>
          </a:r>
          <a:endParaRPr lang="pt-BR" sz="7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256256</xdr:colOff>
      <xdr:row>28</xdr:row>
      <xdr:rowOff>58960</xdr:rowOff>
    </xdr:from>
    <xdr:to>
      <xdr:col>9</xdr:col>
      <xdr:colOff>45897</xdr:colOff>
      <xdr:row>28</xdr:row>
      <xdr:rowOff>60589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CxnSpPr/>
      </xdr:nvCxnSpPr>
      <xdr:spPr bwMode="auto">
        <a:xfrm flipV="1">
          <a:off x="5609306" y="8850535"/>
          <a:ext cx="370666" cy="1629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95249</xdr:colOff>
      <xdr:row>30</xdr:row>
      <xdr:rowOff>134472</xdr:rowOff>
    </xdr:from>
    <xdr:to>
      <xdr:col>5</xdr:col>
      <xdr:colOff>756396</xdr:colOff>
      <xdr:row>30</xdr:row>
      <xdr:rowOff>134472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CxnSpPr/>
      </xdr:nvCxnSpPr>
      <xdr:spPr bwMode="auto">
        <a:xfrm>
          <a:off x="3790949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204508</xdr:colOff>
      <xdr:row>29</xdr:row>
      <xdr:rowOff>179295</xdr:rowOff>
    </xdr:from>
    <xdr:to>
      <xdr:col>12</xdr:col>
      <xdr:colOff>204508</xdr:colOff>
      <xdr:row>30</xdr:row>
      <xdr:rowOff>134471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CxnSpPr/>
      </xdr:nvCxnSpPr>
      <xdr:spPr bwMode="auto">
        <a:xfrm flipV="1">
          <a:off x="7291108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689161</xdr:colOff>
      <xdr:row>29</xdr:row>
      <xdr:rowOff>179295</xdr:rowOff>
    </xdr:from>
    <xdr:to>
      <xdr:col>5</xdr:col>
      <xdr:colOff>689161</xdr:colOff>
      <xdr:row>30</xdr:row>
      <xdr:rowOff>134471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CxnSpPr/>
      </xdr:nvCxnSpPr>
      <xdr:spPr bwMode="auto">
        <a:xfrm flipV="1">
          <a:off x="4384861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204507</xdr:colOff>
      <xdr:row>27</xdr:row>
      <xdr:rowOff>180681</xdr:rowOff>
    </xdr:from>
    <xdr:to>
      <xdr:col>12</xdr:col>
      <xdr:colOff>290559</xdr:colOff>
      <xdr:row>29</xdr:row>
      <xdr:rowOff>184898</xdr:rowOff>
    </xdr:to>
    <xdr:sp macro="" textlink="">
      <xdr:nvSpPr>
        <xdr:cNvPr id="10" name="Forma livre 10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/>
      </xdr:nvSpPr>
      <xdr:spPr bwMode="auto">
        <a:xfrm>
          <a:off x="7291107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605120</xdr:colOff>
      <xdr:row>27</xdr:row>
      <xdr:rowOff>175078</xdr:rowOff>
    </xdr:from>
    <xdr:to>
      <xdr:col>5</xdr:col>
      <xdr:colOff>691172</xdr:colOff>
      <xdr:row>29</xdr:row>
      <xdr:rowOff>179295</xdr:rowOff>
    </xdr:to>
    <xdr:sp macro="" textlink="">
      <xdr:nvSpPr>
        <xdr:cNvPr id="11" name="Forma livre 11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/>
      </xdr:nvSpPr>
      <xdr:spPr bwMode="auto">
        <a:xfrm flipH="1">
          <a:off x="4300820" y="8719003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125015</xdr:colOff>
      <xdr:row>30</xdr:row>
      <xdr:rowOff>134472</xdr:rowOff>
    </xdr:from>
    <xdr:to>
      <xdr:col>9</xdr:col>
      <xdr:colOff>202756</xdr:colOff>
      <xdr:row>30</xdr:row>
      <xdr:rowOff>134472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CxnSpPr/>
      </xdr:nvCxnSpPr>
      <xdr:spPr bwMode="auto">
        <a:xfrm>
          <a:off x="5478065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47625</xdr:colOff>
      <xdr:row>28</xdr:row>
      <xdr:rowOff>59531</xdr:rowOff>
    </xdr:from>
    <xdr:to>
      <xdr:col>9</xdr:col>
      <xdr:colOff>177992</xdr:colOff>
      <xdr:row>30</xdr:row>
      <xdr:rowOff>130969</xdr:rowOff>
    </xdr:to>
    <xdr:sp macro="" textlink="">
      <xdr:nvSpPr>
        <xdr:cNvPr id="13" name="Forma livre 13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SpPr/>
      </xdr:nvSpPr>
      <xdr:spPr bwMode="auto">
        <a:xfrm>
          <a:off x="5981700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136924</xdr:colOff>
      <xdr:row>28</xdr:row>
      <xdr:rowOff>59531</xdr:rowOff>
    </xdr:from>
    <xdr:to>
      <xdr:col>8</xdr:col>
      <xdr:colOff>267291</xdr:colOff>
      <xdr:row>30</xdr:row>
      <xdr:rowOff>130969</xdr:rowOff>
    </xdr:to>
    <xdr:sp macro="" textlink="">
      <xdr:nvSpPr>
        <xdr:cNvPr id="14" name="Forma livre 14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SpPr/>
      </xdr:nvSpPr>
      <xdr:spPr bwMode="auto">
        <a:xfrm flipH="1">
          <a:off x="5489974" y="8851106"/>
          <a:ext cx="130367" cy="566738"/>
        </a:xfrm>
        <a:custGeom>
          <a:avLst/>
          <a:gdLst>
            <a:gd name="connsiteX0" fmla="*/ 0 w 130367"/>
            <a:gd name="connsiteY0" fmla="*/ 0 h 571500"/>
            <a:gd name="connsiteX1" fmla="*/ 125016 w 130367"/>
            <a:gd name="connsiteY1" fmla="*/ 238125 h 571500"/>
            <a:gd name="connsiteX2" fmla="*/ 83344 w 130367"/>
            <a:gd name="connsiteY2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367" h="571500">
              <a:moveTo>
                <a:pt x="0" y="0"/>
              </a:moveTo>
              <a:cubicBezTo>
                <a:pt x="55562" y="71437"/>
                <a:pt x="111125" y="142875"/>
                <a:pt x="125016" y="238125"/>
              </a:cubicBezTo>
              <a:cubicBezTo>
                <a:pt x="138907" y="333375"/>
                <a:pt x="126008" y="522883"/>
                <a:pt x="83344" y="571500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136921</xdr:colOff>
      <xdr:row>30</xdr:row>
      <xdr:rowOff>134472</xdr:rowOff>
    </xdr:from>
    <xdr:to>
      <xdr:col>13</xdr:col>
      <xdr:colOff>214662</xdr:colOff>
      <xdr:row>30</xdr:row>
      <xdr:rowOff>134472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CxnSpPr/>
      </xdr:nvCxnSpPr>
      <xdr:spPr bwMode="auto">
        <a:xfrm>
          <a:off x="7223521" y="9421347"/>
          <a:ext cx="658766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445528</xdr:colOff>
      <xdr:row>27</xdr:row>
      <xdr:rowOff>178594</xdr:rowOff>
    </xdr:from>
    <xdr:to>
      <xdr:col>13</xdr:col>
      <xdr:colOff>166686</xdr:colOff>
      <xdr:row>30</xdr:row>
      <xdr:rowOff>137601</xdr:rowOff>
    </xdr:to>
    <xdr:sp macro="" textlink="">
      <xdr:nvSpPr>
        <xdr:cNvPr id="16" name="Forma livre 16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SpPr/>
      </xdr:nvSpPr>
      <xdr:spPr bwMode="auto">
        <a:xfrm>
          <a:off x="7532128" y="8722519"/>
          <a:ext cx="302183" cy="701957"/>
        </a:xfrm>
        <a:custGeom>
          <a:avLst/>
          <a:gdLst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160734 w 297656"/>
            <a:gd name="connsiteY2" fmla="*/ 172641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806"/>
            <a:gd name="connsiteX1" fmla="*/ 53578 w 297656"/>
            <a:gd name="connsiteY1" fmla="*/ 130969 h 708806"/>
            <a:gd name="connsiteX2" fmla="*/ 47624 w 297656"/>
            <a:gd name="connsiteY2" fmla="*/ 309563 h 708806"/>
            <a:gd name="connsiteX3" fmla="*/ 190500 w 297656"/>
            <a:gd name="connsiteY3" fmla="*/ 398860 h 708806"/>
            <a:gd name="connsiteX4" fmla="*/ 291703 w 297656"/>
            <a:gd name="connsiteY4" fmla="*/ 547688 h 708806"/>
            <a:gd name="connsiteX5" fmla="*/ 297656 w 297656"/>
            <a:gd name="connsiteY5" fmla="*/ 708422 h 708806"/>
            <a:gd name="connsiteX0" fmla="*/ 0 w 297656"/>
            <a:gd name="connsiteY0" fmla="*/ 0 h 708760"/>
            <a:gd name="connsiteX1" fmla="*/ 53578 w 297656"/>
            <a:gd name="connsiteY1" fmla="*/ 130969 h 708760"/>
            <a:gd name="connsiteX2" fmla="*/ 47624 w 297656"/>
            <a:gd name="connsiteY2" fmla="*/ 309563 h 708760"/>
            <a:gd name="connsiteX3" fmla="*/ 190500 w 297656"/>
            <a:gd name="connsiteY3" fmla="*/ 398860 h 708760"/>
            <a:gd name="connsiteX4" fmla="*/ 190500 w 297656"/>
            <a:gd name="connsiteY4" fmla="*/ 500063 h 708760"/>
            <a:gd name="connsiteX5" fmla="*/ 291703 w 297656"/>
            <a:gd name="connsiteY5" fmla="*/ 547688 h 708760"/>
            <a:gd name="connsiteX6" fmla="*/ 297656 w 297656"/>
            <a:gd name="connsiteY6" fmla="*/ 708422 h 708760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90500 w 297656"/>
            <a:gd name="connsiteY3" fmla="*/ 39886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11"/>
            <a:gd name="connsiteX1" fmla="*/ 53578 w 297656"/>
            <a:gd name="connsiteY1" fmla="*/ 130969 h 709111"/>
            <a:gd name="connsiteX2" fmla="*/ 47624 w 297656"/>
            <a:gd name="connsiteY2" fmla="*/ 309563 h 709111"/>
            <a:gd name="connsiteX3" fmla="*/ 154781 w 297656"/>
            <a:gd name="connsiteY3" fmla="*/ 381000 h 709111"/>
            <a:gd name="connsiteX4" fmla="*/ 190500 w 297656"/>
            <a:gd name="connsiteY4" fmla="*/ 500063 h 709111"/>
            <a:gd name="connsiteX5" fmla="*/ 214313 w 297656"/>
            <a:gd name="connsiteY5" fmla="*/ 619126 h 709111"/>
            <a:gd name="connsiteX6" fmla="*/ 297656 w 297656"/>
            <a:gd name="connsiteY6" fmla="*/ 708422 h 709111"/>
            <a:gd name="connsiteX0" fmla="*/ 0 w 297656"/>
            <a:gd name="connsiteY0" fmla="*/ 0 h 709141"/>
            <a:gd name="connsiteX1" fmla="*/ 53578 w 297656"/>
            <a:gd name="connsiteY1" fmla="*/ 130969 h 709141"/>
            <a:gd name="connsiteX2" fmla="*/ 47624 w 297656"/>
            <a:gd name="connsiteY2" fmla="*/ 309563 h 709141"/>
            <a:gd name="connsiteX3" fmla="*/ 154781 w 297656"/>
            <a:gd name="connsiteY3" fmla="*/ 381000 h 709141"/>
            <a:gd name="connsiteX4" fmla="*/ 232172 w 297656"/>
            <a:gd name="connsiteY4" fmla="*/ 482203 h 709141"/>
            <a:gd name="connsiteX5" fmla="*/ 214313 w 297656"/>
            <a:gd name="connsiteY5" fmla="*/ 619126 h 709141"/>
            <a:gd name="connsiteX6" fmla="*/ 297656 w 297656"/>
            <a:gd name="connsiteY6" fmla="*/ 708422 h 709141"/>
            <a:gd name="connsiteX0" fmla="*/ 1825 w 299481"/>
            <a:gd name="connsiteY0" fmla="*/ 0 h 709141"/>
            <a:gd name="connsiteX1" fmla="*/ 1825 w 299481"/>
            <a:gd name="connsiteY1" fmla="*/ 166688 h 709141"/>
            <a:gd name="connsiteX2" fmla="*/ 49449 w 299481"/>
            <a:gd name="connsiteY2" fmla="*/ 309563 h 709141"/>
            <a:gd name="connsiteX3" fmla="*/ 156606 w 299481"/>
            <a:gd name="connsiteY3" fmla="*/ 381000 h 709141"/>
            <a:gd name="connsiteX4" fmla="*/ 233997 w 299481"/>
            <a:gd name="connsiteY4" fmla="*/ 482203 h 709141"/>
            <a:gd name="connsiteX5" fmla="*/ 216138 w 299481"/>
            <a:gd name="connsiteY5" fmla="*/ 619126 h 709141"/>
            <a:gd name="connsiteX6" fmla="*/ 299481 w 299481"/>
            <a:gd name="connsiteY6" fmla="*/ 708422 h 709141"/>
            <a:gd name="connsiteX0" fmla="*/ 4859 w 302515"/>
            <a:gd name="connsiteY0" fmla="*/ 0 h 709141"/>
            <a:gd name="connsiteX1" fmla="*/ 4859 w 302515"/>
            <a:gd name="connsiteY1" fmla="*/ 166688 h 709141"/>
            <a:gd name="connsiteX2" fmla="*/ 100108 w 302515"/>
            <a:gd name="connsiteY2" fmla="*/ 285750 h 709141"/>
            <a:gd name="connsiteX3" fmla="*/ 159640 w 302515"/>
            <a:gd name="connsiteY3" fmla="*/ 381000 h 709141"/>
            <a:gd name="connsiteX4" fmla="*/ 237031 w 302515"/>
            <a:gd name="connsiteY4" fmla="*/ 482203 h 709141"/>
            <a:gd name="connsiteX5" fmla="*/ 219172 w 302515"/>
            <a:gd name="connsiteY5" fmla="*/ 619126 h 709141"/>
            <a:gd name="connsiteX6" fmla="*/ 302515 w 302515"/>
            <a:gd name="connsiteY6" fmla="*/ 708422 h 709141"/>
            <a:gd name="connsiteX0" fmla="*/ 6908 w 304564"/>
            <a:gd name="connsiteY0" fmla="*/ 0 h 709141"/>
            <a:gd name="connsiteX1" fmla="*/ 6908 w 304564"/>
            <a:gd name="connsiteY1" fmla="*/ 166688 h 709141"/>
            <a:gd name="connsiteX2" fmla="*/ 131922 w 304564"/>
            <a:gd name="connsiteY2" fmla="*/ 267891 h 709141"/>
            <a:gd name="connsiteX3" fmla="*/ 161689 w 304564"/>
            <a:gd name="connsiteY3" fmla="*/ 381000 h 709141"/>
            <a:gd name="connsiteX4" fmla="*/ 239080 w 304564"/>
            <a:gd name="connsiteY4" fmla="*/ 482203 h 709141"/>
            <a:gd name="connsiteX5" fmla="*/ 221221 w 304564"/>
            <a:gd name="connsiteY5" fmla="*/ 619126 h 709141"/>
            <a:gd name="connsiteX6" fmla="*/ 304564 w 304564"/>
            <a:gd name="connsiteY6" fmla="*/ 708422 h 70914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61689 w 304564"/>
            <a:gd name="connsiteY3" fmla="*/ 381000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  <a:gd name="connsiteX0" fmla="*/ 6908 w 304564"/>
            <a:gd name="connsiteY0" fmla="*/ 0 h 709101"/>
            <a:gd name="connsiteX1" fmla="*/ 6908 w 304564"/>
            <a:gd name="connsiteY1" fmla="*/ 166688 h 709101"/>
            <a:gd name="connsiteX2" fmla="*/ 131922 w 304564"/>
            <a:gd name="connsiteY2" fmla="*/ 267891 h 709101"/>
            <a:gd name="connsiteX3" fmla="*/ 131924 w 304564"/>
            <a:gd name="connsiteY3" fmla="*/ 410766 h 709101"/>
            <a:gd name="connsiteX4" fmla="*/ 215267 w 304564"/>
            <a:gd name="connsiteY4" fmla="*/ 506016 h 709101"/>
            <a:gd name="connsiteX5" fmla="*/ 221221 w 304564"/>
            <a:gd name="connsiteY5" fmla="*/ 619126 h 709101"/>
            <a:gd name="connsiteX6" fmla="*/ 304564 w 304564"/>
            <a:gd name="connsiteY6" fmla="*/ 708422 h 70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4564" h="709101">
              <a:moveTo>
                <a:pt x="6908" y="0"/>
              </a:moveTo>
              <a:cubicBezTo>
                <a:pt x="20302" y="51098"/>
                <a:pt x="-13928" y="122040"/>
                <a:pt x="6908" y="166688"/>
              </a:cubicBezTo>
              <a:cubicBezTo>
                <a:pt x="27744" y="211336"/>
                <a:pt x="111086" y="227211"/>
                <a:pt x="131922" y="267891"/>
              </a:cubicBezTo>
              <a:cubicBezTo>
                <a:pt x="152758" y="308571"/>
                <a:pt x="118033" y="371079"/>
                <a:pt x="131924" y="410766"/>
              </a:cubicBezTo>
              <a:cubicBezTo>
                <a:pt x="145815" y="450454"/>
                <a:pt x="198400" y="481211"/>
                <a:pt x="215267" y="506016"/>
              </a:cubicBezTo>
              <a:cubicBezTo>
                <a:pt x="232134" y="530821"/>
                <a:pt x="206338" y="585392"/>
                <a:pt x="221221" y="619126"/>
              </a:cubicBezTo>
              <a:cubicBezTo>
                <a:pt x="236104" y="652860"/>
                <a:pt x="243048" y="716359"/>
                <a:pt x="304564" y="708422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285750</xdr:colOff>
      <xdr:row>27</xdr:row>
      <xdr:rowOff>172637</xdr:rowOff>
    </xdr:from>
    <xdr:to>
      <xdr:col>12</xdr:col>
      <xdr:colOff>458390</xdr:colOff>
      <xdr:row>27</xdr:row>
      <xdr:rowOff>172637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3700-000011000000}"/>
            </a:ext>
          </a:extLst>
        </xdr:cNvPr>
        <xdr:cNvCxnSpPr/>
      </xdr:nvCxnSpPr>
      <xdr:spPr bwMode="auto">
        <a:xfrm>
          <a:off x="7372350" y="8716562"/>
          <a:ext cx="172640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156883</xdr:colOff>
      <xdr:row>29</xdr:row>
      <xdr:rowOff>179295</xdr:rowOff>
    </xdr:from>
    <xdr:to>
      <xdr:col>5</xdr:col>
      <xdr:colOff>156883</xdr:colOff>
      <xdr:row>30</xdr:row>
      <xdr:rowOff>134471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3700-000012000000}"/>
            </a:ext>
          </a:extLst>
        </xdr:cNvPr>
        <xdr:cNvCxnSpPr/>
      </xdr:nvCxnSpPr>
      <xdr:spPr bwMode="auto">
        <a:xfrm flipV="1">
          <a:off x="3852583" y="9218520"/>
          <a:ext cx="0" cy="202826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156882</xdr:colOff>
      <xdr:row>27</xdr:row>
      <xdr:rowOff>180681</xdr:rowOff>
    </xdr:from>
    <xdr:to>
      <xdr:col>5</xdr:col>
      <xdr:colOff>242934</xdr:colOff>
      <xdr:row>29</xdr:row>
      <xdr:rowOff>184898</xdr:rowOff>
    </xdr:to>
    <xdr:sp macro="" textlink="">
      <xdr:nvSpPr>
        <xdr:cNvPr id="19" name="Forma livre 19">
          <a:extLst>
            <a:ext uri="{FF2B5EF4-FFF2-40B4-BE49-F238E27FC236}">
              <a16:creationId xmlns:a16="http://schemas.microsoft.com/office/drawing/2014/main" id="{00000000-0008-0000-3700-000013000000}"/>
            </a:ext>
          </a:extLst>
        </xdr:cNvPr>
        <xdr:cNvSpPr/>
      </xdr:nvSpPr>
      <xdr:spPr bwMode="auto">
        <a:xfrm>
          <a:off x="3852582" y="8724606"/>
          <a:ext cx="86052" cy="499517"/>
        </a:xfrm>
        <a:custGeom>
          <a:avLst/>
          <a:gdLst>
            <a:gd name="connsiteX0" fmla="*/ 0 w 86052"/>
            <a:gd name="connsiteY0" fmla="*/ 497276 h 497276"/>
            <a:gd name="connsiteX1" fmla="*/ 22412 w 86052"/>
            <a:gd name="connsiteY1" fmla="*/ 239541 h 497276"/>
            <a:gd name="connsiteX2" fmla="*/ 78441 w 86052"/>
            <a:gd name="connsiteY2" fmla="*/ 21026 h 497276"/>
            <a:gd name="connsiteX3" fmla="*/ 84044 w 86052"/>
            <a:gd name="connsiteY3" fmla="*/ 21026 h 4972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6052" h="497276">
              <a:moveTo>
                <a:pt x="0" y="497276"/>
              </a:moveTo>
              <a:cubicBezTo>
                <a:pt x="4669" y="408096"/>
                <a:pt x="9339" y="318916"/>
                <a:pt x="22412" y="239541"/>
              </a:cubicBezTo>
              <a:cubicBezTo>
                <a:pt x="35485" y="160166"/>
                <a:pt x="68169" y="57445"/>
                <a:pt x="78441" y="21026"/>
              </a:cubicBezTo>
              <a:cubicBezTo>
                <a:pt x="88713" y="-15393"/>
                <a:pt x="86378" y="2816"/>
                <a:pt x="84044" y="21026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238125</xdr:colOff>
      <xdr:row>27</xdr:row>
      <xdr:rowOff>172639</xdr:rowOff>
    </xdr:from>
    <xdr:to>
      <xdr:col>5</xdr:col>
      <xdr:colOff>607218</xdr:colOff>
      <xdr:row>27</xdr:row>
      <xdr:rowOff>172639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3700-000014000000}"/>
            </a:ext>
          </a:extLst>
        </xdr:cNvPr>
        <xdr:cNvCxnSpPr/>
      </xdr:nvCxnSpPr>
      <xdr:spPr bwMode="auto">
        <a:xfrm>
          <a:off x="3933825" y="8716564"/>
          <a:ext cx="369093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83343</xdr:colOff>
      <xdr:row>30</xdr:row>
      <xdr:rowOff>134472</xdr:rowOff>
    </xdr:from>
    <xdr:to>
      <xdr:col>3</xdr:col>
      <xdr:colOff>744490</xdr:colOff>
      <xdr:row>30</xdr:row>
      <xdr:rowOff>134472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3700-000015000000}"/>
            </a:ext>
          </a:extLst>
        </xdr:cNvPr>
        <xdr:cNvCxnSpPr/>
      </xdr:nvCxnSpPr>
      <xdr:spPr bwMode="auto">
        <a:xfrm>
          <a:off x="2083593" y="9421347"/>
          <a:ext cx="661147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297658</xdr:colOff>
      <xdr:row>27</xdr:row>
      <xdr:rowOff>196451</xdr:rowOff>
    </xdr:from>
    <xdr:to>
      <xdr:col>3</xdr:col>
      <xdr:colOff>517923</xdr:colOff>
      <xdr:row>27</xdr:row>
      <xdr:rowOff>196451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3700-000016000000}"/>
            </a:ext>
          </a:extLst>
        </xdr:cNvPr>
        <xdr:cNvCxnSpPr/>
      </xdr:nvCxnSpPr>
      <xdr:spPr bwMode="auto">
        <a:xfrm>
          <a:off x="2297908" y="8740376"/>
          <a:ext cx="220265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517922</xdr:colOff>
      <xdr:row>27</xdr:row>
      <xdr:rowOff>196454</xdr:rowOff>
    </xdr:from>
    <xdr:to>
      <xdr:col>3</xdr:col>
      <xdr:colOff>666750</xdr:colOff>
      <xdr:row>30</xdr:row>
      <xdr:rowOff>136922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3700-000017000000}"/>
            </a:ext>
          </a:extLst>
        </xdr:cNvPr>
        <xdr:cNvCxnSpPr/>
      </xdr:nvCxnSpPr>
      <xdr:spPr bwMode="auto">
        <a:xfrm>
          <a:off x="2518172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148831</xdr:colOff>
      <xdr:row>27</xdr:row>
      <xdr:rowOff>196454</xdr:rowOff>
    </xdr:from>
    <xdr:to>
      <xdr:col>3</xdr:col>
      <xdr:colOff>297659</xdr:colOff>
      <xdr:row>30</xdr:row>
      <xdr:rowOff>136922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3700-000018000000}"/>
            </a:ext>
          </a:extLst>
        </xdr:cNvPr>
        <xdr:cNvCxnSpPr/>
      </xdr:nvCxnSpPr>
      <xdr:spPr bwMode="auto">
        <a:xfrm flipH="1">
          <a:off x="2149081" y="8740379"/>
          <a:ext cx="148828" cy="683418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142874</xdr:colOff>
      <xdr:row>30</xdr:row>
      <xdr:rowOff>77385</xdr:rowOff>
    </xdr:from>
    <xdr:to>
      <xdr:col>13</xdr:col>
      <xdr:colOff>208358</xdr:colOff>
      <xdr:row>30</xdr:row>
      <xdr:rowOff>123104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0000000-0008-0000-3700-000019000000}"/>
            </a:ext>
          </a:extLst>
        </xdr:cNvPr>
        <xdr:cNvSpPr/>
      </xdr:nvSpPr>
      <xdr:spPr bwMode="auto">
        <a:xfrm>
          <a:off x="7810499" y="9364260"/>
          <a:ext cx="65484" cy="45719"/>
        </a:xfrm>
        <a:prstGeom prst="ellips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73674</xdr:colOff>
      <xdr:row>29</xdr:row>
      <xdr:rowOff>59952</xdr:rowOff>
    </xdr:from>
    <xdr:to>
      <xdr:col>17</xdr:col>
      <xdr:colOff>237931</xdr:colOff>
      <xdr:row>29</xdr:row>
      <xdr:rowOff>59952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00000000-0008-0000-3700-00001A000000}"/>
            </a:ext>
          </a:extLst>
        </xdr:cNvPr>
        <xdr:cNvCxnSpPr/>
      </xdr:nvCxnSpPr>
      <xdr:spPr bwMode="auto">
        <a:xfrm>
          <a:off x="8893824" y="9099177"/>
          <a:ext cx="745282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115084</xdr:colOff>
      <xdr:row>29</xdr:row>
      <xdr:rowOff>59952</xdr:rowOff>
    </xdr:from>
    <xdr:to>
      <xdr:col>21</xdr:col>
      <xdr:colOff>772608</xdr:colOff>
      <xdr:row>29</xdr:row>
      <xdr:rowOff>59952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3700-00001B000000}"/>
            </a:ext>
          </a:extLst>
        </xdr:cNvPr>
        <xdr:cNvCxnSpPr/>
      </xdr:nvCxnSpPr>
      <xdr:spPr bwMode="auto">
        <a:xfrm>
          <a:off x="10916434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21</xdr:col>
      <xdr:colOff>219488</xdr:colOff>
      <xdr:row>28</xdr:row>
      <xdr:rowOff>178282</xdr:rowOff>
    </xdr:from>
    <xdr:to>
      <xdr:col>21</xdr:col>
      <xdr:colOff>691596</xdr:colOff>
      <xdr:row>29</xdr:row>
      <xdr:rowOff>57990</xdr:rowOff>
    </xdr:to>
    <xdr:sp macro="" textlink="">
      <xdr:nvSpPr>
        <xdr:cNvPr id="28" name="Forma livre 28">
          <a:extLst>
            <a:ext uri="{FF2B5EF4-FFF2-40B4-BE49-F238E27FC236}">
              <a16:creationId xmlns:a16="http://schemas.microsoft.com/office/drawing/2014/main" id="{00000000-0008-0000-3700-00001C000000}"/>
            </a:ext>
          </a:extLst>
        </xdr:cNvPr>
        <xdr:cNvSpPr/>
      </xdr:nvSpPr>
      <xdr:spPr bwMode="auto">
        <a:xfrm>
          <a:off x="11020838" y="8969857"/>
          <a:ext cx="472108" cy="127358"/>
        </a:xfrm>
        <a:custGeom>
          <a:avLst/>
          <a:gdLst>
            <a:gd name="connsiteX0" fmla="*/ 0 w 472108"/>
            <a:gd name="connsiteY0" fmla="*/ 13548 h 13548"/>
            <a:gd name="connsiteX1" fmla="*/ 472108 w 472108"/>
            <a:gd name="connsiteY1" fmla="*/ 13548 h 13548"/>
            <a:gd name="connsiteX0" fmla="*/ 0 w 472108"/>
            <a:gd name="connsiteY0" fmla="*/ 37712 h 37712"/>
            <a:gd name="connsiteX1" fmla="*/ 207065 w 472108"/>
            <a:gd name="connsiteY1" fmla="*/ 440 h 37712"/>
            <a:gd name="connsiteX2" fmla="*/ 472108 w 472108"/>
            <a:gd name="connsiteY2" fmla="*/ 37712 h 37712"/>
            <a:gd name="connsiteX0" fmla="*/ 0 w 472108"/>
            <a:gd name="connsiteY0" fmla="*/ 40966 h 40966"/>
            <a:gd name="connsiteX1" fmla="*/ 207065 w 472108"/>
            <a:gd name="connsiteY1" fmla="*/ 3694 h 40966"/>
            <a:gd name="connsiteX2" fmla="*/ 347869 w 472108"/>
            <a:gd name="connsiteY2" fmla="*/ 3694 h 40966"/>
            <a:gd name="connsiteX3" fmla="*/ 472108 w 472108"/>
            <a:gd name="connsiteY3" fmla="*/ 40966 h 40966"/>
            <a:gd name="connsiteX0" fmla="*/ 0 w 472108"/>
            <a:gd name="connsiteY0" fmla="*/ 40966 h 40966"/>
            <a:gd name="connsiteX1" fmla="*/ 86967 w 472108"/>
            <a:gd name="connsiteY1" fmla="*/ 3694 h 40966"/>
            <a:gd name="connsiteX2" fmla="*/ 207065 w 472108"/>
            <a:gd name="connsiteY2" fmla="*/ 3694 h 40966"/>
            <a:gd name="connsiteX3" fmla="*/ 347869 w 472108"/>
            <a:gd name="connsiteY3" fmla="*/ 3694 h 40966"/>
            <a:gd name="connsiteX4" fmla="*/ 472108 w 472108"/>
            <a:gd name="connsiteY4" fmla="*/ 40966 h 40966"/>
            <a:gd name="connsiteX0" fmla="*/ 0 w 472108"/>
            <a:gd name="connsiteY0" fmla="*/ 54382 h 54382"/>
            <a:gd name="connsiteX1" fmla="*/ 86967 w 472108"/>
            <a:gd name="connsiteY1" fmla="*/ 17110 h 54382"/>
            <a:gd name="connsiteX2" fmla="*/ 202923 w 472108"/>
            <a:gd name="connsiteY2" fmla="*/ 545 h 54382"/>
            <a:gd name="connsiteX3" fmla="*/ 347869 w 472108"/>
            <a:gd name="connsiteY3" fmla="*/ 17110 h 54382"/>
            <a:gd name="connsiteX4" fmla="*/ 472108 w 472108"/>
            <a:gd name="connsiteY4" fmla="*/ 54382 h 54382"/>
            <a:gd name="connsiteX0" fmla="*/ 0 w 472108"/>
            <a:gd name="connsiteY0" fmla="*/ 124342 h 124342"/>
            <a:gd name="connsiteX1" fmla="*/ 86967 w 472108"/>
            <a:gd name="connsiteY1" fmla="*/ 87070 h 124342"/>
            <a:gd name="connsiteX2" fmla="*/ 198782 w 472108"/>
            <a:gd name="connsiteY2" fmla="*/ 103 h 124342"/>
            <a:gd name="connsiteX3" fmla="*/ 347869 w 472108"/>
            <a:gd name="connsiteY3" fmla="*/ 87070 h 124342"/>
            <a:gd name="connsiteX4" fmla="*/ 472108 w 472108"/>
            <a:gd name="connsiteY4" fmla="*/ 124342 h 124342"/>
            <a:gd name="connsiteX0" fmla="*/ 0 w 472108"/>
            <a:gd name="connsiteY0" fmla="*/ 128486 h 128486"/>
            <a:gd name="connsiteX1" fmla="*/ 86967 w 472108"/>
            <a:gd name="connsiteY1" fmla="*/ 91214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47869 w 472108"/>
            <a:gd name="connsiteY4" fmla="*/ 91214 h 128486"/>
            <a:gd name="connsiteX5" fmla="*/ 472108 w 472108"/>
            <a:gd name="connsiteY5" fmla="*/ 128486 h 128486"/>
            <a:gd name="connsiteX0" fmla="*/ 0 w 472108"/>
            <a:gd name="connsiteY0" fmla="*/ 128486 h 128486"/>
            <a:gd name="connsiteX1" fmla="*/ 111815 w 472108"/>
            <a:gd name="connsiteY1" fmla="*/ 103638 h 128486"/>
            <a:gd name="connsiteX2" fmla="*/ 198782 w 472108"/>
            <a:gd name="connsiteY2" fmla="*/ 4247 h 128486"/>
            <a:gd name="connsiteX3" fmla="*/ 273327 w 472108"/>
            <a:gd name="connsiteY3" fmla="*/ 12517 h 128486"/>
            <a:gd name="connsiteX4" fmla="*/ 318880 w 472108"/>
            <a:gd name="connsiteY4" fmla="*/ 111920 h 128486"/>
            <a:gd name="connsiteX5" fmla="*/ 472108 w 472108"/>
            <a:gd name="connsiteY5" fmla="*/ 128486 h 128486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  <a:gd name="connsiteX0" fmla="*/ 0 w 472108"/>
            <a:gd name="connsiteY0" fmla="*/ 128187 h 128187"/>
            <a:gd name="connsiteX1" fmla="*/ 111815 w 472108"/>
            <a:gd name="connsiteY1" fmla="*/ 103339 h 128187"/>
            <a:gd name="connsiteX2" fmla="*/ 182218 w 472108"/>
            <a:gd name="connsiteY2" fmla="*/ 57772 h 128187"/>
            <a:gd name="connsiteX3" fmla="*/ 198782 w 472108"/>
            <a:gd name="connsiteY3" fmla="*/ 3948 h 128187"/>
            <a:gd name="connsiteX4" fmla="*/ 273327 w 472108"/>
            <a:gd name="connsiteY4" fmla="*/ 12218 h 128187"/>
            <a:gd name="connsiteX5" fmla="*/ 318880 w 472108"/>
            <a:gd name="connsiteY5" fmla="*/ 111621 h 128187"/>
            <a:gd name="connsiteX6" fmla="*/ 472108 w 472108"/>
            <a:gd name="connsiteY6" fmla="*/ 128187 h 12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72108" h="128187">
              <a:moveTo>
                <a:pt x="0" y="128187"/>
              </a:moveTo>
              <a:cubicBezTo>
                <a:pt x="15185" y="124736"/>
                <a:pt x="77304" y="109551"/>
                <a:pt x="111815" y="103339"/>
              </a:cubicBezTo>
              <a:cubicBezTo>
                <a:pt x="138043" y="90223"/>
                <a:pt x="171866" y="86761"/>
                <a:pt x="182218" y="57772"/>
              </a:cubicBezTo>
              <a:cubicBezTo>
                <a:pt x="196712" y="41207"/>
                <a:pt x="179456" y="10160"/>
                <a:pt x="198782" y="3948"/>
              </a:cubicBezTo>
              <a:cubicBezTo>
                <a:pt x="218108" y="-2264"/>
                <a:pt x="248479" y="-2276"/>
                <a:pt x="273327" y="12218"/>
              </a:cubicBezTo>
              <a:cubicBezTo>
                <a:pt x="298175" y="26712"/>
                <a:pt x="285750" y="98505"/>
                <a:pt x="318880" y="111621"/>
              </a:cubicBezTo>
              <a:cubicBezTo>
                <a:pt x="363054" y="117833"/>
                <a:pt x="448641" y="124736"/>
                <a:pt x="472108" y="12818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149090</xdr:colOff>
      <xdr:row>29</xdr:row>
      <xdr:rowOff>28988</xdr:rowOff>
    </xdr:from>
    <xdr:to>
      <xdr:col>17</xdr:col>
      <xdr:colOff>175736</xdr:colOff>
      <xdr:row>29</xdr:row>
      <xdr:rowOff>62113</xdr:rowOff>
    </xdr:to>
    <xdr:sp macro="" textlink="">
      <xdr:nvSpPr>
        <xdr:cNvPr id="29" name="Forma livre 29">
          <a:extLst>
            <a:ext uri="{FF2B5EF4-FFF2-40B4-BE49-F238E27FC236}">
              <a16:creationId xmlns:a16="http://schemas.microsoft.com/office/drawing/2014/main" id="{00000000-0008-0000-3700-00001D000000}"/>
            </a:ext>
          </a:extLst>
        </xdr:cNvPr>
        <xdr:cNvSpPr/>
      </xdr:nvSpPr>
      <xdr:spPr bwMode="auto">
        <a:xfrm>
          <a:off x="8969240" y="9068213"/>
          <a:ext cx="607671" cy="33125"/>
        </a:xfrm>
        <a:custGeom>
          <a:avLst/>
          <a:gdLst>
            <a:gd name="connsiteX0" fmla="*/ 0 w 618571"/>
            <a:gd name="connsiteY0" fmla="*/ 4142 h 12424"/>
            <a:gd name="connsiteX1" fmla="*/ 546652 w 618571"/>
            <a:gd name="connsiteY1" fmla="*/ 0 h 12424"/>
            <a:gd name="connsiteX2" fmla="*/ 596348 w 618571"/>
            <a:gd name="connsiteY2" fmla="*/ 12424 h 12424"/>
            <a:gd name="connsiteX0" fmla="*/ 0 w 606429"/>
            <a:gd name="connsiteY0" fmla="*/ 24843 h 33125"/>
            <a:gd name="connsiteX1" fmla="*/ 285747 w 606429"/>
            <a:gd name="connsiteY1" fmla="*/ 0 h 33125"/>
            <a:gd name="connsiteX2" fmla="*/ 546652 w 606429"/>
            <a:gd name="connsiteY2" fmla="*/ 20701 h 33125"/>
            <a:gd name="connsiteX3" fmla="*/ 596348 w 606429"/>
            <a:gd name="connsiteY3" fmla="*/ 33125 h 3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6429" h="33125">
              <a:moveTo>
                <a:pt x="0" y="24843"/>
              </a:moveTo>
              <a:cubicBezTo>
                <a:pt x="95249" y="23464"/>
                <a:pt x="190498" y="1379"/>
                <a:pt x="285747" y="0"/>
              </a:cubicBezTo>
              <a:lnTo>
                <a:pt x="546652" y="20701"/>
              </a:lnTo>
              <a:cubicBezTo>
                <a:pt x="598419" y="26222"/>
                <a:pt x="621195" y="27603"/>
                <a:pt x="596348" y="33125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83335</xdr:colOff>
      <xdr:row>29</xdr:row>
      <xdr:rowOff>59952</xdr:rowOff>
    </xdr:from>
    <xdr:to>
      <xdr:col>23</xdr:col>
      <xdr:colOff>740859</xdr:colOff>
      <xdr:row>29</xdr:row>
      <xdr:rowOff>59952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3700-00001E000000}"/>
            </a:ext>
          </a:extLst>
        </xdr:cNvPr>
        <xdr:cNvCxnSpPr/>
      </xdr:nvCxnSpPr>
      <xdr:spPr bwMode="auto">
        <a:xfrm>
          <a:off x="12551560" y="9099177"/>
          <a:ext cx="657524" cy="0"/>
        </a:xfrm>
        <a:prstGeom prst="line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118881</xdr:colOff>
      <xdr:row>29</xdr:row>
      <xdr:rowOff>4536</xdr:rowOff>
    </xdr:from>
    <xdr:to>
      <xdr:col>23</xdr:col>
      <xdr:colOff>716642</xdr:colOff>
      <xdr:row>29</xdr:row>
      <xdr:rowOff>58964</xdr:rowOff>
    </xdr:to>
    <xdr:sp macro="" textlink="">
      <xdr:nvSpPr>
        <xdr:cNvPr id="31" name="Forma livre 31">
          <a:extLst>
            <a:ext uri="{FF2B5EF4-FFF2-40B4-BE49-F238E27FC236}">
              <a16:creationId xmlns:a16="http://schemas.microsoft.com/office/drawing/2014/main" id="{00000000-0008-0000-3700-00001F000000}"/>
            </a:ext>
          </a:extLst>
        </xdr:cNvPr>
        <xdr:cNvSpPr/>
      </xdr:nvSpPr>
      <xdr:spPr bwMode="auto">
        <a:xfrm>
          <a:off x="12587106" y="9043761"/>
          <a:ext cx="597761" cy="54428"/>
        </a:xfrm>
        <a:custGeom>
          <a:avLst/>
          <a:gdLst>
            <a:gd name="connsiteX0" fmla="*/ 35332 w 172606"/>
            <a:gd name="connsiteY0" fmla="*/ 67212 h 67212"/>
            <a:gd name="connsiteX1" fmla="*/ 8118 w 172606"/>
            <a:gd name="connsiteY1" fmla="*/ 12784 h 67212"/>
            <a:gd name="connsiteX2" fmla="*/ 162332 w 172606"/>
            <a:gd name="connsiteY2" fmla="*/ 3712 h 67212"/>
            <a:gd name="connsiteX3" fmla="*/ 148725 w 172606"/>
            <a:gd name="connsiteY3" fmla="*/ 62677 h 672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2606" h="67212">
              <a:moveTo>
                <a:pt x="35332" y="67212"/>
              </a:moveTo>
              <a:cubicBezTo>
                <a:pt x="11141" y="45289"/>
                <a:pt x="-13049" y="23367"/>
                <a:pt x="8118" y="12784"/>
              </a:cubicBezTo>
              <a:cubicBezTo>
                <a:pt x="29285" y="2201"/>
                <a:pt x="138897" y="-4604"/>
                <a:pt x="162332" y="3712"/>
              </a:cubicBezTo>
              <a:cubicBezTo>
                <a:pt x="185767" y="12028"/>
                <a:pt x="163844" y="46046"/>
                <a:pt x="148725" y="62677"/>
              </a:cubicBez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449580</xdr:colOff>
          <xdr:row>5</xdr:row>
          <xdr:rowOff>38100</xdr:rowOff>
        </xdr:from>
        <xdr:to>
          <xdr:col>25</xdr:col>
          <xdr:colOff>121920</xdr:colOff>
          <xdr:row>5</xdr:row>
          <xdr:rowOff>259080</xdr:rowOff>
        </xdr:to>
        <xdr:sp macro="" textlink="">
          <xdr:nvSpPr>
            <xdr:cNvPr id="54273" name="OptionButton" hidden="1">
              <a:extLst>
                <a:ext uri="{63B3BB69-23CF-44E3-9099-C40C66FF867C}">
                  <a14:compatExt spid="_x0000_s54273"/>
                </a:ext>
                <a:ext uri="{FF2B5EF4-FFF2-40B4-BE49-F238E27FC236}">
                  <a16:creationId xmlns:a16="http://schemas.microsoft.com/office/drawing/2014/main" id="{00000000-0008-0000-5D00-000001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274320</xdr:colOff>
          <xdr:row>5</xdr:row>
          <xdr:rowOff>38100</xdr:rowOff>
        </xdr:from>
        <xdr:to>
          <xdr:col>27</xdr:col>
          <xdr:colOff>0</xdr:colOff>
          <xdr:row>5</xdr:row>
          <xdr:rowOff>259080</xdr:rowOff>
        </xdr:to>
        <xdr:sp macro="" textlink="">
          <xdr:nvSpPr>
            <xdr:cNvPr id="54274" name="Option Button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5D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4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5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6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mments" Target="../comments7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mments" Target="../comments8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omments" Target="../comments10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mments" Target="../comments11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mments" Target="../comments12.xml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omments" Target="../comments13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omments" Target="../comments14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omments" Target="../comments15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comments" Target="../comments16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comments" Target="../comments17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comments" Target="../comments18.xml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comments" Target="../comments1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comments" Target="../comments20.xml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6" Type="http://schemas.openxmlformats.org/officeDocument/2006/relationships/comments" Target="../comments21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6" Type="http://schemas.openxmlformats.org/officeDocument/2006/relationships/comments" Target="../comments22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6" Type="http://schemas.openxmlformats.org/officeDocument/2006/relationships/comments" Target="../comments23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6" Type="http://schemas.openxmlformats.org/officeDocument/2006/relationships/comments" Target="../comments24.xml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6" Type="http://schemas.openxmlformats.org/officeDocument/2006/relationships/comments" Target="../comments25.xml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6" Type="http://schemas.openxmlformats.org/officeDocument/2006/relationships/comments" Target="../comments26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6" Type="http://schemas.openxmlformats.org/officeDocument/2006/relationships/comments" Target="../comments27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6" Type="http://schemas.openxmlformats.org/officeDocument/2006/relationships/comments" Target="../comments28.xml"/><Relationship Id="rId5" Type="http://schemas.openxmlformats.org/officeDocument/2006/relationships/ctrlProp" Target="../ctrlProps/ctrlProp56.xml"/><Relationship Id="rId4" Type="http://schemas.openxmlformats.org/officeDocument/2006/relationships/ctrlProp" Target="../ctrlProps/ctrlProp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6" Type="http://schemas.openxmlformats.org/officeDocument/2006/relationships/comments" Target="../comments29.xml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6" Type="http://schemas.openxmlformats.org/officeDocument/2006/relationships/comments" Target="../comments30.xml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6" Type="http://schemas.openxmlformats.org/officeDocument/2006/relationships/comments" Target="../comments31.xml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6" Type="http://schemas.openxmlformats.org/officeDocument/2006/relationships/comments" Target="../comments32.xml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6" Type="http://schemas.openxmlformats.org/officeDocument/2006/relationships/comments" Target="../comments33.xml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6" Type="http://schemas.openxmlformats.org/officeDocument/2006/relationships/comments" Target="../comments34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6" Type="http://schemas.openxmlformats.org/officeDocument/2006/relationships/comments" Target="../comments35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6" Type="http://schemas.openxmlformats.org/officeDocument/2006/relationships/comments" Target="../comments36.xml"/><Relationship Id="rId5" Type="http://schemas.openxmlformats.org/officeDocument/2006/relationships/ctrlProp" Target="../ctrlProps/ctrlProp72.xml"/><Relationship Id="rId4" Type="http://schemas.openxmlformats.org/officeDocument/2006/relationships/ctrlProp" Target="../ctrlProps/ctrlProp7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6" Type="http://schemas.openxmlformats.org/officeDocument/2006/relationships/comments" Target="../comments37.xml"/><Relationship Id="rId5" Type="http://schemas.openxmlformats.org/officeDocument/2006/relationships/ctrlProp" Target="../ctrlProps/ctrlProp74.xml"/><Relationship Id="rId4" Type="http://schemas.openxmlformats.org/officeDocument/2006/relationships/ctrlProp" Target="../ctrlProps/ctrlProp73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6" Type="http://schemas.openxmlformats.org/officeDocument/2006/relationships/comments" Target="../comments38.xml"/><Relationship Id="rId5" Type="http://schemas.openxmlformats.org/officeDocument/2006/relationships/ctrlProp" Target="../ctrlProps/ctrlProp76.xml"/><Relationship Id="rId4" Type="http://schemas.openxmlformats.org/officeDocument/2006/relationships/ctrlProp" Target="../ctrlProps/ctrlProp7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6" Type="http://schemas.openxmlformats.org/officeDocument/2006/relationships/comments" Target="../comments39.xml"/><Relationship Id="rId5" Type="http://schemas.openxmlformats.org/officeDocument/2006/relationships/ctrlProp" Target="../ctrlProps/ctrlProp78.xml"/><Relationship Id="rId4" Type="http://schemas.openxmlformats.org/officeDocument/2006/relationships/ctrlProp" Target="../ctrlProps/ctrlProp7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6" Type="http://schemas.openxmlformats.org/officeDocument/2006/relationships/comments" Target="../comments40.xml"/><Relationship Id="rId5" Type="http://schemas.openxmlformats.org/officeDocument/2006/relationships/ctrlProp" Target="../ctrlProps/ctrlProp80.xml"/><Relationship Id="rId4" Type="http://schemas.openxmlformats.org/officeDocument/2006/relationships/ctrlProp" Target="../ctrlProps/ctrlProp7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6" Type="http://schemas.openxmlformats.org/officeDocument/2006/relationships/comments" Target="../comments41.xml"/><Relationship Id="rId5" Type="http://schemas.openxmlformats.org/officeDocument/2006/relationships/ctrlProp" Target="../ctrlProps/ctrlProp82.xml"/><Relationship Id="rId4" Type="http://schemas.openxmlformats.org/officeDocument/2006/relationships/ctrlProp" Target="../ctrlProps/ctrlProp8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6" Type="http://schemas.openxmlformats.org/officeDocument/2006/relationships/comments" Target="../comments42.xml"/><Relationship Id="rId5" Type="http://schemas.openxmlformats.org/officeDocument/2006/relationships/ctrlProp" Target="../ctrlProps/ctrlProp84.xml"/><Relationship Id="rId4" Type="http://schemas.openxmlformats.org/officeDocument/2006/relationships/ctrlProp" Target="../ctrlProps/ctrlProp83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43.xml"/><Relationship Id="rId5" Type="http://schemas.openxmlformats.org/officeDocument/2006/relationships/ctrlProp" Target="../ctrlProps/ctrlProp86.xml"/><Relationship Id="rId4" Type="http://schemas.openxmlformats.org/officeDocument/2006/relationships/ctrlProp" Target="../ctrlProps/ctrlProp85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6" Type="http://schemas.openxmlformats.org/officeDocument/2006/relationships/comments" Target="../comments44.xml"/><Relationship Id="rId5" Type="http://schemas.openxmlformats.org/officeDocument/2006/relationships/ctrlProp" Target="../ctrlProps/ctrlProp88.xml"/><Relationship Id="rId4" Type="http://schemas.openxmlformats.org/officeDocument/2006/relationships/ctrlProp" Target="../ctrlProps/ctrlProp8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6" Type="http://schemas.openxmlformats.org/officeDocument/2006/relationships/comments" Target="../comments45.xml"/><Relationship Id="rId5" Type="http://schemas.openxmlformats.org/officeDocument/2006/relationships/ctrlProp" Target="../ctrlProps/ctrlProp90.xml"/><Relationship Id="rId4" Type="http://schemas.openxmlformats.org/officeDocument/2006/relationships/ctrlProp" Target="../ctrlProps/ctrlProp8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6" Type="http://schemas.openxmlformats.org/officeDocument/2006/relationships/comments" Target="../comments46.xml"/><Relationship Id="rId5" Type="http://schemas.openxmlformats.org/officeDocument/2006/relationships/ctrlProp" Target="../ctrlProps/ctrlProp92.xml"/><Relationship Id="rId4" Type="http://schemas.openxmlformats.org/officeDocument/2006/relationships/ctrlProp" Target="../ctrlProps/ctrlProp91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6" Type="http://schemas.openxmlformats.org/officeDocument/2006/relationships/comments" Target="../comments47.xml"/><Relationship Id="rId5" Type="http://schemas.openxmlformats.org/officeDocument/2006/relationships/ctrlProp" Target="../ctrlProps/ctrlProp94.xml"/><Relationship Id="rId4" Type="http://schemas.openxmlformats.org/officeDocument/2006/relationships/ctrlProp" Target="../ctrlProps/ctrlProp93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6" Type="http://schemas.openxmlformats.org/officeDocument/2006/relationships/comments" Target="../comments48.xml"/><Relationship Id="rId5" Type="http://schemas.openxmlformats.org/officeDocument/2006/relationships/ctrlProp" Target="../ctrlProps/ctrlProp96.xml"/><Relationship Id="rId4" Type="http://schemas.openxmlformats.org/officeDocument/2006/relationships/ctrlProp" Target="../ctrlProps/ctrlProp95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6" Type="http://schemas.openxmlformats.org/officeDocument/2006/relationships/comments" Target="../comments49.xml"/><Relationship Id="rId5" Type="http://schemas.openxmlformats.org/officeDocument/2006/relationships/ctrlProp" Target="../ctrlProps/ctrlProp98.xml"/><Relationship Id="rId4" Type="http://schemas.openxmlformats.org/officeDocument/2006/relationships/ctrlProp" Target="../ctrlProps/ctrlProp9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6" Type="http://schemas.openxmlformats.org/officeDocument/2006/relationships/comments" Target="../comments50.xml"/><Relationship Id="rId5" Type="http://schemas.openxmlformats.org/officeDocument/2006/relationships/ctrlProp" Target="../ctrlProps/ctrlProp100.xml"/><Relationship Id="rId4" Type="http://schemas.openxmlformats.org/officeDocument/2006/relationships/ctrlProp" Target="../ctrlProps/ctrlProp9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6" Type="http://schemas.openxmlformats.org/officeDocument/2006/relationships/comments" Target="../comments51.xml"/><Relationship Id="rId5" Type="http://schemas.openxmlformats.org/officeDocument/2006/relationships/ctrlProp" Target="../ctrlProps/ctrlProp102.xml"/><Relationship Id="rId4" Type="http://schemas.openxmlformats.org/officeDocument/2006/relationships/ctrlProp" Target="../ctrlProps/ctrlProp10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6" Type="http://schemas.openxmlformats.org/officeDocument/2006/relationships/comments" Target="../comments52.xml"/><Relationship Id="rId5" Type="http://schemas.openxmlformats.org/officeDocument/2006/relationships/ctrlProp" Target="../ctrlProps/ctrlProp104.xml"/><Relationship Id="rId4" Type="http://schemas.openxmlformats.org/officeDocument/2006/relationships/ctrlProp" Target="../ctrlProps/ctrlProp103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6" Type="http://schemas.openxmlformats.org/officeDocument/2006/relationships/comments" Target="../comments53.xml"/><Relationship Id="rId5" Type="http://schemas.openxmlformats.org/officeDocument/2006/relationships/ctrlProp" Target="../ctrlProps/ctrlProp106.xml"/><Relationship Id="rId4" Type="http://schemas.openxmlformats.org/officeDocument/2006/relationships/ctrlProp" Target="../ctrlProps/ctrlProp105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6" Type="http://schemas.openxmlformats.org/officeDocument/2006/relationships/comments" Target="../comments54.xml"/><Relationship Id="rId5" Type="http://schemas.openxmlformats.org/officeDocument/2006/relationships/ctrlProp" Target="../ctrlProps/ctrlProp108.xml"/><Relationship Id="rId4" Type="http://schemas.openxmlformats.org/officeDocument/2006/relationships/ctrlProp" Target="../ctrlProps/ctrlProp107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6" Type="http://schemas.openxmlformats.org/officeDocument/2006/relationships/comments" Target="../comments55.xml"/><Relationship Id="rId5" Type="http://schemas.openxmlformats.org/officeDocument/2006/relationships/ctrlProp" Target="../ctrlProps/ctrlProp110.xml"/><Relationship Id="rId4" Type="http://schemas.openxmlformats.org/officeDocument/2006/relationships/ctrlProp" Target="../ctrlProps/ctrlProp10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6" Type="http://schemas.openxmlformats.org/officeDocument/2006/relationships/comments" Target="../comments56.xml"/><Relationship Id="rId5" Type="http://schemas.openxmlformats.org/officeDocument/2006/relationships/ctrlProp" Target="../ctrlProps/ctrlProp112.xml"/><Relationship Id="rId4" Type="http://schemas.openxmlformats.org/officeDocument/2006/relationships/ctrlProp" Target="../ctrlProps/ctrlProp111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6" Type="http://schemas.openxmlformats.org/officeDocument/2006/relationships/comments" Target="../comments57.xml"/><Relationship Id="rId5" Type="http://schemas.openxmlformats.org/officeDocument/2006/relationships/ctrlProp" Target="../ctrlProps/ctrlProp114.xml"/><Relationship Id="rId4" Type="http://schemas.openxmlformats.org/officeDocument/2006/relationships/ctrlProp" Target="../ctrlProps/ctrlProp113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6" Type="http://schemas.openxmlformats.org/officeDocument/2006/relationships/comments" Target="../comments58.xml"/><Relationship Id="rId5" Type="http://schemas.openxmlformats.org/officeDocument/2006/relationships/ctrlProp" Target="../ctrlProps/ctrlProp116.xml"/><Relationship Id="rId4" Type="http://schemas.openxmlformats.org/officeDocument/2006/relationships/ctrlProp" Target="../ctrlProps/ctrlProp115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6" Type="http://schemas.openxmlformats.org/officeDocument/2006/relationships/comments" Target="../comments59.xml"/><Relationship Id="rId5" Type="http://schemas.openxmlformats.org/officeDocument/2006/relationships/ctrlProp" Target="../ctrlProps/ctrlProp118.xml"/><Relationship Id="rId4" Type="http://schemas.openxmlformats.org/officeDocument/2006/relationships/ctrlProp" Target="../ctrlProps/ctrlProp11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6" Type="http://schemas.openxmlformats.org/officeDocument/2006/relationships/comments" Target="../comments60.xml"/><Relationship Id="rId5" Type="http://schemas.openxmlformats.org/officeDocument/2006/relationships/ctrlProp" Target="../ctrlProps/ctrlProp120.xml"/><Relationship Id="rId4" Type="http://schemas.openxmlformats.org/officeDocument/2006/relationships/ctrlProp" Target="../ctrlProps/ctrlProp119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6" Type="http://schemas.openxmlformats.org/officeDocument/2006/relationships/comments" Target="../comments61.xml"/><Relationship Id="rId5" Type="http://schemas.openxmlformats.org/officeDocument/2006/relationships/ctrlProp" Target="../ctrlProps/ctrlProp122.xml"/><Relationship Id="rId4" Type="http://schemas.openxmlformats.org/officeDocument/2006/relationships/ctrlProp" Target="../ctrlProps/ctrlProp12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6" Type="http://schemas.openxmlformats.org/officeDocument/2006/relationships/comments" Target="../comments62.xml"/><Relationship Id="rId5" Type="http://schemas.openxmlformats.org/officeDocument/2006/relationships/ctrlProp" Target="../ctrlProps/ctrlProp124.xml"/><Relationship Id="rId4" Type="http://schemas.openxmlformats.org/officeDocument/2006/relationships/ctrlProp" Target="../ctrlProps/ctrlProp123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6" Type="http://schemas.openxmlformats.org/officeDocument/2006/relationships/comments" Target="../comments63.xml"/><Relationship Id="rId5" Type="http://schemas.openxmlformats.org/officeDocument/2006/relationships/ctrlProp" Target="../ctrlProps/ctrlProp126.xml"/><Relationship Id="rId4" Type="http://schemas.openxmlformats.org/officeDocument/2006/relationships/ctrlProp" Target="../ctrlProps/ctrlProp125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6" Type="http://schemas.openxmlformats.org/officeDocument/2006/relationships/comments" Target="../comments64.xml"/><Relationship Id="rId5" Type="http://schemas.openxmlformats.org/officeDocument/2006/relationships/ctrlProp" Target="../ctrlProps/ctrlProp128.xml"/><Relationship Id="rId4" Type="http://schemas.openxmlformats.org/officeDocument/2006/relationships/ctrlProp" Target="../ctrlProps/ctrlProp127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6" Type="http://schemas.openxmlformats.org/officeDocument/2006/relationships/comments" Target="../comments65.xml"/><Relationship Id="rId5" Type="http://schemas.openxmlformats.org/officeDocument/2006/relationships/ctrlProp" Target="../ctrlProps/ctrlProp130.xml"/><Relationship Id="rId4" Type="http://schemas.openxmlformats.org/officeDocument/2006/relationships/ctrlProp" Target="../ctrlProps/ctrlProp12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6" Type="http://schemas.openxmlformats.org/officeDocument/2006/relationships/comments" Target="../comments66.xml"/><Relationship Id="rId5" Type="http://schemas.openxmlformats.org/officeDocument/2006/relationships/ctrlProp" Target="../ctrlProps/ctrlProp132.xml"/><Relationship Id="rId4" Type="http://schemas.openxmlformats.org/officeDocument/2006/relationships/ctrlProp" Target="../ctrlProps/ctrlProp131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6" Type="http://schemas.openxmlformats.org/officeDocument/2006/relationships/comments" Target="../comments67.xml"/><Relationship Id="rId5" Type="http://schemas.openxmlformats.org/officeDocument/2006/relationships/ctrlProp" Target="../ctrlProps/ctrlProp134.xml"/><Relationship Id="rId4" Type="http://schemas.openxmlformats.org/officeDocument/2006/relationships/ctrlProp" Target="../ctrlProps/ctrlProp133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6" Type="http://schemas.openxmlformats.org/officeDocument/2006/relationships/comments" Target="../comments68.xml"/><Relationship Id="rId5" Type="http://schemas.openxmlformats.org/officeDocument/2006/relationships/ctrlProp" Target="../ctrlProps/ctrlProp136.xml"/><Relationship Id="rId4" Type="http://schemas.openxmlformats.org/officeDocument/2006/relationships/ctrlProp" Target="../ctrlProps/ctrlProp135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6" Type="http://schemas.openxmlformats.org/officeDocument/2006/relationships/comments" Target="../comments69.xml"/><Relationship Id="rId5" Type="http://schemas.openxmlformats.org/officeDocument/2006/relationships/ctrlProp" Target="../ctrlProps/ctrlProp138.xml"/><Relationship Id="rId4" Type="http://schemas.openxmlformats.org/officeDocument/2006/relationships/ctrlProp" Target="../ctrlProps/ctrlProp137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6" Type="http://schemas.openxmlformats.org/officeDocument/2006/relationships/comments" Target="../comments70.xml"/><Relationship Id="rId5" Type="http://schemas.openxmlformats.org/officeDocument/2006/relationships/ctrlProp" Target="../ctrlProps/ctrlProp140.xml"/><Relationship Id="rId4" Type="http://schemas.openxmlformats.org/officeDocument/2006/relationships/ctrlProp" Target="../ctrlProps/ctrlProp13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6" Type="http://schemas.openxmlformats.org/officeDocument/2006/relationships/comments" Target="../comments71.xml"/><Relationship Id="rId5" Type="http://schemas.openxmlformats.org/officeDocument/2006/relationships/ctrlProp" Target="../ctrlProps/ctrlProp142.xml"/><Relationship Id="rId4" Type="http://schemas.openxmlformats.org/officeDocument/2006/relationships/ctrlProp" Target="../ctrlProps/ctrlProp141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6" Type="http://schemas.openxmlformats.org/officeDocument/2006/relationships/comments" Target="../comments72.xml"/><Relationship Id="rId5" Type="http://schemas.openxmlformats.org/officeDocument/2006/relationships/ctrlProp" Target="../ctrlProps/ctrlProp144.xml"/><Relationship Id="rId4" Type="http://schemas.openxmlformats.org/officeDocument/2006/relationships/ctrlProp" Target="../ctrlProps/ctrlProp14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6" Type="http://schemas.openxmlformats.org/officeDocument/2006/relationships/comments" Target="../comments73.xml"/><Relationship Id="rId5" Type="http://schemas.openxmlformats.org/officeDocument/2006/relationships/ctrlProp" Target="../ctrlProps/ctrlProp146.xml"/><Relationship Id="rId4" Type="http://schemas.openxmlformats.org/officeDocument/2006/relationships/ctrlProp" Target="../ctrlProps/ctrlProp145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6" Type="http://schemas.openxmlformats.org/officeDocument/2006/relationships/comments" Target="../comments74.xml"/><Relationship Id="rId5" Type="http://schemas.openxmlformats.org/officeDocument/2006/relationships/ctrlProp" Target="../ctrlProps/ctrlProp148.xml"/><Relationship Id="rId4" Type="http://schemas.openxmlformats.org/officeDocument/2006/relationships/ctrlProp" Target="../ctrlProps/ctrlProp147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6" Type="http://schemas.openxmlformats.org/officeDocument/2006/relationships/comments" Target="../comments75.xml"/><Relationship Id="rId5" Type="http://schemas.openxmlformats.org/officeDocument/2006/relationships/ctrlProp" Target="../ctrlProps/ctrlProp150.xml"/><Relationship Id="rId4" Type="http://schemas.openxmlformats.org/officeDocument/2006/relationships/ctrlProp" Target="../ctrlProps/ctrlProp14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6" Type="http://schemas.openxmlformats.org/officeDocument/2006/relationships/comments" Target="../comments76.xml"/><Relationship Id="rId5" Type="http://schemas.openxmlformats.org/officeDocument/2006/relationships/ctrlProp" Target="../ctrlProps/ctrlProp152.xml"/><Relationship Id="rId4" Type="http://schemas.openxmlformats.org/officeDocument/2006/relationships/ctrlProp" Target="../ctrlProps/ctrlProp151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Relationship Id="rId6" Type="http://schemas.openxmlformats.org/officeDocument/2006/relationships/comments" Target="../comments77.xml"/><Relationship Id="rId5" Type="http://schemas.openxmlformats.org/officeDocument/2006/relationships/ctrlProp" Target="../ctrlProps/ctrlProp154.xml"/><Relationship Id="rId4" Type="http://schemas.openxmlformats.org/officeDocument/2006/relationships/ctrlProp" Target="../ctrlProps/ctrlProp153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Relationship Id="rId6" Type="http://schemas.openxmlformats.org/officeDocument/2006/relationships/comments" Target="../comments78.xml"/><Relationship Id="rId5" Type="http://schemas.openxmlformats.org/officeDocument/2006/relationships/ctrlProp" Target="../ctrlProps/ctrlProp156.xml"/><Relationship Id="rId4" Type="http://schemas.openxmlformats.org/officeDocument/2006/relationships/ctrlProp" Target="../ctrlProps/ctrlProp155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Relationship Id="rId6" Type="http://schemas.openxmlformats.org/officeDocument/2006/relationships/comments" Target="../comments79.xml"/><Relationship Id="rId5" Type="http://schemas.openxmlformats.org/officeDocument/2006/relationships/ctrlProp" Target="../ctrlProps/ctrlProp158.xml"/><Relationship Id="rId4" Type="http://schemas.openxmlformats.org/officeDocument/2006/relationships/ctrlProp" Target="../ctrlProps/ctrlProp157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Relationship Id="rId6" Type="http://schemas.openxmlformats.org/officeDocument/2006/relationships/comments" Target="../comments80.xml"/><Relationship Id="rId5" Type="http://schemas.openxmlformats.org/officeDocument/2006/relationships/ctrlProp" Target="../ctrlProps/ctrlProp160.xml"/><Relationship Id="rId4" Type="http://schemas.openxmlformats.org/officeDocument/2006/relationships/ctrlProp" Target="../ctrlProps/ctrlProp15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Relationship Id="rId6" Type="http://schemas.openxmlformats.org/officeDocument/2006/relationships/comments" Target="../comments81.xml"/><Relationship Id="rId5" Type="http://schemas.openxmlformats.org/officeDocument/2006/relationships/ctrlProp" Target="../ctrlProps/ctrlProp162.xml"/><Relationship Id="rId4" Type="http://schemas.openxmlformats.org/officeDocument/2006/relationships/ctrlProp" Target="../ctrlProps/ctrlProp161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Relationship Id="rId6" Type="http://schemas.openxmlformats.org/officeDocument/2006/relationships/comments" Target="../comments82.xml"/><Relationship Id="rId5" Type="http://schemas.openxmlformats.org/officeDocument/2006/relationships/ctrlProp" Target="../ctrlProps/ctrlProp164.xml"/><Relationship Id="rId4" Type="http://schemas.openxmlformats.org/officeDocument/2006/relationships/ctrlProp" Target="../ctrlProps/ctrlProp16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Relationship Id="rId6" Type="http://schemas.openxmlformats.org/officeDocument/2006/relationships/comments" Target="../comments83.xml"/><Relationship Id="rId5" Type="http://schemas.openxmlformats.org/officeDocument/2006/relationships/ctrlProp" Target="../ctrlProps/ctrlProp166.xml"/><Relationship Id="rId4" Type="http://schemas.openxmlformats.org/officeDocument/2006/relationships/ctrlProp" Target="../ctrlProps/ctrlProp165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6" Type="http://schemas.openxmlformats.org/officeDocument/2006/relationships/comments" Target="../comments84.xml"/><Relationship Id="rId5" Type="http://schemas.openxmlformats.org/officeDocument/2006/relationships/ctrlProp" Target="../ctrlProps/ctrlProp168.xml"/><Relationship Id="rId4" Type="http://schemas.openxmlformats.org/officeDocument/2006/relationships/ctrlProp" Target="../ctrlProps/ctrlProp16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AY48"/>
  <sheetViews>
    <sheetView showGridLines="0" topLeftCell="A19" zoomScaleNormal="10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662.71256286489779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300</v>
      </c>
      <c r="AC7" s="404"/>
      <c r="AD7" s="404"/>
      <c r="AE7" s="405"/>
      <c r="AF7" s="38">
        <f>(1000-(1000*X9))-AF6</f>
        <v>322.28743713510221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8.3333333333333329E-2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2343.1999999999998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434.42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581</v>
      </c>
      <c r="I15" s="448"/>
      <c r="J15" s="449"/>
      <c r="K15" s="452">
        <f>ROUND((AF7*F8*K14),0)</f>
        <v>271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760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36.360532604984641</v>
      </c>
      <c r="AJ15" s="432" t="s">
        <v>85</v>
      </c>
      <c r="AK15" s="432"/>
      <c r="AL15" s="453"/>
      <c r="AM15" s="340">
        <f>(H15+K15+N15)/(H15+K15+N15+P15+R15+V15)*100</f>
        <v>48.409090909090907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120</v>
      </c>
      <c r="D16" s="466"/>
      <c r="E16" s="467"/>
      <c r="F16" s="438">
        <f>F15*AB7/1000</f>
        <v>0</v>
      </c>
      <c r="G16" s="439"/>
      <c r="H16" s="465">
        <f>H15*AB7/1000</f>
        <v>174.3</v>
      </c>
      <c r="I16" s="466"/>
      <c r="J16" s="467"/>
      <c r="K16" s="465">
        <f>K15*AB7/1000</f>
        <v>81.3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228</v>
      </c>
      <c r="S16" s="466"/>
      <c r="T16" s="466"/>
      <c r="U16" s="467"/>
      <c r="V16" s="465">
        <f>V15*AB7/1000</f>
        <v>44.4</v>
      </c>
      <c r="W16" s="467"/>
      <c r="X16" s="285">
        <f>X15*AB7/1000</f>
        <v>54</v>
      </c>
      <c r="Y16" s="286">
        <f>Y15*AB7</f>
        <v>960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38.750426766814613</v>
      </c>
      <c r="AJ16" s="459" t="s">
        <v>87</v>
      </c>
      <c r="AK16" s="459"/>
      <c r="AL16" s="468"/>
      <c r="AM16" s="341">
        <f>(P15+R15+V15)/(H15+K15+N15+P15+R15+V15)*100</f>
        <v>51.590909090909086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120</v>
      </c>
      <c r="D17" s="462"/>
      <c r="E17" s="463"/>
      <c r="F17" s="440">
        <f>F16</f>
        <v>0</v>
      </c>
      <c r="G17" s="441"/>
      <c r="H17" s="464">
        <f>H16*(1+E9-AT41)</f>
        <v>174.3</v>
      </c>
      <c r="I17" s="462"/>
      <c r="J17" s="463"/>
      <c r="K17" s="464">
        <f>ROUND((K16+(K16*(F9-AT42))),3)</f>
        <v>81.3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228</v>
      </c>
      <c r="S17" s="462"/>
      <c r="T17" s="462"/>
      <c r="U17" s="463"/>
      <c r="V17" s="464">
        <f>ROUND((V16+(V16*(M9-AT46))),3)</f>
        <v>44.4</v>
      </c>
      <c r="W17" s="463"/>
      <c r="X17" s="287">
        <f>ROUND(X16-((H17-H16)+(K17-K16)+(N17-N16)+(P17-P16)+(R17-R16)+(V17-V16)),3)</f>
        <v>54</v>
      </c>
      <c r="Y17" s="288">
        <f>Y16/Y14</f>
        <v>880.73394495412833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75.110959371799254</v>
      </c>
      <c r="AJ17" s="442" t="s">
        <v>89</v>
      </c>
      <c r="AK17" s="442"/>
      <c r="AL17" s="443"/>
      <c r="AM17" s="342">
        <f>(C15+F15)/AB9*100</f>
        <v>17.070672584499828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239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500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P21">
        <f>(AJ21/1000)*$AP$20</f>
        <v>190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P22">
        <f t="shared" ref="AP22:AP29" si="3">(AJ22/1000)*$AP$20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2.63</v>
      </c>
      <c r="AL23" s="328">
        <f>ROUND(AJ23/AK23/(AJ23/AK23+AJ24/AK24+AJ25/AK25*AK30),3)</f>
        <v>0.82199999999999995</v>
      </c>
      <c r="AM23" s="329">
        <f>ROUND(AJ24/AK24/(AJ23/AK23+AJ24/AK24+AJ25/AK25*AK30),3)</f>
        <v>0.17799999999999999</v>
      </c>
      <c r="AN23" s="329">
        <f>ROUND(AJ25/AK25*AK30/(AJ23/AK23+AJ24/AK24+AJ25/AK25*AK30),3)</f>
        <v>0</v>
      </c>
      <c r="AO23" s="331"/>
      <c r="AP23">
        <f t="shared" si="3"/>
        <v>340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150</v>
      </c>
      <c r="AK24" s="317">
        <v>2.67</v>
      </c>
      <c r="AL24" s="488" t="s">
        <v>21</v>
      </c>
      <c r="AM24" s="489"/>
      <c r="AN24" s="489"/>
      <c r="AO24" s="490"/>
      <c r="AP24">
        <f t="shared" si="3"/>
        <v>75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P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850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P26">
        <f t="shared" si="3"/>
        <v>425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0.5679159185650382</v>
      </c>
      <c r="AP27">
        <f t="shared" si="3"/>
        <v>0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987.85721450758956</v>
      </c>
      <c r="AP28">
        <f t="shared" si="3"/>
        <v>1.6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1.214278549241044E-2</v>
      </c>
      <c r="AP29">
        <f t="shared" si="3"/>
        <v>107.5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0.56578947368421051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8.4210526315789472E-3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1.1034377470160783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0.99611474382115384</v>
      </c>
      <c r="AW41" s="184">
        <f t="shared" ref="AW41:AW48" si="7">SUM($C$15:$F$15)/AV41</f>
        <v>401.56016410878215</v>
      </c>
      <c r="AX41" s="185">
        <f>(C15/C14+F15/F14+H15/H14+K15/K14+N15/N14+P15/P14+R15/R14+V15/V14+X15/X14)/1000</f>
        <v>0.98512323773423882</v>
      </c>
      <c r="AY41" s="136">
        <f t="shared" ref="AY41:AY48" si="8">AV41/AX41</f>
        <v>1.0111574934646708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0.98512323773423882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0.98512323773423882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0.98512323773423882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0.98512323773423882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0.98512323773423882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0.98512323773423882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0.98512323773423882</v>
      </c>
      <c r="AY48" s="142" t="e">
        <f t="shared" si="8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G8:H8"/>
    <mergeCell ref="I8:J8"/>
    <mergeCell ref="K8:L8"/>
    <mergeCell ref="M8:N8"/>
    <mergeCell ref="AB8:AE8"/>
    <mergeCell ref="AB7:AE7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647" priority="8" operator="equal">
      <formula>0</formula>
    </cfRule>
    <cfRule type="containsBlanks" dxfId="646" priority="9">
      <formula>LEN(TRIM(F12))=0</formula>
    </cfRule>
  </conditionalFormatting>
  <conditionalFormatting sqref="N12:Q17">
    <cfRule type="cellIs" dxfId="645" priority="6" operator="equal">
      <formula>0</formula>
    </cfRule>
    <cfRule type="containsBlanks" dxfId="644" priority="7">
      <formula>LEN(TRIM(N12))=0</formula>
    </cfRule>
  </conditionalFormatting>
  <conditionalFormatting sqref="Z12:AA17">
    <cfRule type="cellIs" dxfId="643" priority="3" operator="equal">
      <formula>"-"</formula>
    </cfRule>
  </conditionalFormatting>
  <conditionalFormatting sqref="Z12:AE17">
    <cfRule type="cellIs" dxfId="642" priority="4" operator="equal">
      <formula>0</formula>
    </cfRule>
    <cfRule type="containsBlanks" dxfId="641" priority="5">
      <formula>LEN(TRIM(Z12))=0</formula>
    </cfRule>
  </conditionalFormatting>
  <conditionalFormatting sqref="AB12:AC12">
    <cfRule type="cellIs" dxfId="640" priority="2" operator="equal">
      <formula>"-"</formula>
    </cfRule>
  </conditionalFormatting>
  <conditionalFormatting sqref="AB17:AC17">
    <cfRule type="cellIs" dxfId="63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65F7-53CD-4932-8709-5B8DCB034EBF}">
  <sheetPr>
    <tabColor rgb="FF002060"/>
    <pageSetUpPr fitToPage="1"/>
  </sheetPr>
  <dimension ref="A1:AY48"/>
  <sheetViews>
    <sheetView showGridLines="0" topLeftCell="P10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662.71256286489779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322.28743713510221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8.3333333333333329E-2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2343.1999999999998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434.42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581</v>
      </c>
      <c r="I15" s="448"/>
      <c r="J15" s="449"/>
      <c r="K15" s="452">
        <f>ROUND((AF7*F8*K14),0)</f>
        <v>271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760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36.360532604984641</v>
      </c>
      <c r="AJ15" s="432" t="s">
        <v>85</v>
      </c>
      <c r="AK15" s="432"/>
      <c r="AL15" s="453"/>
      <c r="AM15" s="340">
        <f>(H15+K15+N15)/(H15+K15+N15+P15+R15+V15)*100</f>
        <v>48.409090909090907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581</v>
      </c>
      <c r="I16" s="466"/>
      <c r="J16" s="467"/>
      <c r="K16" s="465">
        <f>K15*AB7/1000</f>
        <v>271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760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38.750426766814613</v>
      </c>
      <c r="AJ16" s="459" t="s">
        <v>87</v>
      </c>
      <c r="AK16" s="459"/>
      <c r="AL16" s="468"/>
      <c r="AM16" s="341">
        <f>(P15+R15+V15)/(H15+K15+N15+P15+R15+V15)*100</f>
        <v>51.590909090909086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581</v>
      </c>
      <c r="I17" s="462"/>
      <c r="J17" s="463"/>
      <c r="K17" s="464">
        <f>ROUND((K16+(K16*(F9-AT42))),3)</f>
        <v>271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760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75.110959371799254</v>
      </c>
      <c r="AJ17" s="442" t="s">
        <v>89</v>
      </c>
      <c r="AK17" s="442"/>
      <c r="AL17" s="443"/>
      <c r="AM17" s="342">
        <f>(C15+F15)/AB9*100</f>
        <v>17.070672584499828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240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350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500</v>
      </c>
      <c r="AK23" s="316">
        <v>2.63</v>
      </c>
      <c r="AL23" s="328">
        <f>ROUND(AJ23/AK23/(AJ23/AK23+AJ24/AK24+AJ25/AK25*AK30),3)</f>
        <v>0.59199999999999997</v>
      </c>
      <c r="AM23" s="329">
        <f>ROUND(AJ24/AK24/(AJ23/AK23+AJ24/AK24+AJ25/AK25*AK30),3)</f>
        <v>0.40799999999999997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350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0.83899999999999997</v>
      </c>
      <c r="AN26" s="329">
        <f>ROUND(AJ27/AK27/(AJ25/AK25*(1-AK30)+AJ26/AK26+AJ27/AK27+AJ28/AK28),3)</f>
        <v>0.153</v>
      </c>
      <c r="AO26" s="330">
        <f>ROUND(AJ28/AK28/(AJ25/AK25*(1-AK30)+AJ26/AK26+AJ27/AK27+AJ28/AK28),3)</f>
        <v>8.0000000000000002E-3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140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0.5560113349381961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2.76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973.40002866829946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2.6599971331700546E-2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0.54285714285714282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7.8857142857142858E-3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1.1034377470160783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0.99611474382115384</v>
      </c>
      <c r="AW41" s="184">
        <f t="shared" ref="AW41:AW48" si="6">SUM($C$15:$F$15)/AV41</f>
        <v>401.56016410878215</v>
      </c>
      <c r="AX41" s="185">
        <f>(C15/C14+F15/F14+H15/H14+K15/K14+N15/N14+P15/P14+R15/R14+V15/V14+X15/X14)/1000</f>
        <v>0.98512323773423882</v>
      </c>
      <c r="AY41" s="136">
        <f t="shared" ref="AY41:AY48" si="7">AV41/AX41</f>
        <v>1.0111574934646708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0.98512323773423882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0.98512323773423882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0.98512323773423882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0.98512323773423882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0.98512323773423882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0.98512323773423882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0.98512323773423882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638" priority="8" operator="equal">
      <formula>0</formula>
    </cfRule>
    <cfRule type="containsBlanks" dxfId="637" priority="9">
      <formula>LEN(TRIM(F12))=0</formula>
    </cfRule>
  </conditionalFormatting>
  <conditionalFormatting sqref="N12:Q17">
    <cfRule type="cellIs" dxfId="636" priority="6" operator="equal">
      <formula>0</formula>
    </cfRule>
    <cfRule type="containsBlanks" dxfId="635" priority="7">
      <formula>LEN(TRIM(N12))=0</formula>
    </cfRule>
  </conditionalFormatting>
  <conditionalFormatting sqref="Z12:AA17">
    <cfRule type="cellIs" dxfId="634" priority="3" operator="equal">
      <formula>"-"</formula>
    </cfRule>
  </conditionalFormatting>
  <conditionalFormatting sqref="Z12:AE17">
    <cfRule type="cellIs" dxfId="633" priority="4" operator="equal">
      <formula>0</formula>
    </cfRule>
    <cfRule type="containsBlanks" dxfId="632" priority="5">
      <formula>LEN(TRIM(Z12))=0</formula>
    </cfRule>
  </conditionalFormatting>
  <conditionalFormatting sqref="AB12:AC12">
    <cfRule type="cellIs" dxfId="631" priority="2" operator="equal">
      <formula>"-"</formula>
    </cfRule>
  </conditionalFormatting>
  <conditionalFormatting sqref="AB17:AC17">
    <cfRule type="cellIs" dxfId="63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1C8C-D3A7-4AC3-BF6F-280A36ACC087}">
  <sheetPr>
    <tabColor rgb="FF002060"/>
    <pageSetUpPr fitToPage="1"/>
  </sheetPr>
  <dimension ref="A1:AY48"/>
  <sheetViews>
    <sheetView showGridLines="0" topLeftCell="P10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662.71256286489779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322.28743713510221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8.3333333333333329E-2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2343.1999999999998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434.42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581</v>
      </c>
      <c r="I15" s="448"/>
      <c r="J15" s="449"/>
      <c r="K15" s="452">
        <f>ROUND((AF7*F8*K14),0)</f>
        <v>271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760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36.360532604984641</v>
      </c>
      <c r="AJ15" s="432" t="s">
        <v>85</v>
      </c>
      <c r="AK15" s="432"/>
      <c r="AL15" s="453"/>
      <c r="AM15" s="340">
        <f>(H15+K15+N15)/(H15+K15+N15+P15+R15+V15)*100</f>
        <v>48.409090909090907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581</v>
      </c>
      <c r="I16" s="466"/>
      <c r="J16" s="467"/>
      <c r="K16" s="465">
        <f>K15*AB7/1000</f>
        <v>271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760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38.750426766814613</v>
      </c>
      <c r="AJ16" s="459" t="s">
        <v>87</v>
      </c>
      <c r="AK16" s="459"/>
      <c r="AL16" s="468"/>
      <c r="AM16" s="341">
        <f>(P15+R15+V15)/(H15+K15+N15+P15+R15+V15)*100</f>
        <v>51.590909090909086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581</v>
      </c>
      <c r="I17" s="462"/>
      <c r="J17" s="463"/>
      <c r="K17" s="464">
        <f>ROUND((K16+(K16*(F9-AT42))),3)</f>
        <v>271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760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75.110959371799254</v>
      </c>
      <c r="AJ17" s="442" t="s">
        <v>89</v>
      </c>
      <c r="AK17" s="442"/>
      <c r="AL17" s="443"/>
      <c r="AM17" s="342">
        <f>(C15+F15)/AB9*100</f>
        <v>17.070672584499828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350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440</v>
      </c>
      <c r="AK23" s="316">
        <v>2.63</v>
      </c>
      <c r="AL23" s="328">
        <f>ROUND(AJ23/AK23/(AJ23/AK23+AJ24/AK24+AJ25/AK25*AK30),3)</f>
        <v>0.504</v>
      </c>
      <c r="AM23" s="329">
        <f>ROUND(AJ24/AK24/(AJ23/AK23+AJ24/AK24+AJ25/AK25*AK30),3)</f>
        <v>0.496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440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0.83899999999999997</v>
      </c>
      <c r="AN26" s="329">
        <f>ROUND(AJ27/AK27/(AJ25/AK25*(1-AK30)+AJ26/AK26+AJ27/AK27+AJ28/AK28),3)</f>
        <v>0.153</v>
      </c>
      <c r="AO26" s="330">
        <f>ROUND(AJ28/AK28/(AJ25/AK25*(1-AK30)+AJ26/AK26+AJ27/AK27+AJ28/AK28),3)</f>
        <v>8.0000000000000002E-3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140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0.56210088091400967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2.76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984.29420562391101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1.5705794376088988E-2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0.54285714285714282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7.8857142857142858E-3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1.1034377470160783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0.99611474382115384</v>
      </c>
      <c r="AW41" s="184">
        <f t="shared" ref="AW41:AW48" si="6">SUM($C$15:$F$15)/AV41</f>
        <v>401.56016410878215</v>
      </c>
      <c r="AX41" s="185">
        <f>(C15/C14+F15/F14+H15/H14+K15/K14+N15/N14+P15/P14+R15/R14+V15/V14+X15/X14)/1000</f>
        <v>0.98512323773423882</v>
      </c>
      <c r="AY41" s="136">
        <f t="shared" ref="AY41:AY48" si="7">AV41/AX41</f>
        <v>1.0111574934646708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0.98512323773423882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0.98512323773423882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0.98512323773423882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0.98512323773423882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0.98512323773423882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0.98512323773423882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0.98512323773423882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629" priority="8" operator="equal">
      <formula>0</formula>
    </cfRule>
    <cfRule type="containsBlanks" dxfId="628" priority="9">
      <formula>LEN(TRIM(F12))=0</formula>
    </cfRule>
  </conditionalFormatting>
  <conditionalFormatting sqref="N12:Q17">
    <cfRule type="cellIs" dxfId="627" priority="6" operator="equal">
      <formula>0</formula>
    </cfRule>
    <cfRule type="containsBlanks" dxfId="626" priority="7">
      <formula>LEN(TRIM(N12))=0</formula>
    </cfRule>
  </conditionalFormatting>
  <conditionalFormatting sqref="Z12:AA17">
    <cfRule type="cellIs" dxfId="625" priority="3" operator="equal">
      <formula>"-"</formula>
    </cfRule>
  </conditionalFormatting>
  <conditionalFormatting sqref="Z12:AE17">
    <cfRule type="cellIs" dxfId="624" priority="4" operator="equal">
      <formula>0</formula>
    </cfRule>
    <cfRule type="containsBlanks" dxfId="623" priority="5">
      <formula>LEN(TRIM(Z12))=0</formula>
    </cfRule>
  </conditionalFormatting>
  <conditionalFormatting sqref="AB12:AC12">
    <cfRule type="cellIs" dxfId="622" priority="2" operator="equal">
      <formula>"-"</formula>
    </cfRule>
  </conditionalFormatting>
  <conditionalFormatting sqref="AB17:AC17">
    <cfRule type="cellIs" dxfId="62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4BB-556D-4A39-8A65-C0DF341329F5}">
  <sheetPr>
    <tabColor rgb="FF002060"/>
    <pageSetUpPr fitToPage="1"/>
  </sheetPr>
  <dimension ref="A1:AY48"/>
  <sheetViews>
    <sheetView showGridLines="0" topLeftCell="U9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8.0789946140035901E-2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2411.1999999999998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436.46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581</v>
      </c>
      <c r="I15" s="448"/>
      <c r="J15" s="449"/>
      <c r="K15" s="452">
        <f>ROUND((AF7*F8*K14),0)</f>
        <v>271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35.335102853351032</v>
      </c>
      <c r="AJ15" s="432" t="s">
        <v>85</v>
      </c>
      <c r="AK15" s="432"/>
      <c r="AL15" s="453"/>
      <c r="AM15" s="340">
        <f>(H15+K15+N15)/(H15+K15+N15+P15+R15+V15)*100</f>
        <v>46.608315098468275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581</v>
      </c>
      <c r="I16" s="466"/>
      <c r="J16" s="467"/>
      <c r="K16" s="465">
        <f>K15*AB7/1000</f>
        <v>271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40.477770404777708</v>
      </c>
      <c r="AJ16" s="459" t="s">
        <v>87</v>
      </c>
      <c r="AK16" s="459"/>
      <c r="AL16" s="468"/>
      <c r="AM16" s="341">
        <f>(P15+R15+V15)/(H15+K15+N15+P15+R15+V15)*100</f>
        <v>53.391684901531733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581</v>
      </c>
      <c r="I17" s="462"/>
      <c r="J17" s="463"/>
      <c r="K17" s="464">
        <f>ROUND((K16+(K16*(F9-AT42))),3)</f>
        <v>271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75.812873258128747</v>
      </c>
      <c r="AJ17" s="442" t="s">
        <v>89</v>
      </c>
      <c r="AK17" s="442"/>
      <c r="AL17" s="443"/>
      <c r="AM17" s="342">
        <f>(C15+F15)/AB9*100</f>
        <v>16.589250165892501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242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350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704</v>
      </c>
      <c r="AK23" s="316">
        <v>2.63</v>
      </c>
      <c r="AL23" s="328">
        <f>ROUND(AJ23/AK23/(AJ23/AK23+AJ24/AK24+AJ25/AK25*AK30),3)</f>
        <v>0.80200000000000005</v>
      </c>
      <c r="AM23" s="329">
        <f>ROUND(AJ24/AK24/(AJ23/AK23+AJ24/AK24+AJ25/AK25*AK30),3)</f>
        <v>0.19800000000000001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176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0.82699999999999996</v>
      </c>
      <c r="AN26" s="329">
        <f>ROUND(AJ27/AK27/(AJ25/AK25*(1-AK30)+AJ26/AK26+AJ27/AK27+AJ28/AK28),3)</f>
        <v>0.16400000000000001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140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0.58041200572428975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2.76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961.8263783492348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3.8173621650765197E-2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0.54285714285714282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7.8857142857142858E-3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3.8967400847147782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1.0250616680005722</v>
      </c>
      <c r="AW41" s="184">
        <f t="shared" ref="AW41:AW48" si="6">SUM($C$15:$F$15)/AV41</f>
        <v>390.22042525521181</v>
      </c>
      <c r="AX41" s="185">
        <f>(C15/C14+F15/F14+H15/H14+K15/K14+N15/N14+P15/P14+R15/R14+V15/V14+X15/X14)/1000</f>
        <v>0.98511767909054804</v>
      </c>
      <c r="AY41" s="136">
        <f t="shared" ref="AY41:AY48" si="7">AV41/AX41</f>
        <v>1.0405474287568366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0.98511767909054804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0.98511767909054804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0.98511767909054804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0.98511767909054804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0.98511767909054804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0.98511767909054804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0.98511767909054804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620" priority="8" operator="equal">
      <formula>0</formula>
    </cfRule>
    <cfRule type="containsBlanks" dxfId="619" priority="9">
      <formula>LEN(TRIM(F12))=0</formula>
    </cfRule>
  </conditionalFormatting>
  <conditionalFormatting sqref="N12:Q17">
    <cfRule type="cellIs" dxfId="618" priority="6" operator="equal">
      <formula>0</formula>
    </cfRule>
    <cfRule type="containsBlanks" dxfId="617" priority="7">
      <formula>LEN(TRIM(N12))=0</formula>
    </cfRule>
  </conditionalFormatting>
  <conditionalFormatting sqref="Z12:AA17">
    <cfRule type="cellIs" dxfId="616" priority="3" operator="equal">
      <formula>"-"</formula>
    </cfRule>
  </conditionalFormatting>
  <conditionalFormatting sqref="Z12:AE17">
    <cfRule type="cellIs" dxfId="615" priority="4" operator="equal">
      <formula>0</formula>
    </cfRule>
    <cfRule type="containsBlanks" dxfId="614" priority="5">
      <formula>LEN(TRIM(Z12))=0</formula>
    </cfRule>
  </conditionalFormatting>
  <conditionalFormatting sqref="AB12:AC12">
    <cfRule type="cellIs" dxfId="613" priority="2" operator="equal">
      <formula>"-"</formula>
    </cfRule>
  </conditionalFormatting>
  <conditionalFormatting sqref="AB17:AC17">
    <cfRule type="cellIs" dxfId="61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04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08EB-D2B8-4560-990C-79E06A3E0EA9}">
  <sheetPr>
    <tabColor rgb="FF002060"/>
    <pageSetUpPr fitToPage="1"/>
  </sheetPr>
  <dimension ref="A1:AY48"/>
  <sheetViews>
    <sheetView showGridLines="0" topLeftCell="N7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648.75804229263235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336.24195770736765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0.57999999999999996</v>
      </c>
      <c r="Y8" s="248" t="s">
        <v>55</v>
      </c>
      <c r="Z8" s="271"/>
      <c r="AA8" s="272"/>
      <c r="AB8" s="413">
        <f>X15/SUM(C15:V15)</f>
        <v>8.3294770939379911E-2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2344.1999999999998</v>
      </c>
      <c r="AC9" s="396"/>
      <c r="AD9" s="396"/>
      <c r="AE9" s="397"/>
      <c r="AF9" s="38">
        <f>AF8*(1-X8)</f>
        <v>338.1</v>
      </c>
      <c r="AI9" s="173">
        <f>AI8*C15</f>
        <v>400</v>
      </c>
      <c r="AJ9" s="174">
        <f>AJ8*F15</f>
        <v>0</v>
      </c>
      <c r="AK9" s="175">
        <f>AK8*H15</f>
        <v>12.120000000000001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21.9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434.02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606</v>
      </c>
      <c r="I15" s="448"/>
      <c r="J15" s="449"/>
      <c r="K15" s="452">
        <f>ROUND((AF7*F8*K14),0)</f>
        <v>283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730</v>
      </c>
      <c r="S15" s="448"/>
      <c r="T15" s="448"/>
      <c r="U15" s="449"/>
      <c r="V15" s="452">
        <f>ROUND((AF9*M8*V14),0)</f>
        <v>142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37.923385376674347</v>
      </c>
      <c r="AJ15" s="432" t="s">
        <v>85</v>
      </c>
      <c r="AK15" s="432"/>
      <c r="AL15" s="453"/>
      <c r="AM15" s="340">
        <f>(H15+K15+N15)/(H15+K15+N15+P15+R15+V15)*100</f>
        <v>50.482680295286762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606</v>
      </c>
      <c r="I16" s="466"/>
      <c r="J16" s="467"/>
      <c r="K16" s="465">
        <f>K15*AB7/1000</f>
        <v>283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730</v>
      </c>
      <c r="S16" s="466"/>
      <c r="T16" s="466"/>
      <c r="U16" s="467"/>
      <c r="V16" s="465">
        <f>V15*AB7/1000</f>
        <v>142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37.19819128060746</v>
      </c>
      <c r="AJ16" s="459" t="s">
        <v>87</v>
      </c>
      <c r="AK16" s="459"/>
      <c r="AL16" s="468"/>
      <c r="AM16" s="341">
        <f>(P15+R15+V15)/(H15+K15+N15+P15+R15+V15)*100</f>
        <v>49.517319704713231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606</v>
      </c>
      <c r="I17" s="462"/>
      <c r="J17" s="463"/>
      <c r="K17" s="464">
        <f>ROUND((K16+(K16*(F9-AT42))),3)</f>
        <v>283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730</v>
      </c>
      <c r="S17" s="462"/>
      <c r="T17" s="462"/>
      <c r="U17" s="463"/>
      <c r="V17" s="464">
        <f>ROUND((V16+(V16*(M9-AT46))),3)</f>
        <v>142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75.121576657281807</v>
      </c>
      <c r="AJ17" s="442" t="s">
        <v>89</v>
      </c>
      <c r="AK17" s="442"/>
      <c r="AL17" s="443"/>
      <c r="AM17" s="342">
        <f>(C15+F15)/AB9*100</f>
        <v>17.063390495691493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670</v>
      </c>
      <c r="AK23" s="316">
        <v>2.63</v>
      </c>
      <c r="AL23" s="328">
        <f>ROUND(AJ23/AK23/(AJ23/AK23+AJ24/AK24+AJ25/AK25*AK30),3)</f>
        <v>0.76400000000000001</v>
      </c>
      <c r="AM23" s="329">
        <f>ROUND(AJ24/AK24/(AJ23/AK23+AJ24/AK24+AJ25/AK25*AK30),3)</f>
        <v>0.23599999999999999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210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765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0.877</v>
      </c>
      <c r="AN26" s="329">
        <f>ROUND(AJ27/AK27/(AJ25/AK25*(1-AK30)+AJ26/AK26+AJ27/AK27+AJ28/AK28),3)</f>
        <v>0.112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100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0.57754697445293346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3.8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983.61167469066947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1.6388325309330525E-2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0.45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9.4999999999999998E-3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1.1411108761349875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0.99654043388261593</v>
      </c>
      <c r="AW41" s="184">
        <f t="shared" ref="AW41:AW48" si="6">SUM($C$15:$F$15)/AV41</f>
        <v>401.38863050600173</v>
      </c>
      <c r="AX41" s="185">
        <f>(C15/C14+F15/F14+H15/H14+K15/K14+N15/N14+P15/P14+R15/R14+V15/V14+X15/X14)/1000</f>
        <v>0.98516880260649853</v>
      </c>
      <c r="AY41" s="136">
        <f t="shared" ref="AY41:AY48" si="7">AV41/AX41</f>
        <v>1.011542825195064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0.98516880260649853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0.98516880260649853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0.98516880260649853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0.98516880260649853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0.98516880260649853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0.98516880260649853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0.98516880260649853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611" priority="8" operator="equal">
      <formula>0</formula>
    </cfRule>
    <cfRule type="containsBlanks" dxfId="610" priority="9">
      <formula>LEN(TRIM(F12))=0</formula>
    </cfRule>
  </conditionalFormatting>
  <conditionalFormatting sqref="N12:Q17">
    <cfRule type="cellIs" dxfId="609" priority="6" operator="equal">
      <formula>0</formula>
    </cfRule>
    <cfRule type="containsBlanks" dxfId="608" priority="7">
      <formula>LEN(TRIM(N12))=0</formula>
    </cfRule>
  </conditionalFormatting>
  <conditionalFormatting sqref="Z12:AA17">
    <cfRule type="cellIs" dxfId="607" priority="3" operator="equal">
      <formula>"-"</formula>
    </cfRule>
  </conditionalFormatting>
  <conditionalFormatting sqref="Z12:AE17">
    <cfRule type="cellIs" dxfId="606" priority="4" operator="equal">
      <formula>0</formula>
    </cfRule>
    <cfRule type="containsBlanks" dxfId="605" priority="5">
      <formula>LEN(TRIM(Z12))=0</formula>
    </cfRule>
  </conditionalFormatting>
  <conditionalFormatting sqref="AB12:AC12">
    <cfRule type="cellIs" dxfId="604" priority="2" operator="equal">
      <formula>"-"</formula>
    </cfRule>
  </conditionalFormatting>
  <conditionalFormatting sqref="AB17:AC17">
    <cfRule type="cellIs" dxfId="60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FC9A-BC5D-4284-B5DE-16D08D1777F5}">
  <sheetPr>
    <tabColor rgb="FF002060"/>
    <pageSetUpPr fitToPage="1"/>
  </sheetPr>
  <dimension ref="A1:AY48"/>
  <sheetViews>
    <sheetView showGridLines="0" topLeftCell="K10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648.75804229263235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336.24195770736765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0.57999999999999996</v>
      </c>
      <c r="Y8" s="248" t="s">
        <v>55</v>
      </c>
      <c r="Z8" s="271"/>
      <c r="AA8" s="272"/>
      <c r="AB8" s="413">
        <f>X15/SUM(C15:V15)</f>
        <v>8.3294770939379911E-2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2344.1999999999998</v>
      </c>
      <c r="AC9" s="396"/>
      <c r="AD9" s="396"/>
      <c r="AE9" s="397"/>
      <c r="AF9" s="38">
        <f>AF8*(1-X8)</f>
        <v>338.1</v>
      </c>
      <c r="AI9" s="173">
        <f>AI8*C15</f>
        <v>400</v>
      </c>
      <c r="AJ9" s="174">
        <f>AJ8*F15</f>
        <v>0</v>
      </c>
      <c r="AK9" s="175">
        <f>AK8*H15</f>
        <v>12.120000000000001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21.9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434.02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606</v>
      </c>
      <c r="I15" s="448"/>
      <c r="J15" s="449"/>
      <c r="K15" s="452">
        <f>ROUND((AF7*F8*K14),0)</f>
        <v>283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730</v>
      </c>
      <c r="S15" s="448"/>
      <c r="T15" s="448"/>
      <c r="U15" s="449"/>
      <c r="V15" s="452">
        <f>ROUND((AF9*M8*V14),0)</f>
        <v>142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37.923385376674347</v>
      </c>
      <c r="AJ15" s="432" t="s">
        <v>85</v>
      </c>
      <c r="AK15" s="432"/>
      <c r="AL15" s="453"/>
      <c r="AM15" s="340">
        <f>(H15+K15+N15)/(H15+K15+N15+P15+R15+V15)*100</f>
        <v>50.482680295286762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606</v>
      </c>
      <c r="I16" s="466"/>
      <c r="J16" s="467"/>
      <c r="K16" s="465">
        <f>K15*AB7/1000</f>
        <v>283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730</v>
      </c>
      <c r="S16" s="466"/>
      <c r="T16" s="466"/>
      <c r="U16" s="467"/>
      <c r="V16" s="465">
        <f>V15*AB7/1000</f>
        <v>142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37.19819128060746</v>
      </c>
      <c r="AJ16" s="459" t="s">
        <v>87</v>
      </c>
      <c r="AK16" s="459"/>
      <c r="AL16" s="468"/>
      <c r="AM16" s="341">
        <f>(P15+R15+V15)/(H15+K15+N15+P15+R15+V15)*100</f>
        <v>49.517319704713231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606</v>
      </c>
      <c r="I17" s="462"/>
      <c r="J17" s="463"/>
      <c r="K17" s="464">
        <f>ROUND((K16+(K16*(F9-AT42))),3)</f>
        <v>283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730</v>
      </c>
      <c r="S17" s="462"/>
      <c r="T17" s="462"/>
      <c r="U17" s="463"/>
      <c r="V17" s="464">
        <f>ROUND((V16+(V16*(M9-AT46))),3)</f>
        <v>142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75.121576657281807</v>
      </c>
      <c r="AJ17" s="442" t="s">
        <v>89</v>
      </c>
      <c r="AK17" s="442"/>
      <c r="AL17" s="443"/>
      <c r="AM17" s="342">
        <f>(C15+F15)/AB9*100</f>
        <v>17.063390495691493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670</v>
      </c>
      <c r="AK23" s="316">
        <v>2.63</v>
      </c>
      <c r="AL23" s="328">
        <f>ROUND(AJ23/AK23/(AJ23/AK23+AJ24/AK24+AJ25/AK25*AK30),3)</f>
        <v>0.76400000000000001</v>
      </c>
      <c r="AM23" s="329">
        <f>ROUND(AJ24/AK24/(AJ23/AK23+AJ24/AK24+AJ25/AK25*AK30),3)</f>
        <v>0.23599999999999999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210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765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0.877</v>
      </c>
      <c r="AN26" s="329">
        <f>ROUND(AJ27/AK27/(AJ25/AK25*(1-AK30)+AJ26/AK26+AJ27/AK27+AJ28/AK28),3)</f>
        <v>0.112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100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0.57754697445293346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3.8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983.61167469066947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1.6388325309330525E-2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0.45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9.4999999999999998E-3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1.1411108761349875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0.99654043388261593</v>
      </c>
      <c r="AW41" s="184">
        <f t="shared" ref="AW41:AW48" si="6">SUM($C$15:$F$15)/AV41</f>
        <v>401.38863050600173</v>
      </c>
      <c r="AX41" s="185">
        <f>(C15/C14+F15/F14+H15/H14+K15/K14+N15/N14+P15/P14+R15/R14+V15/V14+X15/X14)/1000</f>
        <v>0.98516880260649853</v>
      </c>
      <c r="AY41" s="136">
        <f t="shared" ref="AY41:AY48" si="7">AV41/AX41</f>
        <v>1.011542825195064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0.98516880260649853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0.98516880260649853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0.98516880260649853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0.98516880260649853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0.98516880260649853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0.98516880260649853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0.98516880260649853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602" priority="8" operator="equal">
      <formula>0</formula>
    </cfRule>
    <cfRule type="containsBlanks" dxfId="601" priority="9">
      <formula>LEN(TRIM(F12))=0</formula>
    </cfRule>
  </conditionalFormatting>
  <conditionalFormatting sqref="N12:Q17">
    <cfRule type="cellIs" dxfId="600" priority="6" operator="equal">
      <formula>0</formula>
    </cfRule>
    <cfRule type="containsBlanks" dxfId="599" priority="7">
      <formula>LEN(TRIM(N12))=0</formula>
    </cfRule>
  </conditionalFormatting>
  <conditionalFormatting sqref="Z12:AA17">
    <cfRule type="cellIs" dxfId="598" priority="3" operator="equal">
      <formula>"-"</formula>
    </cfRule>
  </conditionalFormatting>
  <conditionalFormatting sqref="Z12:AE17">
    <cfRule type="cellIs" dxfId="597" priority="4" operator="equal">
      <formula>0</formula>
    </cfRule>
    <cfRule type="containsBlanks" dxfId="596" priority="5">
      <formula>LEN(TRIM(Z12))=0</formula>
    </cfRule>
  </conditionalFormatting>
  <conditionalFormatting sqref="AB12:AC12">
    <cfRule type="cellIs" dxfId="595" priority="2" operator="equal">
      <formula>"-"</formula>
    </cfRule>
  </conditionalFormatting>
  <conditionalFormatting sqref="AB17:AC17">
    <cfRule type="cellIs" dxfId="59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5A02-3F82-4FFC-9DE1-0707CE9E7291}">
  <sheetPr>
    <tabColor rgb="FF002060"/>
    <pageSetUpPr fitToPage="1"/>
  </sheetPr>
  <dimension ref="A1:AY48"/>
  <sheetViews>
    <sheetView showGridLines="0" topLeftCell="K10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648.75804229263235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336.24195770736765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0.57999999999999996</v>
      </c>
      <c r="Y8" s="248" t="s">
        <v>55</v>
      </c>
      <c r="Z8" s="271"/>
      <c r="AA8" s="272"/>
      <c r="AB8" s="413">
        <f>X15/SUM(C15:V15)</f>
        <v>8.3294770939379911E-2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2344.1999999999998</v>
      </c>
      <c r="AC9" s="396"/>
      <c r="AD9" s="396"/>
      <c r="AE9" s="397"/>
      <c r="AF9" s="38">
        <f>AF8*(1-X8)</f>
        <v>338.1</v>
      </c>
      <c r="AI9" s="173">
        <f>AI8*C15</f>
        <v>400</v>
      </c>
      <c r="AJ9" s="174">
        <f>AJ8*F15</f>
        <v>0</v>
      </c>
      <c r="AK9" s="175">
        <f>AK8*H15</f>
        <v>12.120000000000001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21.9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434.02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2.57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606</v>
      </c>
      <c r="I15" s="448"/>
      <c r="J15" s="449"/>
      <c r="K15" s="452">
        <f>ROUND((AF7*F8*K14),0)</f>
        <v>283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730</v>
      </c>
      <c r="S15" s="448"/>
      <c r="T15" s="448"/>
      <c r="U15" s="449"/>
      <c r="V15" s="452">
        <f>ROUND((AF9*M8*V14),0)</f>
        <v>142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37.923385376674347</v>
      </c>
      <c r="AJ15" s="432" t="s">
        <v>85</v>
      </c>
      <c r="AK15" s="432"/>
      <c r="AL15" s="453"/>
      <c r="AM15" s="340">
        <f>(H15+K15+N15)/(H15+K15+N15+P15+R15+V15)*100</f>
        <v>50.482680295286762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606</v>
      </c>
      <c r="I16" s="466"/>
      <c r="J16" s="467"/>
      <c r="K16" s="465">
        <f>K15*AB7/1000</f>
        <v>283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730</v>
      </c>
      <c r="S16" s="466"/>
      <c r="T16" s="466"/>
      <c r="U16" s="467"/>
      <c r="V16" s="465">
        <f>V15*AB7/1000</f>
        <v>142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37.19819128060746</v>
      </c>
      <c r="AJ16" s="459" t="s">
        <v>87</v>
      </c>
      <c r="AK16" s="459"/>
      <c r="AL16" s="468"/>
      <c r="AM16" s="341">
        <f>(P15+R15+V15)/(H15+K15+N15+P15+R15+V15)*100</f>
        <v>49.517319704713231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606</v>
      </c>
      <c r="I17" s="462"/>
      <c r="J17" s="463"/>
      <c r="K17" s="464">
        <f>ROUND((K16+(K16*(F9-AT42))),3)</f>
        <v>283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730</v>
      </c>
      <c r="S17" s="462"/>
      <c r="T17" s="462"/>
      <c r="U17" s="463"/>
      <c r="V17" s="464">
        <f>ROUND((V16+(V16*(M9-AT46))),3)</f>
        <v>142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75.121576657281807</v>
      </c>
      <c r="AJ17" s="442" t="s">
        <v>89</v>
      </c>
      <c r="AK17" s="442"/>
      <c r="AL17" s="443"/>
      <c r="AM17" s="342">
        <f>(C15+F15)/AB9*100</f>
        <v>17.063390495691493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0.84199999999999997</v>
      </c>
      <c r="AM23" s="329">
        <f>ROUND(AJ24/AK24/(AJ23/AK23+AJ24/AK24+AJ25/AK25*AK30),3)</f>
        <v>0.158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133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894</v>
      </c>
      <c r="AK26" s="317">
        <v>2.57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0.55630294791851986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986.21535861482357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1.3784641385176427E-2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0.51315789473684215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8.4210526315789472E-3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1.1411108761349875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0.99654043388261593</v>
      </c>
      <c r="AW41" s="184">
        <f t="shared" ref="AW41:AW48" si="6">SUM($C$15:$F$15)/AV41</f>
        <v>401.38863050600173</v>
      </c>
      <c r="AX41" s="185">
        <f>(C15/C14+F15/F14+H15/H14+K15/K14+N15/N14+P15/P14+R15/R14+V15/V14+X15/X14)/1000</f>
        <v>0.98516880260649853</v>
      </c>
      <c r="AY41" s="136">
        <f t="shared" ref="AY41:AY48" si="7">AV41/AX41</f>
        <v>1.011542825195064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0.98516880260649853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0.98516880260649853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0.98516880260649853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0.98516880260649853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0.98516880260649853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0.98516880260649853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0.98516880260649853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93" priority="8" operator="equal">
      <formula>0</formula>
    </cfRule>
    <cfRule type="containsBlanks" dxfId="592" priority="9">
      <formula>LEN(TRIM(F12))=0</formula>
    </cfRule>
  </conditionalFormatting>
  <conditionalFormatting sqref="N12:Q17">
    <cfRule type="cellIs" dxfId="591" priority="6" operator="equal">
      <formula>0</formula>
    </cfRule>
    <cfRule type="containsBlanks" dxfId="590" priority="7">
      <formula>LEN(TRIM(N12))=0</formula>
    </cfRule>
  </conditionalFormatting>
  <conditionalFormatting sqref="Z12:AA17">
    <cfRule type="cellIs" dxfId="589" priority="3" operator="equal">
      <formula>"-"</formula>
    </cfRule>
  </conditionalFormatting>
  <conditionalFormatting sqref="Z12:AE17">
    <cfRule type="cellIs" dxfId="588" priority="4" operator="equal">
      <formula>0</formula>
    </cfRule>
    <cfRule type="containsBlanks" dxfId="587" priority="5">
      <formula>LEN(TRIM(Z12))=0</formula>
    </cfRule>
  </conditionalFormatting>
  <conditionalFormatting sqref="AB12:AC12">
    <cfRule type="cellIs" dxfId="586" priority="2" operator="equal">
      <formula>"-"</formula>
    </cfRule>
  </conditionalFormatting>
  <conditionalFormatting sqref="AB17:AC17">
    <cfRule type="cellIs" dxfId="58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4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3D2E-4A70-49CB-BEE6-EFB577E56B4F}">
  <sheetPr>
    <tabColor rgb="FF002060"/>
    <pageSetUpPr fitToPage="1"/>
  </sheetPr>
  <dimension ref="A1:AY48"/>
  <sheetViews>
    <sheetView showGridLines="0" topLeftCell="U12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662.76194927615188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322.23805072384812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8.2987551867219914E-2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2352.1999999999998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23.07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434.69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2.67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2.6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581</v>
      </c>
      <c r="I15" s="448"/>
      <c r="J15" s="449"/>
      <c r="K15" s="452">
        <f>ROUND((AF7*F8*K14),0)</f>
        <v>271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769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36.221409744069383</v>
      </c>
      <c r="AJ15" s="432" t="s">
        <v>85</v>
      </c>
      <c r="AK15" s="432"/>
      <c r="AL15" s="453"/>
      <c r="AM15" s="340">
        <f>(H15+K15+N15)/(H15+K15+N15+P15+R15+V15)*100</f>
        <v>48.162803843979653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581</v>
      </c>
      <c r="I16" s="466"/>
      <c r="J16" s="467"/>
      <c r="K16" s="465">
        <f>K15*AB7/1000</f>
        <v>271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769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38.984780205764821</v>
      </c>
      <c r="AJ16" s="459" t="s">
        <v>87</v>
      </c>
      <c r="AK16" s="459"/>
      <c r="AL16" s="468"/>
      <c r="AM16" s="341">
        <f>(P15+R15+V15)/(H15+K15+N15+P15+R15+V15)*100</f>
        <v>51.837196156020347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581</v>
      </c>
      <c r="I17" s="462"/>
      <c r="J17" s="463"/>
      <c r="K17" s="464">
        <f>ROUND((K16+(K16*(F9-AT42))),3)</f>
        <v>271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769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75.206189949834197</v>
      </c>
      <c r="AJ17" s="442" t="s">
        <v>89</v>
      </c>
      <c r="AK17" s="442"/>
      <c r="AL17" s="443"/>
      <c r="AM17" s="342">
        <f>(C15+F15)/AB9*100</f>
        <v>17.005356687356517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140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0.84199999999999997</v>
      </c>
      <c r="AM23" s="329">
        <f>ROUND(AJ24/AK24/(AJ23/AK23+AJ24/AK24+AJ25/AK25*AK30),3)</f>
        <v>0.158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133</v>
      </c>
      <c r="AK24" s="317">
        <v>2.67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894</v>
      </c>
      <c r="AK26" s="317">
        <v>2.6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0.55913941469320971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992.20159028198907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205</v>
      </c>
      <c r="AK29" s="321">
        <v>1</v>
      </c>
      <c r="AL29" s="544" t="s">
        <v>24</v>
      </c>
      <c r="AM29" s="545"/>
      <c r="AN29" s="546"/>
      <c r="AO29" s="334">
        <f>(1000-AO28)/1000</f>
        <v>7.7984097180109303E-3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0.53947368421052633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8.4210526315789472E-3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1.4774128705849154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0.99994595437431211</v>
      </c>
      <c r="AW41" s="184">
        <f t="shared" ref="AW41:AW48" si="6">SUM($C$15:$F$15)/AV41</f>
        <v>400.02161941871015</v>
      </c>
      <c r="AX41" s="185">
        <f>(C15/C14+F15/F14+H15/H14+K15/K14+N15/N14+P15/P14+R15/R14+V15/V14+X15/X14)/1000</f>
        <v>0.98517262414549289</v>
      </c>
      <c r="AY41" s="136">
        <f t="shared" ref="AY41:AY48" si="7">AV41/AX41</f>
        <v>1.0149956767643977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0.98517262414549289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0.98517262414549289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0.98517262414549289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0.98517262414549289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0.98517262414549289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0.98517262414549289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0.98517262414549289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84" priority="8" operator="equal">
      <formula>0</formula>
    </cfRule>
    <cfRule type="containsBlanks" dxfId="583" priority="9">
      <formula>LEN(TRIM(F12))=0</formula>
    </cfRule>
  </conditionalFormatting>
  <conditionalFormatting sqref="N12:Q17">
    <cfRule type="cellIs" dxfId="582" priority="6" operator="equal">
      <formula>0</formula>
    </cfRule>
    <cfRule type="containsBlanks" dxfId="581" priority="7">
      <formula>LEN(TRIM(N12))=0</formula>
    </cfRule>
  </conditionalFormatting>
  <conditionalFormatting sqref="Z12:AA17">
    <cfRule type="cellIs" dxfId="580" priority="3" operator="equal">
      <formula>"-"</formula>
    </cfRule>
  </conditionalFormatting>
  <conditionalFormatting sqref="Z12:AE17">
    <cfRule type="cellIs" dxfId="579" priority="4" operator="equal">
      <formula>0</formula>
    </cfRule>
    <cfRule type="containsBlanks" dxfId="578" priority="5">
      <formula>LEN(TRIM(Z12))=0</formula>
    </cfRule>
  </conditionalFormatting>
  <conditionalFormatting sqref="AB12:AC12">
    <cfRule type="cellIs" dxfId="577" priority="2" operator="equal">
      <formula>"-"</formula>
    </cfRule>
  </conditionalFormatting>
  <conditionalFormatting sqref="AB17:AC17">
    <cfRule type="cellIs" dxfId="57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2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2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0B16-A50A-4F02-8E85-6FB9A38E5D4B}">
  <sheetPr>
    <tabColor rgb="FF002060"/>
    <pageSetUpPr fitToPage="1"/>
  </sheetPr>
  <dimension ref="A1:AY48"/>
  <sheetViews>
    <sheetView showGridLines="0" topLeftCell="U12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671.55315806736076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313.44684193263924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5.8000000000000003E-2</v>
      </c>
      <c r="H8" s="407"/>
      <c r="I8" s="408">
        <f>AL26</f>
        <v>2.5000000000000001E-2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7.8568310781318207E-2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2474.1999999999998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11.38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436.21999999999997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569</v>
      </c>
      <c r="I15" s="448"/>
      <c r="J15" s="449"/>
      <c r="K15" s="452">
        <f>ROUND((AF7*F8*K14),0)</f>
        <v>276</v>
      </c>
      <c r="L15" s="448"/>
      <c r="M15" s="449"/>
      <c r="N15" s="450">
        <f>ROUND((AF7*G8*N14),0)</f>
        <v>47</v>
      </c>
      <c r="O15" s="451"/>
      <c r="P15" s="450">
        <f>ROUND((AF9*I8*P14),0)</f>
        <v>23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36.052057230620001</v>
      </c>
      <c r="AJ15" s="432" t="s">
        <v>85</v>
      </c>
      <c r="AK15" s="432"/>
      <c r="AL15" s="453"/>
      <c r="AM15" s="340">
        <f>(H15+K15+N15)/(H15+K15+N15+P15+R15+V15)*100</f>
        <v>47.170809095716557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569</v>
      </c>
      <c r="I16" s="466"/>
      <c r="J16" s="467"/>
      <c r="K16" s="465">
        <f>K15*AB7/1000</f>
        <v>276</v>
      </c>
      <c r="L16" s="466"/>
      <c r="M16" s="467"/>
      <c r="N16" s="438">
        <f>N15*AB7/1000</f>
        <v>47</v>
      </c>
      <c r="O16" s="439"/>
      <c r="P16" s="438">
        <f>P15*AB7/1000</f>
        <v>23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40.376687414113654</v>
      </c>
      <c r="AJ16" s="459" t="s">
        <v>87</v>
      </c>
      <c r="AK16" s="459"/>
      <c r="AL16" s="468"/>
      <c r="AM16" s="341">
        <f>(P15+R15+V15)/(H15+K15+N15+P15+R15+V15)*100</f>
        <v>52.82919090428345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569</v>
      </c>
      <c r="I17" s="462"/>
      <c r="J17" s="463"/>
      <c r="K17" s="464">
        <f>ROUND((K16+(K16*(F9-AT42))),3)</f>
        <v>276</v>
      </c>
      <c r="L17" s="462"/>
      <c r="M17" s="463"/>
      <c r="N17" s="440">
        <f>ROUND((N16+(N16*(G9-AT43))),3)</f>
        <v>47</v>
      </c>
      <c r="O17" s="441"/>
      <c r="P17" s="440">
        <f>ROUND((P16+(P16*(I9-AT44))),3)</f>
        <v>23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76.428744644733655</v>
      </c>
      <c r="AJ17" s="442" t="s">
        <v>89</v>
      </c>
      <c r="AK17" s="442"/>
      <c r="AL17" s="443"/>
      <c r="AM17" s="342">
        <f>(C15+F15)/AB9*100</f>
        <v>16.166841807452915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246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2.65</v>
      </c>
      <c r="AL23" s="328">
        <f>ROUND(AJ23/AK23/(AJ23/AK23+AJ24/AK24+AJ25/AK25*AK30),3)</f>
        <v>0.79500000000000004</v>
      </c>
      <c r="AM23" s="329">
        <f>ROUND(AJ24/AK24/(AJ23/AK23+AJ24/AK24+AJ25/AK25*AK30),3)</f>
        <v>0.14699999999999999</v>
      </c>
      <c r="AN23" s="329">
        <f>ROUND(AJ25/AK25*AK30/(AJ23/AK23+AJ24/AK24+AJ25/AK25*AK30),3)</f>
        <v>5.8000000000000003E-2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133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70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700</v>
      </c>
      <c r="AK26" s="317">
        <v>2.8</v>
      </c>
      <c r="AL26" s="328">
        <f>ROUND(AJ25/AK25*(1-AK30)/(AJ25/AK25*(1-AK30)+AJ26/AK26+AJ27/AK27+AJ28/AK28),3)</f>
        <v>2.5000000000000001E-2</v>
      </c>
      <c r="AM26" s="329">
        <f>ROUND(AJ26/AK26/(AJ25/AK25*(1-AK30)+AJ26/AK26+AJ27/AK27+AJ28/AK28),3)</f>
        <v>0.76600000000000001</v>
      </c>
      <c r="AN26" s="329">
        <f>ROUND(AJ27/AK27/(AJ25/AK25*(1-AK30)+AJ26/AK26+AJ27/AK27+AJ28/AK28),3)</f>
        <v>0.19800000000000001</v>
      </c>
      <c r="AO26" s="330">
        <f>ROUND(AJ28/AK28/(AJ25/AK25*(1-AK30)+AJ26/AK26+AJ27/AK27+AJ28/AK28),3)</f>
        <v>1.2E-2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170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0.58148916120876537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3.8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970.18458802631062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2.9815411973689379E-2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0.47499999999999998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49</v>
      </c>
      <c r="AK31" s="323">
        <f>AJ25-AJ31</f>
        <v>21</v>
      </c>
      <c r="AL31" s="522" t="s">
        <v>231</v>
      </c>
      <c r="AM31" s="523"/>
      <c r="AN31" s="523"/>
      <c r="AO31" s="336">
        <f>AJ28/AJ21</f>
        <v>9.4999999999999998E-3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4.6546796612896069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1.05188014187268</v>
      </c>
      <c r="AW41" s="184">
        <f t="shared" ref="AW41:AW48" si="6">SUM($C$15:$F$15)/AV41</f>
        <v>380.27146257165123</v>
      </c>
      <c r="AX41" s="185">
        <f>(C15/C14+F15/F14+H15/H14+K15/K14+N15/N14+P15/P14+R15/R14+V15/V14+X15/X14)/1000</f>
        <v>1.0029184908477879</v>
      </c>
      <c r="AY41" s="136">
        <f t="shared" ref="AY41:AY48" si="7">AV41/AX41</f>
        <v>1.0488191727161233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1.0029184908477879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1.0029184908477879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1.0029184908477879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1.0029184908477879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1.0029184908477879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1.0029184908477879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1.0029184908477879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75" priority="8" operator="equal">
      <formula>0</formula>
    </cfRule>
    <cfRule type="containsBlanks" dxfId="574" priority="9">
      <formula>LEN(TRIM(F12))=0</formula>
    </cfRule>
  </conditionalFormatting>
  <conditionalFormatting sqref="N12:Q17">
    <cfRule type="cellIs" dxfId="573" priority="6" operator="equal">
      <formula>0</formula>
    </cfRule>
    <cfRule type="containsBlanks" dxfId="572" priority="7">
      <formula>LEN(TRIM(N12))=0</formula>
    </cfRule>
  </conditionalFormatting>
  <conditionalFormatting sqref="Z12:AA17">
    <cfRule type="cellIs" dxfId="571" priority="3" operator="equal">
      <formula>"-"</formula>
    </cfRule>
  </conditionalFormatting>
  <conditionalFormatting sqref="Z12:AE17">
    <cfRule type="cellIs" dxfId="570" priority="4" operator="equal">
      <formula>0</formula>
    </cfRule>
    <cfRule type="containsBlanks" dxfId="569" priority="5">
      <formula>LEN(TRIM(Z12))=0</formula>
    </cfRule>
  </conditionalFormatting>
  <conditionalFormatting sqref="AB12:AC12">
    <cfRule type="cellIs" dxfId="568" priority="2" operator="equal">
      <formula>"-"</formula>
    </cfRule>
  </conditionalFormatting>
  <conditionalFormatting sqref="AB17:AC17">
    <cfRule type="cellIs" dxfId="56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83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3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3119-3FE3-46C3-BCB6-926DA761FB26}">
  <sheetPr>
    <tabColor rgb="FF002060"/>
    <pageSetUpPr fitToPage="1"/>
  </sheetPr>
  <dimension ref="A1:AY48"/>
  <sheetViews>
    <sheetView showGridLines="0" topLeftCell="U12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246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730</v>
      </c>
      <c r="AK23" s="316">
        <v>2.65</v>
      </c>
      <c r="AL23" s="328">
        <f>ROUND(AJ23/AK23/(AJ23/AK23+AJ24/AK24+AJ25/AK25*AK30),3)</f>
        <v>0.85299999999999998</v>
      </c>
      <c r="AM23" s="329">
        <f>ROUND(AJ24/AK24/(AJ23/AK23+AJ24/AK24+AJ25/AK25*AK30),3)</f>
        <v>0.14699999999999999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133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740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0.77700000000000002</v>
      </c>
      <c r="AN26" s="329">
        <f>ROUND(AJ27/AK27/(AJ25/AK25*(1-AK30)+AJ26/AK26+AJ27/AK27+AJ28/AK28),3)</f>
        <v>0.21199999999999999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190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0.56602625940251938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3.8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994.21579108626486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210</v>
      </c>
      <c r="AK29" s="321">
        <v>1</v>
      </c>
      <c r="AL29" s="544" t="s">
        <v>24</v>
      </c>
      <c r="AM29" s="545"/>
      <c r="AN29" s="546"/>
      <c r="AO29" s="334">
        <f>(1000-AO28)/1000</f>
        <v>5.7842089137351421E-3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0.56756756756756754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1.0270270270270269E-2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66" priority="8" operator="equal">
      <formula>0</formula>
    </cfRule>
    <cfRule type="containsBlanks" dxfId="565" priority="9">
      <formula>LEN(TRIM(F12))=0</formula>
    </cfRule>
  </conditionalFormatting>
  <conditionalFormatting sqref="N12:Q17">
    <cfRule type="cellIs" dxfId="564" priority="6" operator="equal">
      <formula>0</formula>
    </cfRule>
    <cfRule type="containsBlanks" dxfId="563" priority="7">
      <formula>LEN(TRIM(N12))=0</formula>
    </cfRule>
  </conditionalFormatting>
  <conditionalFormatting sqref="Z12:AA17">
    <cfRule type="cellIs" dxfId="562" priority="3" operator="equal">
      <formula>"-"</formula>
    </cfRule>
  </conditionalFormatting>
  <conditionalFormatting sqref="Z12:AE17">
    <cfRule type="cellIs" dxfId="561" priority="4" operator="equal">
      <formula>0</formula>
    </cfRule>
    <cfRule type="containsBlanks" dxfId="560" priority="5">
      <formula>LEN(TRIM(Z12))=0</formula>
    </cfRule>
  </conditionalFormatting>
  <conditionalFormatting sqref="AB12:AC12">
    <cfRule type="cellIs" dxfId="559" priority="2" operator="equal">
      <formula>"-"</formula>
    </cfRule>
  </conditionalFormatting>
  <conditionalFormatting sqref="AB17:AC17">
    <cfRule type="cellIs" dxfId="55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85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5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A8E1-780E-4867-B2CF-A1ADF899F27E}">
  <sheetPr>
    <tabColor rgb="FF002060"/>
    <pageSetUpPr fitToPage="1"/>
  </sheetPr>
  <dimension ref="A1:AY48"/>
  <sheetViews>
    <sheetView showGridLines="0" topLeftCell="U12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246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730</v>
      </c>
      <c r="AK23" s="316">
        <v>2.65</v>
      </c>
      <c r="AL23" s="328">
        <f>ROUND(AJ23/AK23/(AJ23/AK23+AJ24/AK24+AJ25/AK25*AK30),3)</f>
        <v>0.85299999999999998</v>
      </c>
      <c r="AM23" s="329">
        <f>ROUND(AJ24/AK24/(AJ23/AK23+AJ24/AK24+AJ25/AK25*AK30),3)</f>
        <v>0.14699999999999999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133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740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0.77700000000000002</v>
      </c>
      <c r="AN26" s="329">
        <f>ROUND(AJ27/AK27/(AJ25/AK25*(1-AK30)+AJ26/AK26+AJ27/AK27+AJ28/AK28),3)</f>
        <v>0.21199999999999999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190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0.56602625940251938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3.8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994.21579108626486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210</v>
      </c>
      <c r="AK29" s="321">
        <v>1</v>
      </c>
      <c r="AL29" s="544" t="s">
        <v>24</v>
      </c>
      <c r="AM29" s="545"/>
      <c r="AN29" s="546"/>
      <c r="AO29" s="334">
        <f>(1000-AO28)/1000</f>
        <v>5.7842089137351421E-3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0.56756756756756754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1.0270270270270269E-2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57" priority="8" operator="equal">
      <formula>0</formula>
    </cfRule>
    <cfRule type="containsBlanks" dxfId="556" priority="9">
      <formula>LEN(TRIM(F12))=0</formula>
    </cfRule>
  </conditionalFormatting>
  <conditionalFormatting sqref="N12:Q17">
    <cfRule type="cellIs" dxfId="555" priority="6" operator="equal">
      <formula>0</formula>
    </cfRule>
    <cfRule type="containsBlanks" dxfId="554" priority="7">
      <formula>LEN(TRIM(N12))=0</formula>
    </cfRule>
  </conditionalFormatting>
  <conditionalFormatting sqref="Z12:AA17">
    <cfRule type="cellIs" dxfId="553" priority="3" operator="equal">
      <formula>"-"</formula>
    </cfRule>
  </conditionalFormatting>
  <conditionalFormatting sqref="Z12:AE17">
    <cfRule type="cellIs" dxfId="552" priority="4" operator="equal">
      <formula>0</formula>
    </cfRule>
    <cfRule type="containsBlanks" dxfId="551" priority="5">
      <formula>LEN(TRIM(Z12))=0</formula>
    </cfRule>
  </conditionalFormatting>
  <conditionalFormatting sqref="AB12:AC12">
    <cfRule type="cellIs" dxfId="550" priority="2" operator="equal">
      <formula>"-"</formula>
    </cfRule>
  </conditionalFormatting>
  <conditionalFormatting sqref="AB17:AC17">
    <cfRule type="cellIs" dxfId="54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72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32D7-35A0-466C-82A7-DD180B5D7898}">
  <sheetPr>
    <tabColor rgb="FF002060"/>
    <pageSetUpPr fitToPage="1"/>
  </sheetPr>
  <dimension ref="A1:AY48"/>
  <sheetViews>
    <sheetView showGridLines="0" topLeftCell="U15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246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730</v>
      </c>
      <c r="AK23" s="316">
        <v>2.65</v>
      </c>
      <c r="AL23" s="328">
        <f>ROUND(AJ23/AK23/(AJ23/AK23+AJ24/AK24+AJ25/AK25*AK30),3)</f>
        <v>0.85</v>
      </c>
      <c r="AM23" s="329">
        <f>ROUND(AJ24/AK24/(AJ23/AK23+AJ24/AK24+AJ25/AK25*AK30),3)</f>
        <v>0.15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136</v>
      </c>
      <c r="AK24" s="317">
        <v>2.8</v>
      </c>
      <c r="AL24" s="488" t="s">
        <v>21</v>
      </c>
      <c r="AM24" s="489"/>
      <c r="AN24" s="489"/>
      <c r="AO24" s="490"/>
      <c r="AQ24" s="349" t="s">
        <v>247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956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0.98699999999999999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1.2999999999999999E-2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0.56449897666425286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4.37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989.0247046491553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1.0975295350844703E-2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0.51315789473684215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1.15E-2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48" priority="8" operator="equal">
      <formula>0</formula>
    </cfRule>
    <cfRule type="containsBlanks" dxfId="547" priority="9">
      <formula>LEN(TRIM(F12))=0</formula>
    </cfRule>
  </conditionalFormatting>
  <conditionalFormatting sqref="N12:Q17">
    <cfRule type="cellIs" dxfId="546" priority="6" operator="equal">
      <formula>0</formula>
    </cfRule>
    <cfRule type="containsBlanks" dxfId="545" priority="7">
      <formula>LEN(TRIM(N12))=0</formula>
    </cfRule>
  </conditionalFormatting>
  <conditionalFormatting sqref="Z12:AA17">
    <cfRule type="cellIs" dxfId="544" priority="3" operator="equal">
      <formula>"-"</formula>
    </cfRule>
  </conditionalFormatting>
  <conditionalFormatting sqref="Z12:AE17">
    <cfRule type="cellIs" dxfId="543" priority="4" operator="equal">
      <formula>0</formula>
    </cfRule>
    <cfRule type="containsBlanks" dxfId="542" priority="5">
      <formula>LEN(TRIM(Z12))=0</formula>
    </cfRule>
  </conditionalFormatting>
  <conditionalFormatting sqref="AB12:AC12">
    <cfRule type="cellIs" dxfId="541" priority="2" operator="equal">
      <formula>"-"</formula>
    </cfRule>
  </conditionalFormatting>
  <conditionalFormatting sqref="AB17:AC17">
    <cfRule type="cellIs" dxfId="54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2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EA88-B7F4-490F-A1B1-D2C8AA2FB0AD}">
  <sheetPr>
    <tabColor rgb="FF002060"/>
    <pageSetUpPr fitToPage="1"/>
  </sheetPr>
  <dimension ref="A1:AY48"/>
  <sheetViews>
    <sheetView showGridLines="0" topLeftCell="AC20" zoomScale="196" zoomScaleNormal="196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251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760</v>
      </c>
      <c r="AK23" s="316">
        <v>2.65</v>
      </c>
      <c r="AL23" s="328">
        <f>ROUND(AJ23/AK23/(AJ23/AK23+AJ24/AK24+AJ25/AK25*AK30),3)</f>
        <v>0.85499999999999998</v>
      </c>
      <c r="AM23" s="329">
        <f>ROUND(AJ24/AK24/(AJ23/AK23+AJ24/AK24+AJ25/AK25*AK30),3)</f>
        <v>0.14499999999999999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136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917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0.98899999999999999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0.58122898470682904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980.64688793756488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1.9353112062435115E-2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9.4736842105263164E-3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39" priority="8" operator="equal">
      <formula>0</formula>
    </cfRule>
    <cfRule type="containsBlanks" dxfId="538" priority="9">
      <formula>LEN(TRIM(F12))=0</formula>
    </cfRule>
  </conditionalFormatting>
  <conditionalFormatting sqref="N12:Q17">
    <cfRule type="cellIs" dxfId="537" priority="6" operator="equal">
      <formula>0</formula>
    </cfRule>
    <cfRule type="containsBlanks" dxfId="536" priority="7">
      <formula>LEN(TRIM(N12))=0</formula>
    </cfRule>
  </conditionalFormatting>
  <conditionalFormatting sqref="Z12:AA17">
    <cfRule type="cellIs" dxfId="535" priority="3" operator="equal">
      <formula>"-"</formula>
    </cfRule>
  </conditionalFormatting>
  <conditionalFormatting sqref="Z12:AE17">
    <cfRule type="cellIs" dxfId="534" priority="4" operator="equal">
      <formula>0</formula>
    </cfRule>
    <cfRule type="containsBlanks" dxfId="533" priority="5">
      <formula>LEN(TRIM(Z12))=0</formula>
    </cfRule>
  </conditionalFormatting>
  <conditionalFormatting sqref="AB12:AC12">
    <cfRule type="cellIs" dxfId="532" priority="2" operator="equal">
      <formula>"-"</formula>
    </cfRule>
  </conditionalFormatting>
  <conditionalFormatting sqref="AB17:AC17">
    <cfRule type="cellIs" dxfId="53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50CA-E930-42A7-BD7D-3A425616EEBD}">
  <sheetPr>
    <tabColor theme="4" tint="0.59999389629810485"/>
    <pageSetUpPr fitToPage="1"/>
  </sheetPr>
  <dimension ref="A1:AY48"/>
  <sheetViews>
    <sheetView showGridLines="0" topLeftCell="W14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662.96341447761711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322.03658552238289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8.1374321880650996E-2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2395.1999999999998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24.24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435.84000000000003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2.2000000000000002</v>
      </c>
      <c r="G14" s="436"/>
      <c r="H14" s="437">
        <f>AK23</f>
        <v>2.63</v>
      </c>
      <c r="I14" s="435"/>
      <c r="J14" s="436"/>
      <c r="K14" s="437">
        <f>AK24</f>
        <v>2.72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2.73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580</v>
      </c>
      <c r="I15" s="448"/>
      <c r="J15" s="449"/>
      <c r="K15" s="452">
        <f>ROUND((AF7*F8*K14),0)</f>
        <v>276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808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35.738142952571813</v>
      </c>
      <c r="AJ15" s="432" t="s">
        <v>85</v>
      </c>
      <c r="AK15" s="432"/>
      <c r="AL15" s="453"/>
      <c r="AM15" s="340">
        <f>(H15+K15+N15)/(H15+K15+N15+P15+R15+V15)*100</f>
        <v>47.240618101545259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580</v>
      </c>
      <c r="I16" s="466"/>
      <c r="J16" s="467"/>
      <c r="K16" s="465">
        <f>K15*AB7/1000</f>
        <v>276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808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39.913159652638612</v>
      </c>
      <c r="AJ16" s="459" t="s">
        <v>87</v>
      </c>
      <c r="AK16" s="459"/>
      <c r="AL16" s="468"/>
      <c r="AM16" s="341">
        <f>(P15+R15+V15)/(H15+K15+N15+P15+R15+V15)*100</f>
        <v>52.759381898454748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580</v>
      </c>
      <c r="I17" s="462"/>
      <c r="J17" s="463"/>
      <c r="K17" s="464">
        <f>ROUND((K16+(K16*(F9-AT42))),3)</f>
        <v>276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808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75.651302605210418</v>
      </c>
      <c r="AJ17" s="442" t="s">
        <v>89</v>
      </c>
      <c r="AK17" s="442"/>
      <c r="AL17" s="443"/>
      <c r="AM17" s="342">
        <f>(C15+F15)/AB9*100</f>
        <v>16.700066800267201</v>
      </c>
      <c r="AN17" s="442" t="s">
        <v>90</v>
      </c>
      <c r="AO17" s="442"/>
      <c r="AP17" s="454"/>
      <c r="AQ17" t="s">
        <v>245</v>
      </c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244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320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2.2000000000000002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800</v>
      </c>
      <c r="AK23" s="316">
        <v>2.63</v>
      </c>
      <c r="AL23" s="328">
        <f>ROUND(AJ23/AK23/(AJ23/AK23+AJ24/AK24+AJ25/AK25*AK30),3)</f>
        <v>0.76800000000000002</v>
      </c>
      <c r="AM23" s="329">
        <f>ROUND(AJ24/AK24/(AJ23/AK23+AJ24/AK24+AJ25/AK25*AK30),3)</f>
        <v>0.23200000000000001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250</v>
      </c>
      <c r="AK24" s="317">
        <v>2.72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830</v>
      </c>
      <c r="AK26" s="317">
        <v>2.73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0.62004210100318413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1.08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987.47651941736046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1.2523480582639536E-2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0.5625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9.3749999999999997E-3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3.2687733284422316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1.0182506270171796</v>
      </c>
      <c r="AW41" s="184">
        <f t="shared" ref="AW41:AW48" si="6">SUM($C$15:$F$15)/AV41</f>
        <v>392.83059532380855</v>
      </c>
      <c r="AX41" s="185">
        <f>(C15/C14+F15/F14+H15/H14+K15/K14+N15/N14+P15/P14+R15/R14+V15/V14+X15/X14)/1000</f>
        <v>0.98496632210454627</v>
      </c>
      <c r="AY41" s="136">
        <f t="shared" ref="AY41:AY48" si="7">AV41/AX41</f>
        <v>1.0337923278854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0.98496632210454627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0.98496632210454627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0.98496632210454627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0.98496632210454627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0.98496632210454627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0.98496632210454627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0.98496632210454627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30" priority="8" operator="equal">
      <formula>0</formula>
    </cfRule>
    <cfRule type="containsBlanks" dxfId="529" priority="9">
      <formula>LEN(TRIM(F12))=0</formula>
    </cfRule>
  </conditionalFormatting>
  <conditionalFormatting sqref="N12:Q17">
    <cfRule type="cellIs" dxfId="528" priority="6" operator="equal">
      <formula>0</formula>
    </cfRule>
    <cfRule type="containsBlanks" dxfId="527" priority="7">
      <formula>LEN(TRIM(N12))=0</formula>
    </cfRule>
  </conditionalFormatting>
  <conditionalFormatting sqref="Z12:AA17">
    <cfRule type="cellIs" dxfId="526" priority="3" operator="equal">
      <formula>"-"</formula>
    </cfRule>
  </conditionalFormatting>
  <conditionalFormatting sqref="Z12:AE17">
    <cfRule type="cellIs" dxfId="525" priority="4" operator="equal">
      <formula>0</formula>
    </cfRule>
    <cfRule type="containsBlanks" dxfId="524" priority="5">
      <formula>LEN(TRIM(Z12))=0</formula>
    </cfRule>
  </conditionalFormatting>
  <conditionalFormatting sqref="AB12:AC12">
    <cfRule type="cellIs" dxfId="523" priority="2" operator="equal">
      <formula>"-"</formula>
    </cfRule>
  </conditionalFormatting>
  <conditionalFormatting sqref="AB17:AC17">
    <cfRule type="cellIs" dxfId="52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9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6AE1-8274-41D9-9AAB-BD8D9736619C}">
  <sheetPr>
    <tabColor rgb="FFFFFF29"/>
    <pageSetUpPr fitToPage="1"/>
  </sheetPr>
  <dimension ref="A1:AY48"/>
  <sheetViews>
    <sheetView showGridLines="0" topLeftCell="U7" zoomScale="90" zoomScaleNormal="90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88671875" customWidth="1" outlineLevel="1"/>
    <col min="25" max="25" width="15.4414062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22" t="s">
        <v>45</v>
      </c>
      <c r="P3" s="15"/>
      <c r="Q3" s="15"/>
      <c r="R3" s="234" t="s">
        <v>139</v>
      </c>
      <c r="S3" s="233"/>
      <c r="T3" s="233"/>
      <c r="U3" s="233"/>
      <c r="V3" s="233"/>
      <c r="W3" s="233"/>
      <c r="X3" s="16" t="s">
        <v>59</v>
      </c>
      <c r="Y3" s="15"/>
      <c r="Z3" s="236"/>
      <c r="AA3" s="17" t="s">
        <v>4</v>
      </c>
      <c r="AB3" s="201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565" t="s">
        <v>112</v>
      </c>
      <c r="P4" s="566"/>
      <c r="Q4" s="566"/>
      <c r="R4" s="566"/>
      <c r="S4" s="371" t="s">
        <v>113</v>
      </c>
      <c r="T4" s="371"/>
      <c r="U4" s="371"/>
      <c r="V4" s="234" t="s">
        <v>114</v>
      </c>
      <c r="W4" s="235" t="s">
        <v>138</v>
      </c>
      <c r="X4" s="18" t="s">
        <v>72</v>
      </c>
      <c r="Y4" s="15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630.0538677009265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37">
        <v>0.6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242">
        <v>8.0000000000000002E-3</v>
      </c>
      <c r="R7" s="242"/>
      <c r="S7" s="57" t="s">
        <v>51</v>
      </c>
      <c r="T7" s="48"/>
      <c r="U7" s="58"/>
      <c r="V7" s="52"/>
      <c r="W7" s="52"/>
      <c r="X7" s="245">
        <v>0</v>
      </c>
      <c r="Y7" s="60" t="s">
        <v>54</v>
      </c>
      <c r="Z7" s="58"/>
      <c r="AA7" s="58"/>
      <c r="AB7" s="58"/>
      <c r="AC7" s="58"/>
      <c r="AD7" s="404">
        <v>1000</v>
      </c>
      <c r="AE7" s="405"/>
      <c r="AF7" s="38">
        <f>(1000-(1000*X9))-AF6</f>
        <v>354.9461322990735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0.6</v>
      </c>
      <c r="E8" s="26">
        <v>0.8</v>
      </c>
      <c r="F8" s="27">
        <v>0.2</v>
      </c>
      <c r="G8" s="406">
        <f>AN23</f>
        <v>0</v>
      </c>
      <c r="H8" s="407"/>
      <c r="I8" s="408">
        <f>AL26</f>
        <v>0</v>
      </c>
      <c r="J8" s="409"/>
      <c r="K8" s="410">
        <f>AM26</f>
        <v>0.99399999999999999</v>
      </c>
      <c r="L8" s="411"/>
      <c r="M8" s="410">
        <f>AN26</f>
        <v>0</v>
      </c>
      <c r="N8" s="412"/>
      <c r="O8" s="55" t="s">
        <v>48</v>
      </c>
      <c r="P8" s="56"/>
      <c r="Q8" s="243">
        <v>0</v>
      </c>
      <c r="R8" s="243"/>
      <c r="S8" s="51" t="s">
        <v>52</v>
      </c>
      <c r="T8" s="58"/>
      <c r="U8" s="58"/>
      <c r="V8" s="58"/>
      <c r="W8" s="52"/>
      <c r="X8" s="246">
        <v>0.56000000000000005</v>
      </c>
      <c r="Y8" s="60" t="s">
        <v>55</v>
      </c>
      <c r="Z8" s="61"/>
      <c r="AA8" s="59"/>
      <c r="AB8" s="573">
        <f>X15/SUM(C15:V15)</f>
        <v>8.1781008632439797E-2</v>
      </c>
      <c r="AC8" s="573"/>
      <c r="AD8" s="573"/>
      <c r="AE8" s="57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54" t="s">
        <v>50</v>
      </c>
      <c r="P9" s="54"/>
      <c r="Q9" s="244">
        <v>0</v>
      </c>
      <c r="R9" s="244"/>
      <c r="S9" s="53" t="s">
        <v>53</v>
      </c>
      <c r="T9" s="54"/>
      <c r="V9" s="58"/>
      <c r="W9" s="58"/>
      <c r="X9" s="246">
        <v>1.4999999999999999E-2</v>
      </c>
      <c r="Y9" s="67" t="s">
        <v>17</v>
      </c>
      <c r="AA9" s="54"/>
      <c r="AB9" s="567">
        <f>ROUND(SUM(C15:AA15),2)</f>
        <v>2383.4</v>
      </c>
      <c r="AC9" s="567"/>
      <c r="AD9" s="567"/>
      <c r="AE9" s="568"/>
      <c r="AF9" s="38">
        <f>AF8*(1-X8)</f>
        <v>354.19999999999993</v>
      </c>
      <c r="AI9" s="173">
        <f>AI8*C15</f>
        <v>300</v>
      </c>
      <c r="AJ9" s="174">
        <f>AJ8*F15</f>
        <v>0</v>
      </c>
      <c r="AK9" s="175">
        <f>AK8*H15</f>
        <v>14.94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28.83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227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343.77</v>
      </c>
      <c r="AQ11" s="156" t="s">
        <v>100</v>
      </c>
      <c r="AR11" s="155"/>
    </row>
    <row r="12" spans="2:49" ht="26.25" customHeight="1" x14ac:dyDescent="0.25">
      <c r="B12" s="78" t="s">
        <v>79</v>
      </c>
      <c r="C12" s="421" t="s">
        <v>222</v>
      </c>
      <c r="D12" s="421"/>
      <c r="E12" s="422"/>
      <c r="F12" s="423"/>
      <c r="G12" s="422"/>
      <c r="H12" s="423"/>
      <c r="I12" s="421"/>
      <c r="J12" s="422"/>
      <c r="K12" s="423"/>
      <c r="L12" s="421"/>
      <c r="M12" s="422"/>
      <c r="N12" s="423"/>
      <c r="O12" s="422"/>
      <c r="P12" s="423"/>
      <c r="Q12" s="422"/>
      <c r="R12" s="423"/>
      <c r="S12" s="421"/>
      <c r="T12" s="421"/>
      <c r="U12" s="422"/>
      <c r="V12" s="423"/>
      <c r="W12" s="422"/>
      <c r="X12" s="240"/>
      <c r="Y12" s="240"/>
      <c r="Z12" s="423"/>
      <c r="AA12" s="422"/>
      <c r="AB12" s="423"/>
      <c r="AC12" s="422"/>
      <c r="AD12" s="423"/>
      <c r="AE12" s="582"/>
    </row>
    <row r="13" spans="2:49" ht="26.25" customHeight="1" thickBot="1" x14ac:dyDescent="0.3">
      <c r="B13" s="78" t="s">
        <v>57</v>
      </c>
      <c r="C13" s="421" t="s">
        <v>229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/>
      <c r="Y13" s="240"/>
      <c r="Z13" s="423"/>
      <c r="AA13" s="422"/>
      <c r="AB13" s="423"/>
      <c r="AC13" s="422"/>
      <c r="AD13" s="423"/>
      <c r="AE13" s="582"/>
    </row>
    <row r="14" spans="2:49" ht="32.25" customHeight="1" thickBot="1" x14ac:dyDescent="0.3">
      <c r="B14" s="32" t="s">
        <v>77</v>
      </c>
      <c r="C14" s="586">
        <f>AK21</f>
        <v>3.06</v>
      </c>
      <c r="D14" s="587"/>
      <c r="E14" s="588"/>
      <c r="F14" s="589">
        <f>AK22</f>
        <v>2.2000000000000002</v>
      </c>
      <c r="G14" s="588"/>
      <c r="H14" s="589">
        <f>AK23</f>
        <v>2.63</v>
      </c>
      <c r="I14" s="587"/>
      <c r="J14" s="588"/>
      <c r="K14" s="589">
        <f>AK24</f>
        <v>2.72</v>
      </c>
      <c r="L14" s="587"/>
      <c r="M14" s="588"/>
      <c r="N14" s="589">
        <f>AK25</f>
        <v>2.64</v>
      </c>
      <c r="O14" s="588"/>
      <c r="P14" s="589">
        <f>AK25</f>
        <v>2.64</v>
      </c>
      <c r="Q14" s="588"/>
      <c r="R14" s="589">
        <f>AK26</f>
        <v>2.73</v>
      </c>
      <c r="S14" s="587"/>
      <c r="T14" s="587"/>
      <c r="U14" s="588"/>
      <c r="V14" s="589">
        <f>AK27</f>
        <v>2.63</v>
      </c>
      <c r="W14" s="588"/>
      <c r="X14" s="241">
        <f>AK29</f>
        <v>1</v>
      </c>
      <c r="Y14" s="241">
        <v>1.0900000000000001</v>
      </c>
      <c r="Z14" s="589">
        <v>1.01</v>
      </c>
      <c r="AA14" s="588"/>
      <c r="AB14" s="589">
        <v>1.06</v>
      </c>
      <c r="AC14" s="588"/>
      <c r="AD14" s="589">
        <v>0</v>
      </c>
      <c r="AE14" s="604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300</v>
      </c>
      <c r="D15" s="599"/>
      <c r="E15" s="600"/>
      <c r="F15" s="601">
        <f>C15*X7</f>
        <v>0</v>
      </c>
      <c r="G15" s="602"/>
      <c r="H15" s="603">
        <f>ROUND((AF7*E8*H14),0)</f>
        <v>747</v>
      </c>
      <c r="I15" s="599"/>
      <c r="J15" s="600"/>
      <c r="K15" s="603">
        <f>ROUND((AF7*F8*K14),0)</f>
        <v>193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961</v>
      </c>
      <c r="S15" s="599"/>
      <c r="T15" s="599"/>
      <c r="U15" s="600"/>
      <c r="V15" s="603">
        <f>ROUND((AF9*M8*V14),0)</f>
        <v>0</v>
      </c>
      <c r="W15" s="600"/>
      <c r="X15" s="66">
        <v>180</v>
      </c>
      <c r="Y15" s="218">
        <f>ROUND(Q7*(C15+F15),3)</f>
        <v>2.4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39.439456238986317</v>
      </c>
      <c r="AJ15" s="584" t="s">
        <v>85</v>
      </c>
      <c r="AK15" s="584"/>
      <c r="AL15" s="606"/>
      <c r="AM15" s="119">
        <f>(H15+K15+N15)/(H15+K15+N15+P15+R15+V15)*100</f>
        <v>49.447659126775385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300</v>
      </c>
      <c r="D16" s="615"/>
      <c r="E16" s="591"/>
      <c r="F16" s="621">
        <f>F15*AD7/1000</f>
        <v>0</v>
      </c>
      <c r="G16" s="622"/>
      <c r="H16" s="590">
        <f>H15*AD7/1000</f>
        <v>747</v>
      </c>
      <c r="I16" s="615"/>
      <c r="J16" s="591"/>
      <c r="K16" s="590">
        <f>K15*AD7/1000</f>
        <v>193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961</v>
      </c>
      <c r="S16" s="615"/>
      <c r="T16" s="615"/>
      <c r="U16" s="591"/>
      <c r="V16" s="590">
        <f>V15*AD7/1000</f>
        <v>0</v>
      </c>
      <c r="W16" s="591"/>
      <c r="X16" s="225">
        <f>X15*AD7/1000</f>
        <v>180</v>
      </c>
      <c r="Y16" s="219">
        <f>Y15*AD7</f>
        <v>2400</v>
      </c>
      <c r="Z16" s="616">
        <f>Z15*AD7</f>
        <v>0</v>
      </c>
      <c r="AA16" s="617"/>
      <c r="AB16" s="616">
        <f>AB15*AF7</f>
        <v>0</v>
      </c>
      <c r="AC16" s="617"/>
      <c r="AD16" s="616">
        <f>AE15*AD7</f>
        <v>0</v>
      </c>
      <c r="AE16" s="618"/>
      <c r="AI16" s="120">
        <f>(P15+R15+V15)/AB9*100</f>
        <v>40.320550474112608</v>
      </c>
      <c r="AJ16" s="608" t="s">
        <v>87</v>
      </c>
      <c r="AK16" s="608"/>
      <c r="AL16" s="619"/>
      <c r="AM16" s="121">
        <f>(P15+R15+V15)/(H15+K15+N15+P15+R15+V15)*100</f>
        <v>50.552340873224622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300</v>
      </c>
      <c r="D17" s="611"/>
      <c r="E17" s="612"/>
      <c r="F17" s="613">
        <f>F16</f>
        <v>0</v>
      </c>
      <c r="G17" s="614"/>
      <c r="H17" s="594">
        <f>H16*(1+E9-AT41)</f>
        <v>747</v>
      </c>
      <c r="I17" s="611"/>
      <c r="J17" s="612"/>
      <c r="K17" s="594">
        <f>ROUND((K16+(K16*(F9-AT42))),3)</f>
        <v>193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961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180</v>
      </c>
      <c r="Y17" s="221">
        <f>Y16/Y14</f>
        <v>2201.8348623853208</v>
      </c>
      <c r="Z17" s="592">
        <f>Z16/Z14</f>
        <v>0</v>
      </c>
      <c r="AA17" s="593"/>
      <c r="AB17" s="592">
        <f>AB16/AB14</f>
        <v>0</v>
      </c>
      <c r="AC17" s="593"/>
      <c r="AD17" s="594">
        <f>AD16</f>
        <v>0</v>
      </c>
      <c r="AE17" s="595"/>
      <c r="AI17" s="122">
        <f>SUM(AI15:AI16)</f>
        <v>79.760006713098932</v>
      </c>
      <c r="AJ17" s="596" t="s">
        <v>89</v>
      </c>
      <c r="AK17" s="596"/>
      <c r="AL17" s="597"/>
      <c r="AM17" s="123">
        <f>(C15+F15)/AB9*100</f>
        <v>12.587060501804146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243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65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79"/>
      <c r="C21" s="84"/>
      <c r="D21" s="83">
        <v>28</v>
      </c>
      <c r="E21" s="35">
        <v>0.54513888888888895</v>
      </c>
      <c r="F21" s="36"/>
      <c r="G21" s="629"/>
      <c r="H21" s="630"/>
      <c r="I21" s="631"/>
      <c r="J21" s="632"/>
      <c r="K21" s="85">
        <v>140</v>
      </c>
      <c r="L21" s="37"/>
      <c r="M21" s="85"/>
      <c r="N21" s="37"/>
      <c r="O21" s="85"/>
      <c r="P21" s="37"/>
      <c r="Q21" s="85"/>
      <c r="R21" s="37"/>
      <c r="S21" s="85"/>
      <c r="U21" s="37"/>
      <c r="V21" s="226"/>
      <c r="W21" s="226">
        <f>V21+I21</f>
        <v>0</v>
      </c>
      <c r="X21" s="86">
        <f t="shared" ref="X21:X27" si="0">(IF(W21="","",((W21/$AD$7)+$X$15)))</f>
        <v>180</v>
      </c>
      <c r="Y21" s="87">
        <f>IF(X21="","",(X21/(SUM($C$15:$G$15))))</f>
        <v>0.6</v>
      </c>
      <c r="Z21" s="202">
        <v>25.3</v>
      </c>
      <c r="AA21" s="227"/>
      <c r="AB21" s="202">
        <v>29.9</v>
      </c>
      <c r="AC21" s="200"/>
      <c r="AD21" s="202"/>
      <c r="AE21" s="204"/>
      <c r="AI21" s="161" t="s">
        <v>0</v>
      </c>
      <c r="AJ21" s="1">
        <v>300</v>
      </c>
      <c r="AK21" s="2">
        <v>3.06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180</v>
      </c>
      <c r="Y22" s="87">
        <f t="shared" ref="Y22:Y27" si="2">IF(X22="","",(X22/(SUM($C$15:$G$15))))</f>
        <v>0.6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180</v>
      </c>
      <c r="Y23" s="87">
        <f t="shared" si="2"/>
        <v>0.6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742</v>
      </c>
      <c r="AK23" s="4">
        <v>2.63</v>
      </c>
      <c r="AL23" s="111">
        <f>ROUND(AJ23/AK23/(AJ23/AK23+AJ24/AK24+AJ25/AK25*AK30),3)</f>
        <v>0.8</v>
      </c>
      <c r="AM23" s="112">
        <f>ROUND(AJ24/AK24/(AJ23/AK23+AJ24/AK24+AJ25/AK25*AK30),3)</f>
        <v>0.2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180</v>
      </c>
      <c r="Y24" s="87">
        <f t="shared" si="2"/>
        <v>0.6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192</v>
      </c>
      <c r="AK24" s="5">
        <v>2.72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180</v>
      </c>
      <c r="Y25" s="87">
        <f t="shared" si="2"/>
        <v>0.6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2.64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180</v>
      </c>
      <c r="Y26" s="87">
        <f t="shared" si="2"/>
        <v>0.6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967</v>
      </c>
      <c r="AK26" s="5">
        <v>2.73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0.99399999999999999</v>
      </c>
      <c r="AN26" s="112">
        <f>ROUND(AJ27/AK27/(AJ25/AK25*(1-AK30)+AJ26/AK26+AJ27/AK27+AJ28/AK28),3)</f>
        <v>0</v>
      </c>
      <c r="AO26" s="114">
        <f>ROUND(AJ28/AK28/(AJ25/AK25*(1-AK30)+AJ26/AK26+AJ27/AK27+AJ28/AK28),3)</f>
        <v>6.0000000000000001E-3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180</v>
      </c>
      <c r="Y27" s="87">
        <f t="shared" si="2"/>
        <v>0.6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0</v>
      </c>
      <c r="AK27" s="5">
        <v>2.63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0.55842607560619695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230</v>
      </c>
      <c r="AJ28" s="348">
        <v>2.4</v>
      </c>
      <c r="AK28" s="97">
        <v>1.08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987.19140498160846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180</v>
      </c>
      <c r="AK29" s="100">
        <v>1</v>
      </c>
      <c r="AL29" s="644" t="s">
        <v>24</v>
      </c>
      <c r="AM29" s="645"/>
      <c r="AN29" s="646"/>
      <c r="AO29" s="101">
        <f>(1000-AO28)/1000</f>
        <v>1.2808595018391543E-2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0.6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2.814598232523402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1.013568036341097</v>
      </c>
      <c r="AW41" s="184">
        <f t="shared" ref="AW41:AW48" si="6">SUM($C$15:$F$15)/AV41</f>
        <v>295.98407728303766</v>
      </c>
      <c r="AX41" s="185">
        <f>(C15/C14+F15/F14+H15/H14+K15/K14+N15/N14+P15/P14+R15/R14+V15/V14+X15/X14)/1000</f>
        <v>0.98504016830481833</v>
      </c>
      <c r="AY41" s="136">
        <f t="shared" ref="AY41:AY48" si="7">AV41/AX41</f>
        <v>1.0289611215402241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0.98504016830481833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0.98504016830481833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0.98504016830481833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0.98504016830481833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0.98504016830481833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0.98504016830481833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0.98504016830481833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D693-D9DD-4B3A-AC38-05CEA6BEDACB}">
  <sheetPr>
    <tabColor theme="4" tint="0.59999389629810485"/>
    <pageSetUpPr fitToPage="1"/>
  </sheetPr>
  <dimension ref="A1:AY48"/>
  <sheetViews>
    <sheetView showGridLines="0" topLeftCell="A8" zoomScale="85" zoomScaleNormal="85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663.22609483865483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321.77390516134517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8.0789946140035901E-2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2411.1999999999998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24.33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435.93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2.77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2.74</v>
      </c>
      <c r="S14" s="435"/>
      <c r="T14" s="435"/>
      <c r="U14" s="436"/>
      <c r="V14" s="437">
        <f>AK27</f>
        <v>2.76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580</v>
      </c>
      <c r="I15" s="448"/>
      <c r="J15" s="449"/>
      <c r="K15" s="452">
        <f>ROUND((AF7*F8*K14),0)</f>
        <v>281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811</v>
      </c>
      <c r="S15" s="448"/>
      <c r="T15" s="448"/>
      <c r="U15" s="449"/>
      <c r="V15" s="452">
        <f>ROUND((AF9*M8*V14),0)</f>
        <v>156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35.708360982083612</v>
      </c>
      <c r="AJ15" s="432" t="s">
        <v>85</v>
      </c>
      <c r="AK15" s="432"/>
      <c r="AL15" s="453"/>
      <c r="AM15" s="340">
        <f>(H15+K15+N15)/(H15+K15+N15+P15+R15+V15)*100</f>
        <v>47.100656455142229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580</v>
      </c>
      <c r="I16" s="466"/>
      <c r="J16" s="467"/>
      <c r="K16" s="465">
        <f>K15*AB7/1000</f>
        <v>281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811</v>
      </c>
      <c r="S16" s="466"/>
      <c r="T16" s="466"/>
      <c r="U16" s="467"/>
      <c r="V16" s="465">
        <f>V15*AB7/1000</f>
        <v>156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40.104512276045121</v>
      </c>
      <c r="AJ16" s="459" t="s">
        <v>87</v>
      </c>
      <c r="AK16" s="459"/>
      <c r="AL16" s="468"/>
      <c r="AM16" s="341">
        <f>(P15+R15+V15)/(H15+K15+N15+P15+R15+V15)*100</f>
        <v>52.899343544857771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580</v>
      </c>
      <c r="I17" s="462"/>
      <c r="J17" s="463"/>
      <c r="K17" s="464">
        <f>ROUND((K16+(K16*(F9-AT42))),3)</f>
        <v>281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811</v>
      </c>
      <c r="S17" s="462"/>
      <c r="T17" s="462"/>
      <c r="U17" s="463"/>
      <c r="V17" s="464">
        <f>ROUND((V16+(V16*(M9-AT46))),3)</f>
        <v>156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75.812873258128732</v>
      </c>
      <c r="AJ17" s="442" t="s">
        <v>89</v>
      </c>
      <c r="AK17" s="442"/>
      <c r="AL17" s="443"/>
      <c r="AM17" s="342">
        <f>(C15+F15)/AB9*100</f>
        <v>16.589250165892501</v>
      </c>
      <c r="AN17" s="442" t="s">
        <v>90</v>
      </c>
      <c r="AO17" s="442"/>
      <c r="AP17" s="454"/>
      <c r="AQ17" t="s">
        <v>245</v>
      </c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244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320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670</v>
      </c>
      <c r="AK23" s="316">
        <v>2.63</v>
      </c>
      <c r="AL23" s="328">
        <f>ROUND(AJ23/AK23/(AJ23/AK23+AJ24/AK24+AJ25/AK25*AK30),3)</f>
        <v>0.71599999999999997</v>
      </c>
      <c r="AM23" s="329">
        <f>ROUND(AJ24/AK24/(AJ23/AK23+AJ24/AK24+AJ25/AK25*AK30),3)</f>
        <v>0.28399999999999997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280</v>
      </c>
      <c r="AK24" s="317">
        <v>2.77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380</v>
      </c>
      <c r="AK26" s="317">
        <v>2.74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0.55400000000000005</v>
      </c>
      <c r="AN26" s="329">
        <f>ROUND(AJ27/AK27/(AJ25/AK25*(1-AK30)+AJ26/AK26+AJ27/AK27+AJ28/AK28),3)</f>
        <v>0.434</v>
      </c>
      <c r="AO26" s="330">
        <f>ROUND(AJ28/AK28/(AJ25/AK25*(1-AK30)+AJ26/AK26+AJ27/AK27+AJ28/AK28),3)</f>
        <v>1.2E-2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300</v>
      </c>
      <c r="AK27" s="317">
        <v>2.76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0.64774295324329756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900.79283116146848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9.920716883853152E-2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0.59375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9.3749999999999997E-3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3.8884695129347668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1.0250616680005722</v>
      </c>
      <c r="AW41" s="184">
        <f t="shared" ref="AW41:AW48" si="6">SUM($C$15:$F$15)/AV41</f>
        <v>390.22042525521181</v>
      </c>
      <c r="AX41" s="185">
        <f>(C15/C14+F15/F14+H15/H14+K15/K14+N15/N14+P15/P14+R15/R14+V15/V14+X15/X14)/1000</f>
        <v>0.98520245755158942</v>
      </c>
      <c r="AY41" s="136">
        <f t="shared" ref="AY41:AY48" si="7">AV41/AX41</f>
        <v>1.0404578877604918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0.98520245755158942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0.98520245755158942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0.98520245755158942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0.98520245755158942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0.98520245755158942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0.98520245755158942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0.98520245755158942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21" priority="8" operator="equal">
      <formula>0</formula>
    </cfRule>
    <cfRule type="containsBlanks" dxfId="520" priority="9">
      <formula>LEN(TRIM(F12))=0</formula>
    </cfRule>
  </conditionalFormatting>
  <conditionalFormatting sqref="N12:Q17">
    <cfRule type="cellIs" dxfId="519" priority="6" operator="equal">
      <formula>0</formula>
    </cfRule>
    <cfRule type="containsBlanks" dxfId="518" priority="7">
      <formula>LEN(TRIM(N12))=0</formula>
    </cfRule>
  </conditionalFormatting>
  <conditionalFormatting sqref="Z12:AA17">
    <cfRule type="cellIs" dxfId="517" priority="3" operator="equal">
      <formula>"-"</formula>
    </cfRule>
  </conditionalFormatting>
  <conditionalFormatting sqref="Z12:AE17">
    <cfRule type="cellIs" dxfId="516" priority="4" operator="equal">
      <formula>0</formula>
    </cfRule>
    <cfRule type="containsBlanks" dxfId="515" priority="5">
      <formula>LEN(TRIM(Z12))=0</formula>
    </cfRule>
  </conditionalFormatting>
  <conditionalFormatting sqref="AB12:AC12">
    <cfRule type="cellIs" dxfId="514" priority="2" operator="equal">
      <formula>"-"</formula>
    </cfRule>
  </conditionalFormatting>
  <conditionalFormatting sqref="AB17:AC17">
    <cfRule type="cellIs" dxfId="51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4BBF-B882-4685-B20A-D5CB71215B74}">
  <sheetPr>
    <tabColor theme="4" tint="0.59999389629810485"/>
    <pageSetUpPr fitToPage="1"/>
  </sheetPr>
  <dimension ref="A1:AY48"/>
  <sheetViews>
    <sheetView showGridLines="0" topLeftCell="C2" zoomScale="85" zoomScaleNormal="85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650.41250521154188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50</v>
      </c>
      <c r="AC7" s="404"/>
      <c r="AD7" s="404"/>
      <c r="AE7" s="405"/>
      <c r="AF7" s="38">
        <f>(1000-(1000*X9))-AF6</f>
        <v>334.58749478845812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0.55072463768115942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</v>
      </c>
      <c r="L8" s="411"/>
      <c r="M8" s="410">
        <v>0.2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8.7195961450206513E-2</v>
      </c>
      <c r="AC8" s="413"/>
      <c r="AD8" s="413"/>
      <c r="AE8" s="414"/>
      <c r="AF8" s="38">
        <f>ROUND((1000-(1000*X9)-X15),2)</f>
        <v>795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2371.7600000000002</v>
      </c>
      <c r="AC9" s="396"/>
      <c r="AD9" s="396"/>
      <c r="AE9" s="397"/>
      <c r="AF9" s="38">
        <f>AF8*(1-X8)</f>
        <v>347.8125</v>
      </c>
      <c r="AI9" s="173">
        <f>AI8*C15</f>
        <v>345</v>
      </c>
      <c r="AJ9" s="174">
        <f>AJ8*F15</f>
        <v>0</v>
      </c>
      <c r="AK9" s="175">
        <f>AK8*H15</f>
        <v>17.600000000000001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22.86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385.46000000000004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/>
      <c r="I12" s="421"/>
      <c r="J12" s="422"/>
      <c r="K12" s="423"/>
      <c r="L12" s="421"/>
      <c r="M12" s="422"/>
      <c r="N12" s="423"/>
      <c r="O12" s="422"/>
      <c r="P12" s="423"/>
      <c r="Q12" s="422"/>
      <c r="R12" s="423"/>
      <c r="S12" s="421"/>
      <c r="T12" s="421"/>
      <c r="U12" s="422"/>
      <c r="V12" s="423"/>
      <c r="W12" s="422"/>
      <c r="X12" s="240"/>
      <c r="Y12" s="240"/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2.77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2.74</v>
      </c>
      <c r="S14" s="435"/>
      <c r="T14" s="435"/>
      <c r="U14" s="436"/>
      <c r="V14" s="437">
        <f>AK27</f>
        <v>2.76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345</v>
      </c>
      <c r="D15" s="448"/>
      <c r="E15" s="449"/>
      <c r="F15" s="450">
        <f>C15*X7</f>
        <v>0</v>
      </c>
      <c r="G15" s="451"/>
      <c r="H15" s="452">
        <f>ROUND((AF7*E8*H14),0)</f>
        <v>880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762</v>
      </c>
      <c r="S15" s="448"/>
      <c r="T15" s="448"/>
      <c r="U15" s="449"/>
      <c r="V15" s="452">
        <f>ROUND((AF9*M8*V14),0)</f>
        <v>192</v>
      </c>
      <c r="W15" s="449"/>
      <c r="X15" s="347">
        <v>190</v>
      </c>
      <c r="Y15" s="284">
        <f>ROUND(Q7*(C15+F15),3)</f>
        <v>2.76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37.103248220730592</v>
      </c>
      <c r="AJ15" s="432" t="s">
        <v>85</v>
      </c>
      <c r="AK15" s="432"/>
      <c r="AL15" s="453"/>
      <c r="AM15" s="340">
        <f>(H15+K15+N15)/(H15+K15+N15+P15+R15+V15)*100</f>
        <v>47.982551799345693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17.25</v>
      </c>
      <c r="D16" s="466"/>
      <c r="E16" s="467"/>
      <c r="F16" s="438">
        <f>F15*AB7/1000</f>
        <v>0</v>
      </c>
      <c r="G16" s="439"/>
      <c r="H16" s="465">
        <f>H15*AB7/1000</f>
        <v>44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38.1</v>
      </c>
      <c r="S16" s="466"/>
      <c r="T16" s="466"/>
      <c r="U16" s="467"/>
      <c r="V16" s="465">
        <f>V15*AB7/1000</f>
        <v>9.6</v>
      </c>
      <c r="W16" s="467"/>
      <c r="X16" s="285">
        <f>X15*AB7/1000</f>
        <v>9.5</v>
      </c>
      <c r="Y16" s="286">
        <f>Y15*AB7</f>
        <v>138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40.223294093837488</v>
      </c>
      <c r="AJ16" s="459" t="s">
        <v>87</v>
      </c>
      <c r="AK16" s="459"/>
      <c r="AL16" s="468"/>
      <c r="AM16" s="341">
        <f>(P15+R15+V15)/(H15+K15+N15+P15+R15+V15)*100</f>
        <v>52.0174482006543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17.25</v>
      </c>
      <c r="D17" s="462"/>
      <c r="E17" s="463"/>
      <c r="F17" s="440">
        <f>F16</f>
        <v>0</v>
      </c>
      <c r="G17" s="441"/>
      <c r="H17" s="464">
        <f>H16*(1+E9-AT41)</f>
        <v>44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38.1</v>
      </c>
      <c r="S17" s="462"/>
      <c r="T17" s="462"/>
      <c r="U17" s="463"/>
      <c r="V17" s="464">
        <f>ROUND((V16+(V16*(M9-AT46))),3)</f>
        <v>9.6</v>
      </c>
      <c r="W17" s="463"/>
      <c r="X17" s="287">
        <f>ROUND(X16-((H17-H16)+(K17-K16)+(N17-N16)+(P17-P16)+(R17-R16)+(V17-V16)),3)</f>
        <v>9.5</v>
      </c>
      <c r="Y17" s="288">
        <f>Y16/Y14</f>
        <v>126.60550458715595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77.326542314568087</v>
      </c>
      <c r="AJ17" s="442" t="s">
        <v>89</v>
      </c>
      <c r="AK17" s="442"/>
      <c r="AL17" s="443"/>
      <c r="AM17" s="342">
        <f>(C15+F15)/AB9*100</f>
        <v>14.546159813809153</v>
      </c>
      <c r="AN17" s="442" t="s">
        <v>90</v>
      </c>
      <c r="AO17" s="442"/>
      <c r="AP17" s="454"/>
      <c r="AQ17" t="s">
        <v>245</v>
      </c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269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0.55072463768115942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320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0.55072463768115942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190</v>
      </c>
      <c r="Y23" s="282">
        <f t="shared" si="2"/>
        <v>0.55072463768115942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870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190</v>
      </c>
      <c r="Y24" s="282">
        <f t="shared" si="2"/>
        <v>0.55072463768115942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2.77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190</v>
      </c>
      <c r="Y25" s="282">
        <f t="shared" si="2"/>
        <v>0.55072463768115942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190</v>
      </c>
      <c r="Y26" s="282">
        <f t="shared" si="2"/>
        <v>0.55072463768115942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762</v>
      </c>
      <c r="AK26" s="317">
        <v>2.74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0.79300000000000004</v>
      </c>
      <c r="AN26" s="329">
        <f>ROUND(AJ27/AK27/(AJ25/AK25*(1-AK30)+AJ26/AK26+AJ27/AK27+AJ28/AK28),3)</f>
        <v>0.19800000000000001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190</v>
      </c>
      <c r="Y27" s="282">
        <f t="shared" si="2"/>
        <v>0.55072463768115942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192</v>
      </c>
      <c r="AK27" s="317">
        <v>2.76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0.55388155958942809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976.04104965847148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2.395895034152852E-2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0.59375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9.3749999999999997E-3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2.324980229052831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1.0084597556035528</v>
      </c>
      <c r="AW41" s="184">
        <f t="shared" ref="AW41:AW48" si="6">SUM($C$15:$F$15)/AV41</f>
        <v>342.10586796646243</v>
      </c>
      <c r="AX41" s="185">
        <f>(C15/C14+F15/F14+H15/H14+K15/K14+N15/N14+P15/P14+R15/R14+V15/V14+X15/X14)/1000</f>
        <v>0.98501326566781577</v>
      </c>
      <c r="AY41" s="136">
        <f t="shared" ref="AY41:AY48" si="7">AV41/AX41</f>
        <v>1.0238032225077101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0.98501326566781577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0.98501326566781577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0.98501326566781577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0.98501326566781577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0.98501326566781577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0.98501326566781577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0.98501326566781577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12" priority="8" operator="equal">
      <formula>0</formula>
    </cfRule>
    <cfRule type="containsBlanks" dxfId="511" priority="9">
      <formula>LEN(TRIM(F12))=0</formula>
    </cfRule>
  </conditionalFormatting>
  <conditionalFormatting sqref="N12:Q17">
    <cfRule type="cellIs" dxfId="510" priority="6" operator="equal">
      <formula>0</formula>
    </cfRule>
    <cfRule type="containsBlanks" dxfId="509" priority="7">
      <formula>LEN(TRIM(N12))=0</formula>
    </cfRule>
  </conditionalFormatting>
  <conditionalFormatting sqref="Z12:AA17">
    <cfRule type="cellIs" dxfId="508" priority="3" operator="equal">
      <formula>"-"</formula>
    </cfRule>
  </conditionalFormatting>
  <conditionalFormatting sqref="Z12:AE17">
    <cfRule type="cellIs" dxfId="507" priority="4" operator="equal">
      <formula>0</formula>
    </cfRule>
    <cfRule type="containsBlanks" dxfId="506" priority="5">
      <formula>LEN(TRIM(Z12))=0</formula>
    </cfRule>
  </conditionalFormatting>
  <conditionalFormatting sqref="AB12:AC12">
    <cfRule type="cellIs" dxfId="505" priority="2" operator="equal">
      <formula>"-"</formula>
    </cfRule>
  </conditionalFormatting>
  <conditionalFormatting sqref="AB17:AC17">
    <cfRule type="cellIs" dxfId="50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6053-C6BA-4A13-8565-0B49F9B4F8E9}">
  <sheetPr>
    <tabColor theme="4" tint="0.59999389629810485"/>
    <pageSetUpPr fitToPage="1"/>
  </sheetPr>
  <dimension ref="A1:AY48"/>
  <sheetViews>
    <sheetView showGridLines="0" topLeftCell="A2" zoomScale="85" zoomScaleNormal="85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641.42085819835188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0.6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50</v>
      </c>
      <c r="AC7" s="404"/>
      <c r="AD7" s="404"/>
      <c r="AE7" s="405"/>
      <c r="AF7" s="38">
        <f>(1000-(1000*X9))-AF6</f>
        <v>343.57914180164812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0.59936908517350163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</v>
      </c>
      <c r="L8" s="411"/>
      <c r="M8" s="410">
        <v>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8.7116001834021087E-2</v>
      </c>
      <c r="AC8" s="413"/>
      <c r="AD8" s="413"/>
      <c r="AE8" s="414"/>
      <c r="AF8" s="38">
        <f>ROUND((1000-(1000*X9)-X15),2)</f>
        <v>795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 t="s">
        <v>34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2373.54</v>
      </c>
      <c r="AC9" s="396"/>
      <c r="AD9" s="396"/>
      <c r="AE9" s="397"/>
      <c r="AF9" s="38">
        <f>AF8*(1-X8)</f>
        <v>347.8125</v>
      </c>
      <c r="AI9" s="173">
        <f>AI8*C15</f>
        <v>317</v>
      </c>
      <c r="AJ9" s="174">
        <f>AJ8*F15</f>
        <v>0</v>
      </c>
      <c r="AK9" s="175">
        <f>AK8*H15</f>
        <v>18.080000000000002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0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335.08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2.77</v>
      </c>
      <c r="L14" s="435"/>
      <c r="M14" s="436"/>
      <c r="N14" s="437">
        <f>AK25</f>
        <v>2.64</v>
      </c>
      <c r="O14" s="436"/>
      <c r="P14" s="437">
        <f>AK25</f>
        <v>2.64</v>
      </c>
      <c r="Q14" s="436"/>
      <c r="R14" s="437">
        <f>AK26</f>
        <v>2.74</v>
      </c>
      <c r="S14" s="435"/>
      <c r="T14" s="435"/>
      <c r="U14" s="436"/>
      <c r="V14" s="437">
        <f>AK27</f>
        <v>2.76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317</v>
      </c>
      <c r="D15" s="448"/>
      <c r="E15" s="449"/>
      <c r="F15" s="450">
        <f>C15*X7</f>
        <v>0</v>
      </c>
      <c r="G15" s="451"/>
      <c r="H15" s="452">
        <f>ROUND((AF7*E8*H14),0)</f>
        <v>904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0</v>
      </c>
      <c r="S15" s="448"/>
      <c r="T15" s="448"/>
      <c r="U15" s="449"/>
      <c r="V15" s="452">
        <f>ROUND((AF9*M8*V14),0)</f>
        <v>960</v>
      </c>
      <c r="W15" s="449"/>
      <c r="X15" s="347">
        <v>190</v>
      </c>
      <c r="Y15" s="284">
        <f>ROUND(Q7*(C15+F15),3)</f>
        <v>2.536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38.086571113189585</v>
      </c>
      <c r="AJ15" s="432" t="s">
        <v>85</v>
      </c>
      <c r="AK15" s="432"/>
      <c r="AL15" s="453"/>
      <c r="AM15" s="340">
        <f>(H15+K15+N15)/(H15+K15+N15+P15+R15+V15)*100</f>
        <v>48.497854077253216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15.85</v>
      </c>
      <c r="D16" s="466"/>
      <c r="E16" s="467"/>
      <c r="F16" s="438">
        <f>F15*AB7/1000</f>
        <v>0</v>
      </c>
      <c r="G16" s="439"/>
      <c r="H16" s="465">
        <f>H15*AB7/1000</f>
        <v>45.2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0</v>
      </c>
      <c r="S16" s="466"/>
      <c r="T16" s="466"/>
      <c r="U16" s="467"/>
      <c r="V16" s="465">
        <f>V15*AB7/1000</f>
        <v>48</v>
      </c>
      <c r="W16" s="467"/>
      <c r="X16" s="285">
        <f>X15*AB7/1000</f>
        <v>9.5</v>
      </c>
      <c r="Y16" s="286">
        <f>Y15*AB7</f>
        <v>126.8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40.445916226396015</v>
      </c>
      <c r="AJ16" s="459" t="s">
        <v>87</v>
      </c>
      <c r="AK16" s="459"/>
      <c r="AL16" s="468"/>
      <c r="AM16" s="341">
        <f>(P15+R15+V15)/(H15+K15+N15+P15+R15+V15)*100</f>
        <v>51.502145922746777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15.85</v>
      </c>
      <c r="D17" s="462"/>
      <c r="E17" s="463"/>
      <c r="F17" s="440">
        <f>F16</f>
        <v>0</v>
      </c>
      <c r="G17" s="441"/>
      <c r="H17" s="464">
        <f>H16*(1+E9-AT41)</f>
        <v>45.2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0</v>
      </c>
      <c r="S17" s="462"/>
      <c r="T17" s="462"/>
      <c r="U17" s="463"/>
      <c r="V17" s="464" t="e">
        <f>ROUND((V16+(V16*(M9-AT46))),3)</f>
        <v>#VALUE!</v>
      </c>
      <c r="W17" s="463"/>
      <c r="X17" s="287" t="e">
        <f>ROUND(X16-((H17-H16)+(K17-K16)+(N17-N16)+(P17-P16)+(R17-R16)+(V17-V16)),3)</f>
        <v>#VALUE!</v>
      </c>
      <c r="Y17" s="288">
        <f>Y16/Y14</f>
        <v>116.33027522935778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78.5324873395856</v>
      </c>
      <c r="AJ17" s="442" t="s">
        <v>89</v>
      </c>
      <c r="AK17" s="442"/>
      <c r="AL17" s="443"/>
      <c r="AM17" s="342">
        <f>(C15+F15)/AB9*100</f>
        <v>13.355578587257853</v>
      </c>
      <c r="AN17" s="442" t="s">
        <v>90</v>
      </c>
      <c r="AO17" s="442"/>
      <c r="AP17" s="454"/>
      <c r="AQ17" t="s">
        <v>245</v>
      </c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244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0.59936908517350163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320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0.59936908517350163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190</v>
      </c>
      <c r="Y23" s="282">
        <f t="shared" si="2"/>
        <v>0.59936908517350163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670</v>
      </c>
      <c r="AK23" s="316">
        <v>2.63</v>
      </c>
      <c r="AL23" s="328">
        <f>ROUND(AJ23/AK23/(AJ23/AK23+AJ24/AK24+AJ25/AK25*AK30),3)</f>
        <v>0.71599999999999997</v>
      </c>
      <c r="AM23" s="329">
        <f>ROUND(AJ24/AK24/(AJ23/AK23+AJ24/AK24+AJ25/AK25*AK30),3)</f>
        <v>0.28399999999999997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190</v>
      </c>
      <c r="Y24" s="282">
        <f t="shared" si="2"/>
        <v>0.59936908517350163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280</v>
      </c>
      <c r="AK24" s="317">
        <v>2.77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190</v>
      </c>
      <c r="Y25" s="282">
        <f t="shared" si="2"/>
        <v>0.59936908517350163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2.64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190</v>
      </c>
      <c r="Y26" s="282">
        <f t="shared" si="2"/>
        <v>0.59936908517350163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380</v>
      </c>
      <c r="AK26" s="317">
        <v>2.74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0.55400000000000005</v>
      </c>
      <c r="AN26" s="329">
        <f>ROUND(AJ27/AK27/(AJ25/AK25*(1-AK30)+AJ26/AK26+AJ27/AK27+AJ28/AK28),3)</f>
        <v>0.434</v>
      </c>
      <c r="AO26" s="330">
        <f>ROUND(AJ28/AK28/(AJ25/AK25*(1-AK30)+AJ26/AK26+AJ27/AK27+AJ28/AK28),3)</f>
        <v>1.2E-2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190</v>
      </c>
      <c r="Y27" s="282">
        <f t="shared" si="2"/>
        <v>0.59936908517350163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300</v>
      </c>
      <c r="AK27" s="317">
        <v>2.76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0.64774295324329756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900.79283116146848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9.920716883853152E-2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0.59375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9.3749999999999997E-3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2.3941122743372234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1.0093111357264768</v>
      </c>
      <c r="AW41" s="184">
        <f t="shared" ref="AW41:AW48" si="6">SUM($C$15:$F$15)/AV41</f>
        <v>314.07559946500675</v>
      </c>
      <c r="AX41" s="185">
        <f>(C15/C14+F15/F14+H15/H14+K15/K14+N15/N14+P15/P14+R15/R14+V15/V14+X15/X14)/1000</f>
        <v>0.98514709393979671</v>
      </c>
      <c r="AY41" s="136">
        <f t="shared" ref="AY41:AY48" si="7">AV41/AX41</f>
        <v>1.024528359201714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0.98514709393979671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0.98514709393979671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0.98514709393979671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0.98514709393979671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0.98514709393979671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0.98514709393979671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0.98514709393979671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503" priority="8" operator="equal">
      <formula>0</formula>
    </cfRule>
    <cfRule type="containsBlanks" dxfId="502" priority="9">
      <formula>LEN(TRIM(F12))=0</formula>
    </cfRule>
  </conditionalFormatting>
  <conditionalFormatting sqref="N12:Q17">
    <cfRule type="cellIs" dxfId="501" priority="6" operator="equal">
      <formula>0</formula>
    </cfRule>
    <cfRule type="containsBlanks" dxfId="500" priority="7">
      <formula>LEN(TRIM(N12))=0</formula>
    </cfRule>
  </conditionalFormatting>
  <conditionalFormatting sqref="Z12:AA17">
    <cfRule type="cellIs" dxfId="499" priority="3" operator="equal">
      <formula>"-"</formula>
    </cfRule>
  </conditionalFormatting>
  <conditionalFormatting sqref="Z12:AE17">
    <cfRule type="cellIs" dxfId="498" priority="4" operator="equal">
      <formula>0</formula>
    </cfRule>
    <cfRule type="containsBlanks" dxfId="497" priority="5">
      <formula>LEN(TRIM(Z12))=0</formula>
    </cfRule>
  </conditionalFormatting>
  <conditionalFormatting sqref="AB12:AC12">
    <cfRule type="cellIs" dxfId="496" priority="2" operator="equal">
      <formula>"-"</formula>
    </cfRule>
  </conditionalFormatting>
  <conditionalFormatting sqref="AB17:AC17">
    <cfRule type="cellIs" dxfId="49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606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6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F2DE-35A3-4D00-99AB-6D20B2D54769}">
  <sheetPr>
    <tabColor rgb="FF002060"/>
    <pageSetUpPr fitToPage="1"/>
  </sheetPr>
  <dimension ref="A1:AY48"/>
  <sheetViews>
    <sheetView showGridLines="0" topLeftCell="Z20" zoomScale="145" zoomScaleNormal="145" workbookViewId="0">
      <selection activeCell="E2" sqref="E2:Y2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252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760</v>
      </c>
      <c r="AK23" s="316">
        <v>2.65</v>
      </c>
      <c r="AL23" s="328">
        <f>ROUND(AJ23/AK23/(AJ23/AK23+AJ24/AK24+AJ25/AK25*AK30),3)</f>
        <v>0.85499999999999998</v>
      </c>
      <c r="AM23" s="329">
        <f>ROUND(AJ24/AK24/(AJ23/AK23+AJ24/AK24+AJ25/AK25*AK30),3)</f>
        <v>0.14499999999999999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136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917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0.5814863944825126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3.25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980.29688793756486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1.9703112062435139E-2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8.552631578947369E-3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4">
    <mergeCell ref="AN39:AQ39"/>
    <mergeCell ref="AS39:AT39"/>
    <mergeCell ref="AV39:AY39"/>
    <mergeCell ref="B40:AE40"/>
    <mergeCell ref="AI33:AJ33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494" priority="8" operator="equal">
      <formula>0</formula>
    </cfRule>
    <cfRule type="containsBlanks" dxfId="493" priority="9">
      <formula>LEN(TRIM(F12))=0</formula>
    </cfRule>
  </conditionalFormatting>
  <conditionalFormatting sqref="N12:Q17">
    <cfRule type="cellIs" dxfId="492" priority="6" operator="equal">
      <formula>0</formula>
    </cfRule>
    <cfRule type="containsBlanks" dxfId="491" priority="7">
      <formula>LEN(TRIM(N12))=0</formula>
    </cfRule>
  </conditionalFormatting>
  <conditionalFormatting sqref="Z12:AA17">
    <cfRule type="cellIs" dxfId="490" priority="3" operator="equal">
      <formula>"-"</formula>
    </cfRule>
  </conditionalFormatting>
  <conditionalFormatting sqref="Z12:AE17">
    <cfRule type="cellIs" dxfId="489" priority="4" operator="equal">
      <formula>0</formula>
    </cfRule>
    <cfRule type="containsBlanks" dxfId="488" priority="5">
      <formula>LEN(TRIM(Z12))=0</formula>
    </cfRule>
  </conditionalFormatting>
  <conditionalFormatting sqref="AB12:AC12">
    <cfRule type="cellIs" dxfId="487" priority="2" operator="equal">
      <formula>"-"</formula>
    </cfRule>
  </conditionalFormatting>
  <conditionalFormatting sqref="AB17:AC17">
    <cfRule type="cellIs" dxfId="48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227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7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8AB8-3BAE-4602-BF02-2897A0196DC0}">
  <sheetPr>
    <tabColor rgb="FF002060"/>
    <pageSetUpPr fitToPage="1"/>
  </sheetPr>
  <dimension ref="A1:AY48"/>
  <sheetViews>
    <sheetView showGridLines="0" topLeftCell="Y10" zoomScale="90" zoomScaleNormal="9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662.04014939309059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415">
        <v>9.4000000000000004E-3</v>
      </c>
      <c r="R7" s="416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8</v>
      </c>
      <c r="AC7" s="404"/>
      <c r="AD7" s="404"/>
      <c r="AE7" s="405"/>
      <c r="AF7" s="38">
        <f>(1000-(1000*X9))-AF6</f>
        <v>322.95985060690941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417">
        <v>0</v>
      </c>
      <c r="R8" s="418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8.5431654676258989E-2</v>
      </c>
      <c r="AC8" s="413"/>
      <c r="AD8" s="413"/>
      <c r="AE8" s="414"/>
      <c r="AF8" s="38">
        <f>ROUND((1000-(1000*X9)-X15),2)</f>
        <v>795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6.0999999999999999E-2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419">
        <v>0</v>
      </c>
      <c r="R9" s="420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2417.5700000000002</v>
      </c>
      <c r="AC9" s="396"/>
      <c r="AD9" s="396"/>
      <c r="AE9" s="397"/>
      <c r="AF9" s="38">
        <f>AF8*(1-X8)</f>
        <v>347.8125</v>
      </c>
      <c r="AI9" s="173">
        <f>AI8*C15</f>
        <v>380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420.91999999999996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2.645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380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285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974</v>
      </c>
      <c r="S15" s="448"/>
      <c r="T15" s="448"/>
      <c r="U15" s="449"/>
      <c r="V15" s="452">
        <f>ROUND((AF9*M8*V14),0)</f>
        <v>0</v>
      </c>
      <c r="W15" s="449"/>
      <c r="X15" s="347">
        <v>190</v>
      </c>
      <c r="Y15" s="284">
        <f>ROUND(Q7*(C15+F15),3)</f>
        <v>3.5720000000000001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35.986548476362628</v>
      </c>
      <c r="AJ15" s="432" t="s">
        <v>85</v>
      </c>
      <c r="AK15" s="432"/>
      <c r="AL15" s="453"/>
      <c r="AM15" s="340">
        <f>(H15+K15+N15)/(H15+K15+N15+P15+R15+V15)*100</f>
        <v>47.18004338394794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3.04</v>
      </c>
      <c r="D16" s="466"/>
      <c r="E16" s="467"/>
      <c r="F16" s="438">
        <f>F15*AB7/1000</f>
        <v>0</v>
      </c>
      <c r="G16" s="439"/>
      <c r="H16" s="465">
        <f>H15*AB7/1000</f>
        <v>4.68</v>
      </c>
      <c r="I16" s="466"/>
      <c r="J16" s="467"/>
      <c r="K16" s="465">
        <f>K15*AB7/1000</f>
        <v>2.2799999999999998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7.7919999999999998</v>
      </c>
      <c r="S16" s="466"/>
      <c r="T16" s="466"/>
      <c r="U16" s="467"/>
      <c r="V16" s="465">
        <f>V15*AB7/1000</f>
        <v>0</v>
      </c>
      <c r="W16" s="467"/>
      <c r="X16" s="285">
        <f>X15*AB7/1000</f>
        <v>1.52</v>
      </c>
      <c r="Y16" s="286">
        <f>Y15*AB7</f>
        <v>28.576000000000001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40.288388753996777</v>
      </c>
      <c r="AJ16" s="459" t="s">
        <v>87</v>
      </c>
      <c r="AK16" s="459"/>
      <c r="AL16" s="468"/>
      <c r="AM16" s="341">
        <f>(P15+R15+V15)/(H15+K15+N15+P15+R15+V15)*100</f>
        <v>52.819956616052067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3.04</v>
      </c>
      <c r="D17" s="462"/>
      <c r="E17" s="463"/>
      <c r="F17" s="440">
        <f>F16</f>
        <v>0</v>
      </c>
      <c r="G17" s="441"/>
      <c r="H17" s="464">
        <f>H16*(1+E9-AT41)</f>
        <v>4.9654799999999994</v>
      </c>
      <c r="I17" s="462"/>
      <c r="J17" s="463"/>
      <c r="K17" s="464">
        <f>ROUND((K16+(K16*(F9-AT42))),3)</f>
        <v>2.2799999999999998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7.7919999999999998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1.2350000000000001</v>
      </c>
      <c r="Y17" s="288">
        <f>Y16/Y14</f>
        <v>26.216513761467887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76.274937230359399</v>
      </c>
      <c r="AJ17" s="442" t="s">
        <v>89</v>
      </c>
      <c r="AK17" s="442"/>
      <c r="AL17" s="443"/>
      <c r="AM17" s="342">
        <f>(C15+F15)/AB9*100</f>
        <v>15.718262552894021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258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190</v>
      </c>
      <c r="Y23" s="282">
        <f t="shared" si="2"/>
        <v>0.5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720</v>
      </c>
      <c r="AK23" s="316">
        <v>2.645</v>
      </c>
      <c r="AL23" s="328">
        <f>ROUND(AJ23/AK23/(AJ23/AK23+AJ24/AK24+AJ25/AK25*AK30),3)</f>
        <v>0.85399999999999998</v>
      </c>
      <c r="AM23" s="329">
        <f>ROUND(AJ24/AK24/(AJ23/AK23+AJ24/AK24+AJ25/AK25*AK30),3)</f>
        <v>0.14599999999999999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190</v>
      </c>
      <c r="Y24" s="282">
        <f t="shared" si="2"/>
        <v>0.5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130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190</v>
      </c>
      <c r="Y25" s="282">
        <f t="shared" si="2"/>
        <v>0.5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190</v>
      </c>
      <c r="Y26" s="282">
        <f t="shared" si="2"/>
        <v>0.5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910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0.98899999999999999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190</v>
      </c>
      <c r="Y27" s="282">
        <f t="shared" si="2"/>
        <v>0.5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0.57403412527153641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981.42329819136228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210</v>
      </c>
      <c r="AK29" s="321">
        <v>1</v>
      </c>
      <c r="AL29" s="544" t="s">
        <v>24</v>
      </c>
      <c r="AM29" s="545"/>
      <c r="AN29" s="546"/>
      <c r="AO29" s="334">
        <f>(1000-AO28)/1000</f>
        <v>1.857670180863772E-2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0.55263157894736847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9.4736842105263164E-3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4.1472622023844607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1.0276158083693443</v>
      </c>
      <c r="AW41" s="184">
        <f t="shared" ref="AW41:AW48" si="6">SUM($C$15:$F$15)/AV41</f>
        <v>369.78800530812867</v>
      </c>
      <c r="AX41" s="185">
        <f>(C15/C14+F15/F14+H15/H14+K15/K14+N15/N14+P15/P14+R15/R14+V15/V14+X15/X14)/1000</f>
        <v>0.98499788636311492</v>
      </c>
      <c r="AY41" s="136">
        <f t="shared" ref="AY41:AY48" si="7">AV41/AX41</f>
        <v>1.043267018738067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0.98499788636311492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0.98499788636311492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0.98499788636311492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0.98499788636311492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0.98499788636311492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0.98499788636311492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0.98499788636311492</v>
      </c>
      <c r="AY48" s="142" t="e">
        <f t="shared" si="7"/>
        <v>#DIV/0!</v>
      </c>
    </row>
  </sheetData>
  <sheetProtection selectLockedCells="1" autoFilter="0" pivotTables="0"/>
  <mergeCells count="187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Q7:R7"/>
    <mergeCell ref="Q8:R8"/>
    <mergeCell ref="Q9:R9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485" priority="8" operator="equal">
      <formula>0</formula>
    </cfRule>
    <cfRule type="containsBlanks" dxfId="484" priority="9">
      <formula>LEN(TRIM(F12))=0</formula>
    </cfRule>
  </conditionalFormatting>
  <conditionalFormatting sqref="N12:Q17">
    <cfRule type="cellIs" dxfId="483" priority="6" operator="equal">
      <formula>0</formula>
    </cfRule>
    <cfRule type="containsBlanks" dxfId="482" priority="7">
      <formula>LEN(TRIM(N12))=0</formula>
    </cfRule>
  </conditionalFormatting>
  <conditionalFormatting sqref="Z12:AA17">
    <cfRule type="cellIs" dxfId="481" priority="3" operator="equal">
      <formula>"-"</formula>
    </cfRule>
  </conditionalFormatting>
  <conditionalFormatting sqref="Z12:AE17">
    <cfRule type="cellIs" dxfId="480" priority="4" operator="equal">
      <formula>0</formula>
    </cfRule>
    <cfRule type="containsBlanks" dxfId="479" priority="5">
      <formula>LEN(TRIM(Z12))=0</formula>
    </cfRule>
  </conditionalFormatting>
  <conditionalFormatting sqref="AB12:AC12">
    <cfRule type="cellIs" dxfId="478" priority="2" operator="equal">
      <formula>"-"</formula>
    </cfRule>
  </conditionalFormatting>
  <conditionalFormatting sqref="AB17:AC17">
    <cfRule type="cellIs" dxfId="47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329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9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5533-7B23-4958-84D8-3DAE02B61731}">
  <sheetPr>
    <tabColor theme="7" tint="-0.249977111117893"/>
    <pageSetUpPr fitToPage="1"/>
  </sheetPr>
  <dimension ref="A1:AY48"/>
  <sheetViews>
    <sheetView showGridLines="0" topLeftCell="Y10" zoomScale="90" zoomScaleNormal="9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8.0178173719376397E-2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11.700000000000001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585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35.787826373445355</v>
      </c>
      <c r="AJ15" s="432" t="s">
        <v>85</v>
      </c>
      <c r="AK15" s="432"/>
      <c r="AL15" s="453"/>
      <c r="AM15" s="340">
        <f>(H15+K15+N15)/(H15+K15+N15+P15+R15+V15)*100</f>
        <v>47.100271002710024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585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40.19438267029075</v>
      </c>
      <c r="AJ16" s="459" t="s">
        <v>87</v>
      </c>
      <c r="AK16" s="459"/>
      <c r="AL16" s="468"/>
      <c r="AM16" s="341">
        <f>(P15+R15+V15)/(H15+K15+N15+P15+R15+V15)*100</f>
        <v>52.899728997289976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585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75.982209043736106</v>
      </c>
      <c r="AJ17" s="442" t="s">
        <v>89</v>
      </c>
      <c r="AK17" s="442"/>
      <c r="AL17" s="443"/>
      <c r="AM17" s="342">
        <f>(C15+F15)/AB9*100</f>
        <v>16.473107651758507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246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NF</v>
      </c>
      <c r="AM22" s="326" t="str">
        <f>AI24</f>
        <v>Areia IND</v>
      </c>
      <c r="AN22" s="326" t="str">
        <f>AI25</f>
        <v>Areia NG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248</v>
      </c>
      <c r="AJ23" s="315">
        <v>677</v>
      </c>
      <c r="AK23" s="316">
        <v>2.65</v>
      </c>
      <c r="AL23" s="328">
        <f>ROUND(AJ23/AK23/(AJ23/AK23+AJ24/AK24+AJ25/AK25*AK30),3)</f>
        <v>0.80500000000000005</v>
      </c>
      <c r="AM23" s="329">
        <f>ROUND(AJ24/AK24/(AJ23/AK23+AJ24/AK24+AJ25/AK25*AK30),3)</f>
        <v>0.19500000000000001</v>
      </c>
      <c r="AN23" s="329">
        <f>ROUND(AJ25/AK25*AK30/(AJ23/AK23+AJ24/AK24+AJ25/AK25*AK30),3)</f>
        <v>0</v>
      </c>
      <c r="AO23" s="331"/>
      <c r="AQ23" s="350">
        <f>AJ23+AJ24</f>
        <v>850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249</v>
      </c>
      <c r="AJ24" s="315">
        <v>173</v>
      </c>
      <c r="AK24" s="317">
        <v>2.8</v>
      </c>
      <c r="AL24" s="488" t="s">
        <v>21</v>
      </c>
      <c r="AM24" s="489"/>
      <c r="AN24" s="489"/>
      <c r="AO24" s="490"/>
      <c r="AQ24" s="349" t="s">
        <v>247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250</v>
      </c>
      <c r="AJ25" s="315">
        <v>0</v>
      </c>
      <c r="AK25" s="317">
        <v>2.6</v>
      </c>
      <c r="AL25" s="325" t="str">
        <f>AI25</f>
        <v>Areia NG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957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0.55770607851782095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1.0900000000000001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974.80945156321138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2.5190548436788616E-2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312">
        <v>0.7</v>
      </c>
      <c r="AL30" s="547" t="s">
        <v>26</v>
      </c>
      <c r="AM30" s="548"/>
      <c r="AN30" s="549"/>
      <c r="AO30" s="335">
        <f>AJ29/AJ21</f>
        <v>0.54166666666666663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9.4444444444444445E-3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4.5924808619634216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1.0322983990454266</v>
      </c>
      <c r="AW41" s="184">
        <f t="shared" ref="AW41:AW48" si="6">SUM($C$15:$F$15)/AV41</f>
        <v>387.48485938744335</v>
      </c>
      <c r="AX41" s="185">
        <f>(C15/C14+F15/F14+H15/H14+K15/K14+N15/N14+P15/P14+R15/R14+V15/V14+X15/X14)/1000</f>
        <v>0.98489029263091055</v>
      </c>
      <c r="AY41" s="136">
        <f t="shared" ref="AY41:AY48" si="7">AV41/AX41</f>
        <v>1.0481354185021725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0.98489029263091055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0.98489029263091055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0.98489029263091055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0.98489029263091055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0.98489029263091055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0.98489029263091055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0.98489029263091055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conditionalFormatting sqref="F12:G17">
    <cfRule type="cellIs" dxfId="476" priority="8" operator="equal">
      <formula>0</formula>
    </cfRule>
    <cfRule type="containsBlanks" dxfId="475" priority="9">
      <formula>LEN(TRIM(F12))=0</formula>
    </cfRule>
  </conditionalFormatting>
  <conditionalFormatting sqref="N12:Q17">
    <cfRule type="cellIs" dxfId="474" priority="6" operator="equal">
      <formula>0</formula>
    </cfRule>
    <cfRule type="containsBlanks" dxfId="473" priority="7">
      <formula>LEN(TRIM(N12))=0</formula>
    </cfRule>
  </conditionalFormatting>
  <conditionalFormatting sqref="Z12:AA17">
    <cfRule type="cellIs" dxfId="472" priority="3" operator="equal">
      <formula>"-"</formula>
    </cfRule>
  </conditionalFormatting>
  <conditionalFormatting sqref="Z12:AE17">
    <cfRule type="cellIs" dxfId="471" priority="4" operator="equal">
      <formula>0</formula>
    </cfRule>
    <cfRule type="containsBlanks" dxfId="470" priority="5">
      <formula>LEN(TRIM(Z12))=0</formula>
    </cfRule>
  </conditionalFormatting>
  <conditionalFormatting sqref="AB12:AC12">
    <cfRule type="cellIs" dxfId="469" priority="2" operator="equal">
      <formula>"-"</formula>
    </cfRule>
  </conditionalFormatting>
  <conditionalFormatting sqref="AB17:AC17">
    <cfRule type="cellIs" dxfId="46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6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670B-FB58-448D-A6B6-5134BD5FB3F1}">
  <sheetPr>
    <tabColor rgb="FFFFC000"/>
    <pageSetUpPr fitToPage="1"/>
  </sheetPr>
  <dimension ref="A1:AY48"/>
  <sheetViews>
    <sheetView showGridLines="0" topLeftCell="Z17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663.24403786040614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321.75596213959386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7.8636959370904327E-2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2472.1999999999998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11.46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26.55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438.01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2.99</v>
      </c>
      <c r="S14" s="435"/>
      <c r="T14" s="435"/>
      <c r="U14" s="436"/>
      <c r="V14" s="437">
        <f>AK27</f>
        <v>2.6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573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885</v>
      </c>
      <c r="S15" s="448"/>
      <c r="T15" s="448"/>
      <c r="U15" s="449"/>
      <c r="V15" s="452">
        <f>ROUND((AF9*M8*V14),0)</f>
        <v>147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34.66548013914732</v>
      </c>
      <c r="AJ15" s="432" t="s">
        <v>85</v>
      </c>
      <c r="AK15" s="432"/>
      <c r="AL15" s="453"/>
      <c r="AM15" s="340">
        <f>(H15+K15+N15)/(H15+K15+N15+P15+R15+V15)*100</f>
        <v>45.367919534145052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573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885</v>
      </c>
      <c r="S16" s="466"/>
      <c r="T16" s="466"/>
      <c r="U16" s="467"/>
      <c r="V16" s="465">
        <f>V15*AB7/1000</f>
        <v>147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41.744195453442281</v>
      </c>
      <c r="AJ16" s="459" t="s">
        <v>87</v>
      </c>
      <c r="AK16" s="459"/>
      <c r="AL16" s="468"/>
      <c r="AM16" s="341">
        <f>(P15+R15+V15)/(H15+K15+N15+P15+R15+V15)*100</f>
        <v>54.632080465854948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573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885</v>
      </c>
      <c r="S17" s="462"/>
      <c r="T17" s="462"/>
      <c r="U17" s="463"/>
      <c r="V17" s="464">
        <f>ROUND((V16+(V16*(M9-AT46))),3)</f>
        <v>147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76.409675592589593</v>
      </c>
      <c r="AJ17" s="442" t="s">
        <v>89</v>
      </c>
      <c r="AK17" s="442"/>
      <c r="AL17" s="443"/>
      <c r="AM17" s="342">
        <f>(C15+F15)/AB9*100</f>
        <v>16.179920718388484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259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950</v>
      </c>
      <c r="AK23" s="316">
        <v>2.6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0.86099999999999999</v>
      </c>
      <c r="AN26" s="329">
        <f>ROUND(AJ27/AK27/(AJ25/AK25*(1-AK30)+AJ26/AK26+AJ27/AK27+AJ28/AK28),3)</f>
        <v>0.13200000000000001</v>
      </c>
      <c r="AO26" s="330">
        <f>ROUND(AJ28/AK28/(AJ25/AK25*(1-AK30)+AJ26/AK26+AJ27/AK27+AJ28/AK28),3)</f>
        <v>7.0000000000000001E-3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100</v>
      </c>
      <c r="AK27" s="317">
        <v>2.6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0.62695529429786101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970.86528078343929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2.913471921656071E-2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5.263157894736842E-3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6.2768536387465934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1.0510287617497558</v>
      </c>
      <c r="AW41" s="184">
        <f t="shared" ref="AW41:AW48" si="6">SUM($C$15:$F$15)/AV41</f>
        <v>380.57949939835976</v>
      </c>
      <c r="AX41" s="185">
        <f>(C15/C14+F15/F14+H15/H14+K15/K14+N15/N14+P15/P14+R15/R14+V15/V14+X15/X14)/1000</f>
        <v>0.98505722467359291</v>
      </c>
      <c r="AY41" s="136">
        <f t="shared" ref="AY41:AY48" si="7">AV41/AX41</f>
        <v>1.0669722889429323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0.98505722467359291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0.98505722467359291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0.98505722467359291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0.98505722467359291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0.98505722467359291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0.98505722467359291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0.98505722467359291</v>
      </c>
      <c r="AY48" s="142" t="e">
        <f t="shared" si="7"/>
        <v>#DIV/0!</v>
      </c>
    </row>
  </sheetData>
  <sheetProtection selectLockedCells="1" autoFilter="0" pivotTables="0"/>
  <mergeCells count="184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467" priority="8" operator="equal">
      <formula>0</formula>
    </cfRule>
    <cfRule type="containsBlanks" dxfId="466" priority="9">
      <formula>LEN(TRIM(F12))=0</formula>
    </cfRule>
  </conditionalFormatting>
  <conditionalFormatting sqref="N12:Q17">
    <cfRule type="cellIs" dxfId="465" priority="6" operator="equal">
      <formula>0</formula>
    </cfRule>
    <cfRule type="containsBlanks" dxfId="464" priority="7">
      <formula>LEN(TRIM(N12))=0</formula>
    </cfRule>
  </conditionalFormatting>
  <conditionalFormatting sqref="Z12:AA17">
    <cfRule type="cellIs" dxfId="463" priority="3" operator="equal">
      <formula>"-"</formula>
    </cfRule>
  </conditionalFormatting>
  <conditionalFormatting sqref="Z12:AE17">
    <cfRule type="cellIs" dxfId="462" priority="4" operator="equal">
      <formula>0</formula>
    </cfRule>
    <cfRule type="containsBlanks" dxfId="461" priority="5">
      <formula>LEN(TRIM(Z12))=0</formula>
    </cfRule>
  </conditionalFormatting>
  <conditionalFormatting sqref="AB12:AC12">
    <cfRule type="cellIs" dxfId="460" priority="2" operator="equal">
      <formula>"-"</formula>
    </cfRule>
  </conditionalFormatting>
  <conditionalFormatting sqref="AB17:AC17">
    <cfRule type="cellIs" dxfId="45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558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8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E437-CCF0-4B4F-B23B-94B97F63C5EC}">
  <sheetPr>
    <tabColor rgb="FFFFC000"/>
    <pageSetUpPr fitToPage="1"/>
  </sheetPr>
  <dimension ref="A1:AY48"/>
  <sheetViews>
    <sheetView showGridLines="0" topLeftCell="E1" zoomScale="80" zoomScaleNormal="8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641.30765785938195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7.4000000000000003E-3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8</v>
      </c>
      <c r="AC7" s="404"/>
      <c r="AD7" s="404"/>
      <c r="AE7" s="405"/>
      <c r="AF7" s="38">
        <f>(1000-(1000*X9))-AF6</f>
        <v>348.69234214061805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</v>
      </c>
      <c r="E8" s="26">
        <v>0.8</v>
      </c>
      <c r="F8" s="27">
        <v>0.2</v>
      </c>
      <c r="G8" s="406">
        <f>AN23</f>
        <v>0</v>
      </c>
      <c r="H8" s="407"/>
      <c r="I8" s="408">
        <f>AL26</f>
        <v>0</v>
      </c>
      <c r="J8" s="409"/>
      <c r="K8" s="410">
        <v>0</v>
      </c>
      <c r="L8" s="411"/>
      <c r="M8" s="410">
        <v>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0.59</v>
      </c>
      <c r="Y8" s="248" t="s">
        <v>55</v>
      </c>
      <c r="Z8" s="271"/>
      <c r="AA8" s="272"/>
      <c r="AB8" s="413">
        <f>X15/SUM(C15:V15)</f>
        <v>8.3885209713024281E-2</v>
      </c>
      <c r="AC8" s="413"/>
      <c r="AD8" s="413"/>
      <c r="AE8" s="414"/>
      <c r="AF8" s="38">
        <f>ROUND((1000-(1000*X9)-X15),2)</f>
        <v>800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1.4E-2</v>
      </c>
      <c r="F9" s="239">
        <v>2.35E-2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0.01</v>
      </c>
      <c r="Y9" s="273" t="s">
        <v>17</v>
      </c>
      <c r="Z9" s="270"/>
      <c r="AA9" s="264"/>
      <c r="AB9" s="396">
        <f>ROUND(SUM(C15:AA15),2)</f>
        <v>2457.81</v>
      </c>
      <c r="AC9" s="396"/>
      <c r="AD9" s="396"/>
      <c r="AE9" s="397"/>
      <c r="AF9" s="38">
        <f>AF8*(1-X8)</f>
        <v>328</v>
      </c>
      <c r="AI9" s="173">
        <f>AI8*C15</f>
        <v>380</v>
      </c>
      <c r="AJ9" s="174">
        <f>AJ8*F15</f>
        <v>0</v>
      </c>
      <c r="AK9" s="175">
        <f>AK8*H15</f>
        <v>14.780000000000001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0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394.78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/>
      <c r="I12" s="421"/>
      <c r="J12" s="422"/>
      <c r="K12" s="423"/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0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v>3.08</v>
      </c>
      <c r="D14" s="435"/>
      <c r="E14" s="436"/>
      <c r="F14" s="437">
        <f>AK22</f>
        <v>1</v>
      </c>
      <c r="G14" s="436"/>
      <c r="H14" s="437">
        <v>2.65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2.9</v>
      </c>
      <c r="S14" s="435"/>
      <c r="T14" s="435"/>
      <c r="U14" s="436"/>
      <c r="V14" s="437">
        <f>AK27</f>
        <v>2.9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380</v>
      </c>
      <c r="D15" s="448"/>
      <c r="E15" s="449"/>
      <c r="F15" s="450">
        <f>C15*X7</f>
        <v>0</v>
      </c>
      <c r="G15" s="451"/>
      <c r="H15" s="452">
        <f>ROUND((AF7*E8*H14),0)</f>
        <v>739</v>
      </c>
      <c r="I15" s="448"/>
      <c r="J15" s="449"/>
      <c r="K15" s="452">
        <f>ROUND((AF7*F8*K14),0)</f>
        <v>195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0</v>
      </c>
      <c r="S15" s="448"/>
      <c r="T15" s="448"/>
      <c r="U15" s="449"/>
      <c r="V15" s="452">
        <f>ROUND((AF9*M8*V14),0)</f>
        <v>951</v>
      </c>
      <c r="W15" s="449"/>
      <c r="X15" s="347">
        <v>190</v>
      </c>
      <c r="Y15" s="284">
        <f>ROUND(Q7*(C15+F15),3)</f>
        <v>2.8119999999999998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38.001310109406347</v>
      </c>
      <c r="AJ15" s="432" t="s">
        <v>85</v>
      </c>
      <c r="AK15" s="432"/>
      <c r="AL15" s="453"/>
      <c r="AM15" s="340">
        <f>(H15+K15+N15)/(H15+K15+N15+P15+R15+V15)*100</f>
        <v>49.549071618037132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3.04</v>
      </c>
      <c r="D16" s="466"/>
      <c r="E16" s="467"/>
      <c r="F16" s="438">
        <f>F15*AB7/1000</f>
        <v>0</v>
      </c>
      <c r="G16" s="439"/>
      <c r="H16" s="465">
        <f>H15*AB7/1000</f>
        <v>5.9119999999999999</v>
      </c>
      <c r="I16" s="466"/>
      <c r="J16" s="467"/>
      <c r="K16" s="465">
        <f>K15*AB7/1000</f>
        <v>1.56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0</v>
      </c>
      <c r="S16" s="466"/>
      <c r="T16" s="466"/>
      <c r="U16" s="467"/>
      <c r="V16" s="465">
        <f>V15*AB7/1000</f>
        <v>7.6079999999999997</v>
      </c>
      <c r="W16" s="467"/>
      <c r="X16" s="285">
        <f>X15*AB7/1000</f>
        <v>1.52</v>
      </c>
      <c r="Y16" s="286">
        <f>Y15*AB7</f>
        <v>22.495999999999999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38.692982777350572</v>
      </c>
      <c r="AJ16" s="459" t="s">
        <v>87</v>
      </c>
      <c r="AK16" s="459"/>
      <c r="AL16" s="468"/>
      <c r="AM16" s="341">
        <f>(P15+R15+V15)/(H15+K15+N15+P15+R15+V15)*100</f>
        <v>50.450928381962868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3.04</v>
      </c>
      <c r="D17" s="462"/>
      <c r="E17" s="463"/>
      <c r="F17" s="440">
        <f>F16</f>
        <v>0</v>
      </c>
      <c r="G17" s="441"/>
      <c r="H17" s="464">
        <f>H16*(1+E9-AT41)</f>
        <v>5.9947679999999997</v>
      </c>
      <c r="I17" s="462"/>
      <c r="J17" s="463"/>
      <c r="K17" s="464">
        <f>ROUND((K16+(K16*(F9-AT42))),3)</f>
        <v>1.597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0</v>
      </c>
      <c r="S17" s="462"/>
      <c r="T17" s="462"/>
      <c r="U17" s="463"/>
      <c r="V17" s="464">
        <f>ROUND((V16+(V16*(M9-AT46))),3)</f>
        <v>7.6079999999999997</v>
      </c>
      <c r="W17" s="463"/>
      <c r="X17" s="287">
        <f>ROUND(X16-((H17-H16)+(K17-K16)+(N17-N16)+(P17-P16)+(R17-R16)+(V17-V16)),3)</f>
        <v>1.4</v>
      </c>
      <c r="Y17" s="288">
        <f>Y16/Y14</f>
        <v>20.638532110091742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76.694292886756926</v>
      </c>
      <c r="AJ17" s="442" t="s">
        <v>89</v>
      </c>
      <c r="AK17" s="442"/>
      <c r="AL17" s="443"/>
      <c r="AM17" s="342">
        <f>(C15+F15)/AB9*100</f>
        <v>15.460918459929776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F</v>
      </c>
      <c r="AM22" s="326" t="str">
        <f>AI24</f>
        <v>Areia Ind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190</v>
      </c>
      <c r="Y23" s="282">
        <f t="shared" si="2"/>
        <v>0.5</v>
      </c>
      <c r="Z23" s="301"/>
      <c r="AA23" s="296"/>
      <c r="AB23" s="301"/>
      <c r="AC23" s="302"/>
      <c r="AD23" s="301"/>
      <c r="AE23" s="303"/>
      <c r="AI23" s="309" t="s">
        <v>270</v>
      </c>
      <c r="AJ23" s="315">
        <v>730</v>
      </c>
      <c r="AK23" s="316">
        <v>2.63</v>
      </c>
      <c r="AL23" s="328">
        <f>ROUND(AJ23/AK23/(AJ23/AK23+AJ24/AK24+AJ25/AK25*AK30),3)</f>
        <v>0.81200000000000006</v>
      </c>
      <c r="AM23" s="329">
        <f>ROUND(AJ24/AK24/(AJ23/AK23+AJ24/AK24+AJ25/AK25*AK30),3)</f>
        <v>0.188</v>
      </c>
      <c r="AN23" s="329">
        <f>ROUND(AJ25/AK25*AK30/(AJ23/AK23+AJ24/AK24+AJ25/AK25*AK30),3)</f>
        <v>0</v>
      </c>
      <c r="AO23" s="331"/>
      <c r="AQ23">
        <f t="shared" si="3"/>
        <v>5.84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190</v>
      </c>
      <c r="Y24" s="282">
        <f t="shared" si="2"/>
        <v>0.5</v>
      </c>
      <c r="Z24" s="301"/>
      <c r="AA24" s="296"/>
      <c r="AB24" s="301"/>
      <c r="AC24" s="302"/>
      <c r="AD24" s="301"/>
      <c r="AE24" s="303"/>
      <c r="AI24" s="309" t="s">
        <v>271</v>
      </c>
      <c r="AJ24" s="315">
        <v>180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1.44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190</v>
      </c>
      <c r="Y25" s="282">
        <f t="shared" si="2"/>
        <v>0.5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190</v>
      </c>
      <c r="Y26" s="282">
        <f t="shared" si="2"/>
        <v>0.5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0.78200000000000003</v>
      </c>
      <c r="AN26" s="329">
        <f>ROUND(AJ27/AK27/(AJ25/AK25*(1-AK30)+AJ26/AK26+AJ27/AK27+AJ28/AK28),3)</f>
        <v>0.20899999999999999</v>
      </c>
      <c r="AO26" s="330">
        <f>ROUND(AJ28/AK28/(AJ25/AK25*(1-AK30)+AJ26/AK26+AJ27/AK27+AJ28/AK28),3)</f>
        <v>8.9999999999999993E-3</v>
      </c>
      <c r="AQ26">
        <f t="shared" si="3"/>
        <v>6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190</v>
      </c>
      <c r="Y27" s="282">
        <f t="shared" si="2"/>
        <v>0.5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200</v>
      </c>
      <c r="AK27" s="317">
        <v>2.9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0.58494126200064567</v>
      </c>
      <c r="AQ27">
        <f t="shared" si="3"/>
        <v>1.6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986.72146764216814</v>
      </c>
      <c r="AQ28">
        <f t="shared" si="3"/>
        <v>2.4800000000000003E-2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1.3278532357831864E-2</v>
      </c>
      <c r="AQ29">
        <f t="shared" si="3"/>
        <v>1.52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8.1578947368421053E-3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5.286795036972336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1.0450691008892874</v>
      </c>
      <c r="AW41" s="184">
        <f t="shared" ref="AW41:AW48" si="7">SUM($C$15:$F$15)/AV41</f>
        <v>363.61231967976488</v>
      </c>
      <c r="AX41" s="185">
        <f>(C15/C14+F15/F14+H15/H14+K15/K14+N15/N14+P15/P14+R15/R14+V15/V14+X15/X14)/1000</f>
        <v>0.98981843953054116</v>
      </c>
      <c r="AY41" s="136">
        <f t="shared" ref="AY41:AY48" si="8">AV41/AX41</f>
        <v>1.0558189857373752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0.98981843953054116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0.98981843953054116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0.98981843953054116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0.98981843953054116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0.98981843953054116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0.98981843953054116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0.98981843953054116</v>
      </c>
      <c r="AY48" s="142" t="e">
        <f t="shared" si="8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58" priority="8" operator="equal">
      <formula>0</formula>
    </cfRule>
    <cfRule type="containsBlanks" dxfId="457" priority="9">
      <formula>LEN(TRIM(F12))=0</formula>
    </cfRule>
  </conditionalFormatting>
  <conditionalFormatting sqref="N12:Q17">
    <cfRule type="cellIs" dxfId="456" priority="6" operator="equal">
      <formula>0</formula>
    </cfRule>
    <cfRule type="containsBlanks" dxfId="455" priority="7">
      <formula>LEN(TRIM(N12))=0</formula>
    </cfRule>
  </conditionalFormatting>
  <conditionalFormatting sqref="Z12:AA17">
    <cfRule type="cellIs" dxfId="454" priority="3" operator="equal">
      <formula>"-"</formula>
    </cfRule>
  </conditionalFormatting>
  <conditionalFormatting sqref="Z12:AE17">
    <cfRule type="cellIs" dxfId="453" priority="4" operator="equal">
      <formula>0</formula>
    </cfRule>
    <cfRule type="containsBlanks" dxfId="452" priority="5">
      <formula>LEN(TRIM(Z12))=0</formula>
    </cfRule>
  </conditionalFormatting>
  <conditionalFormatting sqref="AB12:AC12">
    <cfRule type="cellIs" dxfId="451" priority="2" operator="equal">
      <formula>"-"</formula>
    </cfRule>
  </conditionalFormatting>
  <conditionalFormatting sqref="AB17:AC17">
    <cfRule type="cellIs" dxfId="45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96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7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7C33-B462-467F-A47A-83D6F59F2A96}">
  <sheetPr>
    <tabColor rgb="FFFF0000"/>
    <pageSetUpPr fitToPage="1"/>
  </sheetPr>
  <dimension ref="A1:AY48"/>
  <sheetViews>
    <sheetView showGridLines="0" topLeftCell="Y11" zoomScale="90" zoomScaleNormal="9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661" t="s">
        <v>263</v>
      </c>
      <c r="C3" s="662"/>
      <c r="D3" s="368" t="s">
        <v>264</v>
      </c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661" t="s">
        <v>31</v>
      </c>
      <c r="C4" s="662"/>
      <c r="D4" s="368" t="s">
        <v>265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672">
        <v>700</v>
      </c>
      <c r="T4" s="672"/>
      <c r="U4" s="672"/>
      <c r="V4" s="234" t="s">
        <v>114</v>
      </c>
      <c r="W4" s="235" t="s">
        <v>128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658.69010300044783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0.50990000000000002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8.9999999999999993E-3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321.30989699955217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0.5093833780160858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</v>
      </c>
      <c r="L8" s="411"/>
      <c r="M8" s="410">
        <v>0.2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8.5125448028673834E-2</v>
      </c>
      <c r="AC8" s="413"/>
      <c r="AD8" s="413"/>
      <c r="AE8" s="414"/>
      <c r="AF8" s="38">
        <f>ROUND((1000-(1000*X9)-X15),2)</f>
        <v>790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5.3999999999999999E-2</v>
      </c>
      <c r="F9" s="239">
        <v>0.05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2425.36</v>
      </c>
      <c r="AC9" s="396"/>
      <c r="AD9" s="396"/>
      <c r="AE9" s="397"/>
      <c r="AF9" s="38">
        <f>AF8*(1-X8)</f>
        <v>347.59999999999997</v>
      </c>
      <c r="AI9" s="173">
        <f>AI8*C15</f>
        <v>373</v>
      </c>
      <c r="AJ9" s="174">
        <f>AJ8*F15</f>
        <v>0</v>
      </c>
      <c r="AK9" s="175">
        <f>AK8*H15</f>
        <v>17.02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24.18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414.2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/>
      <c r="I12" s="421"/>
      <c r="J12" s="422"/>
      <c r="K12" s="423"/>
      <c r="L12" s="421"/>
      <c r="M12" s="422"/>
      <c r="N12" s="423"/>
      <c r="O12" s="422"/>
      <c r="P12" s="423"/>
      <c r="Q12" s="422"/>
      <c r="R12" s="423"/>
      <c r="S12" s="421"/>
      <c r="T12" s="421"/>
      <c r="U12" s="422"/>
      <c r="V12" s="423"/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0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v>3.08</v>
      </c>
      <c r="D14" s="435"/>
      <c r="E14" s="436"/>
      <c r="F14" s="670">
        <f>AK22</f>
        <v>1</v>
      </c>
      <c r="G14" s="671"/>
      <c r="H14" s="437">
        <v>2.65</v>
      </c>
      <c r="I14" s="435"/>
      <c r="J14" s="436"/>
      <c r="K14" s="437">
        <f>AK24</f>
        <v>2.65</v>
      </c>
      <c r="L14" s="435"/>
      <c r="M14" s="436"/>
      <c r="N14" s="668">
        <f>AK25</f>
        <v>2.6</v>
      </c>
      <c r="O14" s="669"/>
      <c r="P14" s="668">
        <f>AK25</f>
        <v>2.6</v>
      </c>
      <c r="Q14" s="669"/>
      <c r="R14" s="437">
        <f>AK26</f>
        <v>2.9</v>
      </c>
      <c r="S14" s="435"/>
      <c r="T14" s="435"/>
      <c r="U14" s="436"/>
      <c r="V14" s="437">
        <f>AK27</f>
        <v>2.9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373</v>
      </c>
      <c r="D15" s="448"/>
      <c r="E15" s="449"/>
      <c r="F15" s="450">
        <f>C15*X7</f>
        <v>0</v>
      </c>
      <c r="G15" s="451"/>
      <c r="H15" s="452">
        <f>ROUND((AF7*E8*H14),0)</f>
        <v>851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806</v>
      </c>
      <c r="S15" s="448"/>
      <c r="T15" s="448"/>
      <c r="U15" s="449"/>
      <c r="V15" s="452">
        <f>ROUND((AF9*M8*V14),0)</f>
        <v>202</v>
      </c>
      <c r="W15" s="449"/>
      <c r="X15" s="347">
        <v>190</v>
      </c>
      <c r="Y15" s="284">
        <f>ROUND(Q7*(C15+F15),3)</f>
        <v>3.3570000000000002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35.087574628096448</v>
      </c>
      <c r="AJ15" s="432" t="s">
        <v>85</v>
      </c>
      <c r="AK15" s="432"/>
      <c r="AL15" s="453"/>
      <c r="AM15" s="340">
        <f>(H15+K15+N15)/(H15+K15+N15+P15+R15+V15)*100</f>
        <v>45.777299623453473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373</v>
      </c>
      <c r="D16" s="466"/>
      <c r="E16" s="467"/>
      <c r="F16" s="438">
        <f>F15*AB7/1000</f>
        <v>0</v>
      </c>
      <c r="G16" s="439"/>
      <c r="H16" s="465">
        <f>H15*AB7/1000</f>
        <v>851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806</v>
      </c>
      <c r="S16" s="466"/>
      <c r="T16" s="466"/>
      <c r="U16" s="467"/>
      <c r="V16" s="465">
        <f>V15*AB7/1000</f>
        <v>202</v>
      </c>
      <c r="W16" s="467"/>
      <c r="X16" s="285">
        <f>X15*AB7/1000</f>
        <v>190</v>
      </c>
      <c r="Y16" s="286">
        <f>Y15*AB7</f>
        <v>3357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41.560840452551375</v>
      </c>
      <c r="AJ16" s="459" t="s">
        <v>87</v>
      </c>
      <c r="AK16" s="459"/>
      <c r="AL16" s="468"/>
      <c r="AM16" s="341">
        <f>(P15+R15+V15)/(H15+K15+N15+P15+R15+V15)*100</f>
        <v>54.222700376546527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373</v>
      </c>
      <c r="D17" s="462"/>
      <c r="E17" s="463"/>
      <c r="F17" s="440">
        <f>F16</f>
        <v>0</v>
      </c>
      <c r="G17" s="441"/>
      <c r="H17" s="464">
        <f>H16*(1+E9-AT41)</f>
        <v>896.95400000000006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806</v>
      </c>
      <c r="S17" s="462"/>
      <c r="T17" s="462"/>
      <c r="U17" s="463"/>
      <c r="V17" s="464">
        <f>ROUND((V16+(V16*(M9-AT46))),3)</f>
        <v>202</v>
      </c>
      <c r="W17" s="463"/>
      <c r="X17" s="287">
        <f>ROUND(X16-((H17-H16)+(K17-K16)+(N17-N16)+(P17-P16)+(R17-R16)+(V17-V16)),3)</f>
        <v>144.04599999999999</v>
      </c>
      <c r="Y17" s="288">
        <f>Y16/Y14</f>
        <v>3079.8165137614678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76.648415080647823</v>
      </c>
      <c r="AJ17" s="442" t="s">
        <v>89</v>
      </c>
      <c r="AK17" s="442"/>
      <c r="AL17" s="443"/>
      <c r="AM17" s="342">
        <f>(C15+F15)/AB9*100</f>
        <v>15.379160207144505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262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266</v>
      </c>
      <c r="N20" s="471"/>
      <c r="O20" s="472" t="s">
        <v>267</v>
      </c>
      <c r="P20" s="471"/>
      <c r="Q20" s="472" t="s">
        <v>181</v>
      </c>
      <c r="R20" s="471"/>
      <c r="S20" s="472" t="s">
        <v>268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/>
      <c r="E21" s="293"/>
      <c r="F21" s="294"/>
      <c r="G21" s="480"/>
      <c r="H21" s="481"/>
      <c r="I21" s="482"/>
      <c r="J21" s="483"/>
      <c r="K21" s="658">
        <v>140</v>
      </c>
      <c r="L21" s="659"/>
      <c r="M21" s="658"/>
      <c r="N21" s="659"/>
      <c r="O21" s="658"/>
      <c r="P21" s="659"/>
      <c r="Q21" s="658"/>
      <c r="R21" s="659"/>
      <c r="S21" s="660"/>
      <c r="T21" s="660"/>
      <c r="U21" s="660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0.5093833780160858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3.08</v>
      </c>
      <c r="AL21" s="484" t="s">
        <v>20</v>
      </c>
      <c r="AM21" s="485"/>
      <c r="AN21" s="485"/>
      <c r="AO21" s="486"/>
      <c r="AQ21">
        <f>AJ21*$AQ$20</f>
        <v>3.04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658"/>
      <c r="L22" s="659"/>
      <c r="M22" s="658"/>
      <c r="N22" s="659"/>
      <c r="O22" s="658"/>
      <c r="P22" s="659"/>
      <c r="Q22" s="658"/>
      <c r="R22" s="659"/>
      <c r="S22" s="660"/>
      <c r="T22" s="660"/>
      <c r="U22" s="660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0.5093833780160858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658"/>
      <c r="L23" s="659"/>
      <c r="M23" s="658"/>
      <c r="N23" s="659"/>
      <c r="O23" s="658"/>
      <c r="P23" s="659"/>
      <c r="Q23" s="658"/>
      <c r="R23" s="659"/>
      <c r="S23" s="660"/>
      <c r="T23" s="660"/>
      <c r="U23" s="660"/>
      <c r="V23" s="295"/>
      <c r="W23" s="280">
        <f t="shared" si="1"/>
        <v>0</v>
      </c>
      <c r="X23" s="281">
        <f t="shared" si="0"/>
        <v>190</v>
      </c>
      <c r="Y23" s="282">
        <f t="shared" si="2"/>
        <v>0.5093833780160858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851</v>
      </c>
      <c r="AK23" s="316">
        <v>2.65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31"/>
      <c r="AQ23">
        <f t="shared" si="3"/>
        <v>6.8079999999999998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658"/>
      <c r="L24" s="659"/>
      <c r="M24" s="658"/>
      <c r="N24" s="659"/>
      <c r="O24" s="658"/>
      <c r="P24" s="659"/>
      <c r="Q24" s="658"/>
      <c r="R24" s="659"/>
      <c r="S24" s="660"/>
      <c r="T24" s="660"/>
      <c r="U24" s="660"/>
      <c r="V24" s="295"/>
      <c r="W24" s="280">
        <f t="shared" si="1"/>
        <v>0</v>
      </c>
      <c r="X24" s="281">
        <f t="shared" si="0"/>
        <v>190</v>
      </c>
      <c r="Y24" s="282">
        <f t="shared" si="2"/>
        <v>0.5093833780160858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2.65</v>
      </c>
      <c r="AL24" s="488" t="s">
        <v>21</v>
      </c>
      <c r="AM24" s="489"/>
      <c r="AN24" s="489"/>
      <c r="AO24" s="490"/>
      <c r="AQ24">
        <f t="shared" si="3"/>
        <v>0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658"/>
      <c r="L25" s="659"/>
      <c r="M25" s="658"/>
      <c r="N25" s="659"/>
      <c r="O25" s="658"/>
      <c r="P25" s="659"/>
      <c r="Q25" s="658"/>
      <c r="R25" s="659"/>
      <c r="S25" s="660"/>
      <c r="T25" s="660"/>
      <c r="U25" s="660"/>
      <c r="V25" s="295"/>
      <c r="W25" s="280">
        <f t="shared" si="1"/>
        <v>0</v>
      </c>
      <c r="X25" s="281">
        <f t="shared" si="0"/>
        <v>190</v>
      </c>
      <c r="Y25" s="282">
        <f t="shared" si="2"/>
        <v>0.5093833780160858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658"/>
      <c r="L26" s="659"/>
      <c r="M26" s="658"/>
      <c r="N26" s="659"/>
      <c r="O26" s="658"/>
      <c r="P26" s="659"/>
      <c r="Q26" s="658"/>
      <c r="R26" s="659"/>
      <c r="S26" s="660"/>
      <c r="T26" s="660"/>
      <c r="U26" s="660"/>
      <c r="V26" s="295"/>
      <c r="W26" s="280">
        <f t="shared" si="1"/>
        <v>0</v>
      </c>
      <c r="X26" s="281">
        <f t="shared" si="0"/>
        <v>190</v>
      </c>
      <c r="Y26" s="282">
        <f t="shared" si="2"/>
        <v>0.5093833780160858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806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0.79200000000000004</v>
      </c>
      <c r="AN26" s="329">
        <f>ROUND(AJ27/AK27/(AJ25/AK25*(1-AK30)+AJ26/AK26+AJ27/AK27+AJ28/AK28),3)</f>
        <v>0.19900000000000001</v>
      </c>
      <c r="AO26" s="330">
        <f>ROUND(AJ28/AK28/(AJ25/AK25*(1-AK30)+AJ26/AK26+AJ27/AK27+AJ28/AK28),3)</f>
        <v>8.9999999999999993E-3</v>
      </c>
      <c r="AQ26">
        <f t="shared" si="3"/>
        <v>6.4480000000000004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663"/>
      <c r="L27" s="664"/>
      <c r="M27" s="663"/>
      <c r="N27" s="664"/>
      <c r="O27" s="663"/>
      <c r="P27" s="664"/>
      <c r="Q27" s="663"/>
      <c r="R27" s="664"/>
      <c r="S27" s="665"/>
      <c r="T27" s="666"/>
      <c r="U27" s="667"/>
      <c r="V27" s="295"/>
      <c r="W27" s="280">
        <f t="shared" si="1"/>
        <v>0</v>
      </c>
      <c r="X27" s="281">
        <f t="shared" si="0"/>
        <v>190</v>
      </c>
      <c r="Y27" s="282">
        <f t="shared" si="2"/>
        <v>0.5093833780160858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202</v>
      </c>
      <c r="AK27" s="317">
        <v>2.9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0.55885283604129576</v>
      </c>
      <c r="AQ27">
        <f t="shared" si="3"/>
        <v>1.6160000000000001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3.3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985.3949057448732</v>
      </c>
      <c r="AQ28">
        <f t="shared" si="3"/>
        <v>2.64E-2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1.4605094255126801E-2</v>
      </c>
      <c r="AQ29">
        <f t="shared" si="3"/>
        <v>1.52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8.6842105263157891E-3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>
        <v>85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4.9658672382125957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1.0310213288610406</v>
      </c>
      <c r="AW41" s="184">
        <f t="shared" ref="AW41:AW48" si="7">SUM($C$15:$F$15)/AV41</f>
        <v>361.77719079007755</v>
      </c>
      <c r="AX41" s="185">
        <f>(C15/C14+F15/F14+H15/H14+K15/K14+N15/N14+P15/P14+R15/R14+V15/V14+X15/X14)/1000</f>
        <v>0.97982217847214603</v>
      </c>
      <c r="AY41" s="136">
        <f t="shared" ref="AY41:AY48" si="8">AV41/AX41</f>
        <v>1.0522535124370529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0.97982217847214603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0.97982217847214603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0.97982217847214603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0.97982217847214603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0.97982217847214603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0.97982217847214603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0.97982217847214603</v>
      </c>
      <c r="AY48" s="142" t="e">
        <f t="shared" si="8"/>
        <v>#DIV/0!</v>
      </c>
    </row>
  </sheetData>
  <sheetProtection selectLockedCells="1" autoFilter="0" pivotTables="0"/>
  <mergeCells count="221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L24:AO24"/>
    <mergeCell ref="M22:N22"/>
    <mergeCell ref="M21:N21"/>
    <mergeCell ref="O21:P21"/>
    <mergeCell ref="O22:P22"/>
    <mergeCell ref="O23:P23"/>
    <mergeCell ref="O24:P24"/>
    <mergeCell ref="M24:N24"/>
    <mergeCell ref="M23:N23"/>
    <mergeCell ref="S24:U24"/>
    <mergeCell ref="Q23:R23"/>
    <mergeCell ref="Q22:R22"/>
    <mergeCell ref="AL30:AN30"/>
    <mergeCell ref="AL31:AN31"/>
    <mergeCell ref="B28:C31"/>
    <mergeCell ref="E28:E31"/>
    <mergeCell ref="G28:H31"/>
    <mergeCell ref="K28:L31"/>
    <mergeCell ref="O28:P31"/>
    <mergeCell ref="S28:U31"/>
    <mergeCell ref="G25:H25"/>
    <mergeCell ref="I25:J25"/>
    <mergeCell ref="G26:H26"/>
    <mergeCell ref="I26:J26"/>
    <mergeCell ref="G27:H27"/>
    <mergeCell ref="I27:J27"/>
    <mergeCell ref="AL27:AN27"/>
    <mergeCell ref="M27:N27"/>
    <mergeCell ref="M26:N26"/>
    <mergeCell ref="O25:P25"/>
    <mergeCell ref="S27:U27"/>
    <mergeCell ref="S26:U26"/>
    <mergeCell ref="S25:U25"/>
    <mergeCell ref="Q26:R26"/>
    <mergeCell ref="Q25:R25"/>
    <mergeCell ref="Q24:R24"/>
    <mergeCell ref="M25:N25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Q21:R21"/>
    <mergeCell ref="S21:U21"/>
    <mergeCell ref="S22:U22"/>
    <mergeCell ref="S23:U23"/>
    <mergeCell ref="B40:AE40"/>
    <mergeCell ref="B3:C3"/>
    <mergeCell ref="B4:C4"/>
    <mergeCell ref="K21:L21"/>
    <mergeCell ref="K22:L22"/>
    <mergeCell ref="K24:L24"/>
    <mergeCell ref="K23:L23"/>
    <mergeCell ref="K25:L25"/>
    <mergeCell ref="K26:L26"/>
    <mergeCell ref="K27:L27"/>
    <mergeCell ref="W38:X38"/>
    <mergeCell ref="B39:AE39"/>
    <mergeCell ref="W34:X34"/>
    <mergeCell ref="Z34:AA34"/>
    <mergeCell ref="AB34:AD34"/>
    <mergeCell ref="W35:X35"/>
    <mergeCell ref="Z35:AA35"/>
    <mergeCell ref="O26:P26"/>
    <mergeCell ref="O27:P27"/>
    <mergeCell ref="Q27:R27"/>
  </mergeCells>
  <conditionalFormatting sqref="F12:G17">
    <cfRule type="cellIs" dxfId="449" priority="8" operator="equal">
      <formula>0</formula>
    </cfRule>
    <cfRule type="containsBlanks" dxfId="448" priority="9">
      <formula>LEN(TRIM(F12))=0</formula>
    </cfRule>
  </conditionalFormatting>
  <conditionalFormatting sqref="N12:Q17">
    <cfRule type="cellIs" dxfId="447" priority="6" operator="equal">
      <formula>0</formula>
    </cfRule>
    <cfRule type="containsBlanks" dxfId="446" priority="7">
      <formula>LEN(TRIM(N12))=0</formula>
    </cfRule>
  </conditionalFormatting>
  <conditionalFormatting sqref="Z12:AA17">
    <cfRule type="cellIs" dxfId="445" priority="3" operator="equal">
      <formula>"-"</formula>
    </cfRule>
  </conditionalFormatting>
  <conditionalFormatting sqref="Z12:AE17">
    <cfRule type="cellIs" dxfId="444" priority="4" operator="equal">
      <formula>0</formula>
    </cfRule>
    <cfRule type="containsBlanks" dxfId="443" priority="5">
      <formula>LEN(TRIM(Z12))=0</formula>
    </cfRule>
  </conditionalFormatting>
  <conditionalFormatting sqref="AB12:AC12">
    <cfRule type="cellIs" dxfId="442" priority="2" operator="equal">
      <formula>"-"</formula>
    </cfRule>
  </conditionalFormatting>
  <conditionalFormatting sqref="AB17:AC17">
    <cfRule type="cellIs" dxfId="44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9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738E-64E8-455D-8C97-9EC792607C65}">
  <sheetPr>
    <tabColor rgb="FFFF0000"/>
    <pageSetUpPr fitToPage="1"/>
  </sheetPr>
  <dimension ref="A1:AY48"/>
  <sheetViews>
    <sheetView showGridLines="0" topLeftCell="V7" zoomScaleNormal="10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653.37662337662334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8.9999999999999993E-3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 t="s">
        <v>273</v>
      </c>
      <c r="AB7" s="404">
        <v>300</v>
      </c>
      <c r="AC7" s="404"/>
      <c r="AD7" s="404"/>
      <c r="AE7" s="405"/>
      <c r="AF7" s="38">
        <f>(1000-(1000*X9))-AF6</f>
        <v>336.62337662337666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</v>
      </c>
      <c r="L8" s="411"/>
      <c r="M8" s="410">
        <v>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0.57499999999999996</v>
      </c>
      <c r="Y8" s="248" t="s">
        <v>55</v>
      </c>
      <c r="Z8" s="271"/>
      <c r="AA8" s="272" t="s">
        <v>272</v>
      </c>
      <c r="AB8" s="413">
        <f>X15/SUM(C15:V15)</f>
        <v>8.4145261293179799E-2</v>
      </c>
      <c r="AC8" s="413"/>
      <c r="AD8" s="413"/>
      <c r="AE8" s="414"/>
      <c r="AF8" s="38">
        <f>ROUND((1000-(1000*X9)-X15),2)</f>
        <v>800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0.05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0.01</v>
      </c>
      <c r="Y9" s="273" t="s">
        <v>17</v>
      </c>
      <c r="Z9" s="270"/>
      <c r="AA9" s="264"/>
      <c r="AB9" s="396">
        <f>ROUND(SUM(C15:AA15),2)</f>
        <v>2451.42</v>
      </c>
      <c r="AC9" s="396"/>
      <c r="AD9" s="396"/>
      <c r="AE9" s="397"/>
      <c r="AF9" s="38">
        <f>AF8*(1-X8)</f>
        <v>340.00000000000006</v>
      </c>
      <c r="AI9" s="173">
        <f>AI8*C15</f>
        <v>380</v>
      </c>
      <c r="AJ9" s="174">
        <f>AJ8*F15</f>
        <v>0</v>
      </c>
      <c r="AK9" s="175">
        <f>AK8*H15</f>
        <v>17.84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0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397.84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/>
      <c r="I12" s="421"/>
      <c r="J12" s="422"/>
      <c r="K12" s="423"/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0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v>3.08</v>
      </c>
      <c r="D14" s="435"/>
      <c r="E14" s="436"/>
      <c r="F14" s="437">
        <f>AK22</f>
        <v>1</v>
      </c>
      <c r="G14" s="436"/>
      <c r="H14" s="437">
        <v>2.65</v>
      </c>
      <c r="I14" s="435"/>
      <c r="J14" s="436"/>
      <c r="K14" s="437">
        <f>AK24</f>
        <v>2.65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2.9</v>
      </c>
      <c r="S14" s="435"/>
      <c r="T14" s="435"/>
      <c r="U14" s="436"/>
      <c r="V14" s="437">
        <f>AK27</f>
        <v>2.9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380</v>
      </c>
      <c r="D15" s="448"/>
      <c r="E15" s="449"/>
      <c r="F15" s="450">
        <f>C15*X7</f>
        <v>0</v>
      </c>
      <c r="G15" s="451"/>
      <c r="H15" s="452">
        <f>ROUND((AF7*E8*H14),0)</f>
        <v>892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0</v>
      </c>
      <c r="S15" s="448"/>
      <c r="T15" s="448"/>
      <c r="U15" s="449"/>
      <c r="V15" s="452">
        <f>ROUND((AF9*M8*V14),0)</f>
        <v>986</v>
      </c>
      <c r="W15" s="449"/>
      <c r="X15" s="347">
        <v>190</v>
      </c>
      <c r="Y15" s="284">
        <f>ROUND(Q7*(C15+F15),3)</f>
        <v>3.42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36.387073614476506</v>
      </c>
      <c r="AJ15" s="432" t="s">
        <v>85</v>
      </c>
      <c r="AK15" s="432"/>
      <c r="AL15" s="453"/>
      <c r="AM15" s="340">
        <f>(H15+K15+N15)/(H15+K15+N15+P15+R15+V15)*100</f>
        <v>47.497337593184241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114</v>
      </c>
      <c r="D16" s="466"/>
      <c r="E16" s="467"/>
      <c r="F16" s="438">
        <f>F15*AB7/1000</f>
        <v>0</v>
      </c>
      <c r="G16" s="439"/>
      <c r="H16" s="465">
        <f>H15*AB7/1000</f>
        <v>267.60000000000002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0</v>
      </c>
      <c r="S16" s="466"/>
      <c r="T16" s="466"/>
      <c r="U16" s="467"/>
      <c r="V16" s="465">
        <f>V15*AB7/1000</f>
        <v>295.8</v>
      </c>
      <c r="W16" s="467"/>
      <c r="X16" s="285">
        <f>X15*AB7/1000</f>
        <v>57</v>
      </c>
      <c r="Y16" s="286">
        <f>Y15*AB7</f>
        <v>1026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40.221585856360804</v>
      </c>
      <c r="AJ16" s="459" t="s">
        <v>87</v>
      </c>
      <c r="AK16" s="459"/>
      <c r="AL16" s="468"/>
      <c r="AM16" s="341">
        <f>(P15+R15+V15)/(H15+K15+N15+P15+R15+V15)*100</f>
        <v>52.502662406815759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114</v>
      </c>
      <c r="D17" s="462"/>
      <c r="E17" s="463"/>
      <c r="F17" s="440">
        <f>F16</f>
        <v>0</v>
      </c>
      <c r="G17" s="441"/>
      <c r="H17" s="464">
        <f>H16*(1+E9-AT41)</f>
        <v>267.60000000000002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0</v>
      </c>
      <c r="S17" s="462"/>
      <c r="T17" s="462"/>
      <c r="U17" s="463"/>
      <c r="V17" s="464">
        <f>ROUND((V16+(V16*(M9-AT46))),3)</f>
        <v>295.8</v>
      </c>
      <c r="W17" s="463"/>
      <c r="X17" s="287">
        <f>ROUND(X16-((H17-H16)+(K17-K16)+(N17-N16)+(P17-P16)+(R17-R16)+(V17-V16)),3)</f>
        <v>57</v>
      </c>
      <c r="Y17" s="288">
        <f>Y16/Y14</f>
        <v>941.28440366972472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76.60865947083731</v>
      </c>
      <c r="AJ17" s="442" t="s">
        <v>89</v>
      </c>
      <c r="AK17" s="442"/>
      <c r="AL17" s="443"/>
      <c r="AM17" s="342">
        <f>(C15+F15)/AB9*100</f>
        <v>15.501219701234387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190</v>
      </c>
      <c r="Y21" s="282">
        <f>IF(X21="","",(X21/(SUM($C$15:$G$15))))</f>
        <v>0.5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3.2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190</v>
      </c>
      <c r="Y22" s="282">
        <f t="shared" ref="Y22:Y27" si="2">IF(X22="","",(X22/(SUM($C$15:$G$15))))</f>
        <v>0.5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190</v>
      </c>
      <c r="Y23" s="282">
        <f t="shared" si="2"/>
        <v>0.5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890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31"/>
      <c r="AQ23">
        <f t="shared" si="3"/>
        <v>7.12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190</v>
      </c>
      <c r="Y24" s="282">
        <f t="shared" si="2"/>
        <v>0.5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2.65</v>
      </c>
      <c r="AL24" s="488" t="s">
        <v>21</v>
      </c>
      <c r="AM24" s="489"/>
      <c r="AN24" s="489"/>
      <c r="AO24" s="490"/>
      <c r="AQ24">
        <f t="shared" si="3"/>
        <v>0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190</v>
      </c>
      <c r="Y25" s="282">
        <f t="shared" si="2"/>
        <v>0.5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190</v>
      </c>
      <c r="Y26" s="282">
        <f t="shared" si="2"/>
        <v>0.5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750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0.78100000000000003</v>
      </c>
      <c r="AN26" s="329">
        <f>ROUND(AJ27/AK27/(AJ25/AK25*(1-AK30)+AJ26/AK26+AJ27/AK27+AJ28/AK28),3)</f>
        <v>0.20799999999999999</v>
      </c>
      <c r="AO26" s="330">
        <f>ROUND(AJ28/AK28/(AJ25/AK25*(1-AK30)+AJ26/AK26+AJ27/AK27+AJ28/AK28),3)</f>
        <v>0.01</v>
      </c>
      <c r="AQ26">
        <f t="shared" si="3"/>
        <v>6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190</v>
      </c>
      <c r="Y27" s="282">
        <f t="shared" si="2"/>
        <v>0.5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200</v>
      </c>
      <c r="AK27" s="317">
        <v>2.9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0.58632319270327904</v>
      </c>
      <c r="AQ27">
        <f t="shared" si="3"/>
        <v>1.6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990.10820297001271</v>
      </c>
      <c r="AQ28">
        <f t="shared" si="3"/>
        <v>2.7199999999999998E-2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9.8917970299872877E-3</v>
      </c>
      <c r="AQ29">
        <f t="shared" si="3"/>
        <v>1.52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0.47499999999999998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8.5000000000000006E-3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5.0004231858724939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1.0420892704590532</v>
      </c>
      <c r="AW41" s="184">
        <f t="shared" ref="AW41:AW48" si="7">SUM($C$15:$F$15)/AV41</f>
        <v>364.65206078996027</v>
      </c>
      <c r="AX41" s="185">
        <f>(C15/C14+F15/F14+H15/H14+K15/K14+N15/N14+P15/P14+R15/R14+V15/V14+X15/X14)/1000</f>
        <v>0.98998039696152906</v>
      </c>
      <c r="AY41" s="136">
        <f t="shared" ref="AY41:AY48" si="8">AV41/AX41</f>
        <v>1.0526362680083947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0.98998039696152906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0.98998039696152906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0.98998039696152906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0.98998039696152906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0.98998039696152906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0.98998039696152906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0.98998039696152906</v>
      </c>
      <c r="AY48" s="142" t="e">
        <f t="shared" si="8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40" priority="8" operator="equal">
      <formula>0</formula>
    </cfRule>
    <cfRule type="containsBlanks" dxfId="439" priority="9">
      <formula>LEN(TRIM(F12))=0</formula>
    </cfRule>
  </conditionalFormatting>
  <conditionalFormatting sqref="N12:Q17">
    <cfRule type="cellIs" dxfId="438" priority="6" operator="equal">
      <formula>0</formula>
    </cfRule>
    <cfRule type="containsBlanks" dxfId="437" priority="7">
      <formula>LEN(TRIM(N12))=0</formula>
    </cfRule>
  </conditionalFormatting>
  <conditionalFormatting sqref="Z12:AA17">
    <cfRule type="cellIs" dxfId="436" priority="3" operator="equal">
      <formula>"-"</formula>
    </cfRule>
  </conditionalFormatting>
  <conditionalFormatting sqref="Z12:AE17">
    <cfRule type="cellIs" dxfId="435" priority="4" operator="equal">
      <formula>0</formula>
    </cfRule>
    <cfRule type="containsBlanks" dxfId="434" priority="5">
      <formula>LEN(TRIM(Z12))=0</formula>
    </cfRule>
  </conditionalFormatting>
  <conditionalFormatting sqref="AB12:AC12">
    <cfRule type="cellIs" dxfId="433" priority="2" operator="equal">
      <formula>"-"</formula>
    </cfRule>
  </conditionalFormatting>
  <conditionalFormatting sqref="AB17:AC17">
    <cfRule type="cellIs" dxfId="43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40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24ED-A928-4166-B8FD-93B287E8D8A1}">
  <sheetPr>
    <tabColor rgb="FF002060"/>
    <pageSetUpPr fitToPage="1"/>
  </sheetPr>
  <dimension ref="A1:AY48"/>
  <sheetViews>
    <sheetView showGridLines="0" topLeftCell="Z17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8.0213903743315509E-2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2427.1999999999998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2.645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584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35.761371127224791</v>
      </c>
      <c r="AJ15" s="432" t="s">
        <v>85</v>
      </c>
      <c r="AK15" s="432"/>
      <c r="AL15" s="453"/>
      <c r="AM15" s="340">
        <f>(H15+K15+N15)/(H15+K15+N15+P15+R15+V15)*100</f>
        <v>47.071583514099785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584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40.210942649967038</v>
      </c>
      <c r="AJ16" s="459" t="s">
        <v>87</v>
      </c>
      <c r="AK16" s="459"/>
      <c r="AL16" s="468"/>
      <c r="AM16" s="341">
        <f>(P15+R15+V15)/(H15+K15+N15+P15+R15+V15)*100</f>
        <v>52.928416485900222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584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75.972313777191829</v>
      </c>
      <c r="AJ17" s="442" t="s">
        <v>89</v>
      </c>
      <c r="AK17" s="442"/>
      <c r="AL17" s="443"/>
      <c r="AM17" s="342">
        <f>(C15+F15)/AB9*100</f>
        <v>16.479894528675018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260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740</v>
      </c>
      <c r="AK23" s="316">
        <v>2.645</v>
      </c>
      <c r="AL23" s="328">
        <f>ROUND(AJ23/AK23/(AJ23/AK23+AJ24/AK24+AJ25/AK25*AK30),3)</f>
        <v>0.89700000000000002</v>
      </c>
      <c r="AM23" s="329">
        <f>ROUND(AJ24/AK24/(AJ23/AK23+AJ24/AK24+AJ25/AK25*AK30),3)</f>
        <v>0.10299999999999999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90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980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0.55044379657465847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986.33104672240665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200</v>
      </c>
      <c r="AK29" s="321">
        <v>1</v>
      </c>
      <c r="AL29" s="544" t="s">
        <v>24</v>
      </c>
      <c r="AM29" s="545"/>
      <c r="AN29" s="546"/>
      <c r="AO29" s="334">
        <f>(1000-AO28)/1000</f>
        <v>1.3668953277593345E-2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0.54054054054054057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9.45945945945946E-3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4.5493191238430324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1.0318727089839645</v>
      </c>
      <c r="AW41" s="184">
        <f t="shared" ref="AW41:AW48" si="6">SUM($C$15:$F$15)/AV41</f>
        <v>387.64471287728963</v>
      </c>
      <c r="AX41" s="185">
        <f>(C15/C14+F15/F14+H15/H14+K15/K14+N15/N14+P15/P14+R15/R14+V15/V14+X15/X14)/1000</f>
        <v>0.98492952650043997</v>
      </c>
      <c r="AY41" s="136">
        <f t="shared" ref="AY41:AY48" si="7">AV41/AX41</f>
        <v>1.0476614633031855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0.98492952650043997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0.98492952650043997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0.98492952650043997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0.98492952650043997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0.98492952650043997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0.98492952650043997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0.98492952650043997</v>
      </c>
      <c r="AY48" s="142" t="e">
        <f t="shared" si="7"/>
        <v>#DIV/0!</v>
      </c>
    </row>
  </sheetData>
  <sheetProtection selectLockedCells="1" autoFilter="0" pivotTables="0"/>
  <mergeCells count="184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431" priority="8" operator="equal">
      <formula>0</formula>
    </cfRule>
    <cfRule type="containsBlanks" dxfId="430" priority="9">
      <formula>LEN(TRIM(F12))=0</formula>
    </cfRule>
  </conditionalFormatting>
  <conditionalFormatting sqref="N12:Q17">
    <cfRule type="cellIs" dxfId="429" priority="6" operator="equal">
      <formula>0</formula>
    </cfRule>
    <cfRule type="containsBlanks" dxfId="428" priority="7">
      <formula>LEN(TRIM(N12))=0</formula>
    </cfRule>
  </conditionalFormatting>
  <conditionalFormatting sqref="Z12:AA17">
    <cfRule type="cellIs" dxfId="427" priority="3" operator="equal">
      <formula>"-"</formula>
    </cfRule>
  </conditionalFormatting>
  <conditionalFormatting sqref="Z12:AE17">
    <cfRule type="cellIs" dxfId="426" priority="4" operator="equal">
      <formula>0</formula>
    </cfRule>
    <cfRule type="containsBlanks" dxfId="425" priority="5">
      <formula>LEN(TRIM(Z12))=0</formula>
    </cfRule>
  </conditionalFormatting>
  <conditionalFormatting sqref="AB12:AC12">
    <cfRule type="cellIs" dxfId="424" priority="2" operator="equal">
      <formula>"-"</formula>
    </cfRule>
  </conditionalFormatting>
  <conditionalFormatting sqref="AB17:AC17">
    <cfRule type="cellIs" dxfId="42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660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1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0B5-5BA2-47D4-96CD-4376BC218BE7}">
  <sheetPr>
    <tabColor rgb="FF002060"/>
    <pageSetUpPr fitToPage="1"/>
  </sheetPr>
  <dimension ref="A1:AY48"/>
  <sheetViews>
    <sheetView showGridLines="0" topLeftCell="Z17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8.0213903743315509E-2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2427.1999999999998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2.645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584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35.761371127224791</v>
      </c>
      <c r="AJ15" s="432" t="s">
        <v>85</v>
      </c>
      <c r="AK15" s="432"/>
      <c r="AL15" s="453"/>
      <c r="AM15" s="340">
        <f>(H15+K15+N15)/(H15+K15+N15+P15+R15+V15)*100</f>
        <v>47.071583514099785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584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40.210942649967038</v>
      </c>
      <c r="AJ16" s="459" t="s">
        <v>87</v>
      </c>
      <c r="AK16" s="459"/>
      <c r="AL16" s="468"/>
      <c r="AM16" s="341">
        <f>(P15+R15+V15)/(H15+K15+N15+P15+R15+V15)*100</f>
        <v>52.928416485900222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584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75.972313777191829</v>
      </c>
      <c r="AJ17" s="442" t="s">
        <v>89</v>
      </c>
      <c r="AK17" s="442"/>
      <c r="AL17" s="443"/>
      <c r="AM17" s="342">
        <f>(C15+F15)/AB9*100</f>
        <v>16.479894528675018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260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650</v>
      </c>
      <c r="AK23" s="316">
        <v>2.645</v>
      </c>
      <c r="AL23" s="328">
        <f>ROUND(AJ23/AK23/(AJ23/AK23+AJ24/AK24+AJ25/AK25*AK30),3)</f>
        <v>0.82099999999999995</v>
      </c>
      <c r="AM23" s="329">
        <f>ROUND(AJ24/AK24/(AJ23/AK23+AJ24/AK24+AJ25/AK25*AK30),3)</f>
        <v>0.17899999999999999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150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580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0.57099999999999995</v>
      </c>
      <c r="AN26" s="329">
        <f>ROUND(AJ27/AK27/(AJ25/AK25*(1-AK30)+AJ26/AK26+AJ27/AK27+AJ28/AK28),3)</f>
        <v>0.41899999999999998</v>
      </c>
      <c r="AO26" s="330">
        <f>ROUND(AJ28/AK28/(AJ25/AK25*(1-AK30)+AJ26/AK26+AJ27/AK27+AJ28/AK28),3)</f>
        <v>0.01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400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0.5366501345357414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983.06726501833157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200</v>
      </c>
      <c r="AK29" s="321">
        <v>1</v>
      </c>
      <c r="AL29" s="544" t="s">
        <v>24</v>
      </c>
      <c r="AM29" s="545"/>
      <c r="AN29" s="546"/>
      <c r="AO29" s="334">
        <f>(1000-AO28)/1000</f>
        <v>1.6932734981668432E-2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0.54054054054054057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9.7297297297297292E-3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4.5493191238430324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1.0318727089839645</v>
      </c>
      <c r="AW41" s="184">
        <f t="shared" ref="AW41:AW48" si="6">SUM($C$15:$F$15)/AV41</f>
        <v>387.64471287728963</v>
      </c>
      <c r="AX41" s="185">
        <f>(C15/C14+F15/F14+H15/H14+K15/K14+N15/N14+P15/P14+R15/R14+V15/V14+X15/X14)/1000</f>
        <v>0.98492952650043997</v>
      </c>
      <c r="AY41" s="136">
        <f t="shared" ref="AY41:AY48" si="7">AV41/AX41</f>
        <v>1.0476614633031855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0.98492952650043997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0.98492952650043997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0.98492952650043997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0.98492952650043997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0.98492952650043997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0.98492952650043997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0.98492952650043997</v>
      </c>
      <c r="AY48" s="142" t="e">
        <f t="shared" si="7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22" priority="8" operator="equal">
      <formula>0</formula>
    </cfRule>
    <cfRule type="containsBlanks" dxfId="421" priority="9">
      <formula>LEN(TRIM(F12))=0</formula>
    </cfRule>
  </conditionalFormatting>
  <conditionalFormatting sqref="N12:Q17">
    <cfRule type="cellIs" dxfId="420" priority="6" operator="equal">
      <formula>0</formula>
    </cfRule>
    <cfRule type="containsBlanks" dxfId="419" priority="7">
      <formula>LEN(TRIM(N12))=0</formula>
    </cfRule>
  </conditionalFormatting>
  <conditionalFormatting sqref="Z12:AA17">
    <cfRule type="cellIs" dxfId="418" priority="3" operator="equal">
      <formula>"-"</formula>
    </cfRule>
  </conditionalFormatting>
  <conditionalFormatting sqref="Z12:AE17">
    <cfRule type="cellIs" dxfId="417" priority="4" operator="equal">
      <formula>0</formula>
    </cfRule>
    <cfRule type="containsBlanks" dxfId="416" priority="5">
      <formula>LEN(TRIM(Z12))=0</formula>
    </cfRule>
  </conditionalFormatting>
  <conditionalFormatting sqref="AB12:AC12">
    <cfRule type="cellIs" dxfId="415" priority="2" operator="equal">
      <formula>"-"</formula>
    </cfRule>
  </conditionalFormatting>
  <conditionalFormatting sqref="AB17:AC17">
    <cfRule type="cellIs" dxfId="41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89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9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7944-9E00-4918-8FE9-7FDDD30474D8}">
  <sheetPr>
    <tabColor rgb="FF002060"/>
    <pageSetUpPr fitToPage="1"/>
  </sheetPr>
  <dimension ref="A1:AY48"/>
  <sheetViews>
    <sheetView showGridLines="0" topLeftCell="Z17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662.70700422120683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322.29299577879317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8.0213903743315509E-2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2427.1999999999998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24.84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436.52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2.645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2.8</v>
      </c>
      <c r="S14" s="435"/>
      <c r="T14" s="435"/>
      <c r="U14" s="436"/>
      <c r="V14" s="437">
        <f>AK27</f>
        <v>2.63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584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828</v>
      </c>
      <c r="S15" s="448"/>
      <c r="T15" s="448"/>
      <c r="U15" s="449"/>
      <c r="V15" s="452">
        <f>ROUND((AF9*M8*V14),0)</f>
        <v>148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35.761371127224791</v>
      </c>
      <c r="AJ15" s="432" t="s">
        <v>85</v>
      </c>
      <c r="AK15" s="432"/>
      <c r="AL15" s="453"/>
      <c r="AM15" s="340">
        <f>(H15+K15+N15)/(H15+K15+N15+P15+R15+V15)*100</f>
        <v>47.071583514099785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584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828</v>
      </c>
      <c r="S16" s="466"/>
      <c r="T16" s="466"/>
      <c r="U16" s="467"/>
      <c r="V16" s="465">
        <f>V15*AB7/1000</f>
        <v>148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40.210942649967038</v>
      </c>
      <c r="AJ16" s="459" t="s">
        <v>87</v>
      </c>
      <c r="AK16" s="459"/>
      <c r="AL16" s="468"/>
      <c r="AM16" s="341">
        <f>(P15+R15+V15)/(H15+K15+N15+P15+R15+V15)*100</f>
        <v>52.928416485900222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584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828</v>
      </c>
      <c r="S17" s="462"/>
      <c r="T17" s="462"/>
      <c r="U17" s="463"/>
      <c r="V17" s="464">
        <f>ROUND((V16+(V16*(M9-AT46))),3)</f>
        <v>148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75.972313777191829</v>
      </c>
      <c r="AJ17" s="442" t="s">
        <v>89</v>
      </c>
      <c r="AK17" s="442"/>
      <c r="AL17" s="443"/>
      <c r="AM17" s="342">
        <f>(C15+F15)/AB9*100</f>
        <v>16.479894528675018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260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410</v>
      </c>
      <c r="AK23" s="316">
        <v>2.645</v>
      </c>
      <c r="AL23" s="328">
        <f>ROUND(AJ23/AK23/(AJ23/AK23+AJ24/AK24+AJ25/AK25*AK30),3)</f>
        <v>0.61599999999999999</v>
      </c>
      <c r="AM23" s="329">
        <f>ROUND(AJ24/AK24/(AJ23/AK23+AJ24/AK24+AJ25/AK25*AK30),3)</f>
        <v>0.38400000000000001</v>
      </c>
      <c r="AN23" s="329">
        <f>ROUND(AJ25/AK25*AK30/(AJ23/AK23+AJ24/AK24+AJ25/AK25*AK30),3)</f>
        <v>0</v>
      </c>
      <c r="AO23" s="331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270</v>
      </c>
      <c r="AK24" s="317">
        <v>2.8</v>
      </c>
      <c r="AL24" s="488" t="s">
        <v>21</v>
      </c>
      <c r="AM24" s="489"/>
      <c r="AN24" s="489"/>
      <c r="AO24" s="490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490</v>
      </c>
      <c r="AK26" s="317">
        <v>2.8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0.53500000000000003</v>
      </c>
      <c r="AN26" s="329">
        <f>ROUND(AJ27/AK27/(AJ25/AK25*(1-AK30)+AJ26/AK26+AJ27/AK27+AJ28/AK28),3)</f>
        <v>0.45400000000000001</v>
      </c>
      <c r="AO26" s="330">
        <f>ROUND(AJ28/AK28/(AJ25/AK25*(1-AK30)+AJ26/AK26+AJ27/AK27+AJ28/AK28),3)</f>
        <v>1.0999999999999999E-2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390</v>
      </c>
      <c r="AK27" s="317">
        <v>2.63</v>
      </c>
      <c r="AL27" s="491" t="s">
        <v>25</v>
      </c>
      <c r="AM27" s="492"/>
      <c r="AN27" s="493"/>
      <c r="AO27" s="332">
        <f>(AJ21/AK21+AJ22/AK22+AJ23/AK23+AJ24/AK24+(AJ25*AK30)/AK25)/(AJ21/AK21+AJ22/AK22+AJ23/AK23+AJ24/AK24+AJ25/AK25+AJ26/AK26+AJ27/AK27+AJ28/AK28)</f>
        <v>0.53897349954679419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3.6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914.0459508568091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205</v>
      </c>
      <c r="AK29" s="321">
        <v>1</v>
      </c>
      <c r="AL29" s="544" t="s">
        <v>24</v>
      </c>
      <c r="AM29" s="545"/>
      <c r="AN29" s="546"/>
      <c r="AO29" s="334">
        <f>(1000-AO28)/1000</f>
        <v>8.5954049143190894E-2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0.51249999999999996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9.0000000000000011E-3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4.5493191238430324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1.0318727089839645</v>
      </c>
      <c r="AW41" s="184">
        <f t="shared" ref="AW41:AW48" si="6">SUM($C$15:$F$15)/AV41</f>
        <v>387.64471287728963</v>
      </c>
      <c r="AX41" s="185">
        <f>(C15/C14+F15/F14+H15/H14+K15/K14+N15/N14+P15/P14+R15/R14+V15/V14+X15/X14)/1000</f>
        <v>0.98492952650043997</v>
      </c>
      <c r="AY41" s="136">
        <f t="shared" ref="AY41:AY48" si="7">AV41/AX41</f>
        <v>1.0476614633031855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0.98492952650043997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0.98492952650043997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0.98492952650043997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0.98492952650043997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1/2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0.98492952650043997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0.98492952650043997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0.98492952650043997</v>
      </c>
      <c r="AY48" s="142" t="e">
        <f t="shared" si="7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13" priority="8" operator="equal">
      <formula>0</formula>
    </cfRule>
    <cfRule type="containsBlanks" dxfId="412" priority="9">
      <formula>LEN(TRIM(F12))=0</formula>
    </cfRule>
  </conditionalFormatting>
  <conditionalFormatting sqref="N12:Q17">
    <cfRule type="cellIs" dxfId="411" priority="6" operator="equal">
      <formula>0</formula>
    </cfRule>
    <cfRule type="containsBlanks" dxfId="410" priority="7">
      <formula>LEN(TRIM(N12))=0</formula>
    </cfRule>
  </conditionalFormatting>
  <conditionalFormatting sqref="Z12:AA17">
    <cfRule type="cellIs" dxfId="409" priority="3" operator="equal">
      <formula>"-"</formula>
    </cfRule>
  </conditionalFormatting>
  <conditionalFormatting sqref="Z12:AE17">
    <cfRule type="cellIs" dxfId="408" priority="4" operator="equal">
      <formula>0</formula>
    </cfRule>
    <cfRule type="containsBlanks" dxfId="407" priority="5">
      <formula>LEN(TRIM(Z12))=0</formula>
    </cfRule>
  </conditionalFormatting>
  <conditionalFormatting sqref="AB12:AC12">
    <cfRule type="cellIs" dxfId="406" priority="2" operator="equal">
      <formula>"-"</formula>
    </cfRule>
  </conditionalFormatting>
  <conditionalFormatting sqref="AB17:AC17">
    <cfRule type="cellIs" dxfId="40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92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BC7A-0BAD-43C8-B4A2-3E7A3EA800F8}">
  <sheetPr>
    <tabColor rgb="FF002060"/>
    <pageSetUpPr fitToPage="1"/>
  </sheetPr>
  <dimension ref="A1:AY48"/>
  <sheetViews>
    <sheetView showGridLines="0" topLeftCell="Y19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662.7879197656074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322.2120802343926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7.8774617067833702E-2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2468.1999999999998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25.74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437.34000000000003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2.9</v>
      </c>
      <c r="S14" s="435"/>
      <c r="T14" s="435"/>
      <c r="U14" s="436"/>
      <c r="V14" s="437">
        <f>AK27</f>
        <v>2.9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580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858</v>
      </c>
      <c r="S15" s="448"/>
      <c r="T15" s="448"/>
      <c r="U15" s="449"/>
      <c r="V15" s="452">
        <f>ROUND((AF9*M8*V14),0)</f>
        <v>163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35.005266996191558</v>
      </c>
      <c r="AJ15" s="432" t="s">
        <v>85</v>
      </c>
      <c r="AK15" s="432"/>
      <c r="AL15" s="453"/>
      <c r="AM15" s="340">
        <f>(H15+K15+N15)/(H15+K15+N15+P15+R15+V15)*100</f>
        <v>45.835543766578255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580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858</v>
      </c>
      <c r="S16" s="466"/>
      <c r="T16" s="466"/>
      <c r="U16" s="467"/>
      <c r="V16" s="465">
        <f>V15*AB7/1000</f>
        <v>163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41.366177781379143</v>
      </c>
      <c r="AJ16" s="459" t="s">
        <v>87</v>
      </c>
      <c r="AK16" s="459"/>
      <c r="AL16" s="468"/>
      <c r="AM16" s="341">
        <f>(P15+R15+V15)/(H15+K15+N15+P15+R15+V15)*100</f>
        <v>54.164456233421753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580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858</v>
      </c>
      <c r="S17" s="462"/>
      <c r="T17" s="462"/>
      <c r="U17" s="463"/>
      <c r="V17" s="464">
        <f>ROUND((V16+(V16*(M9-AT46))),3)</f>
        <v>163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76.371444777570701</v>
      </c>
      <c r="AJ17" s="442" t="s">
        <v>89</v>
      </c>
      <c r="AK17" s="442"/>
      <c r="AL17" s="443"/>
      <c r="AM17" s="342">
        <f>(C15+F15)/AB9*100</f>
        <v>16.206142127866464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820</v>
      </c>
      <c r="AK23" s="316">
        <v>2.63</v>
      </c>
      <c r="AL23" s="328">
        <f>ROUND(AJ23/AK23/(AJ23/AK23+AJ24/AK24+AJ25/AK25*AK30),3)</f>
        <v>0.92600000000000005</v>
      </c>
      <c r="AM23" s="329">
        <f>ROUND(AJ24/AK24/(AJ23/AK23+AJ24/AK24+AJ25/AK25*AK30),3)</f>
        <v>7.3999999999999996E-2</v>
      </c>
      <c r="AN23" s="329">
        <f>ROUND(AJ25/AK25*AK30/(AJ23/AK23+AJ24/AK24+AJ25/AK25*AK30),3)</f>
        <v>0</v>
      </c>
      <c r="AO23" s="331"/>
      <c r="AQ23">
        <f t="shared" si="3"/>
        <v>6.5600000000000005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70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0.56000000000000005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</v>
      </c>
      <c r="AN26" s="329">
        <f>ROUND(AJ27/AK27/(AJ25/AK25*(1-AK30)+AJ26/AK26+AJ27/AK27+AJ28/AK28),3)</f>
        <v>0.99099999999999999</v>
      </c>
      <c r="AO26" s="330">
        <f>ROUND(AJ28/AK28/(AJ25/AK25*(1-AK30)+AJ26/AK26+AJ27/AK27+AJ28/AK28),3)</f>
        <v>8.9999999999999993E-3</v>
      </c>
      <c r="AQ26">
        <f t="shared" si="3"/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950</v>
      </c>
      <c r="AK27" s="317">
        <v>2.9</v>
      </c>
      <c r="AL27" s="491" t="s">
        <v>25</v>
      </c>
      <c r="AM27" s="492"/>
      <c r="AN27" s="493"/>
      <c r="AO27" s="332" cm="1">
        <f t="array" ref="AO27">(SUMPRODUCT(AJ21:AJ24,1/AK21:AK24) + AJ25*AK30/AK25) / SUMPRODUCT(AJ21:AJ28,1/AK21:AK28)</f>
        <v>0.58235919178597506</v>
      </c>
      <c r="AQ27">
        <f t="shared" si="3"/>
        <v>7.6000000000000005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>
        <f>SUM(AJ21/AK21+AJ22/AK22+AJ23/AK23+AJ24/AK24+AJ25/AK25+AJ26/AK26+AJ27/AK27+AJ28/AK28+AJ29/AK29)</f>
        <v>981.5562856758454</v>
      </c>
      <c r="AQ28">
        <f t="shared" si="3"/>
        <v>2.4E-2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1.8443714324154599E-2</v>
      </c>
      <c r="AQ29">
        <f t="shared" si="3"/>
        <v>1.52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7.8947368421052634E-3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6.1541590340409735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1.0493260015039076</v>
      </c>
      <c r="AW41" s="184">
        <f t="shared" ref="AW41:AW48" si="7">SUM($C$15:$F$15)/AV41</f>
        <v>381.19707262253564</v>
      </c>
      <c r="AX41" s="185">
        <f>(C15/C14+F15/F14+H15/H14+K15/K14+N15/N14+P15/P14+R15/R14+V15/V14+X15/X14)/1000</f>
        <v>0.98474881058581387</v>
      </c>
      <c r="AY41" s="136">
        <f t="shared" ref="AY41:AY48" si="8">AV41/AX41</f>
        <v>1.0655773230938737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0.98474881058581387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0.98474881058581387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0.98474881058581387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0.98474881058581387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0.98474881058581387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0.98474881058581387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0.98474881058581387</v>
      </c>
      <c r="AY48" s="142" t="e">
        <f t="shared" si="8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04" priority="8" operator="equal">
      <formula>0</formula>
    </cfRule>
    <cfRule type="containsBlanks" dxfId="403" priority="9">
      <formula>LEN(TRIM(F12))=0</formula>
    </cfRule>
  </conditionalFormatting>
  <conditionalFormatting sqref="N12:Q17">
    <cfRule type="cellIs" dxfId="402" priority="6" operator="equal">
      <formula>0</formula>
    </cfRule>
    <cfRule type="containsBlanks" dxfId="401" priority="7">
      <formula>LEN(TRIM(N12))=0</formula>
    </cfRule>
  </conditionalFormatting>
  <conditionalFormatting sqref="Z12:AA17">
    <cfRule type="cellIs" dxfId="400" priority="3" operator="equal">
      <formula>"-"</formula>
    </cfRule>
  </conditionalFormatting>
  <conditionalFormatting sqref="Z12:AE17">
    <cfRule type="cellIs" dxfId="399" priority="4" operator="equal">
      <formula>0</formula>
    </cfRule>
    <cfRule type="containsBlanks" dxfId="398" priority="5">
      <formula>LEN(TRIM(Z12))=0</formula>
    </cfRule>
  </conditionalFormatting>
  <conditionalFormatting sqref="AB12:AC12">
    <cfRule type="cellIs" dxfId="397" priority="2" operator="equal">
      <formula>"-"</formula>
    </cfRule>
  </conditionalFormatting>
  <conditionalFormatting sqref="AB17:AC17">
    <cfRule type="cellIs" dxfId="39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94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4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793C-F9CB-43DA-8206-83F2E7D813B5}">
  <sheetPr>
    <tabColor rgb="FF002060"/>
    <pageSetUpPr fitToPage="1"/>
  </sheetPr>
  <dimension ref="A1:AY48"/>
  <sheetViews>
    <sheetView showGridLines="0" topLeftCell="AH19" zoomScale="145" zoomScaleNormal="145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662.7879197656074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0.45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8.0000000000000002E-3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322.2120802343926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</v>
      </c>
      <c r="E8" s="26">
        <v>0.68500000000000005</v>
      </c>
      <c r="F8" s="27">
        <v>0.315</v>
      </c>
      <c r="G8" s="406">
        <f>AN23</f>
        <v>0</v>
      </c>
      <c r="H8" s="407"/>
      <c r="I8" s="408">
        <f>AL26</f>
        <v>0</v>
      </c>
      <c r="J8" s="409"/>
      <c r="K8" s="410">
        <v>0.84</v>
      </c>
      <c r="L8" s="411"/>
      <c r="M8" s="410">
        <v>0.16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0.5625</v>
      </c>
      <c r="Y8" s="248" t="s">
        <v>55</v>
      </c>
      <c r="Z8" s="271"/>
      <c r="AA8" s="272"/>
      <c r="AB8" s="413">
        <f>X15/SUM(C15:V15)</f>
        <v>7.8774617067833702E-2</v>
      </c>
      <c r="AC8" s="413"/>
      <c r="AD8" s="413"/>
      <c r="AE8" s="414"/>
      <c r="AF8" s="38">
        <f>ROUND((1000-(1000*X9)-X15),2)</f>
        <v>805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2468.1999999999998</v>
      </c>
      <c r="AC9" s="396"/>
      <c r="AD9" s="396"/>
      <c r="AE9" s="397"/>
      <c r="AF9" s="38">
        <f>AF8*(1-X8)</f>
        <v>352.1875</v>
      </c>
      <c r="AI9" s="173">
        <f>AI8*C15</f>
        <v>400</v>
      </c>
      <c r="AJ9" s="174">
        <f>AJ8*F15</f>
        <v>0</v>
      </c>
      <c r="AK9" s="175">
        <f>AK8*H15</f>
        <v>11.6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25.74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437.34000000000003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223</v>
      </c>
      <c r="I12" s="421"/>
      <c r="J12" s="422"/>
      <c r="K12" s="423" t="s">
        <v>224</v>
      </c>
      <c r="L12" s="421"/>
      <c r="M12" s="422"/>
      <c r="N12" s="423"/>
      <c r="O12" s="422"/>
      <c r="P12" s="423"/>
      <c r="Q12" s="422"/>
      <c r="R12" s="423" t="s">
        <v>224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236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83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>
        <v>4005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f>AK26</f>
        <v>2.9</v>
      </c>
      <c r="S14" s="435"/>
      <c r="T14" s="435"/>
      <c r="U14" s="436"/>
      <c r="V14" s="437">
        <f>AK27</f>
        <v>2.9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0</v>
      </c>
      <c r="G15" s="451"/>
      <c r="H15" s="452">
        <f>ROUND((AF7*E8*H14),0)</f>
        <v>580</v>
      </c>
      <c r="I15" s="448"/>
      <c r="J15" s="449"/>
      <c r="K15" s="452">
        <f>ROUND((AF7*F8*K14),0)</f>
        <v>284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858</v>
      </c>
      <c r="S15" s="448"/>
      <c r="T15" s="448"/>
      <c r="U15" s="449"/>
      <c r="V15" s="452">
        <f>ROUND((AF9*M8*V14),0)</f>
        <v>163</v>
      </c>
      <c r="W15" s="449"/>
      <c r="X15" s="347">
        <v>180</v>
      </c>
      <c r="Y15" s="284">
        <f>ROUND(Q7*(C15+F15),3)</f>
        <v>3.2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35.005266996191558</v>
      </c>
      <c r="AJ15" s="432" t="s">
        <v>85</v>
      </c>
      <c r="AK15" s="432"/>
      <c r="AL15" s="453"/>
      <c r="AM15" s="340">
        <f>(H15+K15+N15)/(H15+K15+N15+P15+R15+V15)*100</f>
        <v>45.835543766578255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0</v>
      </c>
      <c r="G16" s="439"/>
      <c r="H16" s="465">
        <f>H15*AB7/1000</f>
        <v>580</v>
      </c>
      <c r="I16" s="466"/>
      <c r="J16" s="467"/>
      <c r="K16" s="465">
        <f>K15*AB7/1000</f>
        <v>284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858</v>
      </c>
      <c r="S16" s="466"/>
      <c r="T16" s="466"/>
      <c r="U16" s="467"/>
      <c r="V16" s="465">
        <f>V15*AB7/1000</f>
        <v>163</v>
      </c>
      <c r="W16" s="467"/>
      <c r="X16" s="285">
        <f>X15*AB7/1000</f>
        <v>180</v>
      </c>
      <c r="Y16" s="286">
        <f>Y15*AB7</f>
        <v>3200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41.366177781379143</v>
      </c>
      <c r="AJ16" s="459" t="s">
        <v>87</v>
      </c>
      <c r="AK16" s="459"/>
      <c r="AL16" s="468"/>
      <c r="AM16" s="341">
        <f>(P15+R15+V15)/(H15+K15+N15+P15+R15+V15)*100</f>
        <v>54.164456233421753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0</v>
      </c>
      <c r="G17" s="441"/>
      <c r="H17" s="464">
        <f>H16*(1+E9-AT41)</f>
        <v>580</v>
      </c>
      <c r="I17" s="462"/>
      <c r="J17" s="463"/>
      <c r="K17" s="464">
        <f>ROUND((K16+(K16*(F9-AT42))),3)</f>
        <v>284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858</v>
      </c>
      <c r="S17" s="462"/>
      <c r="T17" s="462"/>
      <c r="U17" s="463"/>
      <c r="V17" s="464">
        <f>ROUND((V16+(V16*(M9-AT46))),3)</f>
        <v>163</v>
      </c>
      <c r="W17" s="463"/>
      <c r="X17" s="287">
        <f>ROUND(X16-((H17-H16)+(K17-K16)+(N17-N16)+(P17-P16)+(R17-R16)+(V17-V16)),3)</f>
        <v>180</v>
      </c>
      <c r="Y17" s="288">
        <f>Y16/Y14</f>
        <v>2935.779816513761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76.371444777570701</v>
      </c>
      <c r="AJ17" s="442" t="s">
        <v>89</v>
      </c>
      <c r="AK17" s="442"/>
      <c r="AL17" s="443"/>
      <c r="AM17" s="342">
        <f>(C15+F15)/AB9*100</f>
        <v>16.206142127866464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180</v>
      </c>
      <c r="Y21" s="282">
        <f>IF(X21="","",(X21/(SUM($C$15:$G$15))))</f>
        <v>0.45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180</v>
      </c>
      <c r="Y22" s="282">
        <f t="shared" ref="Y22:Y27" si="2">IF(X22="","",(X22/(SUM($C$15:$G$15))))</f>
        <v>0.45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180</v>
      </c>
      <c r="Y23" s="282">
        <f t="shared" si="2"/>
        <v>0.45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820</v>
      </c>
      <c r="AK23" s="316">
        <v>2.63</v>
      </c>
      <c r="AL23" s="328">
        <f>ROUND(AJ23/AK23/(AJ23/AK23+AJ24/AK24+AJ25/AK25*AK30),3)</f>
        <v>0.92600000000000005</v>
      </c>
      <c r="AM23" s="329">
        <f>ROUND(AJ24/AK24/(AJ23/AK23+AJ24/AK24+AJ25/AK25*AK30),3)</f>
        <v>7.3999999999999996E-2</v>
      </c>
      <c r="AN23" s="329">
        <f>ROUND(AJ25/AK25*AK30/(AJ23/AK23+AJ24/AK24+AJ25/AK25*AK30),3)</f>
        <v>0</v>
      </c>
      <c r="AO23" s="331"/>
      <c r="AQ23">
        <f t="shared" si="3"/>
        <v>6.5600000000000005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180</v>
      </c>
      <c r="Y24" s="282">
        <f t="shared" si="2"/>
        <v>0.45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70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0.56000000000000005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180</v>
      </c>
      <c r="Y25" s="282">
        <f t="shared" si="2"/>
        <v>0.45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180</v>
      </c>
      <c r="Y26" s="282">
        <f t="shared" si="2"/>
        <v>0.45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</v>
      </c>
      <c r="AN26" s="329">
        <f>ROUND(AJ27/AK27/(AJ25/AK25*(1-AK30)+AJ26/AK26+AJ27/AK27+AJ28/AK28),3)</f>
        <v>0.99099999999999999</v>
      </c>
      <c r="AO26" s="330">
        <f>ROUND(AJ28/AK28/(AJ25/AK25*(1-AK30)+AJ26/AK26+AJ27/AK27+AJ28/AK28),3)</f>
        <v>8.9999999999999993E-3</v>
      </c>
      <c r="AQ26">
        <f t="shared" si="3"/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180</v>
      </c>
      <c r="Y27" s="282">
        <f t="shared" si="2"/>
        <v>0.45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950</v>
      </c>
      <c r="AK27" s="317">
        <v>2.9</v>
      </c>
      <c r="AL27" s="491" t="s">
        <v>25</v>
      </c>
      <c r="AM27" s="492"/>
      <c r="AN27" s="493"/>
      <c r="AO27" s="332" cm="1">
        <f t="array" ref="AO27">(SUMPRODUCT(AJ21:AJ24,1/AK21:AK24) + AJ25*AK30/AK25) / SUMPRODUCT(AJ21:AJ28,1/AK21:AK28)</f>
        <v>0.58235919178597506</v>
      </c>
      <c r="AQ27">
        <f t="shared" si="3"/>
        <v>7.6000000000000005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981.5562856758454</v>
      </c>
      <c r="AQ28">
        <f t="shared" si="3"/>
        <v>2.4E-2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1.8443714324154599E-2</v>
      </c>
      <c r="AQ29">
        <f t="shared" si="3"/>
        <v>1.52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7.8947368421052634E-3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6.1541590340409735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1.0493260015039076</v>
      </c>
      <c r="AW41" s="184">
        <f t="shared" ref="AW41:AW48" si="7">SUM($C$15:$F$15)/AV41</f>
        <v>381.19707262253564</v>
      </c>
      <c r="AX41" s="185">
        <f>(C15/C14+F15/F14+H15/H14+K15/K14+N15/N14+P15/P14+R15/R14+V15/V14+X15/X14)/1000</f>
        <v>0.98474881058581387</v>
      </c>
      <c r="AY41" s="136">
        <f t="shared" ref="AY41:AY48" si="8">AV41/AX41</f>
        <v>1.0655773230938737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0.98474881058581387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0.98474881058581387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0.98474881058581387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0.98474881058581387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0.98474881058581387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0.98474881058581387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0.98474881058581387</v>
      </c>
      <c r="AY48" s="142" t="e">
        <f t="shared" si="8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95" priority="8" operator="equal">
      <formula>0</formula>
    </cfRule>
    <cfRule type="containsBlanks" dxfId="394" priority="9">
      <formula>LEN(TRIM(F12))=0</formula>
    </cfRule>
  </conditionalFormatting>
  <conditionalFormatting sqref="N12:Q17">
    <cfRule type="cellIs" dxfId="393" priority="6" operator="equal">
      <formula>0</formula>
    </cfRule>
    <cfRule type="containsBlanks" dxfId="392" priority="7">
      <formula>LEN(TRIM(N12))=0</formula>
    </cfRule>
  </conditionalFormatting>
  <conditionalFormatting sqref="Z12:AA17">
    <cfRule type="cellIs" dxfId="391" priority="3" operator="equal">
      <formula>"-"</formula>
    </cfRule>
  </conditionalFormatting>
  <conditionalFormatting sqref="Z12:AE17">
    <cfRule type="cellIs" dxfId="390" priority="4" operator="equal">
      <formula>0</formula>
    </cfRule>
    <cfRule type="containsBlanks" dxfId="389" priority="5">
      <formula>LEN(TRIM(Z12))=0</formula>
    </cfRule>
  </conditionalFormatting>
  <conditionalFormatting sqref="AB12:AC12">
    <cfRule type="cellIs" dxfId="388" priority="2" operator="equal">
      <formula>"-"</formula>
    </cfRule>
  </conditionalFormatting>
  <conditionalFormatting sqref="AB17:AC17">
    <cfRule type="cellIs" dxfId="38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85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3AA1-D3F0-4943-A117-26E28C945267}">
  <sheetPr>
    <tabColor rgb="FF002060"/>
    <pageSetUpPr fitToPage="1"/>
  </sheetPr>
  <dimension ref="A1:AY48"/>
  <sheetViews>
    <sheetView showGridLines="0" topLeftCell="V12" zoomScaleNormal="10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9.1575091575091569E-2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2387.6999999999998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143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35.473468191146296</v>
      </c>
      <c r="AJ15" s="432" t="s">
        <v>85</v>
      </c>
      <c r="AK15" s="432"/>
      <c r="AL15" s="453"/>
      <c r="AM15" s="340">
        <f>(H15+K15+N15)/(H15+K15+N15+P15+R15+V15)*100</f>
        <v>46.692392502756341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143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40.49922519579512</v>
      </c>
      <c r="AJ16" s="459" t="s">
        <v>87</v>
      </c>
      <c r="AK16" s="459"/>
      <c r="AL16" s="468"/>
      <c r="AM16" s="341">
        <f>(P15+R15+V15)/(H15+K15+N15+P15+R15+V15)*100</f>
        <v>53.307607497243659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143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75.972693386941415</v>
      </c>
      <c r="AJ17" s="442" t="s">
        <v>89</v>
      </c>
      <c r="AK17" s="442"/>
      <c r="AL17" s="443"/>
      <c r="AM17" s="342">
        <f>(C15+F15)/AB9*100</f>
        <v>15.496084097667213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770</v>
      </c>
      <c r="AK23" s="316">
        <v>2.63</v>
      </c>
      <c r="AL23" s="328">
        <f>ROUND(AJ23/AK23/(AJ23/AK23+AJ24/AK24+AJ25/AK25*AK30),3)</f>
        <v>0.85799999999999998</v>
      </c>
      <c r="AM23" s="329">
        <f>ROUND(AJ24/AK24/(AJ23/AK23+AJ24/AK24+AJ25/AK25*AK30),3)</f>
        <v>0.14199999999999999</v>
      </c>
      <c r="AN23" s="329">
        <f>ROUND(AJ25/AK25*AK30/(AJ23/AK23+AJ24/AK24+AJ25/AK25*AK30),3)</f>
        <v>0</v>
      </c>
      <c r="AO23" s="331"/>
      <c r="AQ23">
        <f t="shared" si="3"/>
        <v>6.16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136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1.0880000000000001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</v>
      </c>
      <c r="AN26" s="329">
        <f>ROUND(AJ27/AK27/(AJ25/AK25*(1-AK30)+AJ26/AK26+AJ27/AK27+AJ28/AK28),3)</f>
        <v>0.98899999999999999</v>
      </c>
      <c r="AO26" s="330">
        <f>ROUND(AJ28/AK28/(AJ25/AK25*(1-AK30)+AJ26/AK26+AJ27/AK27+AJ28/AK28),3)</f>
        <v>1.0999999999999999E-2</v>
      </c>
      <c r="AQ26">
        <f t="shared" si="3"/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917</v>
      </c>
      <c r="AK27" s="317">
        <v>2.9</v>
      </c>
      <c r="AL27" s="491" t="s">
        <v>25</v>
      </c>
      <c r="AM27" s="492"/>
      <c r="AN27" s="493"/>
      <c r="AO27" s="332" cm="1">
        <f t="array" ref="AO27">(SUMPRODUCT(AJ21:AJ24,1/AK21:AK24) + AJ25*AK30/AK25) / SUMPRODUCT(AJ21:AJ28,1/AK21:AK28)-0.01</f>
        <v>0.58122706352685549</v>
      </c>
      <c r="AQ27">
        <f t="shared" si="3"/>
        <v>7.3360000000000003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986.86902320213085</v>
      </c>
      <c r="AQ28">
        <f t="shared" si="3"/>
        <v>2.7199999999999998E-2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205</v>
      </c>
      <c r="AK29" s="321">
        <v>1</v>
      </c>
      <c r="AL29" s="544" t="s">
        <v>24</v>
      </c>
      <c r="AM29" s="545"/>
      <c r="AN29" s="546"/>
      <c r="AO29" s="334">
        <f>(1000-AO28)/1000</f>
        <v>1.3130976797869152E-2</v>
      </c>
      <c r="AQ29">
        <f t="shared" si="3"/>
        <v>1.6400000000000001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0.55405405405405406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9.189189189189189E-3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2.9384675415395911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1.0148451065254833</v>
      </c>
      <c r="AW41" s="184">
        <f t="shared" ref="AW41:AW48" si="7">SUM($C$15:$F$15)/AV41</f>
        <v>364.58765738819579</v>
      </c>
      <c r="AX41" s="185">
        <f>(C15/C14+F15/F14+H15/H14+K15/K14+N15/N14+P15/P14+R15/R14+V15/V14+X15/X14)/1000</f>
        <v>0.98502421247332905</v>
      </c>
      <c r="AY41" s="136">
        <f t="shared" ref="AY41:AY48" si="8">AV41/AX41</f>
        <v>1.0302742751645424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0.98502421247332905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0.98502421247332905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0.98502421247332905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0.98502421247332905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0.98502421247332905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0.98502421247332905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0.98502421247332905</v>
      </c>
      <c r="AY48" s="142" t="e">
        <f t="shared" si="8"/>
        <v>#DIV/0!</v>
      </c>
    </row>
  </sheetData>
  <sheetProtection selectLockedCells="1" autoFilter="0" pivotTables="0"/>
  <mergeCells count="184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86" priority="8" operator="equal">
      <formula>0</formula>
    </cfRule>
    <cfRule type="containsBlanks" dxfId="385" priority="9">
      <formula>LEN(TRIM(F12))=0</formula>
    </cfRule>
  </conditionalFormatting>
  <conditionalFormatting sqref="N12:Q17">
    <cfRule type="cellIs" dxfId="384" priority="6" operator="equal">
      <formula>0</formula>
    </cfRule>
    <cfRule type="containsBlanks" dxfId="383" priority="7">
      <formula>LEN(TRIM(N12))=0</formula>
    </cfRule>
  </conditionalFormatting>
  <conditionalFormatting sqref="Z12:AA17">
    <cfRule type="cellIs" dxfId="382" priority="3" operator="equal">
      <formula>"-"</formula>
    </cfRule>
  </conditionalFormatting>
  <conditionalFormatting sqref="Z12:AE17">
    <cfRule type="cellIs" dxfId="381" priority="4" operator="equal">
      <formula>0</formula>
    </cfRule>
    <cfRule type="containsBlanks" dxfId="380" priority="5">
      <formula>LEN(TRIM(Z12))=0</formula>
    </cfRule>
  </conditionalFormatting>
  <conditionalFormatting sqref="AB12:AC12">
    <cfRule type="cellIs" dxfId="379" priority="2" operator="equal">
      <formula>"-"</formula>
    </cfRule>
  </conditionalFormatting>
  <conditionalFormatting sqref="AB17:AC17">
    <cfRule type="cellIs" dxfId="37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316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7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09BF-D783-4328-B01F-2286138C16B9}">
  <sheetPr>
    <tabColor rgb="FF002060"/>
    <pageSetUpPr fitToPage="1"/>
  </sheetPr>
  <dimension ref="A1:AY48"/>
  <sheetViews>
    <sheetView showGridLines="0" topLeftCell="N9" zoomScale="70" zoomScaleNormal="70" workbookViewId="0">
      <selection activeCell="AJ16" sqref="AJ16:AL16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9.1575091575091569E-2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2387.6999999999998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143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35.473468191146296</v>
      </c>
      <c r="AJ15" s="432" t="s">
        <v>85</v>
      </c>
      <c r="AK15" s="432"/>
      <c r="AL15" s="453"/>
      <c r="AM15" s="340">
        <f>(H15+K15+N15)/(H15+K15+N15+P15+R15+V15)*100</f>
        <v>46.692392502756341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143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40.49922519579512</v>
      </c>
      <c r="AJ16" s="459" t="s">
        <v>87</v>
      </c>
      <c r="AK16" s="459"/>
      <c r="AL16" s="468"/>
      <c r="AM16" s="341">
        <f>(P15+R15+V15)/(H15+K15+N15+P15+R15+V15)*100</f>
        <v>53.307607497243659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143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75.972693386941415</v>
      </c>
      <c r="AJ17" s="442" t="s">
        <v>89</v>
      </c>
      <c r="AK17" s="442"/>
      <c r="AL17" s="443"/>
      <c r="AM17" s="342">
        <f>(C15+F15)/AB9*100</f>
        <v>15.496084097667213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261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0.84199999999999997</v>
      </c>
      <c r="AM23" s="329">
        <f>ROUND(AJ24/AK24/(AJ23/AK23+AJ24/AK24+AJ25/AK25*AK30),3)</f>
        <v>0.158</v>
      </c>
      <c r="AN23" s="329">
        <f>ROUND(AJ25/AK25*AK30/(AJ23/AK23+AJ24/AK24+AJ25/AK25*AK30),3)</f>
        <v>0</v>
      </c>
      <c r="AO23" s="331"/>
      <c r="AQ23">
        <f t="shared" si="3"/>
        <v>5.6000000000000005</v>
      </c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140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1.1200000000000001</v>
      </c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</v>
      </c>
      <c r="AN26" s="329">
        <f>ROUND(AJ27/AK27/(AJ25/AK25*(1-AK30)+AJ26/AK26+AJ27/AK27+AJ28/AK28),3)</f>
        <v>0.99</v>
      </c>
      <c r="AO26" s="330">
        <f>ROUND(AJ28/AK28/(AJ25/AK25*(1-AK30)+AJ26/AK26+AJ27/AK27+AJ28/AK28),3)</f>
        <v>0.01</v>
      </c>
      <c r="AQ26">
        <f t="shared" si="3"/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980</v>
      </c>
      <c r="AK27" s="317">
        <v>2.9</v>
      </c>
      <c r="AL27" s="491" t="s">
        <v>25</v>
      </c>
      <c r="AM27" s="492"/>
      <c r="AN27" s="493"/>
      <c r="AO27" s="332" cm="1">
        <f t="array" ref="AO27">(SUMPRODUCT(AJ21:AJ24,1/AK21:AK24) + AJ25*AK30/AK25) / SUMPRODUCT(AJ21:AJ28,1/AK21:AK28)-0.01</f>
        <v>0.55142773667362621</v>
      </c>
      <c r="AQ27">
        <f t="shared" si="3"/>
        <v>7.84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978.50576297998771</v>
      </c>
      <c r="AQ28">
        <f t="shared" si="3"/>
        <v>2.8000000000000001E-2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200</v>
      </c>
      <c r="AK29" s="321">
        <v>1</v>
      </c>
      <c r="AL29" s="544" t="s">
        <v>24</v>
      </c>
      <c r="AM29" s="545"/>
      <c r="AN29" s="546"/>
      <c r="AO29" s="334">
        <f>(1000-AO28)/1000</f>
        <v>2.1494237020012293E-2</v>
      </c>
      <c r="AQ29">
        <f t="shared" si="3"/>
        <v>1.6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0.54054054054054057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9.45945945945946E-3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2.9384675415395911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1.0148451065254833</v>
      </c>
      <c r="AW41" s="184">
        <f t="shared" ref="AW41:AW48" si="7">SUM($C$15:$F$15)/AV41</f>
        <v>364.58765738819579</v>
      </c>
      <c r="AX41" s="185">
        <f>(C15/C14+F15/F14+H15/H14+K15/K14+N15/N14+P15/P14+R15/R14+V15/V14+X15/X14)/1000</f>
        <v>0.98502421247332905</v>
      </c>
      <c r="AY41" s="136">
        <f t="shared" ref="AY41:AY48" si="8">AV41/AX41</f>
        <v>1.0302742751645424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0.98502421247332905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0.98502421247332905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0.98502421247332905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0.98502421247332905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0.98502421247332905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0.98502421247332905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0.98502421247332905</v>
      </c>
      <c r="AY48" s="142" t="e">
        <f t="shared" si="8"/>
        <v>#DIV/0!</v>
      </c>
    </row>
  </sheetData>
  <sheetProtection selectLockedCells="1" autoFilter="0" pivotTables="0"/>
  <mergeCells count="184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77" priority="8" operator="equal">
      <formula>0</formula>
    </cfRule>
    <cfRule type="containsBlanks" dxfId="376" priority="9">
      <formula>LEN(TRIM(F12))=0</formula>
    </cfRule>
  </conditionalFormatting>
  <conditionalFormatting sqref="N12:Q17">
    <cfRule type="cellIs" dxfId="375" priority="6" operator="equal">
      <formula>0</formula>
    </cfRule>
    <cfRule type="containsBlanks" dxfId="374" priority="7">
      <formula>LEN(TRIM(N12))=0</formula>
    </cfRule>
  </conditionalFormatting>
  <conditionalFormatting sqref="Z12:AA17">
    <cfRule type="cellIs" dxfId="373" priority="3" operator="equal">
      <formula>"-"</formula>
    </cfRule>
  </conditionalFormatting>
  <conditionalFormatting sqref="Z12:AE17">
    <cfRule type="cellIs" dxfId="372" priority="4" operator="equal">
      <formula>0</formula>
    </cfRule>
    <cfRule type="containsBlanks" dxfId="371" priority="5">
      <formula>LEN(TRIM(Z12))=0</formula>
    </cfRule>
  </conditionalFormatting>
  <conditionalFormatting sqref="AB12:AC12">
    <cfRule type="cellIs" dxfId="370" priority="2" operator="equal">
      <formula>"-"</formula>
    </cfRule>
  </conditionalFormatting>
  <conditionalFormatting sqref="AB17:AC17">
    <cfRule type="cellIs" dxfId="36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088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0064-FA8A-4F88-8ED4-1738724DD899}">
  <sheetPr>
    <tabColor rgb="FF002060"/>
    <pageSetUpPr fitToPage="1"/>
  </sheetPr>
  <dimension ref="A1:AY48"/>
  <sheetViews>
    <sheetView showGridLines="0" zoomScaleNormal="100" workbookViewId="0">
      <selection activeCell="A9" sqref="A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9.1785222579164757E-2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2382.6999999999998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2.7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138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35.338061862592859</v>
      </c>
      <c r="AJ15" s="432" t="s">
        <v>85</v>
      </c>
      <c r="AK15" s="432"/>
      <c r="AL15" s="453"/>
      <c r="AM15" s="340">
        <f>(H15+K15+N15)/(H15+K15+N15+P15+R15+V15)*100</f>
        <v>46.545052515201768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138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40.584211188987283</v>
      </c>
      <c r="AJ16" s="459" t="s">
        <v>87</v>
      </c>
      <c r="AK16" s="459"/>
      <c r="AL16" s="468"/>
      <c r="AM16" s="341">
        <f>(P15+R15+V15)/(H15+K15+N15+P15+R15+V15)*100</f>
        <v>53.454947484798232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138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75.922273051580135</v>
      </c>
      <c r="AJ17" s="442" t="s">
        <v>89</v>
      </c>
      <c r="AK17" s="442"/>
      <c r="AL17" s="443"/>
      <c r="AM17" s="342">
        <f>(C15+F15)/AB9*100</f>
        <v>15.528602006127503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717</v>
      </c>
      <c r="AK23" s="316">
        <v>2.63</v>
      </c>
      <c r="AL23" s="328">
        <f>ROUND(AJ23/AK23/(AJ23/AK23+AJ24/AK24+AJ25/AK25*AK30),3)</f>
        <v>0.80400000000000005</v>
      </c>
      <c r="AM23" s="329">
        <f>ROUND(AJ24/AK24/(AJ23/AK23+AJ24/AK24+AJ25/AK25*AK30),3)</f>
        <v>0.19600000000000001</v>
      </c>
      <c r="AN23" s="329">
        <f>ROUND(AJ25/AK25*AK30/(AJ23/AK23+AJ24/AK24+AJ25/AK25*AK30),3)</f>
        <v>0</v>
      </c>
      <c r="AO23" s="331"/>
      <c r="AQ23">
        <f t="shared" si="3"/>
        <v>5.7359999999999998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180</v>
      </c>
      <c r="AK24" s="317">
        <v>2.7</v>
      </c>
      <c r="AL24" s="488" t="s">
        <v>21</v>
      </c>
      <c r="AM24" s="489"/>
      <c r="AN24" s="489"/>
      <c r="AO24" s="490"/>
      <c r="AQ24">
        <f t="shared" si="3"/>
        <v>1.44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917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7.3360000000000003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0</v>
      </c>
      <c r="AK27" s="317">
        <v>2.9</v>
      </c>
      <c r="AL27" s="491" t="s">
        <v>25</v>
      </c>
      <c r="AM27" s="492"/>
      <c r="AN27" s="493"/>
      <c r="AO27" s="332">
        <f>(AJ21+AJ22+AJ23+AJ24+AJ25)/SUM(AJ21:AJ28)</f>
        <v>0.58124715521165227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997.68014389882524</v>
      </c>
      <c r="AQ28">
        <f t="shared" si="3"/>
        <v>2.4E-2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2.3198561011747642E-3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0.56578947368421051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7.8947368421052634E-3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2.7305526215423814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1.0127166562181731</v>
      </c>
      <c r="AW41" s="184">
        <f t="shared" ref="AW41:AW48" si="7">SUM($C$15:$F$15)/AV41</f>
        <v>365.35391980389193</v>
      </c>
      <c r="AX41" s="185">
        <f>(C15/C14+F15/F14+H15/H14+K15/K14+N15/N14+P15/P14+R15/R14+V15/V14+X15/X14)/1000</f>
        <v>0.9850638950130115</v>
      </c>
      <c r="AY41" s="136">
        <f t="shared" ref="AY41:AY48" si="8">AV41/AX41</f>
        <v>1.0280720482652512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0.9850638950130115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0.9850638950130115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0.9850638950130115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0.9850638950130115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0.9850638950130115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0.9850638950130115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0.9850638950130115</v>
      </c>
      <c r="AY48" s="142" t="e">
        <f t="shared" si="8"/>
        <v>#DIV/0!</v>
      </c>
    </row>
  </sheetData>
  <sheetProtection selectLockedCells="1" autoFilter="0" pivotTables="0"/>
  <mergeCells count="192">
    <mergeCell ref="AU24:AX24"/>
    <mergeCell ref="AU27:AW27"/>
    <mergeCell ref="AU28:AW28"/>
    <mergeCell ref="AU29:AW29"/>
    <mergeCell ref="AU30:AW30"/>
    <mergeCell ref="AU31:AW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R19:AX19"/>
    <mergeCell ref="AU20:AX20"/>
    <mergeCell ref="AU21:AX21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68" priority="8" operator="equal">
      <formula>0</formula>
    </cfRule>
    <cfRule type="containsBlanks" dxfId="367" priority="9">
      <formula>LEN(TRIM(F12))=0</formula>
    </cfRule>
  </conditionalFormatting>
  <conditionalFormatting sqref="N12:Q17">
    <cfRule type="cellIs" dxfId="366" priority="6" operator="equal">
      <formula>0</formula>
    </cfRule>
    <cfRule type="containsBlanks" dxfId="365" priority="7">
      <formula>LEN(TRIM(N12))=0</formula>
    </cfRule>
  </conditionalFormatting>
  <conditionalFormatting sqref="Z12:AA17">
    <cfRule type="cellIs" dxfId="364" priority="3" operator="equal">
      <formula>"-"</formula>
    </cfRule>
  </conditionalFormatting>
  <conditionalFormatting sqref="Z12:AE17">
    <cfRule type="cellIs" dxfId="363" priority="4" operator="equal">
      <formula>0</formula>
    </cfRule>
    <cfRule type="containsBlanks" dxfId="362" priority="5">
      <formula>LEN(TRIM(Z12))=0</formula>
    </cfRule>
  </conditionalFormatting>
  <conditionalFormatting sqref="AB12:AC12">
    <cfRule type="cellIs" dxfId="361" priority="2" operator="equal">
      <formula>"-"</formula>
    </cfRule>
  </conditionalFormatting>
  <conditionalFormatting sqref="AB17:AC17">
    <cfRule type="cellIs" dxfId="36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41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C952-F24E-48BF-A757-3DC9DF9C9ACD}">
  <sheetPr>
    <tabColor rgb="FF002060"/>
    <pageSetUpPr fitToPage="1"/>
  </sheetPr>
  <dimension ref="A1:AY48"/>
  <sheetViews>
    <sheetView showGridLines="0" topLeftCell="V13" zoomScaleNormal="100" workbookViewId="0">
      <selection activeCell="A9" sqref="A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9.1575091575091569E-2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2387.6999999999998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143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35.473468191146296</v>
      </c>
      <c r="AJ15" s="432" t="s">
        <v>85</v>
      </c>
      <c r="AK15" s="432"/>
      <c r="AL15" s="453"/>
      <c r="AM15" s="340">
        <f>(H15+K15+N15)/(H15+K15+N15+P15+R15+V15)*100</f>
        <v>46.692392502756341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143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40.49922519579512</v>
      </c>
      <c r="AJ16" s="459" t="s">
        <v>87</v>
      </c>
      <c r="AK16" s="459"/>
      <c r="AL16" s="468"/>
      <c r="AM16" s="341">
        <f>(P15+R15+V15)/(H15+K15+N15+P15+R15+V15)*100</f>
        <v>53.307607497243659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143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75.972693386941415</v>
      </c>
      <c r="AJ17" s="442" t="s">
        <v>89</v>
      </c>
      <c r="AK17" s="442"/>
      <c r="AL17" s="443"/>
      <c r="AM17" s="342">
        <f>(C15+F15)/AB9*100</f>
        <v>15.496084097667213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760</v>
      </c>
      <c r="AK23" s="316">
        <v>2.63</v>
      </c>
      <c r="AL23" s="328">
        <f>ROUND(AJ23/AK23/(AJ23/AK23+AJ24/AK24+AJ25/AK25*AK30),3)</f>
        <v>0.871</v>
      </c>
      <c r="AM23" s="329">
        <f>ROUND(AJ24/AK24/(AJ23/AK23+AJ24/AK24+AJ25/AK25*AK30),3)</f>
        <v>0.129</v>
      </c>
      <c r="AN23" s="329">
        <f>ROUND(AJ25/AK25*AK30/(AJ23/AK23+AJ24/AK24+AJ25/AK25*AK30),3)</f>
        <v>0</v>
      </c>
      <c r="AO23" s="331"/>
      <c r="AQ23">
        <f t="shared" si="3"/>
        <v>6.08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120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0.96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800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0.88</v>
      </c>
      <c r="AN26" s="329">
        <f>ROUND(AJ27/AK27/(AJ25/AK25*(1-AK30)+AJ26/AK26+AJ27/AK27+AJ28/AK28),3)</f>
        <v>0.11</v>
      </c>
      <c r="AO26" s="330">
        <f>ROUND(AJ28/AK28/(AJ25/AK25*(1-AK30)+AJ26/AK26+AJ27/AK27+AJ28/AK28),3)</f>
        <v>0.01</v>
      </c>
      <c r="AQ26">
        <f t="shared" si="3"/>
        <v>6.4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100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0.58252427184466016</v>
      </c>
      <c r="AQ27">
        <f t="shared" si="3"/>
        <v>0.8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984.35836100971585</v>
      </c>
      <c r="AQ28">
        <f t="shared" si="3"/>
        <v>2.4E-2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1.5641638990284149E-2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0.56578947368421051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7.8947368421052634E-3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2.9384675415395911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1.0148451065254833</v>
      </c>
      <c r="AW41" s="184">
        <f t="shared" ref="AW41:AW48" si="7">SUM($C$15:$F$15)/AV41</f>
        <v>364.58765738819579</v>
      </c>
      <c r="AX41" s="185">
        <f>(C15/C14+F15/F14+H15/H14+K15/K14+N15/N14+P15/P14+R15/R14+V15/V14+X15/X14)/1000</f>
        <v>0.98502421247332905</v>
      </c>
      <c r="AY41" s="136">
        <f t="shared" ref="AY41:AY48" si="8">AV41/AX41</f>
        <v>1.0302742751645424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0.98502421247332905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0.98502421247332905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0.98502421247332905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0.98502421247332905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0.98502421247332905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0.98502421247332905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0.98502421247332905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59" priority="8" operator="equal">
      <formula>0</formula>
    </cfRule>
    <cfRule type="containsBlanks" dxfId="358" priority="9">
      <formula>LEN(TRIM(F12))=0</formula>
    </cfRule>
  </conditionalFormatting>
  <conditionalFormatting sqref="N12:Q17">
    <cfRule type="cellIs" dxfId="357" priority="6" operator="equal">
      <formula>0</formula>
    </cfRule>
    <cfRule type="containsBlanks" dxfId="356" priority="7">
      <formula>LEN(TRIM(N12))=0</formula>
    </cfRule>
  </conditionalFormatting>
  <conditionalFormatting sqref="Z12:AA17">
    <cfRule type="cellIs" dxfId="355" priority="3" operator="equal">
      <formula>"-"</formula>
    </cfRule>
  </conditionalFormatting>
  <conditionalFormatting sqref="Z12:AE17">
    <cfRule type="cellIs" dxfId="354" priority="4" operator="equal">
      <formula>0</formula>
    </cfRule>
    <cfRule type="containsBlanks" dxfId="353" priority="5">
      <formula>LEN(TRIM(Z12))=0</formula>
    </cfRule>
  </conditionalFormatting>
  <conditionalFormatting sqref="AB12:AC12">
    <cfRule type="cellIs" dxfId="352" priority="2" operator="equal">
      <formula>"-"</formula>
    </cfRule>
  </conditionalFormatting>
  <conditionalFormatting sqref="AB17:AC17">
    <cfRule type="cellIs" dxfId="35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75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D6B5-A130-4E09-A295-A3B16D6F827C}">
  <sheetPr>
    <tabColor rgb="FF002060"/>
    <pageSetUpPr fitToPage="1"/>
  </sheetPr>
  <dimension ref="A1:AY48"/>
  <sheetViews>
    <sheetView showGridLines="0" zoomScale="70" zoomScaleNormal="70" workbookViewId="0">
      <selection activeCell="A9" sqref="A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727.1275946275947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257.8724053724053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8.7298123090353563E-2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2494.7600000000002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13.56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31.65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487.21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678</v>
      </c>
      <c r="I15" s="448"/>
      <c r="J15" s="449"/>
      <c r="K15" s="452">
        <f>ROUND((AF7*F8*K14),0)</f>
        <v>116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1055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3.7570000000000001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31.826708781606243</v>
      </c>
      <c r="AJ15" s="432" t="s">
        <v>85</v>
      </c>
      <c r="AK15" s="432"/>
      <c r="AL15" s="453"/>
      <c r="AM15" s="340">
        <f>(H15+K15+N15)/(H15+K15+N15+P15+R15+V15)*100</f>
        <v>42.942130881557603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340</v>
      </c>
      <c r="D16" s="466"/>
      <c r="E16" s="467"/>
      <c r="F16" s="438">
        <f>F15*AB7/1000</f>
        <v>102</v>
      </c>
      <c r="G16" s="439"/>
      <c r="H16" s="465">
        <f>H15*AB7/1000</f>
        <v>678</v>
      </c>
      <c r="I16" s="466"/>
      <c r="J16" s="467"/>
      <c r="K16" s="465">
        <f>K15*AB7/1000</f>
        <v>116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1055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3757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42.288636983116604</v>
      </c>
      <c r="AJ16" s="459" t="s">
        <v>87</v>
      </c>
      <c r="AK16" s="459"/>
      <c r="AL16" s="468"/>
      <c r="AM16" s="341">
        <f>(P15+R15+V15)/(H15+K15+N15+P15+R15+V15)*100</f>
        <v>57.057869118442404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340</v>
      </c>
      <c r="D17" s="462"/>
      <c r="E17" s="463"/>
      <c r="F17" s="440">
        <f>F16</f>
        <v>102</v>
      </c>
      <c r="G17" s="441"/>
      <c r="H17" s="464">
        <f>H16*(1+E9-AT41)</f>
        <v>678</v>
      </c>
      <c r="I17" s="462"/>
      <c r="J17" s="463"/>
      <c r="K17" s="464">
        <f>ROUND((K16+(K16*(F9-AT42))),3)</f>
        <v>116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1055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3446.788990825688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74.115345764722846</v>
      </c>
      <c r="AJ17" s="442" t="s">
        <v>89</v>
      </c>
      <c r="AK17" s="442"/>
      <c r="AL17" s="443"/>
      <c r="AM17" s="342">
        <f>(C15+F15)/AB9*100</f>
        <v>17.717135115201462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350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2.8000000000000003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0.2857142857142857</v>
      </c>
      <c r="AQ23">
        <f t="shared" si="3"/>
        <v>5.44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0.82799999999999996</v>
      </c>
      <c r="AN26" s="329">
        <f>ROUND(AJ27/AK27/(AJ25/AK25*(1-AK30)+AJ26/AK26+AJ27/AK27+AJ28/AK28),3)</f>
        <v>0.16400000000000001</v>
      </c>
      <c r="AO26" s="330">
        <f>ROUND(AJ28/AK28/(AJ25/AK25*(1-AK30)+AJ26/AK26+AJ27/AK27+AJ28/AK28),3)</f>
        <v>8.0000000000000002E-3</v>
      </c>
      <c r="AQ26">
        <f t="shared" si="3"/>
        <v>6.88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170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0.52242256125751274</v>
      </c>
      <c r="AQ27">
        <f t="shared" si="3"/>
        <v>1.36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984.56817030181014</v>
      </c>
      <c r="AQ28">
        <f t="shared" si="3"/>
        <v>2.4E-2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1.5431829698189858E-2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0.61428571428571432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8.5714285714285719E-3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3.2104200953926743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1.0603939431019207</v>
      </c>
      <c r="AW41" s="184">
        <f t="shared" ref="AW41:AW48" si="7">SUM($C$15:$F$15)/AV41</f>
        <v>416.82622092977834</v>
      </c>
      <c r="AX41" s="185">
        <f>(C15/C14+F15/F14+H15/H14+K15/K14+N15/N14+P15/P14+R15/R14+V15/V14+X15/X14)/1000</f>
        <v>1.0263508428622499</v>
      </c>
      <c r="AY41" s="136">
        <f t="shared" ref="AY41:AY48" si="8">AV41/AX41</f>
        <v>1.0331690673578371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1.0263508428622499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1.0263508428622499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1.0263508428622499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1.0263508428622499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1.0263508428622499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1.0263508428622499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1.0263508428622499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50" priority="8" operator="equal">
      <formula>0</formula>
    </cfRule>
    <cfRule type="containsBlanks" dxfId="349" priority="9">
      <formula>LEN(TRIM(F12))=0</formula>
    </cfRule>
  </conditionalFormatting>
  <conditionalFormatting sqref="N12:Q17">
    <cfRule type="cellIs" dxfId="348" priority="6" operator="equal">
      <formula>0</formula>
    </cfRule>
    <cfRule type="containsBlanks" dxfId="347" priority="7">
      <formula>LEN(TRIM(N12))=0</formula>
    </cfRule>
  </conditionalFormatting>
  <conditionalFormatting sqref="Z12:AA17">
    <cfRule type="cellIs" dxfId="346" priority="3" operator="equal">
      <formula>"-"</formula>
    </cfRule>
  </conditionalFormatting>
  <conditionalFormatting sqref="Z12:AE17">
    <cfRule type="cellIs" dxfId="345" priority="4" operator="equal">
      <formula>0</formula>
    </cfRule>
    <cfRule type="containsBlanks" dxfId="344" priority="5">
      <formula>LEN(TRIM(Z12))=0</formula>
    </cfRule>
  </conditionalFormatting>
  <conditionalFormatting sqref="AB12:AC12">
    <cfRule type="cellIs" dxfId="343" priority="2" operator="equal">
      <formula>"-"</formula>
    </cfRule>
  </conditionalFormatting>
  <conditionalFormatting sqref="AB17:AC17">
    <cfRule type="cellIs" dxfId="34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97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96C4-ABEB-4802-95F9-842E979C1038}">
  <sheetPr>
    <tabColor rgb="FF002060"/>
    <pageSetUpPr fitToPage="1"/>
  </sheetPr>
  <dimension ref="A1:AY48"/>
  <sheetViews>
    <sheetView showGridLines="0" topLeftCell="A6" zoomScale="85" zoomScaleNormal="85" workbookViewId="0">
      <selection activeCell="A9" sqref="A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724.27045177045181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260.72954822954819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9.1954022988505746E-2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2377.89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13.72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481.94000000000005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686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28.84910571977678</v>
      </c>
      <c r="AJ15" s="432" t="s">
        <v>85</v>
      </c>
      <c r="AK15" s="432"/>
      <c r="AL15" s="453"/>
      <c r="AM15" s="340">
        <f>(H15+K15+N15)/(H15+K15+N15+P15+R15+V15)*100</f>
        <v>39.584535487593769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617.4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44.03063219913453</v>
      </c>
      <c r="AJ16" s="459" t="s">
        <v>87</v>
      </c>
      <c r="AK16" s="459"/>
      <c r="AL16" s="468"/>
      <c r="AM16" s="341">
        <f>(P15+R15+V15)/(H15+K15+N15+P15+R15+V15)*100</f>
        <v>60.415464512406238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660.61800000000005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132.07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72.879737918911303</v>
      </c>
      <c r="AJ17" s="442" t="s">
        <v>89</v>
      </c>
      <c r="AK17" s="442"/>
      <c r="AL17" s="443"/>
      <c r="AM17" s="342">
        <f>(C15+F15)/AB9*100</f>
        <v>18.587907766969877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102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0.81600000000000006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673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0.3</v>
      </c>
      <c r="AQ23">
        <f t="shared" si="3"/>
        <v>5.3840000000000003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0.82799999999999996</v>
      </c>
      <c r="AN26" s="329">
        <f>ROUND(AJ27/AK27/(AJ25/AK25*(1-AK30)+AJ26/AK26+AJ27/AK27+AJ28/AK28),3)</f>
        <v>0.16400000000000001</v>
      </c>
      <c r="AO26" s="330">
        <f>ROUND(AJ28/AK28/(AJ25/AK25*(1-AK30)+AJ26/AK26+AJ27/AK27+AJ28/AK28),3)</f>
        <v>8.0000000000000002E-3</v>
      </c>
      <c r="AQ26">
        <f t="shared" si="3"/>
        <v>6.88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170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0.51911410733324337</v>
      </c>
      <c r="AQ27">
        <f t="shared" si="3"/>
        <v>1.36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2.89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964.29783025665688</v>
      </c>
      <c r="AQ28">
        <f t="shared" si="3"/>
        <v>2.3120000000000002E-2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200</v>
      </c>
      <c r="AK29" s="321">
        <v>1</v>
      </c>
      <c r="AL29" s="544" t="s">
        <v>24</v>
      </c>
      <c r="AM29" s="545"/>
      <c r="AN29" s="546"/>
      <c r="AO29" s="334">
        <f>(1000-AO28)/1000</f>
        <v>3.5702169743343122E-2</v>
      </c>
      <c r="AQ29">
        <f t="shared" si="3"/>
        <v>1.6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0.58823529411764708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8.5000000000000006E-3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2.5624714362423973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1.0110138959723249</v>
      </c>
      <c r="AW41" s="184">
        <f t="shared" ref="AW41:AW48" si="7">SUM($C$15:$F$15)/AV41</f>
        <v>437.18489108887491</v>
      </c>
      <c r="AX41" s="185">
        <f>(C15/C14+F15/F14+H15/H14+K15/K14+N15/N14+P15/P14+R15/R14+V15/V14+X15/X14)/1000</f>
        <v>0.98510695367159262</v>
      </c>
      <c r="AY41" s="136">
        <f t="shared" ref="AY41:AY48" si="8">AV41/AX41</f>
        <v>1.0262986086984509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0.98510695367159262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0.98510695367159262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0.98510695367159262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0.98510695367159262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0.98510695367159262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0.98510695367159262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0.98510695367159262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41" priority="8" operator="equal">
      <formula>0</formula>
    </cfRule>
    <cfRule type="containsBlanks" dxfId="340" priority="9">
      <formula>LEN(TRIM(F12))=0</formula>
    </cfRule>
  </conditionalFormatting>
  <conditionalFormatting sqref="N12:Q17">
    <cfRule type="cellIs" dxfId="339" priority="6" operator="equal">
      <formula>0</formula>
    </cfRule>
    <cfRule type="containsBlanks" dxfId="338" priority="7">
      <formula>LEN(TRIM(N12))=0</formula>
    </cfRule>
  </conditionalFormatting>
  <conditionalFormatting sqref="Z12:AA17">
    <cfRule type="cellIs" dxfId="337" priority="3" operator="equal">
      <formula>"-"</formula>
    </cfRule>
  </conditionalFormatting>
  <conditionalFormatting sqref="Z12:AE17">
    <cfRule type="cellIs" dxfId="336" priority="4" operator="equal">
      <formula>0</formula>
    </cfRule>
    <cfRule type="containsBlanks" dxfId="335" priority="5">
      <formula>LEN(TRIM(Z12))=0</formula>
    </cfRule>
  </conditionalFormatting>
  <conditionalFormatting sqref="AB12:AC12">
    <cfRule type="cellIs" dxfId="334" priority="2" operator="equal">
      <formula>"-"</formula>
    </cfRule>
  </conditionalFormatting>
  <conditionalFormatting sqref="AB17:AC17">
    <cfRule type="cellIs" dxfId="33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08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419-1729-4FCC-8934-10BB2145DBE5}">
  <sheetPr>
    <tabColor rgb="FF002060"/>
    <pageSetUpPr fitToPage="1"/>
  </sheetPr>
  <dimension ref="A1:AY48"/>
  <sheetViews>
    <sheetView showGridLines="0" topLeftCell="P11" zoomScale="85" zoomScaleNormal="85" workbookViewId="0">
      <selection activeCell="A9" sqref="A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9.1575091575091569E-2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2387.6999999999998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143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35.473468191146296</v>
      </c>
      <c r="AJ15" s="432" t="s">
        <v>85</v>
      </c>
      <c r="AK15" s="432"/>
      <c r="AL15" s="453"/>
      <c r="AM15" s="340">
        <f>(H15+K15+N15)/(H15+K15+N15+P15+R15+V15)*100</f>
        <v>46.692392502756341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143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40.49922519579512</v>
      </c>
      <c r="AJ16" s="459" t="s">
        <v>87</v>
      </c>
      <c r="AK16" s="459"/>
      <c r="AL16" s="468"/>
      <c r="AM16" s="341">
        <f>(P15+R15+V15)/(H15+K15+N15+P15+R15+V15)*100</f>
        <v>53.307607497243659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143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75.972693386941415</v>
      </c>
      <c r="AJ17" s="442" t="s">
        <v>89</v>
      </c>
      <c r="AK17" s="442"/>
      <c r="AL17" s="443"/>
      <c r="AM17" s="342">
        <f>(C15+F15)/AB9*100</f>
        <v>15.496084097667213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760</v>
      </c>
      <c r="AK23" s="316">
        <v>2.63</v>
      </c>
      <c r="AL23" s="328">
        <f>ROUND(AJ23/AK23/(AJ23/AK23+AJ24/AK24+AJ25/AK25*AK30),3)</f>
        <v>0.871</v>
      </c>
      <c r="AM23" s="329">
        <f>ROUND(AJ24/AK24/(AJ23/AK23+AJ24/AK24+AJ25/AK25*AK30),3)</f>
        <v>0.129</v>
      </c>
      <c r="AN23" s="329">
        <f>ROUND(AJ25/AK25*AK30/(AJ23/AK23+AJ24/AK24+AJ25/AK25*AK30),3)</f>
        <v>0</v>
      </c>
      <c r="AO23" s="331"/>
      <c r="AQ23">
        <f t="shared" si="3"/>
        <v>6.08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120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0.96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800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0.88100000000000001</v>
      </c>
      <c r="AN26" s="329">
        <f>ROUND(AJ27/AK27/(AJ25/AK25*(1-AK30)+AJ26/AK26+AJ27/AK27+AJ28/AK28),3)</f>
        <v>0.11</v>
      </c>
      <c r="AO26" s="330">
        <f>ROUND(AJ28/AK28/(AJ25/AK25*(1-AK30)+AJ26/AK26+AJ27/AK27+AJ28/AK28),3)</f>
        <v>8.9999999999999993E-3</v>
      </c>
      <c r="AQ26">
        <f t="shared" si="3"/>
        <v>6.4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100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0.58061219750104509</v>
      </c>
      <c r="AQ27">
        <f t="shared" si="3"/>
        <v>0.8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2.9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974.99038715350662</v>
      </c>
      <c r="AQ28">
        <f t="shared" si="3"/>
        <v>2.3199999999999998E-2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209</v>
      </c>
      <c r="AK29" s="321">
        <v>1</v>
      </c>
      <c r="AL29" s="544" t="s">
        <v>24</v>
      </c>
      <c r="AM29" s="545"/>
      <c r="AN29" s="546"/>
      <c r="AO29" s="334">
        <f>(1000-AO28)/1000</f>
        <v>2.5009612846493383E-2</v>
      </c>
      <c r="AQ29">
        <f t="shared" si="3"/>
        <v>1.6719999999999999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0.56486486486486487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7.8378378378378376E-3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2.9384675415395911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1.0148451065254833</v>
      </c>
      <c r="AW41" s="184">
        <f t="shared" ref="AW41:AW48" si="7">SUM($C$15:$F$15)/AV41</f>
        <v>364.58765738819579</v>
      </c>
      <c r="AX41" s="185">
        <f>(C15/C14+F15/F14+H15/H14+K15/K14+N15/N14+P15/P14+R15/R14+V15/V14+X15/X14)/1000</f>
        <v>0.98502421247332905</v>
      </c>
      <c r="AY41" s="136">
        <f t="shared" ref="AY41:AY48" si="8">AV41/AX41</f>
        <v>1.0302742751645424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0.98502421247332905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0.98502421247332905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0.98502421247332905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0.98502421247332905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0.98502421247332905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0.98502421247332905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0.98502421247332905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32" priority="8" operator="equal">
      <formula>0</formula>
    </cfRule>
    <cfRule type="containsBlanks" dxfId="331" priority="9">
      <formula>LEN(TRIM(F12))=0</formula>
    </cfRule>
  </conditionalFormatting>
  <conditionalFormatting sqref="N12:Q17">
    <cfRule type="cellIs" dxfId="330" priority="6" operator="equal">
      <formula>0</formula>
    </cfRule>
    <cfRule type="containsBlanks" dxfId="329" priority="7">
      <formula>LEN(TRIM(N12))=0</formula>
    </cfRule>
  </conditionalFormatting>
  <conditionalFormatting sqref="Z12:AA17">
    <cfRule type="cellIs" dxfId="328" priority="3" operator="equal">
      <formula>"-"</formula>
    </cfRule>
  </conditionalFormatting>
  <conditionalFormatting sqref="Z12:AE17">
    <cfRule type="cellIs" dxfId="327" priority="4" operator="equal">
      <formula>0</formula>
    </cfRule>
    <cfRule type="containsBlanks" dxfId="326" priority="5">
      <formula>LEN(TRIM(Z12))=0</formula>
    </cfRule>
  </conditionalFormatting>
  <conditionalFormatting sqref="AB12:AC12">
    <cfRule type="cellIs" dxfId="325" priority="2" operator="equal">
      <formula>"-"</formula>
    </cfRule>
  </conditionalFormatting>
  <conditionalFormatting sqref="AB17:AC17">
    <cfRule type="cellIs" dxfId="32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18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23F7-1B97-48FC-BA3B-4EE3E9E2C332}">
  <sheetPr>
    <tabColor rgb="FF002060"/>
    <pageSetUpPr fitToPage="1"/>
  </sheetPr>
  <dimension ref="A1:AY48"/>
  <sheetViews>
    <sheetView showGridLines="0" topLeftCell="W18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298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350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2.8000000000000003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751</v>
      </c>
      <c r="AK23" s="316">
        <v>2.63</v>
      </c>
      <c r="AL23" s="328">
        <f>ROUND(AJ23/AK23/(AJ23/AK23+AJ24/AK24+AJ25/AK25*AK30),3)</f>
        <v>0.86099999999999999</v>
      </c>
      <c r="AM23" s="329">
        <f>ROUND(AJ24/AK24/(AJ23/AK23+AJ24/AK24+AJ25/AK25*AK30),3)</f>
        <v>0.13900000000000001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6.008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138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1.1040000000000001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0.54128440366972475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990.35483048151843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9.645169518481567E-3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0.54285714285714282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8.8571428571428568E-3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2503.9599999999996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323" priority="8" operator="equal">
      <formula>0</formula>
    </cfRule>
    <cfRule type="containsBlanks" dxfId="322" priority="9">
      <formula>LEN(TRIM(F12))=0</formula>
    </cfRule>
  </conditionalFormatting>
  <conditionalFormatting sqref="N12:Q17">
    <cfRule type="cellIs" dxfId="321" priority="6" operator="equal">
      <formula>0</formula>
    </cfRule>
    <cfRule type="containsBlanks" dxfId="320" priority="7">
      <formula>LEN(TRIM(N12))=0</formula>
    </cfRule>
  </conditionalFormatting>
  <conditionalFormatting sqref="Z12:AA17">
    <cfRule type="cellIs" dxfId="319" priority="3" operator="equal">
      <formula>"-"</formula>
    </cfRule>
  </conditionalFormatting>
  <conditionalFormatting sqref="Z12:AE17">
    <cfRule type="cellIs" dxfId="318" priority="4" operator="equal">
      <formula>0</formula>
    </cfRule>
    <cfRule type="containsBlanks" dxfId="317" priority="5">
      <formula>LEN(TRIM(Z12))=0</formula>
    </cfRule>
  </conditionalFormatting>
  <conditionalFormatting sqref="AB12:AC12">
    <cfRule type="cellIs" dxfId="316" priority="2" operator="equal">
      <formula>"-"</formula>
    </cfRule>
  </conditionalFormatting>
  <conditionalFormatting sqref="AB17:AC17">
    <cfRule type="cellIs" dxfId="31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694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94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D4E1-E474-42C1-B56C-67A2FD793C62}">
  <sheetPr>
    <tabColor rgb="FF002060"/>
    <pageSetUpPr fitToPage="1"/>
  </sheetPr>
  <dimension ref="A1:AY48"/>
  <sheetViews>
    <sheetView showGridLines="0" topLeftCell="W18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298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784</v>
      </c>
      <c r="AK23" s="316">
        <v>2.63</v>
      </c>
      <c r="AL23" s="328">
        <f>ROUND(AJ23/AK23/(AJ23/AK23+AJ24/AK24+AJ25/AK25*AK30),3)</f>
        <v>0.86599999999999999</v>
      </c>
      <c r="AM23" s="329">
        <f>ROUND(AJ24/AK24/(AJ23/AK23+AJ24/AK24+AJ25/AK25*AK30),3)</f>
        <v>0.13400000000000001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6.2720000000000002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138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1.1040000000000001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971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0.99199999999999999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8.0000000000000002E-3</v>
      </c>
      <c r="AQ26">
        <f t="shared" si="3"/>
        <v>7.7679999999999998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0.56997342781222315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2.7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980.98291510066815</v>
      </c>
      <c r="AQ28">
        <f t="shared" si="3"/>
        <v>2.1600000000000001E-2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1.9017084899331849E-2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7.3972602739726034E-3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2472.5599999999995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14" priority="8" operator="equal">
      <formula>0</formula>
    </cfRule>
    <cfRule type="containsBlanks" dxfId="313" priority="9">
      <formula>LEN(TRIM(F12))=0</formula>
    </cfRule>
  </conditionalFormatting>
  <conditionalFormatting sqref="N12:Q17">
    <cfRule type="cellIs" dxfId="312" priority="6" operator="equal">
      <formula>0</formula>
    </cfRule>
    <cfRule type="containsBlanks" dxfId="311" priority="7">
      <formula>LEN(TRIM(N12))=0</formula>
    </cfRule>
  </conditionalFormatting>
  <conditionalFormatting sqref="Z12:AA17">
    <cfRule type="cellIs" dxfId="310" priority="3" operator="equal">
      <formula>"-"</formula>
    </cfRule>
  </conditionalFormatting>
  <conditionalFormatting sqref="Z12:AE17">
    <cfRule type="cellIs" dxfId="309" priority="4" operator="equal">
      <formula>0</formula>
    </cfRule>
    <cfRule type="containsBlanks" dxfId="308" priority="5">
      <formula>LEN(TRIM(Z12))=0</formula>
    </cfRule>
  </conditionalFormatting>
  <conditionalFormatting sqref="AB12:AC12">
    <cfRule type="cellIs" dxfId="307" priority="2" operator="equal">
      <formula>"-"</formula>
    </cfRule>
  </conditionalFormatting>
  <conditionalFormatting sqref="AB17:AC17">
    <cfRule type="cellIs" dxfId="30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337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37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F3EA-6067-441A-8815-454726B26EE0}">
  <sheetPr>
    <tabColor rgb="FF002060"/>
    <pageSetUpPr fitToPage="1"/>
  </sheetPr>
  <dimension ref="A1:AY48"/>
  <sheetViews>
    <sheetView showGridLines="0" topLeftCell="W18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298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2.63</v>
      </c>
      <c r="AL23" s="328">
        <f>ROUND(AJ23/AK23/(AJ23/AK23+AJ24/AK24+AJ25/AK25*AK30),3)</f>
        <v>0.85599999999999998</v>
      </c>
      <c r="AM23" s="329">
        <f>ROUND(AJ24/AK24/(AJ23/AK23+AJ24/AK24+AJ25/AK25*AK30),3)</f>
        <v>0.14399999999999999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1.04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1080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0.99299999999999999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7.0000000000000001E-3</v>
      </c>
      <c r="AQ26">
        <f t="shared" si="3"/>
        <v>8.64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0.52106430155210648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2.7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975.21845307897365</v>
      </c>
      <c r="AQ28">
        <f t="shared" si="3"/>
        <v>2.1600000000000001E-2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2.4781546921026347E-2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7.3972602739726034E-3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2469.5599999999995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05" priority="8" operator="equal">
      <formula>0</formula>
    </cfRule>
    <cfRule type="containsBlanks" dxfId="304" priority="9">
      <formula>LEN(TRIM(F12))=0</formula>
    </cfRule>
  </conditionalFormatting>
  <conditionalFormatting sqref="N12:Q17">
    <cfRule type="cellIs" dxfId="303" priority="6" operator="equal">
      <formula>0</formula>
    </cfRule>
    <cfRule type="containsBlanks" dxfId="302" priority="7">
      <formula>LEN(TRIM(N12))=0</formula>
    </cfRule>
  </conditionalFormatting>
  <conditionalFormatting sqref="Z12:AA17">
    <cfRule type="cellIs" dxfId="301" priority="3" operator="equal">
      <formula>"-"</formula>
    </cfRule>
  </conditionalFormatting>
  <conditionalFormatting sqref="Z12:AE17">
    <cfRule type="cellIs" dxfId="300" priority="4" operator="equal">
      <formula>0</formula>
    </cfRule>
    <cfRule type="containsBlanks" dxfId="299" priority="5">
      <formula>LEN(TRIM(Z12))=0</formula>
    </cfRule>
  </conditionalFormatting>
  <conditionalFormatting sqref="AB12:AC12">
    <cfRule type="cellIs" dxfId="298" priority="2" operator="equal">
      <formula>"-"</formula>
    </cfRule>
  </conditionalFormatting>
  <conditionalFormatting sqref="AB17:AC17">
    <cfRule type="cellIs" dxfId="29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4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4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C5C2-C89F-48AC-BA42-E67CF9115E9D}">
  <sheetPr>
    <tabColor rgb="FF002060"/>
    <pageSetUpPr fitToPage="1"/>
  </sheetPr>
  <dimension ref="A1:AY48"/>
  <sheetViews>
    <sheetView showGridLines="0" topLeftCell="Y17" zoomScaleNormal="100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312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550</v>
      </c>
      <c r="AK23" s="316">
        <v>2.63</v>
      </c>
      <c r="AL23" s="328">
        <f>ROUND(AJ23/AK23/(AJ23/AK23+AJ24/AK24+AJ25/AK25*AK30),3)</f>
        <v>0.77600000000000002</v>
      </c>
      <c r="AM23" s="329">
        <f>ROUND(AJ24/AK24/(AJ23/AK23+AJ24/AK24+AJ25/AK25*AK30),3)</f>
        <v>0.224</v>
      </c>
      <c r="AN23" s="329">
        <f>ROUND(AJ25/AK25*AK30/(AJ23/AK23+AJ24/AK24+AJ25/AK25*AK30),3)</f>
        <v>0</v>
      </c>
      <c r="AO23" s="355">
        <f>AJ22/AJ21</f>
        <v>0.20270270270270271</v>
      </c>
      <c r="AQ23">
        <f t="shared" si="3"/>
        <v>4.4000000000000004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180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1.44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900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0.80300000000000005</v>
      </c>
      <c r="AN26" s="329">
        <f>ROUND(AJ27/AK27/(AJ25/AK25*(1-AK30)+AJ26/AK26+AJ27/AK27+AJ28/AK28),3)</f>
        <v>0.187</v>
      </c>
      <c r="AO26" s="330">
        <f>ROUND(AJ28/AK28/(AJ25/AK25*(1-AK30)+AJ26/AK26+AJ27/AK27+AJ28/AK28),3)</f>
        <v>8.9999999999999993E-3</v>
      </c>
      <c r="AQ26">
        <f t="shared" si="3"/>
        <v>7.2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210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0.51422319474835887</v>
      </c>
      <c r="AQ27">
        <f t="shared" si="3"/>
        <v>1.68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983.72478890136449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1.6275211098635511E-2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0.51351351351351349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313</v>
      </c>
      <c r="AJ31" s="322">
        <v>12</v>
      </c>
      <c r="AK31" s="323">
        <v>1.1200000000000001</v>
      </c>
      <c r="AL31" s="522" t="s">
        <v>231</v>
      </c>
      <c r="AM31" s="523"/>
      <c r="AN31" s="523"/>
      <c r="AO31" s="336">
        <f>AJ28/(AJ21+AJ22)</f>
        <v>7.6404494382022467E-3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Top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675" t="s">
        <v>15</v>
      </c>
      <c r="AJ32" s="675"/>
      <c r="AK32">
        <f>SUMPRODUCT(AJ21:AK29)</f>
        <v>2500.2599999999998</v>
      </c>
      <c r="AL32" s="522" t="s">
        <v>314</v>
      </c>
      <c r="AM32" s="523"/>
      <c r="AN32" s="523"/>
      <c r="AO32" s="336">
        <f>AJ31/(AJ22+AJ21)</f>
        <v>2.6966292134831461E-2</v>
      </c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3">
    <mergeCell ref="B40:AE40"/>
    <mergeCell ref="AI32:AJ32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L29:AN29"/>
    <mergeCell ref="AL30:AN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U31:AW31"/>
    <mergeCell ref="AU28:AW28"/>
    <mergeCell ref="AU29:AW29"/>
    <mergeCell ref="AU30:AW30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96" priority="8" operator="equal">
      <formula>0</formula>
    </cfRule>
    <cfRule type="containsBlanks" dxfId="295" priority="9">
      <formula>LEN(TRIM(F12))=0</formula>
    </cfRule>
  </conditionalFormatting>
  <conditionalFormatting sqref="N12:Q17">
    <cfRule type="cellIs" dxfId="294" priority="6" operator="equal">
      <formula>0</formula>
    </cfRule>
    <cfRule type="containsBlanks" dxfId="293" priority="7">
      <formula>LEN(TRIM(N12))=0</formula>
    </cfRule>
  </conditionalFormatting>
  <conditionalFormatting sqref="Z12:AA17">
    <cfRule type="cellIs" dxfId="292" priority="3" operator="equal">
      <formula>"-"</formula>
    </cfRule>
  </conditionalFormatting>
  <conditionalFormatting sqref="Z12:AE17">
    <cfRule type="cellIs" dxfId="291" priority="4" operator="equal">
      <formula>0</formula>
    </cfRule>
    <cfRule type="containsBlanks" dxfId="290" priority="5">
      <formula>LEN(TRIM(Z12))=0</formula>
    </cfRule>
  </conditionalFormatting>
  <conditionalFormatting sqref="AB12:AC12">
    <cfRule type="cellIs" dxfId="289" priority="2" operator="equal">
      <formula>"-"</formula>
    </cfRule>
  </conditionalFormatting>
  <conditionalFormatting sqref="AB17:AC17">
    <cfRule type="cellIs" dxfId="28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2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2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9836-0580-469C-9001-70E1B747F317}">
  <sheetPr>
    <tabColor rgb="FF002060"/>
    <pageSetUpPr fitToPage="1"/>
  </sheetPr>
  <dimension ref="A1:AY48"/>
  <sheetViews>
    <sheetView showGridLines="0" topLeftCell="Y17" zoomScaleNormal="100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312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550</v>
      </c>
      <c r="AK23" s="316">
        <v>2.63</v>
      </c>
      <c r="AL23" s="328">
        <f>ROUND(AJ23/AK23/(AJ23/AK23+AJ24/AK24+AJ25/AK25*AK30),3)</f>
        <v>0.77600000000000002</v>
      </c>
      <c r="AM23" s="329">
        <f>ROUND(AJ24/AK24/(AJ23/AK23+AJ24/AK24+AJ25/AK25*AK30),3)</f>
        <v>0.224</v>
      </c>
      <c r="AN23" s="329">
        <f>ROUND(AJ25/AK25*AK30/(AJ23/AK23+AJ24/AK24+AJ25/AK25*AK30),3)</f>
        <v>0</v>
      </c>
      <c r="AO23" s="355">
        <f>AJ22/AJ21</f>
        <v>0.20270270270270271</v>
      </c>
      <c r="AQ23">
        <f t="shared" si="3"/>
        <v>4.4000000000000004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180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1.44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900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0.80300000000000005</v>
      </c>
      <c r="AN26" s="329">
        <f>ROUND(AJ27/AK27/(AJ25/AK25*(1-AK30)+AJ26/AK26+AJ27/AK27+AJ28/AK28),3)</f>
        <v>0.187</v>
      </c>
      <c r="AO26" s="330">
        <f>ROUND(AJ28/AK28/(AJ25/AK25*(1-AK30)+AJ26/AK26+AJ27/AK27+AJ28/AK28),3)</f>
        <v>8.9999999999999993E-3</v>
      </c>
      <c r="AQ26">
        <f t="shared" si="3"/>
        <v>7.2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210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0.51422319474835887</v>
      </c>
      <c r="AQ27">
        <f t="shared" si="3"/>
        <v>1.68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983.72478890136449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1.6275211098635511E-2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0.51351351351351349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313</v>
      </c>
      <c r="AJ31" s="322">
        <v>12</v>
      </c>
      <c r="AK31" s="323">
        <v>1.1200000000000001</v>
      </c>
      <c r="AL31" s="522" t="s">
        <v>231</v>
      </c>
      <c r="AM31" s="523"/>
      <c r="AN31" s="523"/>
      <c r="AO31" s="336">
        <f>AJ28/(AJ21+AJ22)</f>
        <v>7.6404494382022467E-3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Top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675" t="s">
        <v>15</v>
      </c>
      <c r="AJ32" s="675"/>
      <c r="AK32">
        <f>SUMPRODUCT(AJ21:AK29)</f>
        <v>2500.2599999999998</v>
      </c>
      <c r="AL32" s="522" t="s">
        <v>314</v>
      </c>
      <c r="AM32" s="523"/>
      <c r="AN32" s="523"/>
      <c r="AO32" s="336">
        <f>AJ31/(AJ22+AJ21)</f>
        <v>2.6966292134831461E-2</v>
      </c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3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I32:AJ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87" priority="8" operator="equal">
      <formula>0</formula>
    </cfRule>
    <cfRule type="containsBlanks" dxfId="286" priority="9">
      <formula>LEN(TRIM(F12))=0</formula>
    </cfRule>
  </conditionalFormatting>
  <conditionalFormatting sqref="N12:Q17">
    <cfRule type="cellIs" dxfId="285" priority="6" operator="equal">
      <formula>0</formula>
    </cfRule>
    <cfRule type="containsBlanks" dxfId="284" priority="7">
      <formula>LEN(TRIM(N12))=0</formula>
    </cfRule>
  </conditionalFormatting>
  <conditionalFormatting sqref="Z12:AA17">
    <cfRule type="cellIs" dxfId="283" priority="3" operator="equal">
      <formula>"-"</formula>
    </cfRule>
  </conditionalFormatting>
  <conditionalFormatting sqref="Z12:AE17">
    <cfRule type="cellIs" dxfId="282" priority="4" operator="equal">
      <formula>0</formula>
    </cfRule>
    <cfRule type="containsBlanks" dxfId="281" priority="5">
      <formula>LEN(TRIM(Z12))=0</formula>
    </cfRule>
  </conditionalFormatting>
  <conditionalFormatting sqref="AB12:AC12">
    <cfRule type="cellIs" dxfId="280" priority="2" operator="equal">
      <formula>"-"</formula>
    </cfRule>
  </conditionalFormatting>
  <conditionalFormatting sqref="AB17:AC17">
    <cfRule type="cellIs" dxfId="27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1955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55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CB79-AFFC-492B-B31E-A8FD37FF1BE7}">
  <sheetPr>
    <tabColor rgb="FF002060"/>
    <pageSetUpPr fitToPage="1"/>
  </sheetPr>
  <dimension ref="A1:AY48"/>
  <sheetViews>
    <sheetView showGridLines="0" topLeftCell="S17" zoomScaleNormal="100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580</v>
      </c>
      <c r="AK23" s="316">
        <v>2.63</v>
      </c>
      <c r="AL23" s="328">
        <f>ROUND(AJ23/AK23/(AJ23/AK23+AJ24/AK24+AJ25/AK25*AK30),3)</f>
        <v>0.78600000000000003</v>
      </c>
      <c r="AM23" s="329">
        <f>ROUND(AJ24/AK24/(AJ23/AK23+AJ24/AK24+AJ25/AK25*AK30),3)</f>
        <v>0.214</v>
      </c>
      <c r="AN23" s="329">
        <f>ROUND(AJ25/AK25*AK30/(AJ23/AK23+AJ24/AK24+AJ25/AK25*AK30),3)</f>
        <v>0</v>
      </c>
      <c r="AO23" s="355">
        <f>AJ22/AJ21</f>
        <v>0.22058823529411764</v>
      </c>
      <c r="AQ23">
        <f t="shared" si="3"/>
        <v>4.6399999999999997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180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1.44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900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0.81299999999999994</v>
      </c>
      <c r="AN26" s="329">
        <f>ROUND(AJ27/AK27/(AJ25/AK25*(1-AK30)+AJ26/AK26+AJ27/AK27+AJ28/AK28),3)</f>
        <v>0.18099999999999999</v>
      </c>
      <c r="AO26" s="330">
        <f>ROUND(AJ28/AK28/(AJ25/AK25*(1-AK30)+AJ26/AK26+AJ27/AK27+AJ28/AK28),3)</f>
        <v>7.0000000000000001E-3</v>
      </c>
      <c r="AQ26">
        <f t="shared" si="3"/>
        <v>7.2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200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0.51648351648351654</v>
      </c>
      <c r="AQ27">
        <f t="shared" si="3"/>
        <v>1.6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981.08322983384971</v>
      </c>
      <c r="AQ28">
        <f t="shared" si="3"/>
        <v>0.02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1.8916770166150287E-2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0.55882352941176472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6.024096385542169E-3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2489.3599999999997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78" priority="8" operator="equal">
      <formula>0</formula>
    </cfRule>
    <cfRule type="containsBlanks" dxfId="277" priority="9">
      <formula>LEN(TRIM(F12))=0</formula>
    </cfRule>
  </conditionalFormatting>
  <conditionalFormatting sqref="N12:Q17">
    <cfRule type="cellIs" dxfId="276" priority="6" operator="equal">
      <formula>0</formula>
    </cfRule>
    <cfRule type="containsBlanks" dxfId="275" priority="7">
      <formula>LEN(TRIM(N12))=0</formula>
    </cfRule>
  </conditionalFormatting>
  <conditionalFormatting sqref="Z12:AA17">
    <cfRule type="cellIs" dxfId="274" priority="3" operator="equal">
      <formula>"-"</formula>
    </cfRule>
  </conditionalFormatting>
  <conditionalFormatting sqref="Z12:AE17">
    <cfRule type="cellIs" dxfId="273" priority="4" operator="equal">
      <formula>0</formula>
    </cfRule>
    <cfRule type="containsBlanks" dxfId="272" priority="5">
      <formula>LEN(TRIM(Z12))=0</formula>
    </cfRule>
  </conditionalFormatting>
  <conditionalFormatting sqref="AB12:AC12">
    <cfRule type="cellIs" dxfId="271" priority="2" operator="equal">
      <formula>"-"</formula>
    </cfRule>
  </conditionalFormatting>
  <conditionalFormatting sqref="AB17:AC17">
    <cfRule type="cellIs" dxfId="27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612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613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77E2-4926-457C-BFE1-515787E088A7}">
  <sheetPr>
    <tabColor rgb="FF002060"/>
    <pageSetUpPr fitToPage="1"/>
  </sheetPr>
  <dimension ref="A1:AY48"/>
  <sheetViews>
    <sheetView showGridLines="0" tabSelected="1" topLeftCell="A4" zoomScaleNormal="100" workbookViewId="0">
      <selection activeCell="E9" sqref="E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321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683.9493758668516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0.56999999999999995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415">
        <v>6.1999999999999998E-3</v>
      </c>
      <c r="R7" s="416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296.0506241331484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0.56980056980056981</v>
      </c>
      <c r="E8" s="26">
        <v>0.2</v>
      </c>
      <c r="F8" s="27">
        <v>0.8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417">
        <v>0</v>
      </c>
      <c r="R8" s="418"/>
      <c r="S8" s="268" t="s">
        <v>52</v>
      </c>
      <c r="T8" s="266"/>
      <c r="U8" s="266"/>
      <c r="V8" s="266"/>
      <c r="W8" s="267"/>
      <c r="X8" s="246">
        <v>0.52500000000000002</v>
      </c>
      <c r="Y8" s="248" t="s">
        <v>55</v>
      </c>
      <c r="Z8" s="271"/>
      <c r="AA8" s="272"/>
      <c r="AB8" s="413">
        <f>X15/SUM(C15:V15)</f>
        <v>9.1911764705882359E-2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0.11</v>
      </c>
      <c r="F9" s="239">
        <v>0.1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419">
        <v>0</v>
      </c>
      <c r="R9" s="420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2378.1799999999998</v>
      </c>
      <c r="AC9" s="396"/>
      <c r="AD9" s="396"/>
      <c r="AE9" s="397"/>
      <c r="AF9" s="38">
        <f>AF8*(1-X8)</f>
        <v>370.5</v>
      </c>
      <c r="AI9" s="173">
        <f>AI8*C15</f>
        <v>351</v>
      </c>
      <c r="AJ9" s="174">
        <f>AJ8*F15</f>
        <v>0</v>
      </c>
      <c r="AK9" s="175">
        <f>AK8*H15</f>
        <v>3.12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31.11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385.23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317</v>
      </c>
      <c r="I12" s="421"/>
      <c r="J12" s="422"/>
      <c r="K12" s="423" t="s">
        <v>317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319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318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320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3.09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v>2.67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351</v>
      </c>
      <c r="D15" s="448"/>
      <c r="E15" s="449"/>
      <c r="F15" s="450">
        <f>C15*X7</f>
        <v>0</v>
      </c>
      <c r="G15" s="451"/>
      <c r="H15" s="452">
        <f>ROUND((AF7*E8*H14),0)</f>
        <v>156</v>
      </c>
      <c r="I15" s="448"/>
      <c r="J15" s="449"/>
      <c r="K15" s="452">
        <f>ROUND((AF7*F8*K14),0)</f>
        <v>632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1037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ROUND(Q7*(C15),3)</f>
        <v>2.1760000000000002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33.134581907172716</v>
      </c>
      <c r="AJ15" s="432" t="s">
        <v>85</v>
      </c>
      <c r="AK15" s="432"/>
      <c r="AL15" s="453"/>
      <c r="AM15" s="340">
        <f>(H15+K15+N15)/(H15+K15+N15+P15+R15+V15)*100</f>
        <v>43.178082191780817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351</v>
      </c>
      <c r="D16" s="466"/>
      <c r="E16" s="467"/>
      <c r="F16" s="438">
        <f>F15*AB7/1000</f>
        <v>0</v>
      </c>
      <c r="G16" s="439"/>
      <c r="H16" s="465">
        <f>H15*AB7/1000</f>
        <v>156</v>
      </c>
      <c r="I16" s="466"/>
      <c r="J16" s="467"/>
      <c r="K16" s="465">
        <f>K15*AB7/1000</f>
        <v>632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1037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2176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43.6047733981448</v>
      </c>
      <c r="AJ16" s="459" t="s">
        <v>87</v>
      </c>
      <c r="AK16" s="459"/>
      <c r="AL16" s="468"/>
      <c r="AM16" s="341">
        <f>(P15+R15+V15)/(H15+K15+N15+P15+R15+V15)*100</f>
        <v>56.821917808219183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351</v>
      </c>
      <c r="D17" s="462"/>
      <c r="E17" s="463"/>
      <c r="F17" s="440">
        <f>F16</f>
        <v>0</v>
      </c>
      <c r="G17" s="441"/>
      <c r="H17" s="464">
        <f>H16*(1+E9-AT41)</f>
        <v>173.16000000000003</v>
      </c>
      <c r="I17" s="462"/>
      <c r="J17" s="463"/>
      <c r="K17" s="464">
        <f>ROUND((K16+(K16*(F9-AT42))),3)</f>
        <v>695.2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1042.1849999999999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114.455</v>
      </c>
      <c r="Y17" s="288">
        <f>Y16/Y14</f>
        <v>1996.3302752293575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76.739355305317517</v>
      </c>
      <c r="AJ17" s="442" t="s">
        <v>89</v>
      </c>
      <c r="AK17" s="442"/>
      <c r="AL17" s="443"/>
      <c r="AM17" s="342">
        <f>(C15+F15)/AB9*100</f>
        <v>14.759185595707644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307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0.56980056980056981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360</v>
      </c>
      <c r="AK21" s="314">
        <v>3.09</v>
      </c>
      <c r="AL21" s="484" t="s">
        <v>20</v>
      </c>
      <c r="AM21" s="485"/>
      <c r="AN21" s="485"/>
      <c r="AO21" s="486"/>
      <c r="AQ21">
        <f>AJ21*$AQ$20</f>
        <v>2.88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0.56980056980056981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0.56980056980056981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156</v>
      </c>
      <c r="AK23" s="316">
        <v>2.63</v>
      </c>
      <c r="AL23" s="328">
        <f>ROUND(AJ23/AK23/(AJ23/AK23+AJ24/AK24+AJ25/AK25*AK30),3)</f>
        <v>0.2</v>
      </c>
      <c r="AM23" s="329">
        <f>ROUND(AJ24/AK24/(AJ23/AK23+AJ24/AK24+AJ25/AK25*AK30),3)</f>
        <v>0.8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1.248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0.56980056980056981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630</v>
      </c>
      <c r="AK24" s="317">
        <v>2.65</v>
      </c>
      <c r="AL24" s="488" t="s">
        <v>21</v>
      </c>
      <c r="AM24" s="489"/>
      <c r="AN24" s="489"/>
      <c r="AO24" s="490"/>
      <c r="AQ24">
        <f t="shared" si="3"/>
        <v>5.04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0.56980056980056981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0.56980056980056981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1042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0.99399999999999999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6.0000000000000001E-3</v>
      </c>
      <c r="AQ26">
        <f t="shared" si="3"/>
        <v>8.3360000000000003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0.56980056980056981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0.52376599634369292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2.2000000000000002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954.25127605674015</v>
      </c>
      <c r="AQ28">
        <f t="shared" si="3"/>
        <v>1.7600000000000001E-2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4.574872394325985E-2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0.52777777777777779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6.1111111111111114E-3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2401.7499999999995</v>
      </c>
      <c r="AM32" s="528"/>
      <c r="AN32" s="528"/>
      <c r="AO32" s="367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3.1114563240047799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1.011439586033787</v>
      </c>
      <c r="AW41" s="184">
        <f t="shared" ref="AW41:AW48" si="7">SUM($C$15:$F$15)/AV41</f>
        <v>347.0301190962827</v>
      </c>
      <c r="AX41" s="185">
        <f>(C15/C14+F15/F14+H15/H14+K15/K14+N15/N14+P15/P14+R15/R14+V15/V14+X15/X14)/1000</f>
        <v>0.97996908507065106</v>
      </c>
      <c r="AY41" s="136">
        <f t="shared" ref="AY41:AY48" si="8">AV41/AX41</f>
        <v>1.0321137691408573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0.97996908507065106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0.97996908507065106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0.97996908507065106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0.97996908507065106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0.97996908507065106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0.97996908507065106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0.97996908507065106</v>
      </c>
      <c r="AY48" s="142" t="e">
        <f t="shared" si="8"/>
        <v>#DIV/0!</v>
      </c>
    </row>
  </sheetData>
  <sheetProtection selectLockedCells="1" autoFilter="0" pivotTables="0"/>
  <mergeCells count="195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Q7:R7"/>
    <mergeCell ref="Q8:R8"/>
    <mergeCell ref="Q9:R9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69" priority="8" operator="equal">
      <formula>0</formula>
    </cfRule>
    <cfRule type="containsBlanks" dxfId="268" priority="9">
      <formula>LEN(TRIM(F12))=0</formula>
    </cfRule>
  </conditionalFormatting>
  <conditionalFormatting sqref="N12:Q17">
    <cfRule type="cellIs" dxfId="267" priority="6" operator="equal">
      <formula>0</formula>
    </cfRule>
    <cfRule type="containsBlanks" dxfId="266" priority="7">
      <formula>LEN(TRIM(N12))=0</formula>
    </cfRule>
  </conditionalFormatting>
  <conditionalFormatting sqref="Z12:AA17">
    <cfRule type="cellIs" dxfId="265" priority="3" operator="equal">
      <formula>"-"</formula>
    </cfRule>
  </conditionalFormatting>
  <conditionalFormatting sqref="Z12:AE17">
    <cfRule type="cellIs" dxfId="264" priority="4" operator="equal">
      <formula>0</formula>
    </cfRule>
    <cfRule type="containsBlanks" dxfId="263" priority="5">
      <formula>LEN(TRIM(Z12))=0</formula>
    </cfRule>
  </conditionalFormatting>
  <conditionalFormatting sqref="AB12:AC12">
    <cfRule type="cellIs" dxfId="262" priority="2" operator="equal">
      <formula>"-"</formula>
    </cfRule>
  </conditionalFormatting>
  <conditionalFormatting sqref="AB17:AC17">
    <cfRule type="cellIs" dxfId="26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03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3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30A9-B207-4446-BDEF-8F63D85D1C41}">
  <sheetPr>
    <tabColor rgb="FF002060"/>
    <pageSetUpPr fitToPage="1"/>
  </sheetPr>
  <dimension ref="A1:AY48"/>
  <sheetViews>
    <sheetView showGridLines="0" topLeftCell="W18" zoomScale="115" zoomScaleNormal="115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311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600</v>
      </c>
      <c r="AK23" s="316">
        <v>2.63</v>
      </c>
      <c r="AL23" s="328">
        <f>ROUND(AJ23/AK23/(AJ23/AK23+AJ24/AK24+AJ25/AK25*AK30),3)</f>
        <v>0.82</v>
      </c>
      <c r="AM23" s="329">
        <f>ROUND(AJ24/AK24/(AJ23/AK23+AJ24/AK24+AJ25/AK25*AK30),3)</f>
        <v>0.18</v>
      </c>
      <c r="AN23" s="329">
        <f>ROUND(AJ25/AK25*AK30/(AJ23/AK23+AJ24/AK24+AJ25/AK25*AK30),3)</f>
        <v>0</v>
      </c>
      <c r="AO23" s="355">
        <f>AJ22/AJ21</f>
        <v>0.20547945205479451</v>
      </c>
      <c r="AQ23">
        <f t="shared" si="3"/>
        <v>4.8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150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1080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8.64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0.52422907488986781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981.03531918525937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1.896468081474063E-2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7.7272727272727267E-3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2485.2599999999998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60" priority="8" operator="equal">
      <formula>0</formula>
    </cfRule>
    <cfRule type="containsBlanks" dxfId="259" priority="9">
      <formula>LEN(TRIM(F12))=0</formula>
    </cfRule>
  </conditionalFormatting>
  <conditionalFormatting sqref="N12:Q17">
    <cfRule type="cellIs" dxfId="258" priority="6" operator="equal">
      <formula>0</formula>
    </cfRule>
    <cfRule type="containsBlanks" dxfId="257" priority="7">
      <formula>LEN(TRIM(N12))=0</formula>
    </cfRule>
  </conditionalFormatting>
  <conditionalFormatting sqref="Z12:AA17">
    <cfRule type="cellIs" dxfId="256" priority="3" operator="equal">
      <formula>"-"</formula>
    </cfRule>
  </conditionalFormatting>
  <conditionalFormatting sqref="Z12:AE17">
    <cfRule type="cellIs" dxfId="255" priority="4" operator="equal">
      <formula>0</formula>
    </cfRule>
    <cfRule type="containsBlanks" dxfId="254" priority="5">
      <formula>LEN(TRIM(Z12))=0</formula>
    </cfRule>
  </conditionalFormatting>
  <conditionalFormatting sqref="AB12:AC12">
    <cfRule type="cellIs" dxfId="253" priority="2" operator="equal">
      <formula>"-"</formula>
    </cfRule>
  </conditionalFormatting>
  <conditionalFormatting sqref="AB17:AC17">
    <cfRule type="cellIs" dxfId="25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403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03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E32E-BAF8-4734-8080-191E133081F0}">
  <sheetPr>
    <tabColor rgb="FF002060"/>
    <pageSetUpPr fitToPage="1"/>
  </sheetPr>
  <dimension ref="A1:AY48"/>
  <sheetViews>
    <sheetView showGridLines="0" topLeftCell="X18" zoomScale="115" zoomScaleNormal="115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9.5785440613026823E-2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2291.09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15.4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403.28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2.77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770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33.608457109934569</v>
      </c>
      <c r="AJ15" s="432" t="s">
        <v>85</v>
      </c>
      <c r="AK15" s="432"/>
      <c r="AL15" s="453"/>
      <c r="AM15" s="340">
        <f>(H15+K15+N15)/(H15+K15+N15+P15+R15+V15)*100</f>
        <v>44.66357308584687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770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41.63956893880205</v>
      </c>
      <c r="AJ16" s="459" t="s">
        <v>87</v>
      </c>
      <c r="AK16" s="459"/>
      <c r="AL16" s="468"/>
      <c r="AM16" s="341">
        <f>(P15+R15+V15)/(H15+K15+N15+P15+R15+V15)*100</f>
        <v>55.336426914153137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823.90000000000009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141.33000000000001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75.248026048736619</v>
      </c>
      <c r="AJ17" s="442" t="s">
        <v>89</v>
      </c>
      <c r="AK17" s="442"/>
      <c r="AL17" s="443"/>
      <c r="AM17" s="342">
        <f>(C15+F15)/AB9*100</f>
        <v>15.887634270150889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311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600</v>
      </c>
      <c r="AK23" s="316">
        <v>2.77</v>
      </c>
      <c r="AL23" s="328">
        <f>ROUND(AJ23/AK23/(AJ23/AK23+AJ24/AK24+AJ25/AK25*AK30),3)</f>
        <v>0.81200000000000006</v>
      </c>
      <c r="AM23" s="329">
        <f>ROUND(AJ24/AK24/(AJ23/AK23+AJ24/AK24+AJ25/AK25*AK30),3)</f>
        <v>0.188</v>
      </c>
      <c r="AN23" s="329">
        <f>ROUND(AJ25/AK25*AK30/(AJ23/AK23+AJ24/AK24+AJ25/AK25*AK30),3)</f>
        <v>0</v>
      </c>
      <c r="AO23" s="355">
        <f>AJ22/AJ21</f>
        <v>0.20547945205479451</v>
      </c>
      <c r="AQ23">
        <f t="shared" si="3"/>
        <v>4.8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150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1080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8.64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0.52422907488986781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969.50493525092759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3.0495064749072411E-2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7.7272727272727267E-3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2485.3999999999996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3.7302644506401306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0.97397886062512828</v>
      </c>
      <c r="AW41" s="184">
        <f t="shared" ref="AW41:AW48" si="7">SUM($C$15:$F$15)/AV41</f>
        <v>373.7247436421506</v>
      </c>
      <c r="AX41" s="185">
        <f>(C15/C14+F15/F14+H15/H14+K15/K14+N15/N14+P15/P14+R15/R14+V15/V14+X15/X14)/1000</f>
        <v>0.93764687343047937</v>
      </c>
      <c r="AY41" s="136">
        <f t="shared" ref="AY41:AY48" si="8">AV41/AX41</f>
        <v>1.0387480492114527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0.93764687343047937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0.93764687343047937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0.93764687343047937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0.93764687343047937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0.93764687343047937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0.93764687343047937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0.93764687343047937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51" priority="8" operator="equal">
      <formula>0</formula>
    </cfRule>
    <cfRule type="containsBlanks" dxfId="250" priority="9">
      <formula>LEN(TRIM(F12))=0</formula>
    </cfRule>
  </conditionalFormatting>
  <conditionalFormatting sqref="N12:Q17">
    <cfRule type="cellIs" dxfId="249" priority="6" operator="equal">
      <formula>0</formula>
    </cfRule>
    <cfRule type="containsBlanks" dxfId="248" priority="7">
      <formula>LEN(TRIM(N12))=0</formula>
    </cfRule>
  </conditionalFormatting>
  <conditionalFormatting sqref="Z12:AA17">
    <cfRule type="cellIs" dxfId="247" priority="3" operator="equal">
      <formula>"-"</formula>
    </cfRule>
  </conditionalFormatting>
  <conditionalFormatting sqref="Z12:AE17">
    <cfRule type="cellIs" dxfId="246" priority="4" operator="equal">
      <formula>0</formula>
    </cfRule>
    <cfRule type="containsBlanks" dxfId="245" priority="5">
      <formula>LEN(TRIM(Z12))=0</formula>
    </cfRule>
  </conditionalFormatting>
  <conditionalFormatting sqref="AB12:AC12">
    <cfRule type="cellIs" dxfId="244" priority="2" operator="equal">
      <formula>"-"</formula>
    </cfRule>
  </conditionalFormatting>
  <conditionalFormatting sqref="AB17:AC17">
    <cfRule type="cellIs" dxfId="24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817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817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3AE4-EBBB-4A38-91BC-2BF0BEC1BDF5}">
  <sheetPr>
    <tabColor rgb="FF002060"/>
    <pageSetUpPr fitToPage="1"/>
  </sheetPr>
  <dimension ref="A1:AY48"/>
  <sheetViews>
    <sheetView showGridLines="0" topLeftCell="X18" zoomScale="115" zoomScaleNormal="115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 t="e">
        <f>C15/C14+F15/F14+P15/P14+R15/R14+V15/V14+X15/X14</f>
        <v>#VALUE!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 t="e">
        <f>(1000-(1000*X9))-AF6</f>
        <v>#VALUE!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 t="e">
        <f>AL26</f>
        <v>#VALUE!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 t="e">
        <f>X15/SUM(C15:V15)</f>
        <v>#VALUE!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 t="e">
        <f>ROUND(SUM(C15:AA15),2)</f>
        <v>#VALUE!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 t="e">
        <f>AK8*H15</f>
        <v>#VALUE!</v>
      </c>
      <c r="AL9" s="175" t="e">
        <f>AL8*K15</f>
        <v>#VALUE!</v>
      </c>
      <c r="AM9" s="175" t="e">
        <f>AM8*N15</f>
        <v>#VALUE!</v>
      </c>
      <c r="AN9" s="175" t="e">
        <f>AN8*P15</f>
        <v>#VALUE!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 t="e">
        <f>SUM(AI9:AP9)</f>
        <v>#VALUE!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 t="e">
        <f>ROUND((AF7*E8*H14),0)</f>
        <v>#VALUE!</v>
      </c>
      <c r="I15" s="448"/>
      <c r="J15" s="449"/>
      <c r="K15" s="452" t="e">
        <f>ROUND((AF7*F8*K14),0)</f>
        <v>#VALUE!</v>
      </c>
      <c r="L15" s="448"/>
      <c r="M15" s="449"/>
      <c r="N15" s="450" t="e">
        <f>ROUND((AF7*G8*N14),0)</f>
        <v>#VALUE!</v>
      </c>
      <c r="O15" s="451"/>
      <c r="P15" s="450" t="e">
        <f>ROUND((AF9*I8*P14),0)</f>
        <v>#VALUE!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 t="e">
        <f>(H15+K15+N15)/(AB9) *100</f>
        <v>#VALUE!</v>
      </c>
      <c r="AJ15" s="432" t="s">
        <v>85</v>
      </c>
      <c r="AK15" s="432"/>
      <c r="AL15" s="453"/>
      <c r="AM15" s="340" t="e">
        <f>(H15+K15+N15)/(H15+K15+N15+P15+R15+V15)*100</f>
        <v>#VALUE!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 t="e">
        <f>H15*AB7/1000</f>
        <v>#VALUE!</v>
      </c>
      <c r="I16" s="466"/>
      <c r="J16" s="467"/>
      <c r="K16" s="465" t="e">
        <f>K15*AB7/1000</f>
        <v>#VALUE!</v>
      </c>
      <c r="L16" s="466"/>
      <c r="M16" s="467"/>
      <c r="N16" s="438" t="e">
        <f>N15*AB7/1000</f>
        <v>#VALUE!</v>
      </c>
      <c r="O16" s="439"/>
      <c r="P16" s="438" t="e">
        <f>P15*AB7/1000</f>
        <v>#VALUE!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 t="e">
        <f>AB15*AF7</f>
        <v>#VALUE!</v>
      </c>
      <c r="AC16" s="439"/>
      <c r="AD16" s="438">
        <f>AE15*AB7</f>
        <v>0</v>
      </c>
      <c r="AE16" s="439"/>
      <c r="AI16" s="338" t="e">
        <f>(P15+R15+V15)/AB9*100</f>
        <v>#VALUE!</v>
      </c>
      <c r="AJ16" s="459" t="s">
        <v>87</v>
      </c>
      <c r="AK16" s="459"/>
      <c r="AL16" s="468"/>
      <c r="AM16" s="341" t="e">
        <f>(P15+R15+V15)/(H15+K15+N15+P15+R15+V15)*100</f>
        <v>#VALUE!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 t="e">
        <f>H16*(1+E9-AT41)</f>
        <v>#VALUE!</v>
      </c>
      <c r="I17" s="462"/>
      <c r="J17" s="463"/>
      <c r="K17" s="464" t="e">
        <f>ROUND((K16+(K16*(F9-AT42))),3)</f>
        <v>#VALUE!</v>
      </c>
      <c r="L17" s="462"/>
      <c r="M17" s="463"/>
      <c r="N17" s="440" t="e">
        <f>ROUND((N16+(N16*(G9-AT43))),3)</f>
        <v>#VALUE!</v>
      </c>
      <c r="O17" s="441"/>
      <c r="P17" s="440" t="e">
        <f>ROUND((P16+(P16*(I9-AT44))),3)</f>
        <v>#VALUE!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 t="e">
        <f>ROUND(X16-((H17-H16)+(K17-K16)+(N17-N16)+(P17-P16)+(R17-R16)+(V17-V16)),3)</f>
        <v>#VALUE!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 t="e">
        <f>SUM(AI15:AI16)</f>
        <v>#VALUE!</v>
      </c>
      <c r="AJ17" s="442" t="s">
        <v>89</v>
      </c>
      <c r="AK17" s="442"/>
      <c r="AL17" s="443"/>
      <c r="AM17" s="342" t="e">
        <f>(C15+F15)/AB9*100</f>
        <v>#VALUE!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315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673" t="s">
        <v>148</v>
      </c>
      <c r="AE20" s="674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65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75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750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0.20547945205479451</v>
      </c>
      <c r="AQ23">
        <f t="shared" si="3"/>
        <v>6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1080</v>
      </c>
      <c r="AK26" s="317">
        <v>2.99</v>
      </c>
      <c r="AL26" s="328" t="e">
        <f>ROUND(AJ25/AK25*(1-AK30)/(AJ25/AK25*(1-AK30)+AJ26/AK26+AJ27/AK27+AJ28/AK28),3)</f>
        <v>#VALUE!</v>
      </c>
      <c r="AM26" s="329" t="e">
        <f>ROUND(AJ26/AK26/(AJ25/AK25*(1-AK30)+AJ26/AK26+AJ27/AK27+AJ28/AK28),3)</f>
        <v>#VALUE!</v>
      </c>
      <c r="AN26" s="329" t="e">
        <f>ROUND(AJ27/AK27/(AJ25/AK25*(1-AK30)+AJ26/AK26+AJ27/AK27+AJ28/AK28),3)</f>
        <v>#VALUE!</v>
      </c>
      <c r="AO26" s="330" t="e">
        <f>ROUND(AJ28/AK28/(AJ25/AK25*(1-AK30)+AJ26/AK26+AJ27/AK27+AJ28/AK28),3)</f>
        <v>#VALUE!</v>
      </c>
      <c r="AQ26">
        <f t="shared" si="3"/>
        <v>8.64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 t="s">
        <v>316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0.52422907488986781</v>
      </c>
      <c r="AQ27" t="e">
        <f t="shared" si="3"/>
        <v>#VALUE!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987.90231563731129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1.209768436268871E-2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7.7272727272727267E-3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2485.2599999999998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 t="e">
        <f>100*(1-1/AY41)</f>
        <v>#VALUE!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 t="e">
        <f t="shared" ref="AV41:AV48" si="6">SUM($C$15:$X$15)/AK41/1000</f>
        <v>#VALUE!</v>
      </c>
      <c r="AW41" s="184" t="e">
        <f t="shared" ref="AW41:AW48" si="7">SUM($C$15:$F$15)/AV41</f>
        <v>#VALUE!</v>
      </c>
      <c r="AX41" s="185" t="e">
        <f>(C15/C14+F15/F14+H15/H14+K15/K14+N15/N14+P15/P14+R15/R14+V15/V14+X15/X14)/1000</f>
        <v>#VALUE!</v>
      </c>
      <c r="AY41" s="136" t="e">
        <f t="shared" ref="AY41:AY48" si="8">AV41/AX41</f>
        <v>#VALUE!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#VALUE!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#VALUE!</v>
      </c>
      <c r="AW42" s="184" t="e">
        <f t="shared" si="7"/>
        <v>#VALUE!</v>
      </c>
      <c r="AX42" s="187" t="e">
        <f t="shared" ref="AX42:AX48" si="11">AX41</f>
        <v>#VALUE!</v>
      </c>
      <c r="AY42" s="140" t="e">
        <f t="shared" si="8"/>
        <v>#VALUE!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#VALUE!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#VALUE!</v>
      </c>
      <c r="AW43" s="184" t="e">
        <f t="shared" si="7"/>
        <v>#VALUE!</v>
      </c>
      <c r="AX43" s="187" t="e">
        <f t="shared" si="11"/>
        <v>#VALUE!</v>
      </c>
      <c r="AY43" s="140" t="e">
        <f t="shared" si="8"/>
        <v>#VALUE!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#VALUE!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#VALUE!</v>
      </c>
      <c r="AW44" s="184" t="e">
        <f t="shared" si="7"/>
        <v>#VALUE!</v>
      </c>
      <c r="AX44" s="187" t="e">
        <f t="shared" si="11"/>
        <v>#VALUE!</v>
      </c>
      <c r="AY44" s="140" t="e">
        <f t="shared" si="8"/>
        <v>#VALUE!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#VALUE!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#VALUE!</v>
      </c>
      <c r="AW45" s="184" t="e">
        <f t="shared" si="7"/>
        <v>#VALUE!</v>
      </c>
      <c r="AX45" s="187" t="e">
        <f t="shared" si="11"/>
        <v>#VALUE!</v>
      </c>
      <c r="AY45" s="140" t="e">
        <f t="shared" si="8"/>
        <v>#VALUE!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#VALUE!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#VALUE!</v>
      </c>
      <c r="AW46" s="184" t="e">
        <f t="shared" si="7"/>
        <v>#VALUE!</v>
      </c>
      <c r="AX46" s="187" t="e">
        <f t="shared" si="11"/>
        <v>#VALUE!</v>
      </c>
      <c r="AY46" s="140" t="e">
        <f t="shared" si="8"/>
        <v>#VALUE!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#VALUE!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#VALUE!</v>
      </c>
      <c r="AW47" s="184" t="e">
        <f t="shared" si="7"/>
        <v>#VALUE!</v>
      </c>
      <c r="AX47" s="187" t="e">
        <f t="shared" si="11"/>
        <v>#VALUE!</v>
      </c>
      <c r="AY47" s="140" t="e">
        <f t="shared" si="8"/>
        <v>#VALUE!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#VALUE!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#VALUE!</v>
      </c>
      <c r="AW48" s="184" t="e">
        <f t="shared" si="7"/>
        <v>#VALUE!</v>
      </c>
      <c r="AX48" s="189" t="e">
        <f t="shared" si="11"/>
        <v>#VALUE!</v>
      </c>
      <c r="AY48" s="142" t="e">
        <f t="shared" si="8"/>
        <v>#VALUE!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242" priority="8" operator="equal">
      <formula>0</formula>
    </cfRule>
    <cfRule type="containsBlanks" dxfId="241" priority="9">
      <formula>LEN(TRIM(F12))=0</formula>
    </cfRule>
  </conditionalFormatting>
  <conditionalFormatting sqref="N12:Q17">
    <cfRule type="cellIs" dxfId="240" priority="6" operator="equal">
      <formula>0</formula>
    </cfRule>
    <cfRule type="containsBlanks" dxfId="239" priority="7">
      <formula>LEN(TRIM(N12))=0</formula>
    </cfRule>
  </conditionalFormatting>
  <conditionalFormatting sqref="Z12:AA17">
    <cfRule type="cellIs" dxfId="238" priority="3" operator="equal">
      <formula>"-"</formula>
    </cfRule>
  </conditionalFormatting>
  <conditionalFormatting sqref="Z12:AE17">
    <cfRule type="cellIs" dxfId="237" priority="4" operator="equal">
      <formula>0</formula>
    </cfRule>
    <cfRule type="containsBlanks" dxfId="236" priority="5">
      <formula>LEN(TRIM(Z12))=0</formula>
    </cfRule>
  </conditionalFormatting>
  <conditionalFormatting sqref="AB12:AC12">
    <cfRule type="cellIs" dxfId="235" priority="2" operator="equal">
      <formula>"-"</formula>
    </cfRule>
  </conditionalFormatting>
  <conditionalFormatting sqref="AB17:AC17">
    <cfRule type="cellIs" dxfId="23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4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7F3F-9C9D-4117-B609-B6C1E65DB0EB}">
  <sheetPr>
    <tabColor rgb="FF002060"/>
    <pageSetUpPr fitToPage="1"/>
  </sheetPr>
  <dimension ref="A1:AY48"/>
  <sheetViews>
    <sheetView showGridLines="0" topLeftCell="W20" zoomScale="115" zoomScaleNormal="115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309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0.56000000000000005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590</v>
      </c>
      <c r="AK23" s="316">
        <v>2.63</v>
      </c>
      <c r="AL23" s="328">
        <f>ROUND(AJ23/AK23/(AJ23/AK23+AJ24/AK24+AJ25/AK25*AK30),3)</f>
        <v>0.82699999999999996</v>
      </c>
      <c r="AM23" s="329">
        <f>ROUND(AJ24/AK24/(AJ23/AK23+AJ24/AK24+AJ25/AK25*AK30),3)</f>
        <v>0.17299999999999999</v>
      </c>
      <c r="AN23" s="329">
        <f>ROUND(AJ25/AK25*AK30/(AJ23/AK23+AJ24/AK24+AJ25/AK25*AK30),3)</f>
        <v>0</v>
      </c>
      <c r="AO23" s="355">
        <f>AJ22/AJ21</f>
        <v>0.19178082191780821</v>
      </c>
      <c r="AQ23">
        <f t="shared" si="3"/>
        <v>4.72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140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1.1200000000000001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1100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8.8000000000000007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0.51434878587196464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978.65444249871223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2.1345557501287773E-2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7.8160919540229881E-3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2480.2599999999998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233" priority="8" operator="equal">
      <formula>0</formula>
    </cfRule>
    <cfRule type="containsBlanks" dxfId="232" priority="9">
      <formula>LEN(TRIM(F12))=0</formula>
    </cfRule>
  </conditionalFormatting>
  <conditionalFormatting sqref="N12:Q17">
    <cfRule type="cellIs" dxfId="231" priority="6" operator="equal">
      <formula>0</formula>
    </cfRule>
    <cfRule type="containsBlanks" dxfId="230" priority="7">
      <formula>LEN(TRIM(N12))=0</formula>
    </cfRule>
  </conditionalFormatting>
  <conditionalFormatting sqref="Z12:AA17">
    <cfRule type="cellIs" dxfId="229" priority="3" operator="equal">
      <formula>"-"</formula>
    </cfRule>
  </conditionalFormatting>
  <conditionalFormatting sqref="Z12:AE17">
    <cfRule type="cellIs" dxfId="228" priority="4" operator="equal">
      <formula>0</formula>
    </cfRule>
    <cfRule type="containsBlanks" dxfId="227" priority="5">
      <formula>LEN(TRIM(Z12))=0</formula>
    </cfRule>
  </conditionalFormatting>
  <conditionalFormatting sqref="AB12:AC12">
    <cfRule type="cellIs" dxfId="226" priority="2" operator="equal">
      <formula>"-"</formula>
    </cfRule>
  </conditionalFormatting>
  <conditionalFormatting sqref="AB17:AC17">
    <cfRule type="cellIs" dxfId="22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806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06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E25D-78B9-4EEC-88FD-7A192D4F1410}">
  <sheetPr>
    <tabColor rgb="FF002060"/>
    <pageSetUpPr fitToPage="1"/>
  </sheetPr>
  <dimension ref="A1:AY48"/>
  <sheetViews>
    <sheetView showGridLines="0" topLeftCell="AQ17" zoomScaleNormal="100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300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80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0.64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718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0.26666666666666666</v>
      </c>
      <c r="AQ23">
        <f t="shared" si="3"/>
        <v>5.7439999999999998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1044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0.99399999999999999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6.0000000000000001E-3</v>
      </c>
      <c r="AQ26">
        <f t="shared" si="3"/>
        <v>8.3520000000000003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0.51260504201680668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943.0761283355364</v>
      </c>
      <c r="AQ28">
        <f t="shared" si="3"/>
        <v>1.6800000000000002E-2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5.6923871664463603E-2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0.6333333333333333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7.0000000000000001E-3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2355.9599999999996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24" priority="8" operator="equal">
      <formula>0</formula>
    </cfRule>
    <cfRule type="containsBlanks" dxfId="223" priority="9">
      <formula>LEN(TRIM(F12))=0</formula>
    </cfRule>
  </conditionalFormatting>
  <conditionalFormatting sqref="N12:Q17">
    <cfRule type="cellIs" dxfId="222" priority="6" operator="equal">
      <formula>0</formula>
    </cfRule>
    <cfRule type="containsBlanks" dxfId="221" priority="7">
      <formula>LEN(TRIM(N12))=0</formula>
    </cfRule>
  </conditionalFormatting>
  <conditionalFormatting sqref="Z12:AA17">
    <cfRule type="cellIs" dxfId="220" priority="3" operator="equal">
      <formula>"-"</formula>
    </cfRule>
  </conditionalFormatting>
  <conditionalFormatting sqref="Z12:AE17">
    <cfRule type="cellIs" dxfId="219" priority="4" operator="equal">
      <formula>0</formula>
    </cfRule>
    <cfRule type="containsBlanks" dxfId="218" priority="5">
      <formula>LEN(TRIM(Z12))=0</formula>
    </cfRule>
  </conditionalFormatting>
  <conditionalFormatting sqref="AB12:AC12">
    <cfRule type="cellIs" dxfId="217" priority="2" operator="equal">
      <formula>"-"</formula>
    </cfRule>
  </conditionalFormatting>
  <conditionalFormatting sqref="AB17:AC17">
    <cfRule type="cellIs" dxfId="21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300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01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FC81-5520-4E31-B3CC-67ACBD9AF1DE}">
  <sheetPr>
    <tabColor rgb="FF002060"/>
    <pageSetUpPr fitToPage="1"/>
  </sheetPr>
  <dimension ref="A1:AY48"/>
  <sheetViews>
    <sheetView showGridLines="0" topLeftCell="P14" zoomScale="85" zoomScaleNormal="85" workbookViewId="0">
      <selection activeCell="AJ21" sqref="AJ21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666.27217553688138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0.54</v>
      </c>
      <c r="E7" s="258" t="s">
        <v>8</v>
      </c>
      <c r="F7" s="259" t="s">
        <v>9</v>
      </c>
      <c r="G7" s="400" t="s">
        <v>10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0.01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318.72782446311862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0.54054054054054057</v>
      </c>
      <c r="E8" s="26">
        <v>0.84</v>
      </c>
      <c r="F8" s="27">
        <v>0.16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9.1575091575091569E-2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0</v>
      </c>
      <c r="F9" s="239">
        <v>0</v>
      </c>
      <c r="G9" s="392">
        <v>0</v>
      </c>
      <c r="H9" s="393"/>
      <c r="I9" s="394">
        <v>0</v>
      </c>
      <c r="J9" s="395"/>
      <c r="K9" s="392">
        <v>0</v>
      </c>
      <c r="L9" s="395"/>
      <c r="M9" s="392">
        <v>0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2387.6999999999998</v>
      </c>
      <c r="AC9" s="396"/>
      <c r="AD9" s="396"/>
      <c r="AE9" s="397"/>
      <c r="AF9" s="38">
        <f>AF8*(1-X8)</f>
        <v>345.4</v>
      </c>
      <c r="AI9" s="173">
        <f>AI8*C15</f>
        <v>370</v>
      </c>
      <c r="AJ9" s="174">
        <f>AJ8*F15</f>
        <v>0</v>
      </c>
      <c r="AK9" s="175">
        <f>AK8*H15</f>
        <v>14.08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29.009999999999998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413.09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/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/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1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370</v>
      </c>
      <c r="D15" s="448"/>
      <c r="E15" s="449"/>
      <c r="F15" s="450">
        <f>C15*X7</f>
        <v>0</v>
      </c>
      <c r="G15" s="451"/>
      <c r="H15" s="452">
        <f>ROUND((AF7*E8*H14),0)</f>
        <v>704</v>
      </c>
      <c r="I15" s="448"/>
      <c r="J15" s="449"/>
      <c r="K15" s="452">
        <f>ROUND((AF7*F8*K14),0)</f>
        <v>143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967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ROUND(Q7*(C15+F15),3)</f>
        <v>3.7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35.473468191146296</v>
      </c>
      <c r="AJ15" s="432" t="s">
        <v>85</v>
      </c>
      <c r="AK15" s="432"/>
      <c r="AL15" s="453"/>
      <c r="AM15" s="340">
        <f>(H15+K15+N15)/(H15+K15+N15+P15+R15+V15)*100</f>
        <v>46.692392502756341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370</v>
      </c>
      <c r="D16" s="466"/>
      <c r="E16" s="467"/>
      <c r="F16" s="438">
        <f>F15*AB7/1000</f>
        <v>0</v>
      </c>
      <c r="G16" s="439"/>
      <c r="H16" s="465">
        <f>H15*AB7/1000</f>
        <v>704</v>
      </c>
      <c r="I16" s="466"/>
      <c r="J16" s="467"/>
      <c r="K16" s="465">
        <f>K15*AB7/1000</f>
        <v>143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967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3700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40.49922519579512</v>
      </c>
      <c r="AJ16" s="459" t="s">
        <v>87</v>
      </c>
      <c r="AK16" s="459"/>
      <c r="AL16" s="468"/>
      <c r="AM16" s="341">
        <f>(P15+R15+V15)/(H15+K15+N15+P15+R15+V15)*100</f>
        <v>53.307607497243659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370</v>
      </c>
      <c r="D17" s="462"/>
      <c r="E17" s="463"/>
      <c r="F17" s="440">
        <f>F16</f>
        <v>0</v>
      </c>
      <c r="G17" s="441"/>
      <c r="H17" s="464">
        <f>H16*(1+E9-AT41)</f>
        <v>704</v>
      </c>
      <c r="I17" s="462"/>
      <c r="J17" s="463"/>
      <c r="K17" s="464">
        <f>ROUND((K16+(K16*(F9-AT42))),3)</f>
        <v>143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967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200</v>
      </c>
      <c r="Y17" s="288">
        <f>Y16/Y14</f>
        <v>3394.4954128440363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75.972693386941415</v>
      </c>
      <c r="AJ17" s="442" t="s">
        <v>89</v>
      </c>
      <c r="AK17" s="442"/>
      <c r="AL17" s="443"/>
      <c r="AM17" s="342">
        <f>(C15+F15)/AB9*100</f>
        <v>15.496084097667213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0.54054054054054057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400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0.54054054054054057</v>
      </c>
      <c r="Z22" s="301"/>
      <c r="AA22" s="296"/>
      <c r="AB22" s="301"/>
      <c r="AC22" s="302"/>
      <c r="AD22" s="301"/>
      <c r="AE22" s="303"/>
      <c r="AI22" s="309" t="s">
        <v>5</v>
      </c>
      <c r="AJ22" s="315">
        <v>0</v>
      </c>
      <c r="AK22" s="316">
        <v>1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/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0.54054054054054057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750</v>
      </c>
      <c r="AK23" s="316">
        <v>2.63</v>
      </c>
      <c r="AL23" s="328">
        <f>ROUND(AJ23/AK23/(AJ23/AK23+AJ24/AK24+AJ25/AK25*AK30),3)</f>
        <v>0.86899999999999999</v>
      </c>
      <c r="AM23" s="329">
        <f>ROUND(AJ24/AK24/(AJ23/AK23+AJ24/AK24+AJ25/AK25*AK30),3)</f>
        <v>0.13100000000000001</v>
      </c>
      <c r="AN23" s="329">
        <f>ROUND(AJ25/AK25*AK30/(AJ23/AK23+AJ24/AK24+AJ25/AK25*AK30),3)</f>
        <v>0</v>
      </c>
      <c r="AO23" s="331"/>
      <c r="AQ23">
        <f t="shared" si="3"/>
        <v>6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0.54054054054054057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120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0.96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0.54054054054054057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0.54054054054054057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790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0.79800000000000004</v>
      </c>
      <c r="AN26" s="329">
        <f>ROUND(AJ27/AK27/(AJ25/AK25*(1-AK30)+AJ26/AK26+AJ27/AK27+AJ28/AK28),3)</f>
        <v>0.192</v>
      </c>
      <c r="AO26" s="330">
        <f>ROUND(AJ28/AK28/(AJ25/AK25*(1-AK30)+AJ26/AK26+AJ27/AK27+AJ28/AK28),3)</f>
        <v>0.01</v>
      </c>
      <c r="AQ26">
        <f t="shared" si="3"/>
        <v>6.32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0.54054054054054057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190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0.56359279311262978</v>
      </c>
      <c r="AQ27">
        <f t="shared" si="3"/>
        <v>1.52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980.07823424986441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1.992176575013559E-2</v>
      </c>
      <c r="AQ29">
        <f t="shared" si="3"/>
        <v>1.44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0.45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8.5000000000000006E-3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2.9384675415395911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1.0148451065254833</v>
      </c>
      <c r="AW41" s="184">
        <f t="shared" ref="AW41:AW48" si="7">SUM($C$15:$F$15)/AV41</f>
        <v>364.58765738819579</v>
      </c>
      <c r="AX41" s="185">
        <f>(C15/C14+F15/F14+H15/H14+K15/K14+N15/N14+P15/P14+R15/R14+V15/V14+X15/X14)/1000</f>
        <v>0.98502421247332905</v>
      </c>
      <c r="AY41" s="136">
        <f t="shared" ref="AY41:AY48" si="8">AV41/AX41</f>
        <v>1.0302742751645424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0.98502421247332905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0.98502421247332905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0.98502421247332905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0.98502421247332905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0.98502421247332905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0.98502421247332905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0.98502421247332905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215" priority="8" operator="equal">
      <formula>0</formula>
    </cfRule>
    <cfRule type="containsBlanks" dxfId="214" priority="9">
      <formula>LEN(TRIM(F12))=0</formula>
    </cfRule>
  </conditionalFormatting>
  <conditionalFormatting sqref="N12:Q17">
    <cfRule type="cellIs" dxfId="213" priority="6" operator="equal">
      <formula>0</formula>
    </cfRule>
    <cfRule type="containsBlanks" dxfId="212" priority="7">
      <formula>LEN(TRIM(N12))=0</formula>
    </cfRule>
  </conditionalFormatting>
  <conditionalFormatting sqref="Z12:AA17">
    <cfRule type="cellIs" dxfId="211" priority="3" operator="equal">
      <formula>"-"</formula>
    </cfRule>
  </conditionalFormatting>
  <conditionalFormatting sqref="Z12:AE17">
    <cfRule type="cellIs" dxfId="210" priority="4" operator="equal">
      <formula>0</formula>
    </cfRule>
    <cfRule type="containsBlanks" dxfId="209" priority="5">
      <formula>LEN(TRIM(Z12))=0</formula>
    </cfRule>
  </conditionalFormatting>
  <conditionalFormatting sqref="AB12:AC12">
    <cfRule type="cellIs" dxfId="208" priority="2" operator="equal">
      <formula>"-"</formula>
    </cfRule>
  </conditionalFormatting>
  <conditionalFormatting sqref="AB17:AC17">
    <cfRule type="cellIs" dxfId="20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412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3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C3A7-4136-488A-B124-7472F3720EE6}">
  <sheetPr>
    <tabColor rgb="FF002060"/>
    <pageSetUpPr fitToPage="1"/>
  </sheetPr>
  <dimension ref="A1:AY48"/>
  <sheetViews>
    <sheetView showGridLines="0" topLeftCell="P6" zoomScale="85" zoomScaleNormal="85" workbookViewId="0">
      <selection activeCell="AJ23" sqref="AJ23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724.27045177045181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260.72954822954819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9.1954022988505746E-2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2377.89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13.72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481.94000000000005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686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28.84910571977678</v>
      </c>
      <c r="AJ15" s="432" t="s">
        <v>85</v>
      </c>
      <c r="AK15" s="432"/>
      <c r="AL15" s="453"/>
      <c r="AM15" s="340">
        <f>(H15+K15+N15)/(H15+K15+N15+P15+R15+V15)*100</f>
        <v>39.584535487593769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617.4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44.03063219913453</v>
      </c>
      <c r="AJ16" s="459" t="s">
        <v>87</v>
      </c>
      <c r="AK16" s="459"/>
      <c r="AL16" s="468"/>
      <c r="AM16" s="341">
        <f>(P15+R15+V15)/(H15+K15+N15+P15+R15+V15)*100</f>
        <v>60.415464512406238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660.61800000000005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132.07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72.879737918911303</v>
      </c>
      <c r="AJ17" s="442" t="s">
        <v>89</v>
      </c>
      <c r="AK17" s="442"/>
      <c r="AL17" s="443"/>
      <c r="AM17" s="342">
        <f>(C15+F15)/AB9*100</f>
        <v>18.587907766969877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0.29411764705882354</v>
      </c>
      <c r="AQ23">
        <f t="shared" si="3"/>
        <v>5.44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0.82899999999999996</v>
      </c>
      <c r="AN26" s="329">
        <f>ROUND(AJ27/AK27/(AJ25/AK25*(1-AK30)+AJ26/AK26+AJ27/AK27+AJ28/AK28),3)</f>
        <v>0.16400000000000001</v>
      </c>
      <c r="AO26" s="330">
        <f>ROUND(AJ28/AK28/(AJ25/AK25*(1-AK30)+AJ26/AK26+AJ27/AK27+AJ28/AK28),3)</f>
        <v>7.0000000000000001E-3</v>
      </c>
      <c r="AQ26">
        <f t="shared" si="3"/>
        <v>6.88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170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0.52030103131097283</v>
      </c>
      <c r="AQ27">
        <f t="shared" si="3"/>
        <v>1.36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2.6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980.90019644560095</v>
      </c>
      <c r="AQ28">
        <f t="shared" si="3"/>
        <v>2.0800000000000003E-2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1.9099803554399046E-2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0.63235294117647056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7.6470588235294122E-3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2.5624714362423973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1.0110138959723249</v>
      </c>
      <c r="AW41" s="184">
        <f t="shared" ref="AW41:AW48" si="7">SUM($C$15:$F$15)/AV41</f>
        <v>437.18489108887491</v>
      </c>
      <c r="AX41" s="185">
        <f>(C15/C14+F15/F14+H15/H14+K15/K14+N15/N14+P15/P14+R15/R14+V15/V14+X15/X14)/1000</f>
        <v>0.98510695367159262</v>
      </c>
      <c r="AY41" s="136">
        <f t="shared" ref="AY41:AY48" si="8">AV41/AX41</f>
        <v>1.0262986086984509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0.98510695367159262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0.98510695367159262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0.98510695367159262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0.98510695367159262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0.98510695367159262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0.98510695367159262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0.98510695367159262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206" priority="8" operator="equal">
      <formula>0</formula>
    </cfRule>
    <cfRule type="containsBlanks" dxfId="205" priority="9">
      <formula>LEN(TRIM(F12))=0</formula>
    </cfRule>
  </conditionalFormatting>
  <conditionalFormatting sqref="N12:Q17">
    <cfRule type="cellIs" dxfId="204" priority="6" operator="equal">
      <formula>0</formula>
    </cfRule>
    <cfRule type="containsBlanks" dxfId="203" priority="7">
      <formula>LEN(TRIM(N12))=0</formula>
    </cfRule>
  </conditionalFormatting>
  <conditionalFormatting sqref="Z12:AA17">
    <cfRule type="cellIs" dxfId="202" priority="3" operator="equal">
      <formula>"-"</formula>
    </cfRule>
  </conditionalFormatting>
  <conditionalFormatting sqref="Z12:AE17">
    <cfRule type="cellIs" dxfId="201" priority="4" operator="equal">
      <formula>0</formula>
    </cfRule>
    <cfRule type="containsBlanks" dxfId="200" priority="5">
      <formula>LEN(TRIM(Z12))=0</formula>
    </cfRule>
  </conditionalFormatting>
  <conditionalFormatting sqref="AB12:AC12">
    <cfRule type="cellIs" dxfId="199" priority="2" operator="equal">
      <formula>"-"</formula>
    </cfRule>
  </conditionalFormatting>
  <conditionalFormatting sqref="AB17:AC17">
    <cfRule type="cellIs" dxfId="19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64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869B-A2FD-4C41-AC3A-ADFF7D18FF97}">
  <sheetPr>
    <tabColor rgb="FF002060"/>
    <pageSetUpPr fitToPage="1"/>
  </sheetPr>
  <dimension ref="A1:AY48"/>
  <sheetViews>
    <sheetView showGridLines="0" topLeftCell="V15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722.13059163059165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262.86940836940835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9.1743119266055051E-2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2382.89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13.82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  <c r="AT9" s="359">
        <f>316.2/349-1</f>
        <v>-9.3982808022922693E-2</v>
      </c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482.03999999999996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2.75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691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28.998401101183859</v>
      </c>
      <c r="AJ15" s="432" t="s">
        <v>85</v>
      </c>
      <c r="AK15" s="432"/>
      <c r="AL15" s="453"/>
      <c r="AM15" s="340">
        <f>(H15+K15+N15)/(H15+K15+N15+P15+R15+V15)*100</f>
        <v>39.758342922899885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621.9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43.938243057799568</v>
      </c>
      <c r="AJ16" s="459" t="s">
        <v>87</v>
      </c>
      <c r="AK16" s="459"/>
      <c r="AL16" s="468"/>
      <c r="AM16" s="341">
        <f>(P15+R15+V15)/(H15+K15+N15+P15+R15+V15)*100</f>
        <v>60.241657077100122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665.43299999999999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131.755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72.936644158983427</v>
      </c>
      <c r="AJ17" s="442" t="s">
        <v>89</v>
      </c>
      <c r="AK17" s="442"/>
      <c r="AL17" s="443"/>
      <c r="AM17" s="342">
        <f>(C15+F15)/AB9*100</f>
        <v>18.548904901191413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287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90</v>
      </c>
      <c r="AK22" s="316">
        <v>2.75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0.72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770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0.26470588235294118</v>
      </c>
      <c r="AQ23">
        <f t="shared" si="3"/>
        <v>6.16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890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0.85699999999999998</v>
      </c>
      <c r="AN26" s="329">
        <f>ROUND(AJ27/AK27/(AJ25/AK25*(1-AK30)+AJ26/AK26+AJ27/AK27+AJ28/AK28),3)</f>
        <v>0.13500000000000001</v>
      </c>
      <c r="AO26" s="334">
        <f>ROUND(AJ28/AK28/(AJ25/AK25*(1-AK30)+AJ26/AK26+AJ27/AK27+AJ28/AK28),3)</f>
        <v>8.9999999999999993E-3</v>
      </c>
      <c r="AQ26">
        <f t="shared" si="3"/>
        <v>7.12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140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0.537369575925843</v>
      </c>
      <c r="AQ27">
        <f t="shared" si="3"/>
        <v>1.1200000000000001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984.88646303072699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1.5113536969273013E-2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0.55882352941176472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9.1176470588235289E-3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>
        <v>7.6999999999999999E-2</v>
      </c>
      <c r="AP35">
        <f>AJ23*AO35</f>
        <v>59.29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>
        <v>0.1</v>
      </c>
      <c r="AP36">
        <f>AJ23*AO36</f>
        <v>77</v>
      </c>
      <c r="AQ36">
        <f>AP36-AP35</f>
        <v>17.71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2.7907344083798025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1.0131423462796352</v>
      </c>
      <c r="AW41" s="184">
        <f t="shared" ref="AW41:AW48" si="7">SUM($C$15:$F$15)/AV41</f>
        <v>436.26643543532685</v>
      </c>
      <c r="AX41" s="185">
        <f>(C15/C14+F15/F14+H15/H14+K15/K14+N15/N14+P15/P14+R15/R14+V15/V14+X15/X14)/1000</f>
        <v>0.984868234216143</v>
      </c>
      <c r="AY41" s="136">
        <f t="shared" ref="AY41:AY48" si="8">AV41/AX41</f>
        <v>1.0287085227050659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0.984868234216143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0.984868234216143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0.984868234216143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0.984868234216143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0.984868234216143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0.984868234216143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0.984868234216143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97" priority="8" operator="equal">
      <formula>0</formula>
    </cfRule>
    <cfRule type="containsBlanks" dxfId="196" priority="9">
      <formula>LEN(TRIM(F12))=0</formula>
    </cfRule>
  </conditionalFormatting>
  <conditionalFormatting sqref="N12:Q17">
    <cfRule type="cellIs" dxfId="195" priority="6" operator="equal">
      <formula>0</formula>
    </cfRule>
    <cfRule type="containsBlanks" dxfId="194" priority="7">
      <formula>LEN(TRIM(N12))=0</formula>
    </cfRule>
  </conditionalFormatting>
  <conditionalFormatting sqref="Z12:AA17">
    <cfRule type="cellIs" dxfId="193" priority="3" operator="equal">
      <formula>"-"</formula>
    </cfRule>
  </conditionalFormatting>
  <conditionalFormatting sqref="Z12:AE17">
    <cfRule type="cellIs" dxfId="192" priority="4" operator="equal">
      <formula>0</formula>
    </cfRule>
    <cfRule type="containsBlanks" dxfId="191" priority="5">
      <formula>LEN(TRIM(Z12))=0</formula>
    </cfRule>
  </conditionalFormatting>
  <conditionalFormatting sqref="AB12:AC12">
    <cfRule type="cellIs" dxfId="190" priority="2" operator="equal">
      <formula>"-"</formula>
    </cfRule>
  </conditionalFormatting>
  <conditionalFormatting sqref="AB17:AC17">
    <cfRule type="cellIs" dxfId="18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177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7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78DA-72A0-4B0D-A5FA-6157E3C1ADBD}">
  <sheetPr>
    <tabColor rgb="FF002060"/>
    <pageSetUpPr fitToPage="1"/>
  </sheetPr>
  <dimension ref="A1:AY48"/>
  <sheetViews>
    <sheetView showGridLines="0" topLeftCell="V9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724.27045177045181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260.72954822954819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9.1954022988505746E-2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2377.89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13.72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481.94000000000005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686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28.84910571977678</v>
      </c>
      <c r="AJ15" s="432" t="s">
        <v>85</v>
      </c>
      <c r="AK15" s="432"/>
      <c r="AL15" s="453"/>
      <c r="AM15" s="340">
        <f>(H15+K15+N15)/(H15+K15+N15+P15+R15+V15)*100</f>
        <v>39.584535487593769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617.4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44.03063219913453</v>
      </c>
      <c r="AJ16" s="459" t="s">
        <v>87</v>
      </c>
      <c r="AK16" s="459"/>
      <c r="AL16" s="468"/>
      <c r="AM16" s="341">
        <f>(P15+R15+V15)/(H15+K15+N15+P15+R15+V15)*100</f>
        <v>60.415464512406238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660.61800000000005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132.07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72.879737918911303</v>
      </c>
      <c r="AJ17" s="442" t="s">
        <v>89</v>
      </c>
      <c r="AK17" s="442"/>
      <c r="AL17" s="443"/>
      <c r="AM17" s="342">
        <f>(C15+F15)/AB9*100</f>
        <v>18.587907766969877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288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thickBot="1" x14ac:dyDescent="0.35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20">
        <v>205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0.80500000000000005</v>
      </c>
      <c r="AM23" s="329">
        <f>ROUND(AJ24/AK24/(AJ23/AK23+AJ24/AK24+AJ25/AK25*AK30),3)</f>
        <v>0.19500000000000001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180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1.44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900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0.91200000000000003</v>
      </c>
      <c r="AN26" s="329">
        <f>ROUND(AJ27/AK27/(AJ25/AK25*(1-AK30)+AJ26/AK26+AJ27/AK27+AJ28/AK28),3)</f>
        <v>8.1000000000000003E-2</v>
      </c>
      <c r="AO26" s="330">
        <f>ROUND(AJ28/AK28/(AJ25/AK25*(1-AK30)+AJ26/AK26+AJ27/AK27+AJ28/AK28),3)</f>
        <v>7.0000000000000001E-3</v>
      </c>
      <c r="AQ26">
        <f t="shared" si="3"/>
        <v>7.2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80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0.56187290969899661</v>
      </c>
      <c r="AQ27">
        <f t="shared" si="3"/>
        <v>0.64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0.56865828092243187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985.05945112191114</v>
      </c>
      <c r="AQ28">
        <f t="shared" si="3"/>
        <v>0.02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852.47986956098237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1.4940548878088862E-2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0.14752013043901763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0.81463414634146336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6.5789473684210523E-3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1.4634146341463415E-2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2.5624714362423973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1.0110138959723249</v>
      </c>
      <c r="AW41" s="184">
        <f t="shared" ref="AW41:AW48" si="7">SUM($C$15:$F$15)/AV41</f>
        <v>437.18489108887491</v>
      </c>
      <c r="AX41" s="185">
        <f>(C15/C14+F15/F14+H15/H14+K15/K14+N15/N14+P15/P14+R15/R14+V15/V14+X15/X14)/1000</f>
        <v>0.98510695367159262</v>
      </c>
      <c r="AY41" s="136">
        <f t="shared" ref="AY41:AY48" si="8">AV41/AX41</f>
        <v>1.0262986086984509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0.98510695367159262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0.98510695367159262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0.98510695367159262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0.98510695367159262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0.98510695367159262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0.98510695367159262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0.98510695367159262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188" priority="8" operator="equal">
      <formula>0</formula>
    </cfRule>
    <cfRule type="containsBlanks" dxfId="187" priority="9">
      <formula>LEN(TRIM(F12))=0</formula>
    </cfRule>
  </conditionalFormatting>
  <conditionalFormatting sqref="N12:Q17">
    <cfRule type="cellIs" dxfId="186" priority="6" operator="equal">
      <formula>0</formula>
    </cfRule>
    <cfRule type="containsBlanks" dxfId="185" priority="7">
      <formula>LEN(TRIM(N12))=0</formula>
    </cfRule>
  </conditionalFormatting>
  <conditionalFormatting sqref="Z12:AA17">
    <cfRule type="cellIs" dxfId="184" priority="3" operator="equal">
      <formula>"-"</formula>
    </cfRule>
  </conditionalFormatting>
  <conditionalFormatting sqref="Z12:AE17">
    <cfRule type="cellIs" dxfId="183" priority="4" operator="equal">
      <formula>0</formula>
    </cfRule>
    <cfRule type="containsBlanks" dxfId="182" priority="5">
      <formula>LEN(TRIM(Z12))=0</formula>
    </cfRule>
  </conditionalFormatting>
  <conditionalFormatting sqref="AB12:AC12">
    <cfRule type="cellIs" dxfId="181" priority="2" operator="equal">
      <formula>"-"</formula>
    </cfRule>
  </conditionalFormatting>
  <conditionalFormatting sqref="AB17:AC17">
    <cfRule type="cellIs" dxfId="18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713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3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CF16-8ECD-4C3F-9F66-4EE96AF49CF3}">
  <sheetPr>
    <tabColor rgb="FF002060"/>
    <pageSetUpPr fitToPage="1"/>
  </sheetPr>
  <dimension ref="A1:AY48"/>
  <sheetViews>
    <sheetView showGridLines="0" topLeftCell="P6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724.27045177045181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260.72954822954819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9.1954022988505746E-2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2377.89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13.72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481.94000000000005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686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28.84910571977678</v>
      </c>
      <c r="AJ15" s="432" t="s">
        <v>85</v>
      </c>
      <c r="AK15" s="432"/>
      <c r="AL15" s="453"/>
      <c r="AM15" s="340">
        <f>(H15+K15+N15)/(H15+K15+N15+P15+R15+V15)*100</f>
        <v>39.584535487593769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617.4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44.03063219913453</v>
      </c>
      <c r="AJ16" s="459" t="s">
        <v>87</v>
      </c>
      <c r="AK16" s="459"/>
      <c r="AL16" s="468"/>
      <c r="AM16" s="341">
        <f>(P15+R15+V15)/(H15+K15+N15+P15+R15+V15)*100</f>
        <v>60.415464512406238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660.61800000000005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132.07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72.879737918911303</v>
      </c>
      <c r="AJ17" s="442" t="s">
        <v>89</v>
      </c>
      <c r="AK17" s="442"/>
      <c r="AL17" s="443"/>
      <c r="AM17" s="342">
        <f>(C15+F15)/AB9*100</f>
        <v>18.587907766969877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0.29411764705882354</v>
      </c>
      <c r="AQ23">
        <f t="shared" si="3"/>
        <v>5.44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0.82899999999999996</v>
      </c>
      <c r="AN26" s="329">
        <f>ROUND(AJ27/AK27/(AJ25/AK25*(1-AK30)+AJ26/AK26+AJ27/AK27+AJ28/AK28),3)</f>
        <v>0.16400000000000001</v>
      </c>
      <c r="AO26" s="330">
        <f>ROUND(AJ28/AK28/(AJ25/AK25*(1-AK30)+AJ26/AK26+AJ27/AK27+AJ28/AK28),3)</f>
        <v>7.0000000000000001E-3</v>
      </c>
      <c r="AQ26">
        <f t="shared" si="3"/>
        <v>6.88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11</v>
      </c>
      <c r="AJ27" s="315">
        <v>170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0.52030103131097283</v>
      </c>
      <c r="AQ27">
        <f t="shared" si="3"/>
        <v>1.36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2.6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980.90019644560095</v>
      </c>
      <c r="AQ28">
        <f t="shared" si="3"/>
        <v>2.0800000000000003E-2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1.9099803554399046E-2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0.63235294117647056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7.6470588235294122E-3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2.5624714362423973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1.0110138959723249</v>
      </c>
      <c r="AW41" s="184">
        <f t="shared" ref="AW41:AW48" si="7">SUM($C$15:$F$15)/AV41</f>
        <v>437.18489108887491</v>
      </c>
      <c r="AX41" s="185">
        <f>(C15/C14+F15/F14+H15/H14+K15/K14+N15/N14+P15/P14+R15/R14+V15/V14+X15/X14)/1000</f>
        <v>0.98510695367159262</v>
      </c>
      <c r="AY41" s="136">
        <f t="shared" ref="AY41:AY48" si="8">AV41/AX41</f>
        <v>1.0262986086984509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0.98510695367159262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0.98510695367159262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0.98510695367159262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0.98510695367159262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0.98510695367159262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0.98510695367159262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0.98510695367159262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79" priority="8" operator="equal">
      <formula>0</formula>
    </cfRule>
    <cfRule type="containsBlanks" dxfId="178" priority="9">
      <formula>LEN(TRIM(F12))=0</formula>
    </cfRule>
  </conditionalFormatting>
  <conditionalFormatting sqref="N12:Q17">
    <cfRule type="cellIs" dxfId="177" priority="6" operator="equal">
      <formula>0</formula>
    </cfRule>
    <cfRule type="containsBlanks" dxfId="176" priority="7">
      <formula>LEN(TRIM(N12))=0</formula>
    </cfRule>
  </conditionalFormatting>
  <conditionalFormatting sqref="Z12:AA17">
    <cfRule type="cellIs" dxfId="175" priority="3" operator="equal">
      <formula>"-"</formula>
    </cfRule>
  </conditionalFormatting>
  <conditionalFormatting sqref="Z12:AE17">
    <cfRule type="cellIs" dxfId="174" priority="4" operator="equal">
      <formula>0</formula>
    </cfRule>
    <cfRule type="containsBlanks" dxfId="173" priority="5">
      <formula>LEN(TRIM(Z12))=0</formula>
    </cfRule>
  </conditionalFormatting>
  <conditionalFormatting sqref="AB12:AC12">
    <cfRule type="cellIs" dxfId="172" priority="2" operator="equal">
      <formula>"-"</formula>
    </cfRule>
  </conditionalFormatting>
  <conditionalFormatting sqref="AB17:AC17">
    <cfRule type="cellIs" dxfId="17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87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A373-D179-4873-8F79-F74AD5498EA4}">
  <sheetPr>
    <tabColor rgb="FF002060"/>
    <pageSetUpPr fitToPage="1"/>
  </sheetPr>
  <dimension ref="A1:AY48"/>
  <sheetViews>
    <sheetView showGridLines="0" topLeftCell="V10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0" max="50" width="12.33203125" bestFit="1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840.47924297924305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144.52075702075695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0.8</v>
      </c>
      <c r="F8" s="27">
        <v>0</v>
      </c>
      <c r="G8" s="406">
        <f>X7</f>
        <v>0.3</v>
      </c>
      <c r="H8" s="407"/>
      <c r="I8" s="408">
        <v>1</v>
      </c>
      <c r="J8" s="409"/>
      <c r="K8" s="410">
        <v>0</v>
      </c>
      <c r="L8" s="411"/>
      <c r="M8" s="410">
        <v>0.3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8.8534749889331563E-2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1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2461.89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10.4</v>
      </c>
      <c r="AL9" s="175">
        <f>AL8*K15</f>
        <v>0</v>
      </c>
      <c r="AM9" s="175">
        <f>AM8*N15</f>
        <v>0</v>
      </c>
      <c r="AN9" s="175">
        <f>AN8*P15</f>
        <v>980</v>
      </c>
      <c r="AO9" s="175">
        <f>AO8*R15</f>
        <v>0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1432.4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 t="s">
        <v>283</v>
      </c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 t="s">
        <v>285</v>
      </c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v>0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v>520</v>
      </c>
      <c r="I15" s="448"/>
      <c r="J15" s="449"/>
      <c r="K15" s="452">
        <f>ROUND((AF7*F8*K14),0)</f>
        <v>0</v>
      </c>
      <c r="L15" s="448"/>
      <c r="M15" s="449"/>
      <c r="N15" s="450">
        <v>0</v>
      </c>
      <c r="O15" s="451"/>
      <c r="P15" s="450">
        <f>ROUND((AF9*I8*P14),0)</f>
        <v>980</v>
      </c>
      <c r="Q15" s="451"/>
      <c r="R15" s="452">
        <f>ROUND((AF9*K8*R14),0)</f>
        <v>0</v>
      </c>
      <c r="S15" s="448"/>
      <c r="T15" s="448"/>
      <c r="U15" s="449"/>
      <c r="V15" s="452">
        <f>ROUND((AF9*M8*V14),0)</f>
        <v>317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21.121983516729017</v>
      </c>
      <c r="AJ15" s="432" t="s">
        <v>85</v>
      </c>
      <c r="AK15" s="432"/>
      <c r="AL15" s="453"/>
      <c r="AM15" s="340">
        <f>(H15+K15+N15)/(H15+K15+N15+P15+R15+V15)*100</f>
        <v>28.618602091359385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340</v>
      </c>
      <c r="D16" s="466"/>
      <c r="E16" s="467"/>
      <c r="F16" s="438">
        <f>F15*AB7/1000</f>
        <v>102</v>
      </c>
      <c r="G16" s="439"/>
      <c r="H16" s="465">
        <f>H15*AB7/1000</f>
        <v>520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980</v>
      </c>
      <c r="Q16" s="439"/>
      <c r="R16" s="465">
        <f>R15*AB7/1000</f>
        <v>0</v>
      </c>
      <c r="S16" s="466"/>
      <c r="T16" s="466"/>
      <c r="U16" s="467"/>
      <c r="V16" s="465">
        <f>V15*AB7/1000</f>
        <v>317</v>
      </c>
      <c r="W16" s="467"/>
      <c r="X16" s="285">
        <f>X15*AB7/1000</f>
        <v>200</v>
      </c>
      <c r="Y16" s="286">
        <f>Y15*AB7</f>
        <v>2890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52.68310119461065</v>
      </c>
      <c r="AJ16" s="459" t="s">
        <v>87</v>
      </c>
      <c r="AK16" s="459"/>
      <c r="AL16" s="468"/>
      <c r="AM16" s="341">
        <f>(P15+R15+V15)/(H15+K15+N15+P15+R15+V15)*100</f>
        <v>71.381397908640622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340</v>
      </c>
      <c r="D17" s="462"/>
      <c r="E17" s="463"/>
      <c r="F17" s="440">
        <f>F16</f>
        <v>102</v>
      </c>
      <c r="G17" s="441"/>
      <c r="H17" s="464">
        <f>H16*(1+E9-AT41)</f>
        <v>556.4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980</v>
      </c>
      <c r="Q17" s="441"/>
      <c r="R17" s="464">
        <f>ROUND((R16+(R16*(K9-AT45))),3)</f>
        <v>0</v>
      </c>
      <c r="S17" s="462"/>
      <c r="T17" s="462"/>
      <c r="U17" s="463"/>
      <c r="V17" s="464">
        <f>ROUND((V16+(V16*(M9-AT46))),3)</f>
        <v>318.58499999999998</v>
      </c>
      <c r="W17" s="463"/>
      <c r="X17" s="287">
        <f>ROUND(X16-((H17-H16)+(K17-K16)+(N17-N16)+(P17-P16)+(R17-R16)+(V17-V16)),3)</f>
        <v>162.01499999999999</v>
      </c>
      <c r="Y17" s="288">
        <f>Y16/Y14</f>
        <v>2651.3761467889908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73.805084711339674</v>
      </c>
      <c r="AJ17" s="442" t="s">
        <v>89</v>
      </c>
      <c r="AK17" s="442"/>
      <c r="AL17" s="443"/>
      <c r="AM17" s="342">
        <f>(C15+F15)/AB9*100</f>
        <v>17.953685989219665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284</v>
      </c>
      <c r="AJ19" s="457"/>
      <c r="AK19" s="457"/>
      <c r="AL19" s="457"/>
      <c r="AM19" s="356" t="s">
        <v>286</v>
      </c>
      <c r="AN19" s="676">
        <v>1000</v>
      </c>
      <c r="AO19" s="677"/>
      <c r="AR19" s="487" t="s">
        <v>284</v>
      </c>
      <c r="AS19" s="457"/>
      <c r="AT19" s="457"/>
      <c r="AU19" s="457"/>
      <c r="AV19" s="356" t="s">
        <v>286</v>
      </c>
      <c r="AW19" s="676">
        <v>15</v>
      </c>
      <c r="AX19" s="677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R21" s="308" t="s">
        <v>0</v>
      </c>
      <c r="AS21" s="357">
        <f>(AJ21*$AW$19)/$AN$19</f>
        <v>5.0999999999999996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R22" s="309" t="s">
        <v>280</v>
      </c>
      <c r="AS22" s="357">
        <f t="shared" ref="AS22:AS29" si="3">(AJ22*$AW$19)/$AN$19</f>
        <v>1.5</v>
      </c>
      <c r="AT22" s="316">
        <v>2.6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 t="s">
        <v>281</v>
      </c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520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0.29411764705882354</v>
      </c>
      <c r="AR23" s="309" t="s">
        <v>8</v>
      </c>
      <c r="AS23" s="357">
        <f t="shared" si="3"/>
        <v>7.8</v>
      </c>
      <c r="AT23" s="316">
        <v>2.63</v>
      </c>
      <c r="AU23" s="328">
        <f>ROUND(AS23/AT23/(AS23/AT23+AS24/AT24+AS25/AT25*AT30),3)</f>
        <v>1</v>
      </c>
      <c r="AV23" s="329">
        <f>ROUND(AS24/AT24/(AS23/AT23+AS24/AT24+AS25/AT25*AT30),3)</f>
        <v>0</v>
      </c>
      <c r="AW23" s="329">
        <f>ROUND(AS25/AT25*AT30/(AS23/AT23+AS24/AT24+AS25/AT25*AT30),3)</f>
        <v>0</v>
      </c>
      <c r="AX23" s="355">
        <f>AS22/AS21</f>
        <v>0.29411764705882354</v>
      </c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R24" s="309" t="s">
        <v>9</v>
      </c>
      <c r="AS24" s="357">
        <f t="shared" si="3"/>
        <v>0</v>
      </c>
      <c r="AT24" s="317">
        <v>2.8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MISTO</v>
      </c>
      <c r="AN25" s="326" t="str">
        <f>AI27</f>
        <v>Brita 1/2</v>
      </c>
      <c r="AO25" s="327" t="str">
        <f>AI28</f>
        <v>Aditivo</v>
      </c>
      <c r="AR25" s="309" t="s">
        <v>10</v>
      </c>
      <c r="AS25" s="357">
        <f t="shared" si="3"/>
        <v>0</v>
      </c>
      <c r="AT25" s="317">
        <v>2.6</v>
      </c>
      <c r="AU25" s="325" t="str">
        <f>AR25</f>
        <v>Areia 3</v>
      </c>
      <c r="AV25" s="326" t="str">
        <f>AR26</f>
        <v>MISTO</v>
      </c>
      <c r="AW25" s="326" t="str">
        <f>AR27</f>
        <v>Brita 1/2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283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0.71799999999999997</v>
      </c>
      <c r="AN26" s="329">
        <f>ROUND(AJ27/AK27/(AJ25/AK25*(1-AK30)+AJ26/AK26+AJ27/AK27+AJ28/AK28),3)</f>
        <v>0.27600000000000002</v>
      </c>
      <c r="AO26" s="330">
        <f>ROUND(AJ28/AK28/(AJ25/AK25*(1-AK30)+AJ26/AK26+AJ27/AK27+AJ28/AK28),3)</f>
        <v>6.0000000000000001E-3</v>
      </c>
      <c r="AR26" s="309" t="s">
        <v>283</v>
      </c>
      <c r="AS26" s="357">
        <f t="shared" si="3"/>
        <v>12.9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0.71799999999999997</v>
      </c>
      <c r="AW26" s="329">
        <f>ROUND(AS27/AT27/(AS25/AT25*(1-AT30)+AS26/AT26+AS27/AT27+AS28/AT28),3)</f>
        <v>0.27600000000000002</v>
      </c>
      <c r="AX26" s="330">
        <f>ROUND(AS28/AT28/(AS25/AT25*(1-AT30)+AS26/AT26+AS27/AT27+AS28/AT28),3)</f>
        <v>6.0000000000000001E-3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330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0.44597231255226238</v>
      </c>
      <c r="AR27" s="309" t="s">
        <v>227</v>
      </c>
      <c r="AS27" s="357">
        <f t="shared" si="3"/>
        <v>4.95</v>
      </c>
      <c r="AT27" s="317">
        <v>2.9</v>
      </c>
      <c r="AU27" s="491" t="s">
        <v>279</v>
      </c>
      <c r="AV27" s="492"/>
      <c r="AW27" s="493"/>
      <c r="AX27" s="332">
        <f>(SUM(AS21:AS25)/SUM(AS21:AS28))</f>
        <v>0.44597231255226233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2.6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975.23610833756368</v>
      </c>
      <c r="AR28" s="310" t="s">
        <v>230</v>
      </c>
      <c r="AS28" s="357">
        <f t="shared" si="3"/>
        <v>3.9E-2</v>
      </c>
      <c r="AT28" s="319">
        <v>1</v>
      </c>
      <c r="AU28" s="541" t="s">
        <v>80</v>
      </c>
      <c r="AV28" s="542"/>
      <c r="AW28" s="543"/>
      <c r="AX28" s="358">
        <f>SUM(AS21:AS24)/SUM(AS21:AS28)</f>
        <v>0.44597231255226233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2.4763891662436321E-2</v>
      </c>
      <c r="AR29" s="311" t="s">
        <v>2</v>
      </c>
      <c r="AS29" s="357">
        <f t="shared" si="3"/>
        <v>3.2250000000000001</v>
      </c>
      <c r="AT29" s="321">
        <v>1</v>
      </c>
      <c r="AU29" s="544" t="s">
        <v>24</v>
      </c>
      <c r="AV29" s="545"/>
      <c r="AW29" s="546"/>
      <c r="AX29" s="334">
        <f>(1000-AX28)/1000</f>
        <v>0.99955402768744772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0.63235294117647056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0.63235294117647067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7.6470588235294122E-3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7.6470588235294122E-3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 t="e">
        <f>100*(1-1/AY41)</f>
        <v>#DIV/0!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1.0467718611351355</v>
      </c>
      <c r="AW41" s="184">
        <f t="shared" ref="AW41:AW48" si="7">SUM($C$15:$F$15)/AV41</f>
        <v>422.25055564704269</v>
      </c>
      <c r="AX41" s="185" t="e">
        <f>(C15/C14+F15/F14+H15/H14+K15/K14+N15/N14+P15/P14+R15/R14+V15/V14+X15/X14)/1000</f>
        <v>#DIV/0!</v>
      </c>
      <c r="AY41" s="136" t="e">
        <f t="shared" ref="AY41:AY48" si="8">AV41/AX41</f>
        <v>#DIV/0!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 t="e">
        <f t="shared" ref="AX42:AX48" si="11">AX41</f>
        <v>#DIV/0!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 t="e">
        <f t="shared" si="11"/>
        <v>#DIV/0!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 t="e">
        <f t="shared" si="11"/>
        <v>#DIV/0!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 t="e">
        <f t="shared" si="11"/>
        <v>#DIV/0!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 t="e">
        <f t="shared" si="11"/>
        <v>#DIV/0!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 t="e">
        <f t="shared" si="11"/>
        <v>#DIV/0!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 t="e">
        <f t="shared" si="11"/>
        <v>#DIV/0!</v>
      </c>
      <c r="AY48" s="142" t="e">
        <f t="shared" si="8"/>
        <v>#DIV/0!</v>
      </c>
    </row>
  </sheetData>
  <sheetProtection selectLockedCells="1" autoFilter="0" pivotTables="0"/>
  <mergeCells count="194">
    <mergeCell ref="B40:AE40"/>
    <mergeCell ref="AI19:AL19"/>
    <mergeCell ref="AN19:AO19"/>
    <mergeCell ref="AR19:AU19"/>
    <mergeCell ref="AW19:AX19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B28:C31"/>
    <mergeCell ref="E28:E31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70" priority="8" operator="equal">
      <formula>0</formula>
    </cfRule>
    <cfRule type="containsBlanks" dxfId="169" priority="9">
      <formula>LEN(TRIM(F12))=0</formula>
    </cfRule>
  </conditionalFormatting>
  <conditionalFormatting sqref="N12:Q17">
    <cfRule type="cellIs" dxfId="168" priority="6" operator="equal">
      <formula>0</formula>
    </cfRule>
    <cfRule type="containsBlanks" dxfId="167" priority="7">
      <formula>LEN(TRIM(N12))=0</formula>
    </cfRule>
  </conditionalFormatting>
  <conditionalFormatting sqref="Z12:AA17">
    <cfRule type="cellIs" dxfId="166" priority="3" operator="equal">
      <formula>"-"</formula>
    </cfRule>
  </conditionalFormatting>
  <conditionalFormatting sqref="Z12:AE17">
    <cfRule type="cellIs" dxfId="165" priority="4" operator="equal">
      <formula>0</formula>
    </cfRule>
    <cfRule type="containsBlanks" dxfId="164" priority="5">
      <formula>LEN(TRIM(Z12))=0</formula>
    </cfRule>
  </conditionalFormatting>
  <conditionalFormatting sqref="AB12:AC12">
    <cfRule type="cellIs" dxfId="163" priority="2" operator="equal">
      <formula>"-"</formula>
    </cfRule>
  </conditionalFormatting>
  <conditionalFormatting sqref="AB17:AC17">
    <cfRule type="cellIs" dxfId="16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972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3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954F-B694-4B8F-A45D-149357DE5188}">
  <sheetPr>
    <tabColor rgb="FF002060"/>
    <pageSetUpPr fitToPage="1"/>
  </sheetPr>
  <dimension ref="A1:AY48"/>
  <sheetViews>
    <sheetView showGridLines="0" topLeftCell="Y12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724.27045177045181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900</v>
      </c>
      <c r="AC7" s="404"/>
      <c r="AD7" s="404"/>
      <c r="AE7" s="405"/>
      <c r="AF7" s="38">
        <f>(1000-(1000*X9))-AF6</f>
        <v>260.72954822954819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0.45248868778280543</v>
      </c>
      <c r="E8" s="26">
        <v>1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9.1954022988505746E-2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2377.89</v>
      </c>
      <c r="AC9" s="396"/>
      <c r="AD9" s="396"/>
      <c r="AE9" s="397"/>
      <c r="AF9" s="38">
        <f>AF8*(1-X8)</f>
        <v>376.8</v>
      </c>
      <c r="AI9" s="173">
        <f>AI8*C15</f>
        <v>340</v>
      </c>
      <c r="AJ9" s="174">
        <f>AJ8*F15</f>
        <v>102</v>
      </c>
      <c r="AK9" s="175">
        <f>AK8*H15</f>
        <v>13.72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26.22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481.94000000000005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2.8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ROUND((X15/D7),0)-60</f>
        <v>340</v>
      </c>
      <c r="D15" s="448"/>
      <c r="E15" s="449"/>
      <c r="F15" s="450">
        <f>C15*X7</f>
        <v>102</v>
      </c>
      <c r="G15" s="451"/>
      <c r="H15" s="452">
        <f>ROUND((AF7*E8*H14),0)</f>
        <v>686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874</v>
      </c>
      <c r="S15" s="448"/>
      <c r="T15" s="448"/>
      <c r="U15" s="449"/>
      <c r="V15" s="452">
        <f>ROUND((AF9*M8*V14),0)</f>
        <v>173</v>
      </c>
      <c r="W15" s="449"/>
      <c r="X15" s="347">
        <v>200</v>
      </c>
      <c r="Y15" s="284">
        <f>ROUND(Q7*(C15),3)</f>
        <v>2.89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28.84910571977678</v>
      </c>
      <c r="AJ15" s="432" t="s">
        <v>85</v>
      </c>
      <c r="AK15" s="432"/>
      <c r="AL15" s="453"/>
      <c r="AM15" s="340">
        <f>(H15+K15+N15)/(H15+K15+N15+P15+R15+V15)*100</f>
        <v>39.584535487593769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306</v>
      </c>
      <c r="D16" s="466"/>
      <c r="E16" s="467"/>
      <c r="F16" s="438">
        <f>F15*AB7/1000</f>
        <v>91.8</v>
      </c>
      <c r="G16" s="439"/>
      <c r="H16" s="465">
        <f>H15*AB7/1000</f>
        <v>617.4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786.6</v>
      </c>
      <c r="S16" s="466"/>
      <c r="T16" s="466"/>
      <c r="U16" s="467"/>
      <c r="V16" s="465">
        <f>V15*AB7/1000</f>
        <v>155.69999999999999</v>
      </c>
      <c r="W16" s="467"/>
      <c r="X16" s="285">
        <f>X15*AB7/1000</f>
        <v>180</v>
      </c>
      <c r="Y16" s="286">
        <f>Y15*AB7</f>
        <v>2601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44.03063219913453</v>
      </c>
      <c r="AJ16" s="459" t="s">
        <v>87</v>
      </c>
      <c r="AK16" s="459"/>
      <c r="AL16" s="468"/>
      <c r="AM16" s="341">
        <f>(P15+R15+V15)/(H15+K15+N15+P15+R15+V15)*100</f>
        <v>60.415464512406238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306</v>
      </c>
      <c r="D17" s="462"/>
      <c r="E17" s="463"/>
      <c r="F17" s="440">
        <f>F16</f>
        <v>91.8</v>
      </c>
      <c r="G17" s="441"/>
      <c r="H17" s="464">
        <f>H16*(1+E9-AT41)</f>
        <v>660.61800000000005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790.53300000000002</v>
      </c>
      <c r="S17" s="462"/>
      <c r="T17" s="462"/>
      <c r="U17" s="463"/>
      <c r="V17" s="464">
        <f>ROUND((V16+(V16*(M9-AT46))),3)</f>
        <v>156.47900000000001</v>
      </c>
      <c r="W17" s="463"/>
      <c r="X17" s="287">
        <f>ROUND(X16-((H17-H16)+(K17-K16)+(N17-N16)+(P17-P16)+(R17-R16)+(V17-V16)),3)</f>
        <v>132.07</v>
      </c>
      <c r="Y17" s="288">
        <f>Y16/Y14</f>
        <v>2386.2385321100915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72.879737918911303</v>
      </c>
      <c r="AJ17" s="442" t="s">
        <v>89</v>
      </c>
      <c r="AK17" s="442"/>
      <c r="AL17" s="443"/>
      <c r="AM17" s="342">
        <f>(C15+F15)/AB9*100</f>
        <v>18.587907766969877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0.45248868778280543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340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2.72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0.45248868778280543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110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0.88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0.45248868778280543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520</v>
      </c>
      <c r="AK23" s="316">
        <v>2.63</v>
      </c>
      <c r="AL23" s="328">
        <f>ROUND(AJ23/AK23/(AJ23/AK23+AJ24/AK24+AJ25/AK25*AK30),3)</f>
        <v>1</v>
      </c>
      <c r="AM23" s="329">
        <f>ROUND(AJ24/AK24/(AJ23/AK23+AJ24/AK24+AJ25/AK25*AK30),3)</f>
        <v>0</v>
      </c>
      <c r="AN23" s="329">
        <f>ROUND(AJ25/AK25*AK30/(AJ23/AK23+AJ24/AK24+AJ25/AK25*AK30),3)</f>
        <v>0</v>
      </c>
      <c r="AO23" s="355">
        <f>AJ22/AJ21</f>
        <v>0.3235294117647059</v>
      </c>
      <c r="AQ23">
        <f t="shared" si="3"/>
        <v>4.16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0.45248868778280543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0</v>
      </c>
      <c r="AK24" s="317">
        <v>2.8</v>
      </c>
      <c r="AL24" s="488" t="s">
        <v>21</v>
      </c>
      <c r="AM24" s="489"/>
      <c r="AN24" s="489"/>
      <c r="AO24" s="490"/>
      <c r="AQ24">
        <f t="shared" si="3"/>
        <v>0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0.45248868778280543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0.45248868778280543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860</v>
      </c>
      <c r="AK26" s="317">
        <v>2.9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0.71799999999999997</v>
      </c>
      <c r="AN26" s="329">
        <f>ROUND(AJ27/AK27/(AJ25/AK25*(1-AK30)+AJ26/AK26+AJ27/AK27+AJ28/AK28),3)</f>
        <v>0.27600000000000002</v>
      </c>
      <c r="AO26" s="330">
        <f>ROUND(AJ28/AK28/(AJ25/AK25*(1-AK30)+AJ26/AK26+AJ27/AK27+AJ28/AK28),3)</f>
        <v>6.0000000000000001E-3</v>
      </c>
      <c r="AQ26">
        <f t="shared" si="3"/>
        <v>6.88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0.45248868778280543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330</v>
      </c>
      <c r="AK27" s="317">
        <v>2.9</v>
      </c>
      <c r="AL27" s="491" t="s">
        <v>279</v>
      </c>
      <c r="AM27" s="492"/>
      <c r="AN27" s="493"/>
      <c r="AO27" s="332">
        <f>(SUM(AJ21:AJ25)/SUM(AJ21:AJ28))</f>
        <v>0.44853417183020439</v>
      </c>
      <c r="AQ27">
        <f t="shared" si="3"/>
        <v>2.64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2.6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979.08226218371749</v>
      </c>
      <c r="AQ28">
        <f t="shared" si="3"/>
        <v>2.0800000000000003E-2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215</v>
      </c>
      <c r="AK29" s="321">
        <v>1</v>
      </c>
      <c r="AL29" s="544" t="s">
        <v>24</v>
      </c>
      <c r="AM29" s="545"/>
      <c r="AN29" s="546"/>
      <c r="AO29" s="334">
        <f>(1000-AO28)/1000</f>
        <v>2.0917737816282509E-2</v>
      </c>
      <c r="AQ29">
        <f t="shared" si="3"/>
        <v>1.72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0.63235294117647056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7.6470588235294122E-3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2.5624714362423973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1.0110138959723249</v>
      </c>
      <c r="AW41" s="184">
        <f t="shared" ref="AW41:AW48" si="7">SUM($C$15:$F$15)/AV41</f>
        <v>437.18489108887491</v>
      </c>
      <c r="AX41" s="185">
        <f>(C15/C14+F15/F14+H15/H14+K15/K14+N15/N14+P15/P14+R15/R14+V15/V14+X15/X14)/1000</f>
        <v>0.98510695367159262</v>
      </c>
      <c r="AY41" s="136">
        <f t="shared" ref="AY41:AY48" si="8">AV41/AX41</f>
        <v>1.0262986086984509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0.98510695367159262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0.98510695367159262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0.98510695367159262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0.98510695367159262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0.98510695367159262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0.98510695367159262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0.98510695367159262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61" priority="8" operator="equal">
      <formula>0</formula>
    </cfRule>
    <cfRule type="containsBlanks" dxfId="160" priority="9">
      <formula>LEN(TRIM(F12))=0</formula>
    </cfRule>
  </conditionalFormatting>
  <conditionalFormatting sqref="N12:Q17">
    <cfRule type="cellIs" dxfId="159" priority="6" operator="equal">
      <formula>0</formula>
    </cfRule>
    <cfRule type="containsBlanks" dxfId="158" priority="7">
      <formula>LEN(TRIM(N12))=0</formula>
    </cfRule>
  </conditionalFormatting>
  <conditionalFormatting sqref="Z12:AA17">
    <cfRule type="cellIs" dxfId="157" priority="3" operator="equal">
      <formula>"-"</formula>
    </cfRule>
  </conditionalFormatting>
  <conditionalFormatting sqref="Z12:AE17">
    <cfRule type="cellIs" dxfId="156" priority="4" operator="equal">
      <formula>0</formula>
    </cfRule>
    <cfRule type="containsBlanks" dxfId="155" priority="5">
      <formula>LEN(TRIM(Z12))=0</formula>
    </cfRule>
  </conditionalFormatting>
  <conditionalFormatting sqref="AB12:AC12">
    <cfRule type="cellIs" dxfId="154" priority="2" operator="equal">
      <formula>"-"</formula>
    </cfRule>
  </conditionalFormatting>
  <conditionalFormatting sqref="AB17:AC17">
    <cfRule type="cellIs" dxfId="15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075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5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139-66FD-44BC-9454-3604A960F5E9}">
  <sheetPr>
    <tabColor rgb="FF002060"/>
    <pageSetUpPr fitToPage="1"/>
  </sheetPr>
  <dimension ref="A1:AY48"/>
  <sheetViews>
    <sheetView showGridLines="0" topLeftCell="V14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289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751</v>
      </c>
      <c r="AK23" s="316">
        <v>2.63</v>
      </c>
      <c r="AL23" s="328">
        <f>ROUND(AJ23/AK23/(AJ23/AK23+AJ24/AK24+AJ25/AK25*AK30),3)</f>
        <v>0.86799999999999999</v>
      </c>
      <c r="AM23" s="329">
        <f>ROUND(AJ24/AK24/(AJ23/AK23+AJ24/AK24+AJ25/AK25*AK30),3)</f>
        <v>0.13200000000000001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6.008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132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1.056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953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0.98899999999999999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1.0999999999999999E-2</v>
      </c>
      <c r="AQ26">
        <f t="shared" si="3"/>
        <v>7.6240000000000006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0.56904708267627846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970.52779076003685</v>
      </c>
      <c r="AQ28">
        <f t="shared" si="3"/>
        <v>2.8000000000000001E-2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2.9472209239963149E-2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0.51315789473684215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9.2105263157894728E-3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52" priority="8" operator="equal">
      <formula>0</formula>
    </cfRule>
    <cfRule type="containsBlanks" dxfId="151" priority="9">
      <formula>LEN(TRIM(F12))=0</formula>
    </cfRule>
  </conditionalFormatting>
  <conditionalFormatting sqref="N12:Q17">
    <cfRule type="cellIs" dxfId="150" priority="6" operator="equal">
      <formula>0</formula>
    </cfRule>
    <cfRule type="containsBlanks" dxfId="149" priority="7">
      <formula>LEN(TRIM(N12))=0</formula>
    </cfRule>
  </conditionalFormatting>
  <conditionalFormatting sqref="Z12:AA17">
    <cfRule type="cellIs" dxfId="148" priority="3" operator="equal">
      <formula>"-"</formula>
    </cfRule>
  </conditionalFormatting>
  <conditionalFormatting sqref="Z12:AE17">
    <cfRule type="cellIs" dxfId="147" priority="4" operator="equal">
      <formula>0</formula>
    </cfRule>
    <cfRule type="containsBlanks" dxfId="146" priority="5">
      <formula>LEN(TRIM(Z12))=0</formula>
    </cfRule>
  </conditionalFormatting>
  <conditionalFormatting sqref="AB12:AC12">
    <cfRule type="cellIs" dxfId="145" priority="2" operator="equal">
      <formula>"-"</formula>
    </cfRule>
  </conditionalFormatting>
  <conditionalFormatting sqref="AB17:AC17">
    <cfRule type="cellIs" dxfId="14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65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F1AD-C1FF-4B26-B7D6-D0FDB036F99C}">
  <sheetPr>
    <tabColor rgb="FF002060"/>
    <pageSetUpPr fitToPage="1"/>
  </sheetPr>
  <dimension ref="A1:AY48"/>
  <sheetViews>
    <sheetView showGridLines="0" topLeftCell="V14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294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0.86599999999999999</v>
      </c>
      <c r="AM23" s="329">
        <f>ROUND(AJ24/AK24/(AJ23/AK23+AJ24/AK24+AJ25/AK25*AK30),3)</f>
        <v>0.13400000000000001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125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0.88</v>
      </c>
      <c r="AN26" s="329">
        <f>ROUND(AJ27/AK27/(AJ25/AK25*(1-AK30)+AJ26/AK26+AJ27/AK27+AJ28/AK28),3)</f>
        <v>0.111</v>
      </c>
      <c r="AO26" s="330">
        <f>ROUND(AJ28/AK28/(AJ25/AK25*(1-AK30)+AJ26/AK26+AJ27/AK27+AJ28/AK28),3)</f>
        <v>8.9999999999999993E-3</v>
      </c>
      <c r="AQ26">
        <f t="shared" si="3"/>
        <v>7.6000000000000005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120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0.52892634536037231</v>
      </c>
      <c r="AQ27">
        <f t="shared" si="3"/>
        <v>0.96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987.65635953855474</v>
      </c>
      <c r="AQ28">
        <f t="shared" si="3"/>
        <v>2.5600000000000001E-2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1.2343640461445262E-2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0.51315789473684215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8.4210526315789472E-3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43" priority="8" operator="equal">
      <formula>0</formula>
    </cfRule>
    <cfRule type="containsBlanks" dxfId="142" priority="9">
      <formula>LEN(TRIM(F12))=0</formula>
    </cfRule>
  </conditionalFormatting>
  <conditionalFormatting sqref="N12:Q17">
    <cfRule type="cellIs" dxfId="141" priority="6" operator="equal">
      <formula>0</formula>
    </cfRule>
    <cfRule type="containsBlanks" dxfId="140" priority="7">
      <formula>LEN(TRIM(N12))=0</formula>
    </cfRule>
  </conditionalFormatting>
  <conditionalFormatting sqref="Z12:AA17">
    <cfRule type="cellIs" dxfId="139" priority="3" operator="equal">
      <formula>"-"</formula>
    </cfRule>
  </conditionalFormatting>
  <conditionalFormatting sqref="Z12:AE17">
    <cfRule type="cellIs" dxfId="138" priority="4" operator="equal">
      <formula>0</formula>
    </cfRule>
    <cfRule type="containsBlanks" dxfId="137" priority="5">
      <formula>LEN(TRIM(Z12))=0</formula>
    </cfRule>
  </conditionalFormatting>
  <conditionalFormatting sqref="AB12:AC12">
    <cfRule type="cellIs" dxfId="136" priority="2" operator="equal">
      <formula>"-"</formula>
    </cfRule>
  </conditionalFormatting>
  <conditionalFormatting sqref="AB17:AC17">
    <cfRule type="cellIs" dxfId="13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42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2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2C55-2CBF-48BD-AECF-4E78D8A03A27}">
  <sheetPr>
    <tabColor rgb="FF002060"/>
    <pageSetUpPr fitToPage="1"/>
  </sheetPr>
  <dimension ref="A1:AY48"/>
  <sheetViews>
    <sheetView showGridLines="0" topLeftCell="U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753.65851468792653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231.34148531207347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0.38461538461538464</v>
      </c>
      <c r="E8" s="26">
        <v>0.86799999999999999</v>
      </c>
      <c r="F8" s="27">
        <f>1-E8</f>
        <v>0.13200000000000001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f>1-K8</f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9.107468123861566E-2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2399.4</v>
      </c>
      <c r="AC9" s="396"/>
      <c r="AD9" s="396"/>
      <c r="AE9" s="397"/>
      <c r="AF9" s="38">
        <f>AF8*(1-X8)</f>
        <v>376.8</v>
      </c>
      <c r="AI9" s="173">
        <f>AI8*C15</f>
        <v>400</v>
      </c>
      <c r="AJ9" s="174">
        <f>AJ8*F15</f>
        <v>120</v>
      </c>
      <c r="AK9" s="175">
        <f>AK8*H15</f>
        <v>10.56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31.65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562.20999999999992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120</v>
      </c>
      <c r="G15" s="451"/>
      <c r="H15" s="452">
        <f>ROUND((AF7*E8*H14),0)</f>
        <v>528</v>
      </c>
      <c r="I15" s="448"/>
      <c r="J15" s="449"/>
      <c r="K15" s="452">
        <f>ROUND((AF7*F8*K14),0)</f>
        <v>93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1055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ROUND(Q7*(C15),3)</f>
        <v>3.4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25.881470367591895</v>
      </c>
      <c r="AJ15" s="432" t="s">
        <v>85</v>
      </c>
      <c r="AK15" s="432"/>
      <c r="AL15" s="453"/>
      <c r="AM15" s="340">
        <f>(H15+K15+N15)/(H15+K15+N15+P15+R15+V15)*100</f>
        <v>37.052505966587113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120</v>
      </c>
      <c r="G16" s="439"/>
      <c r="H16" s="465">
        <f>H15*AB7/1000</f>
        <v>528</v>
      </c>
      <c r="I16" s="466"/>
      <c r="J16" s="467"/>
      <c r="K16" s="465">
        <f>K15*AB7/1000</f>
        <v>93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1055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3400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43.969325664749519</v>
      </c>
      <c r="AJ16" s="459" t="s">
        <v>87</v>
      </c>
      <c r="AK16" s="459"/>
      <c r="AL16" s="468"/>
      <c r="AM16" s="341">
        <f>(P15+R15+V15)/(H15+K15+N15+P15+R15+V15)*100</f>
        <v>62.947494033412887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120</v>
      </c>
      <c r="G17" s="441"/>
      <c r="H17" s="464">
        <f>H16*(1+E9-AT41)</f>
        <v>564.96</v>
      </c>
      <c r="I17" s="462"/>
      <c r="J17" s="463"/>
      <c r="K17" s="464">
        <f>ROUND((K16+(K16*(F9-AT42))),3)</f>
        <v>93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1060.2750000000001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157.76499999999999</v>
      </c>
      <c r="Y17" s="288">
        <f>Y16/Y14</f>
        <v>3119.2660550458713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69.850796032341407</v>
      </c>
      <c r="AJ17" s="442" t="s">
        <v>89</v>
      </c>
      <c r="AK17" s="442"/>
      <c r="AL17" s="443"/>
      <c r="AM17" s="342">
        <f>(C15+F15)/AB9*100</f>
        <v>21.672084687838623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0.38461538461538464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0.38461538461538464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0.38461538461538464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782</v>
      </c>
      <c r="AK23" s="316">
        <v>2.63</v>
      </c>
      <c r="AL23" s="328">
        <f>ROUND(AJ23/AK23/(AJ23/AK23+AJ24/AK24+AJ25/AK25*AK30),3)</f>
        <v>0.871</v>
      </c>
      <c r="AM23" s="329">
        <f>ROUND(AJ24/AK24/(AJ23/AK23+AJ24/AK24+AJ25/AK25*AK30),3)</f>
        <v>0.129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6.2560000000000002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0.38461538461538464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134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1.0720000000000001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0.38461538461538464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0.38461538461538464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1009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Q26">
        <f t="shared" si="3"/>
        <v>8.072000000000001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0.38461538461538464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0.55853499018966646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996.8020652156365</v>
      </c>
      <c r="AQ28">
        <f t="shared" si="3"/>
        <v>2.8000000000000001E-2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3.1979347843634968E-3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0.53424657534246578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9.5890410958904115E-3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3.4159744385868773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1.0199533872630275</v>
      </c>
      <c r="AW41" s="184">
        <f t="shared" ref="AW41:AW48" si="7">SUM($C$15:$F$15)/AV41</f>
        <v>509.82722004128351</v>
      </c>
      <c r="AX41" s="185">
        <f>(C15/C14+F15/F14+H15/H14+K15/K14+N15/N14+P15/P14+R15/R14+V15/V14+X15/X14)/1000</f>
        <v>0.98511204026862154</v>
      </c>
      <c r="AY41" s="136">
        <f t="shared" ref="AY41:AY48" si="8">AV41/AX41</f>
        <v>1.035367902908694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0.98511204026862154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0.98511204026862154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0.98511204026862154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0.98511204026862154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0.98511204026862154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0.98511204026862154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0.98511204026862154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34" priority="8" operator="equal">
      <formula>0</formula>
    </cfRule>
    <cfRule type="containsBlanks" dxfId="133" priority="9">
      <formula>LEN(TRIM(F12))=0</formula>
    </cfRule>
  </conditionalFormatting>
  <conditionalFormatting sqref="N12:Q17">
    <cfRule type="cellIs" dxfId="132" priority="6" operator="equal">
      <formula>0</formula>
    </cfRule>
    <cfRule type="containsBlanks" dxfId="131" priority="7">
      <formula>LEN(TRIM(N12))=0</formula>
    </cfRule>
  </conditionalFormatting>
  <conditionalFormatting sqref="Z12:AA17">
    <cfRule type="cellIs" dxfId="130" priority="3" operator="equal">
      <formula>"-"</formula>
    </cfRule>
  </conditionalFormatting>
  <conditionalFormatting sqref="Z12:AE17">
    <cfRule type="cellIs" dxfId="129" priority="4" operator="equal">
      <formula>0</formula>
    </cfRule>
    <cfRule type="containsBlanks" dxfId="128" priority="5">
      <formula>LEN(TRIM(Z12))=0</formula>
    </cfRule>
  </conditionalFormatting>
  <conditionalFormatting sqref="AB12:AC12">
    <cfRule type="cellIs" dxfId="127" priority="2" operator="equal">
      <formula>"-"</formula>
    </cfRule>
  </conditionalFormatting>
  <conditionalFormatting sqref="AB17:AC17">
    <cfRule type="cellIs" dxfId="12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76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6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496-E961-43B8-B313-D3AB84B7725E}">
  <sheetPr>
    <tabColor rgb="FF002060"/>
    <pageSetUpPr fitToPage="1"/>
  </sheetPr>
  <dimension ref="A1:AY48"/>
  <sheetViews>
    <sheetView showGridLines="0" topLeftCell="U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753.65851468792653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231.34148531207347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0.38461538461538464</v>
      </c>
      <c r="E8" s="26">
        <v>0.86799999999999999</v>
      </c>
      <c r="F8" s="27">
        <f>1-E8</f>
        <v>0.13200000000000001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f>1-K8</f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9.107468123861566E-2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2399.4</v>
      </c>
      <c r="AC9" s="396"/>
      <c r="AD9" s="396"/>
      <c r="AE9" s="397"/>
      <c r="AF9" s="38">
        <f>AF8*(1-X8)</f>
        <v>376.8</v>
      </c>
      <c r="AI9" s="173">
        <f>AI8*C15</f>
        <v>400</v>
      </c>
      <c r="AJ9" s="174">
        <f>AJ8*F15</f>
        <v>120</v>
      </c>
      <c r="AK9" s="175">
        <f>AK8*H15</f>
        <v>10.56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31.65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562.20999999999992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120</v>
      </c>
      <c r="G15" s="451"/>
      <c r="H15" s="452">
        <f>ROUND((AF7*E8*H14),0)</f>
        <v>528</v>
      </c>
      <c r="I15" s="448"/>
      <c r="J15" s="449"/>
      <c r="K15" s="452">
        <f>ROUND((AF7*F8*K14),0)</f>
        <v>93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1055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ROUND(Q7*(C15),3)</f>
        <v>3.4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25.881470367591895</v>
      </c>
      <c r="AJ15" s="432" t="s">
        <v>85</v>
      </c>
      <c r="AK15" s="432"/>
      <c r="AL15" s="453"/>
      <c r="AM15" s="340">
        <f>(H15+K15+N15)/(H15+K15+N15+P15+R15+V15)*100</f>
        <v>37.052505966587113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120</v>
      </c>
      <c r="G16" s="439"/>
      <c r="H16" s="465">
        <f>H15*AB7/1000</f>
        <v>528</v>
      </c>
      <c r="I16" s="466"/>
      <c r="J16" s="467"/>
      <c r="K16" s="465">
        <f>K15*AB7/1000</f>
        <v>93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1055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3400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43.969325664749519</v>
      </c>
      <c r="AJ16" s="459" t="s">
        <v>87</v>
      </c>
      <c r="AK16" s="459"/>
      <c r="AL16" s="468"/>
      <c r="AM16" s="341">
        <f>(P15+R15+V15)/(H15+K15+N15+P15+R15+V15)*100</f>
        <v>62.947494033412887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120</v>
      </c>
      <c r="G17" s="441"/>
      <c r="H17" s="464">
        <f>H16*(1+E9-AT41)</f>
        <v>564.96</v>
      </c>
      <c r="I17" s="462"/>
      <c r="J17" s="463"/>
      <c r="K17" s="464">
        <f>ROUND((K16+(K16*(F9-AT42))),3)</f>
        <v>93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1060.2750000000001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157.76499999999999</v>
      </c>
      <c r="Y17" s="288">
        <f>Y16/Y14</f>
        <v>3119.2660550458713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69.850796032341407</v>
      </c>
      <c r="AJ17" s="442" t="s">
        <v>89</v>
      </c>
      <c r="AK17" s="442"/>
      <c r="AL17" s="443"/>
      <c r="AM17" s="342">
        <f>(C15+F15)/AB9*100</f>
        <v>21.672084687838623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291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0.38461538461538464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0.38461538461538464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0.38461538461538464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740</v>
      </c>
      <c r="AK23" s="316">
        <v>2.63</v>
      </c>
      <c r="AL23" s="328">
        <f>ROUND(AJ23/AK23/(AJ23/AK23+AJ24/AK24+AJ25/AK25*AK30),3)</f>
        <v>0.872</v>
      </c>
      <c r="AM23" s="329">
        <f>ROUND(AJ24/AK24/(AJ23/AK23+AJ24/AK24+AJ25/AK25*AK30),3)</f>
        <v>0.128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5.92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0.38461538461538464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125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0.38461538461538464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0.38461538461538464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0.38461538461538464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0.53874118523060754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991.17456101882397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8.8254389811760342E-3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0.53424657534246578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8.493150684931507E-3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3.4159744385868773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1.0199533872630275</v>
      </c>
      <c r="AW41" s="184">
        <f t="shared" ref="AW41:AW48" si="7">SUM($C$15:$F$15)/AV41</f>
        <v>509.82722004128351</v>
      </c>
      <c r="AX41" s="185">
        <f>(C15/C14+F15/F14+H15/H14+K15/K14+N15/N14+P15/P14+R15/R14+V15/V14+X15/X14)/1000</f>
        <v>0.98511204026862154</v>
      </c>
      <c r="AY41" s="136">
        <f t="shared" ref="AY41:AY48" si="8">AV41/AX41</f>
        <v>1.035367902908694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0.98511204026862154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0.98511204026862154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0.98511204026862154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0.98511204026862154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0.98511204026862154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0.98511204026862154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0.98511204026862154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125" priority="8" operator="equal">
      <formula>0</formula>
    </cfRule>
    <cfRule type="containsBlanks" dxfId="124" priority="9">
      <formula>LEN(TRIM(F12))=0</formula>
    </cfRule>
  </conditionalFormatting>
  <conditionalFormatting sqref="N12:Q17">
    <cfRule type="cellIs" dxfId="123" priority="6" operator="equal">
      <formula>0</formula>
    </cfRule>
    <cfRule type="containsBlanks" dxfId="122" priority="7">
      <formula>LEN(TRIM(N12))=0</formula>
    </cfRule>
  </conditionalFormatting>
  <conditionalFormatting sqref="Z12:AA17">
    <cfRule type="cellIs" dxfId="121" priority="3" operator="equal">
      <formula>"-"</formula>
    </cfRule>
  </conditionalFormatting>
  <conditionalFormatting sqref="Z12:AE17">
    <cfRule type="cellIs" dxfId="120" priority="4" operator="equal">
      <formula>0</formula>
    </cfRule>
    <cfRule type="containsBlanks" dxfId="119" priority="5">
      <formula>LEN(TRIM(Z12))=0</formula>
    </cfRule>
  </conditionalFormatting>
  <conditionalFormatting sqref="AB12:AC12">
    <cfRule type="cellIs" dxfId="118" priority="2" operator="equal">
      <formula>"-"</formula>
    </cfRule>
  </conditionalFormatting>
  <conditionalFormatting sqref="AB17:AC17">
    <cfRule type="cellIs" dxfId="11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4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4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EFD4-354F-4C35-9CBC-4D99B9DFC298}">
  <sheetPr>
    <tabColor rgb="FF002060"/>
    <pageSetUpPr fitToPage="1"/>
  </sheetPr>
  <dimension ref="A1:AY48"/>
  <sheetViews>
    <sheetView showGridLines="0" topLeftCell="U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753.65851468792653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231.34148531207347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0.38461538461538464</v>
      </c>
      <c r="E8" s="26">
        <v>0.86799999999999999</v>
      </c>
      <c r="F8" s="27">
        <f>1-E8</f>
        <v>0.13200000000000001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f>1-K8</f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9.107468123861566E-2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2399.4</v>
      </c>
      <c r="AC9" s="396"/>
      <c r="AD9" s="396"/>
      <c r="AE9" s="397"/>
      <c r="AF9" s="38">
        <f>AF8*(1-X8)</f>
        <v>376.8</v>
      </c>
      <c r="AI9" s="173">
        <f>AI8*C15</f>
        <v>400</v>
      </c>
      <c r="AJ9" s="174">
        <f>AJ8*F15</f>
        <v>120</v>
      </c>
      <c r="AK9" s="175">
        <f>AK8*H15</f>
        <v>10.56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31.65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562.20999999999992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120</v>
      </c>
      <c r="G15" s="451"/>
      <c r="H15" s="452">
        <f>ROUND((AF7*E8*H14),0)</f>
        <v>528</v>
      </c>
      <c r="I15" s="448"/>
      <c r="J15" s="449"/>
      <c r="K15" s="452">
        <f>ROUND((AF7*F8*K14),0)</f>
        <v>93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1055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ROUND(Q7*(C15),3)</f>
        <v>3.4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25.881470367591895</v>
      </c>
      <c r="AJ15" s="432" t="s">
        <v>85</v>
      </c>
      <c r="AK15" s="432"/>
      <c r="AL15" s="453"/>
      <c r="AM15" s="340">
        <f>(H15+K15+N15)/(H15+K15+N15+P15+R15+V15)*100</f>
        <v>37.052505966587113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120</v>
      </c>
      <c r="G16" s="439"/>
      <c r="H16" s="465">
        <f>H15*AB7/1000</f>
        <v>528</v>
      </c>
      <c r="I16" s="466"/>
      <c r="J16" s="467"/>
      <c r="K16" s="465">
        <f>K15*AB7/1000</f>
        <v>93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1055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3400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43.969325664749519</v>
      </c>
      <c r="AJ16" s="459" t="s">
        <v>87</v>
      </c>
      <c r="AK16" s="459"/>
      <c r="AL16" s="468"/>
      <c r="AM16" s="341">
        <f>(P15+R15+V15)/(H15+K15+N15+P15+R15+V15)*100</f>
        <v>62.947494033412887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120</v>
      </c>
      <c r="G17" s="441"/>
      <c r="H17" s="464">
        <f>H16*(1+E9-AT41)</f>
        <v>564.96</v>
      </c>
      <c r="I17" s="462"/>
      <c r="J17" s="463"/>
      <c r="K17" s="464">
        <f>ROUND((K16+(K16*(F9-AT42))),3)</f>
        <v>93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1060.2750000000001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157.76499999999999</v>
      </c>
      <c r="Y17" s="288">
        <f>Y16/Y14</f>
        <v>3119.2660550458713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69.850796032341407</v>
      </c>
      <c r="AJ17" s="442" t="s">
        <v>89</v>
      </c>
      <c r="AK17" s="442"/>
      <c r="AL17" s="443"/>
      <c r="AM17" s="342">
        <f>(C15+F15)/AB9*100</f>
        <v>21.672084687838623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292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0.38461538461538464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0.38461538461538464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0.38461538461538464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618</v>
      </c>
      <c r="AK23" s="316">
        <v>2.63</v>
      </c>
      <c r="AL23" s="328">
        <f>ROUND(AJ23/AK23/(AJ23/AK23+AJ24/AK24+AJ25/AK25*AK30),3)</f>
        <v>0.72899999999999998</v>
      </c>
      <c r="AM23" s="329">
        <f>ROUND(AJ24/AK24/(AJ23/AK23+AJ24/AK24+AJ25/AK25*AK30),3)</f>
        <v>0.27100000000000002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4.944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0.38461538461538464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265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2.12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0.38461538461538464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0.38461538461538464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1064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0.99199999999999999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8.0000000000000002E-3</v>
      </c>
      <c r="AQ26">
        <f t="shared" si="3"/>
        <v>8.5120000000000005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0.38461538461538464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0.53911616052529265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2.9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995.47362302874183</v>
      </c>
      <c r="AQ28">
        <f t="shared" si="3"/>
        <v>2.3199999999999998E-2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4.5263769712581732E-3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0.53424657534246578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7.9452054794520548E-3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3.4159744385868773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1.0199533872630275</v>
      </c>
      <c r="AW41" s="184">
        <f t="shared" ref="AW41:AW48" si="7">SUM($C$15:$F$15)/AV41</f>
        <v>509.82722004128351</v>
      </c>
      <c r="AX41" s="185">
        <f>(C15/C14+F15/F14+H15/H14+K15/K14+N15/N14+P15/P14+R15/R14+V15/V14+X15/X14)/1000</f>
        <v>0.98511204026862154</v>
      </c>
      <c r="AY41" s="136">
        <f t="shared" ref="AY41:AY48" si="8">AV41/AX41</f>
        <v>1.035367902908694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0.98511204026862154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0.98511204026862154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0.98511204026862154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0.98511204026862154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0.98511204026862154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0.98511204026862154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0.98511204026862154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116" priority="8" operator="equal">
      <formula>0</formula>
    </cfRule>
    <cfRule type="containsBlanks" dxfId="115" priority="9">
      <formula>LEN(TRIM(F12))=0</formula>
    </cfRule>
  </conditionalFormatting>
  <conditionalFormatting sqref="N12:Q17">
    <cfRule type="cellIs" dxfId="114" priority="6" operator="equal">
      <formula>0</formula>
    </cfRule>
    <cfRule type="containsBlanks" dxfId="113" priority="7">
      <formula>LEN(TRIM(N12))=0</formula>
    </cfRule>
  </conditionalFormatting>
  <conditionalFormatting sqref="Z12:AA17">
    <cfRule type="cellIs" dxfId="112" priority="3" operator="equal">
      <formula>"-"</formula>
    </cfRule>
  </conditionalFormatting>
  <conditionalFormatting sqref="Z12:AE17">
    <cfRule type="cellIs" dxfId="111" priority="4" operator="equal">
      <formula>0</formula>
    </cfRule>
    <cfRule type="containsBlanks" dxfId="110" priority="5">
      <formula>LEN(TRIM(Z12))=0</formula>
    </cfRule>
  </conditionalFormatting>
  <conditionalFormatting sqref="AB12:AC12">
    <cfRule type="cellIs" dxfId="109" priority="2" operator="equal">
      <formula>"-"</formula>
    </cfRule>
  </conditionalFormatting>
  <conditionalFormatting sqref="AB17:AC17">
    <cfRule type="cellIs" dxfId="10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092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93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E253-8F34-4E13-AAAB-0CC63D9FA8B2}">
  <sheetPr>
    <tabColor rgb="FF002060"/>
    <pageSetUpPr fitToPage="1"/>
  </sheetPr>
  <dimension ref="A1:AY48"/>
  <sheetViews>
    <sheetView showGridLines="0" topLeftCell="U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753.65851468792653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0.3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231.34148531207347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0.38461538461538464</v>
      </c>
      <c r="E8" s="26">
        <v>0.86799999999999999</v>
      </c>
      <c r="F8" s="27">
        <f>1-E8</f>
        <v>0.13200000000000001</v>
      </c>
      <c r="G8" s="406">
        <f>AN23</f>
        <v>0</v>
      </c>
      <c r="H8" s="407"/>
      <c r="I8" s="408">
        <f>AL26</f>
        <v>0</v>
      </c>
      <c r="J8" s="409"/>
      <c r="K8" s="410">
        <v>1</v>
      </c>
      <c r="L8" s="411"/>
      <c r="M8" s="410">
        <f>1-K8</f>
        <v>0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0.52</v>
      </c>
      <c r="Y8" s="248" t="s">
        <v>55</v>
      </c>
      <c r="Z8" s="271"/>
      <c r="AA8" s="272"/>
      <c r="AB8" s="413">
        <f>X15/SUM(C15:V15)</f>
        <v>9.107468123861566E-2</v>
      </c>
      <c r="AC8" s="413"/>
      <c r="AD8" s="413"/>
      <c r="AE8" s="41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1.4999999999999999E-2</v>
      </c>
      <c r="Y9" s="273" t="s">
        <v>17</v>
      </c>
      <c r="Z9" s="270"/>
      <c r="AA9" s="264"/>
      <c r="AB9" s="396">
        <f>ROUND(SUM(C15:AA15),2)</f>
        <v>2399.4</v>
      </c>
      <c r="AC9" s="396"/>
      <c r="AD9" s="396"/>
      <c r="AE9" s="397"/>
      <c r="AF9" s="38">
        <f>AF8*(1-X8)</f>
        <v>376.8</v>
      </c>
      <c r="AI9" s="173">
        <f>AI8*C15</f>
        <v>400</v>
      </c>
      <c r="AJ9" s="174">
        <f>AJ8*F15</f>
        <v>120</v>
      </c>
      <c r="AK9" s="175">
        <f>AK8*H15</f>
        <v>10.56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31.65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562.20999999999992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400</v>
      </c>
      <c r="D15" s="448"/>
      <c r="E15" s="449"/>
      <c r="F15" s="450">
        <f>C15*X7</f>
        <v>120</v>
      </c>
      <c r="G15" s="451"/>
      <c r="H15" s="452">
        <f>ROUND((AF7*E8*H14),0)</f>
        <v>528</v>
      </c>
      <c r="I15" s="448"/>
      <c r="J15" s="449"/>
      <c r="K15" s="452">
        <f>ROUND((AF7*F8*K14),0)</f>
        <v>93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1055</v>
      </c>
      <c r="S15" s="448"/>
      <c r="T15" s="448"/>
      <c r="U15" s="449"/>
      <c r="V15" s="452">
        <f>ROUND((AF9*M8*V14),0)</f>
        <v>0</v>
      </c>
      <c r="W15" s="449"/>
      <c r="X15" s="347">
        <v>200</v>
      </c>
      <c r="Y15" s="284">
        <f>ROUND(Q7*(C15),3)</f>
        <v>3.4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25.881470367591895</v>
      </c>
      <c r="AJ15" s="432" t="s">
        <v>85</v>
      </c>
      <c r="AK15" s="432"/>
      <c r="AL15" s="453"/>
      <c r="AM15" s="340">
        <f>(H15+K15+N15)/(H15+K15+N15+P15+R15+V15)*100</f>
        <v>37.052505966587113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400</v>
      </c>
      <c r="D16" s="466"/>
      <c r="E16" s="467"/>
      <c r="F16" s="438">
        <f>F15*AB7/1000</f>
        <v>120</v>
      </c>
      <c r="G16" s="439"/>
      <c r="H16" s="465">
        <f>H15*AB7/1000</f>
        <v>528</v>
      </c>
      <c r="I16" s="466"/>
      <c r="J16" s="467"/>
      <c r="K16" s="465">
        <f>K15*AB7/1000</f>
        <v>93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1055</v>
      </c>
      <c r="S16" s="466"/>
      <c r="T16" s="466"/>
      <c r="U16" s="467"/>
      <c r="V16" s="465">
        <f>V15*AB7/1000</f>
        <v>0</v>
      </c>
      <c r="W16" s="467"/>
      <c r="X16" s="285">
        <f>X15*AB7/1000</f>
        <v>200</v>
      </c>
      <c r="Y16" s="286">
        <f>Y15*AB7</f>
        <v>3400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43.969325664749519</v>
      </c>
      <c r="AJ16" s="459" t="s">
        <v>87</v>
      </c>
      <c r="AK16" s="459"/>
      <c r="AL16" s="468"/>
      <c r="AM16" s="341">
        <f>(P15+R15+V15)/(H15+K15+N15+P15+R15+V15)*100</f>
        <v>62.947494033412887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400</v>
      </c>
      <c r="D17" s="462"/>
      <c r="E17" s="463"/>
      <c r="F17" s="440">
        <f>F16</f>
        <v>120</v>
      </c>
      <c r="G17" s="441"/>
      <c r="H17" s="464">
        <f>H16*(1+E9-AT41)</f>
        <v>564.96</v>
      </c>
      <c r="I17" s="462"/>
      <c r="J17" s="463"/>
      <c r="K17" s="464">
        <f>ROUND((K16+(K16*(F9-AT42))),3)</f>
        <v>93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1060.2750000000001</v>
      </c>
      <c r="S17" s="462"/>
      <c r="T17" s="462"/>
      <c r="U17" s="463"/>
      <c r="V17" s="464">
        <f>ROUND((V16+(V16*(M9-AT46))),3)</f>
        <v>0</v>
      </c>
      <c r="W17" s="463"/>
      <c r="X17" s="287">
        <f>ROUND(X16-((H17-H16)+(K17-K16)+(N17-N16)+(P17-P16)+(R17-R16)+(V17-V16)),3)</f>
        <v>157.76499999999999</v>
      </c>
      <c r="Y17" s="288">
        <f>Y16/Y14</f>
        <v>3119.2660550458713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69.850796032341407</v>
      </c>
      <c r="AJ17" s="442" t="s">
        <v>89</v>
      </c>
      <c r="AK17" s="442"/>
      <c r="AL17" s="443"/>
      <c r="AM17" s="342">
        <f>(C15+F15)/AB9*100</f>
        <v>21.672084687838623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293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0.38461538461538464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0.38461538461538464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0.38461538461538464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651</v>
      </c>
      <c r="AK23" s="316">
        <v>2.63</v>
      </c>
      <c r="AL23" s="328">
        <f>ROUND(AJ23/AK23/(AJ23/AK23+AJ24/AK24+AJ25/AK25*AK30),3)</f>
        <v>0.77600000000000002</v>
      </c>
      <c r="AM23" s="329">
        <f>ROUND(AJ24/AK24/(AJ23/AK23+AJ24/AK24+AJ25/AK25*AK30),3)</f>
        <v>0.224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5.2080000000000002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0.38461538461538464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217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1.736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0.38461538461538464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0.38461538461538464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0.99199999999999999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8.0000000000000002E-3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0.38461538461538464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(SUM(AJ21:AJ25)/SUM(AJ21:AJ28))</f>
        <v>0.53937007874015752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987.59729313994467</v>
      </c>
      <c r="AQ28">
        <f t="shared" si="3"/>
        <v>2.4E-2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1.2402706860055332E-2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0.53424657534246578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8.21917808219178E-3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3.4159744385868773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1.0199533872630275</v>
      </c>
      <c r="AW41" s="184">
        <f t="shared" ref="AW41:AW48" si="7">SUM($C$15:$F$15)/AV41</f>
        <v>509.82722004128351</v>
      </c>
      <c r="AX41" s="185">
        <f>(C15/C14+F15/F14+H15/H14+K15/K14+N15/N14+P15/P14+R15/R14+V15/V14+X15/X14)/1000</f>
        <v>0.98511204026862154</v>
      </c>
      <c r="AY41" s="136">
        <f t="shared" ref="AY41:AY48" si="8">AV41/AX41</f>
        <v>1.035367902908694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0.98511204026862154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0.98511204026862154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0.98511204026862154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0.98511204026862154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0.98511204026862154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0.98511204026862154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0.98511204026862154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107" priority="8" operator="equal">
      <formula>0</formula>
    </cfRule>
    <cfRule type="containsBlanks" dxfId="106" priority="9">
      <formula>LEN(TRIM(F12))=0</formula>
    </cfRule>
  </conditionalFormatting>
  <conditionalFormatting sqref="N12:Q17">
    <cfRule type="cellIs" dxfId="105" priority="6" operator="equal">
      <formula>0</formula>
    </cfRule>
    <cfRule type="containsBlanks" dxfId="104" priority="7">
      <formula>LEN(TRIM(N12))=0</formula>
    </cfRule>
  </conditionalFormatting>
  <conditionalFormatting sqref="Z12:AA17">
    <cfRule type="cellIs" dxfId="103" priority="3" operator="equal">
      <formula>"-"</formula>
    </cfRule>
  </conditionalFormatting>
  <conditionalFormatting sqref="Z12:AE17">
    <cfRule type="cellIs" dxfId="102" priority="4" operator="equal">
      <formula>0</formula>
    </cfRule>
    <cfRule type="containsBlanks" dxfId="101" priority="5">
      <formula>LEN(TRIM(Z12))=0</formula>
    </cfRule>
  </conditionalFormatting>
  <conditionalFormatting sqref="AB12:AC12">
    <cfRule type="cellIs" dxfId="100" priority="2" operator="equal">
      <formula>"-"</formula>
    </cfRule>
  </conditionalFormatting>
  <conditionalFormatting sqref="AB17:AC17">
    <cfRule type="cellIs" dxfId="9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195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5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0E3D-F0E5-41C5-B605-6004E7788CEC}">
  <sheetPr>
    <tabColor rgb="FF002060"/>
    <pageSetUpPr fitToPage="1"/>
  </sheetPr>
  <dimension ref="A1:AY48"/>
  <sheetViews>
    <sheetView showGridLines="0" topLeftCell="V14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295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825</v>
      </c>
      <c r="AK23" s="316">
        <v>2.63</v>
      </c>
      <c r="AL23" s="328">
        <f>ROUND(AJ23/AK23/(AJ23/AK23+AJ24/AK24+AJ25/AK25*AK30),3)</f>
        <v>0.89500000000000002</v>
      </c>
      <c r="AM23" s="329">
        <f>ROUND(AJ24/AK24/(AJ23/AK23+AJ24/AK24+AJ25/AK25*AK30),3)</f>
        <v>0.105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6.6000000000000005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112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0.89600000000000002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772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0.82499999999999996</v>
      </c>
      <c r="AN26" s="329">
        <f>ROUND(AJ27/AK27/(AJ25/AK25*(1-AK30)+AJ26/AK26+AJ27/AK27+AJ28/AK28),3)</f>
        <v>0.16500000000000001</v>
      </c>
      <c r="AO26" s="330">
        <f>ROUND(AJ28/AK28/(AJ25/AK25*(1-AK30)+AJ26/AK26+AJ27/AK27+AJ28/AK28),3)</f>
        <v>0.01</v>
      </c>
      <c r="AQ26">
        <f t="shared" si="3"/>
        <v>6.1760000000000002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154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0.58531124048365424</v>
      </c>
      <c r="AQ27">
        <f t="shared" si="3"/>
        <v>1.232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979.4659386326507</v>
      </c>
      <c r="AQ28">
        <f t="shared" si="3"/>
        <v>2.5600000000000001E-2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195</v>
      </c>
      <c r="AK29" s="321">
        <v>1</v>
      </c>
      <c r="AL29" s="544" t="s">
        <v>24</v>
      </c>
      <c r="AM29" s="545"/>
      <c r="AN29" s="546"/>
      <c r="AO29" s="334">
        <f>(1000-AO28)/1000</f>
        <v>2.0534061367349296E-2</v>
      </c>
      <c r="AQ29">
        <f t="shared" si="3"/>
        <v>1.56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0.52702702702702697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8.6486486486486488E-3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2453.0999999999995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98" priority="8" operator="equal">
      <formula>0</formula>
    </cfRule>
    <cfRule type="containsBlanks" dxfId="97" priority="9">
      <formula>LEN(TRIM(F12))=0</formula>
    </cfRule>
  </conditionalFormatting>
  <conditionalFormatting sqref="N12:Q17">
    <cfRule type="cellIs" dxfId="96" priority="6" operator="equal">
      <formula>0</formula>
    </cfRule>
    <cfRule type="containsBlanks" dxfId="95" priority="7">
      <formula>LEN(TRIM(N12))=0</formula>
    </cfRule>
  </conditionalFormatting>
  <conditionalFormatting sqref="Z12:AA17">
    <cfRule type="cellIs" dxfId="94" priority="3" operator="equal">
      <formula>"-"</formula>
    </cfRule>
  </conditionalFormatting>
  <conditionalFormatting sqref="Z12:AE17">
    <cfRule type="cellIs" dxfId="93" priority="4" operator="equal">
      <formula>0</formula>
    </cfRule>
    <cfRule type="containsBlanks" dxfId="92" priority="5">
      <formula>LEN(TRIM(Z12))=0</formula>
    </cfRule>
  </conditionalFormatting>
  <conditionalFormatting sqref="AB12:AC12">
    <cfRule type="cellIs" dxfId="91" priority="2" operator="equal">
      <formula>"-"</formula>
    </cfRule>
  </conditionalFormatting>
  <conditionalFormatting sqref="AB17:AC17">
    <cfRule type="cellIs" dxfId="9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526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26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1738-E171-4AEB-9F26-9B26C83728F2}">
  <sheetPr>
    <tabColor rgb="FF002060"/>
    <pageSetUpPr fitToPage="1"/>
  </sheetPr>
  <dimension ref="A1:AY48"/>
  <sheetViews>
    <sheetView showGridLines="0" zoomScaleNormal="100" workbookViewId="0">
      <selection activeCell="AI19" sqref="AI19:AO1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674.53781512605042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0.6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305.46218487394958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v>3.2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9.7370983446932818E-2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2256.83</v>
      </c>
      <c r="AC9" s="396"/>
      <c r="AD9" s="396"/>
      <c r="AE9" s="397"/>
      <c r="AF9" s="38">
        <f>AF8*(1-X8)</f>
        <v>343.19999999999993</v>
      </c>
      <c r="AI9" s="173">
        <f>AI8*C15</f>
        <v>333</v>
      </c>
      <c r="AJ9" s="174">
        <f>AJ8*F15</f>
        <v>70</v>
      </c>
      <c r="AK9" s="175">
        <f>AK8*H15</f>
        <v>13.94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440.82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2.8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333</v>
      </c>
      <c r="D15" s="448"/>
      <c r="E15" s="449"/>
      <c r="F15" s="450">
        <v>70</v>
      </c>
      <c r="G15" s="451"/>
      <c r="H15" s="452">
        <f>ROUND((AF7*E8*H14),0)</f>
        <v>697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2.831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30.884027596230112</v>
      </c>
      <c r="AJ15" s="432" t="s">
        <v>85</v>
      </c>
      <c r="AK15" s="432"/>
      <c r="AL15" s="453"/>
      <c r="AM15" s="340">
        <f>(H15+K15+N15)/(H15+K15+N15+P15+R15+V15)*100</f>
        <v>42.216838279830405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333</v>
      </c>
      <c r="D16" s="466"/>
      <c r="E16" s="467"/>
      <c r="F16" s="438">
        <f>F15*AB7/1000</f>
        <v>70</v>
      </c>
      <c r="G16" s="439"/>
      <c r="H16" s="465">
        <f>H15*AB7/1000</f>
        <v>697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2831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42.271681960980665</v>
      </c>
      <c r="AJ16" s="459" t="s">
        <v>87</v>
      </c>
      <c r="AK16" s="459"/>
      <c r="AL16" s="468"/>
      <c r="AM16" s="341">
        <f>(P15+R15+V15)/(H15+K15+N15+P15+R15+V15)*100</f>
        <v>57.783161720169595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333</v>
      </c>
      <c r="D17" s="462"/>
      <c r="E17" s="463"/>
      <c r="F17" s="440">
        <f>F16</f>
        <v>70</v>
      </c>
      <c r="G17" s="441"/>
      <c r="H17" s="464">
        <f>H16*(1+E9-AT41)</f>
        <v>745.79000000000008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146.44</v>
      </c>
      <c r="Y17" s="288">
        <f>Y16/Y14</f>
        <v>2597.2477064220184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73.15570955721077</v>
      </c>
      <c r="AJ17" s="442" t="s">
        <v>89</v>
      </c>
      <c r="AK17" s="442"/>
      <c r="AL17" s="443"/>
      <c r="AM17" s="342">
        <f>(C15+F15)/AB9*100</f>
        <v>17.856905482468775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303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0.49627791563275436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300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0.49627791563275436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70</v>
      </c>
      <c r="AK22" s="316">
        <v>2.8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0.56000000000000005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0.49627791563275436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650</v>
      </c>
      <c r="AK23" s="316">
        <v>2.63</v>
      </c>
      <c r="AL23" s="328">
        <f>ROUND(AJ23/AK23/(AJ23/AK23+AJ24/AK24+AJ25/AK25*AK30),3)</f>
        <v>0.84099999999999997</v>
      </c>
      <c r="AM23" s="329">
        <f>ROUND(AJ24/AK24/(AJ23/AK23+AJ24/AK24+AJ25/AK25*AK30),3)</f>
        <v>0.159</v>
      </c>
      <c r="AN23" s="329">
        <f>ROUND(AJ25/AK25*AK30/(AJ23/AK23+AJ24/AK24+AJ25/AK25*AK30),3)</f>
        <v>0</v>
      </c>
      <c r="AO23" s="355">
        <f>AJ22/AJ21</f>
        <v>0.23333333333333334</v>
      </c>
      <c r="AQ23">
        <f t="shared" si="3"/>
        <v>5.2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0.49627791563275436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140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1.1200000000000001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0.49627791563275436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0.49627791563275436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980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0.875</v>
      </c>
      <c r="AN26" s="329">
        <f>ROUND(AJ27/AK27/(AJ25/AK25*(1-AK30)+AJ26/AK26+AJ27/AK27+AJ28/AK28),3)</f>
        <v>0.11600000000000001</v>
      </c>
      <c r="AO26" s="330">
        <f>ROUND(AJ28/AK28/(AJ25/AK25*(1-AK30)+AJ26/AK26+AJ27/AK27+AJ28/AK28),3)</f>
        <v>8.9999999999999993E-3</v>
      </c>
      <c r="AQ26">
        <f t="shared" si="3"/>
        <v>7.84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0.49627791563275436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130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0.51101321585903081</v>
      </c>
      <c r="AQ27">
        <f t="shared" si="3"/>
        <v>1.04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971.447705328555</v>
      </c>
      <c r="AQ28">
        <f t="shared" si="3"/>
        <v>2.5600000000000001E-2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2.8552294671444996E-2</v>
      </c>
      <c r="AQ29">
        <f t="shared" si="3"/>
        <v>1.44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8.6486486486486488E-3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2475.2599999999993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2.0790473959785838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0.95950539853541916</v>
      </c>
      <c r="AW41" s="184">
        <f t="shared" ref="AW41:AW48" si="7">SUM($C$15:$F$15)/AV41</f>
        <v>420.00805895947616</v>
      </c>
      <c r="AX41" s="185">
        <f>(C15/C14+F15/F14+H15/H14+K15/K14+N15/N14+P15/P14+R15/R14+V15/V14+X15/X14)/1000</f>
        <v>0.93955682653289452</v>
      </c>
      <c r="AY41" s="136">
        <f t="shared" ref="AY41:AY48" si="8">AV41/AX41</f>
        <v>1.0212318951224459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0.93955682653289452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0.93955682653289452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0.93955682653289452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0.93955682653289452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0.93955682653289452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0.93955682653289452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0.93955682653289452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89" priority="8" operator="equal">
      <formula>0</formula>
    </cfRule>
    <cfRule type="containsBlanks" dxfId="88" priority="9">
      <formula>LEN(TRIM(F12))=0</formula>
    </cfRule>
  </conditionalFormatting>
  <conditionalFormatting sqref="N12:Q17">
    <cfRule type="cellIs" dxfId="87" priority="6" operator="equal">
      <formula>0</formula>
    </cfRule>
    <cfRule type="containsBlanks" dxfId="86" priority="7">
      <formula>LEN(TRIM(N12))=0</formula>
    </cfRule>
  </conditionalFormatting>
  <conditionalFormatting sqref="Z12:AA17">
    <cfRule type="cellIs" dxfId="85" priority="3" operator="equal">
      <formula>"-"</formula>
    </cfRule>
  </conditionalFormatting>
  <conditionalFormatting sqref="Z12:AE17">
    <cfRule type="cellIs" dxfId="84" priority="4" operator="equal">
      <formula>0</formula>
    </cfRule>
    <cfRule type="containsBlanks" dxfId="83" priority="5">
      <formula>LEN(TRIM(Z12))=0</formula>
    </cfRule>
  </conditionalFormatting>
  <conditionalFormatting sqref="AB12:AC12">
    <cfRule type="cellIs" dxfId="82" priority="2" operator="equal">
      <formula>"-"</formula>
    </cfRule>
  </conditionalFormatting>
  <conditionalFormatting sqref="AB17:AC17">
    <cfRule type="cellIs" dxfId="81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554C-3A21-4DA6-A109-9F74A0A1274A}">
  <sheetPr>
    <tabColor rgb="FF002060"/>
    <pageSetUpPr fitToPage="1"/>
  </sheetPr>
  <dimension ref="A1:AY48"/>
  <sheetViews>
    <sheetView showGridLines="0" topLeftCell="E1" zoomScaleNormal="100" workbookViewId="0">
      <selection activeCell="AI19" sqref="AI19:AO1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674.53781512605042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0.6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305.46218487394958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0.49627791563275436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9.7370983446932818E-2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2256.83</v>
      </c>
      <c r="AC9" s="396"/>
      <c r="AD9" s="396"/>
      <c r="AE9" s="397"/>
      <c r="AF9" s="38">
        <f>AF8*(1-X8)</f>
        <v>343.19999999999993</v>
      </c>
      <c r="AI9" s="173">
        <f>AI8*C15</f>
        <v>333</v>
      </c>
      <c r="AJ9" s="174">
        <f>AJ8*F15</f>
        <v>70</v>
      </c>
      <c r="AK9" s="175">
        <f>AK8*H15</f>
        <v>13.94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440.82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2.8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333</v>
      </c>
      <c r="D15" s="448"/>
      <c r="E15" s="449"/>
      <c r="F15" s="450">
        <v>70</v>
      </c>
      <c r="G15" s="451"/>
      <c r="H15" s="452">
        <f>ROUND((AF7*E8*H14),0)</f>
        <v>697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2.831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30.884027596230112</v>
      </c>
      <c r="AJ15" s="432" t="s">
        <v>85</v>
      </c>
      <c r="AK15" s="432"/>
      <c r="AL15" s="453"/>
      <c r="AM15" s="340">
        <f>(H15+K15+N15)/(H15+K15+N15+P15+R15+V15)*100</f>
        <v>42.216838279830405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333</v>
      </c>
      <c r="D16" s="466"/>
      <c r="E16" s="467"/>
      <c r="F16" s="438">
        <f>F15*AB7/1000</f>
        <v>70</v>
      </c>
      <c r="G16" s="439"/>
      <c r="H16" s="465">
        <f>H15*AB7/1000</f>
        <v>697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2831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42.271681960980665</v>
      </c>
      <c r="AJ16" s="459" t="s">
        <v>87</v>
      </c>
      <c r="AK16" s="459"/>
      <c r="AL16" s="468"/>
      <c r="AM16" s="341">
        <f>(P15+R15+V15)/(H15+K15+N15+P15+R15+V15)*100</f>
        <v>57.783161720169595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333</v>
      </c>
      <c r="D17" s="462"/>
      <c r="E17" s="463"/>
      <c r="F17" s="440">
        <f>F16</f>
        <v>70</v>
      </c>
      <c r="G17" s="441"/>
      <c r="H17" s="464">
        <f>H16*(1+E9-AT41)</f>
        <v>745.79000000000008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146.44</v>
      </c>
      <c r="Y17" s="288">
        <f>Y16/Y14</f>
        <v>2597.2477064220184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73.15570955721077</v>
      </c>
      <c r="AJ17" s="442" t="s">
        <v>89</v>
      </c>
      <c r="AK17" s="442"/>
      <c r="AL17" s="443"/>
      <c r="AM17" s="342">
        <f>(C15+F15)/AB9*100</f>
        <v>17.856905482468775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306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0.49627791563275436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300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0.49627791563275436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100</v>
      </c>
      <c r="AK22" s="316">
        <v>2.8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0.8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0.49627791563275436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0.88800000000000001</v>
      </c>
      <c r="AM23" s="329">
        <f>ROUND(AJ24/AK24/(AJ23/AK23+AJ24/AK24+AJ25/AK25*AK30),3)</f>
        <v>0.112</v>
      </c>
      <c r="AN23" s="329">
        <f>ROUND(AJ25/AK25*AK30/(AJ23/AK23+AJ24/AK24+AJ25/AK25*AK30),3)</f>
        <v>0</v>
      </c>
      <c r="AO23" s="355">
        <f>AJ22/AJ21</f>
        <v>0.33333333333333331</v>
      </c>
      <c r="AQ23">
        <f t="shared" si="3"/>
        <v>5.6000000000000005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0.49627791563275436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100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0.8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0.49627791563275436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0.49627791563275436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900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0.81100000000000005</v>
      </c>
      <c r="AN26" s="329">
        <f>ROUND(AJ27/AK27/(AJ25/AK25*(1-AK30)+AJ26/AK26+AJ27/AK27+AJ28/AK28),3)</f>
        <v>0.18</v>
      </c>
      <c r="AO26" s="330">
        <f>ROUND(AJ28/AK28/(AJ25/AK25*(1-AK30)+AJ26/AK26+AJ27/AK27+AJ28/AK28),3)</f>
        <v>8.9999999999999993E-3</v>
      </c>
      <c r="AQ26">
        <f t="shared" si="3"/>
        <v>7.2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0.49627791563275436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200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0.52173913043478259</v>
      </c>
      <c r="AQ27">
        <f t="shared" si="3"/>
        <v>1.6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3.2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984.45098986019127</v>
      </c>
      <c r="AQ28">
        <f t="shared" si="3"/>
        <v>2.5600000000000001E-2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180</v>
      </c>
      <c r="AK29" s="321">
        <v>1</v>
      </c>
      <c r="AL29" s="544" t="s">
        <v>24</v>
      </c>
      <c r="AM29" s="545"/>
      <c r="AN29" s="546"/>
      <c r="AO29" s="334">
        <f>(1000-AO28)/1000</f>
        <v>1.5549010139808729E-2</v>
      </c>
      <c r="AQ29">
        <f t="shared" si="3"/>
        <v>1.44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0.6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AJ28/(AJ21+AJ22)</f>
        <v>8.0000000000000002E-3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2505.2599999999993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2.0790473959785838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0.95950539853541916</v>
      </c>
      <c r="AW41" s="184">
        <f t="shared" ref="AW41:AW48" si="7">SUM($C$15:$F$15)/AV41</f>
        <v>420.00805895947616</v>
      </c>
      <c r="AX41" s="185">
        <f>(C15/C14+F15/F14+H15/H14+K15/K14+N15/N14+P15/P14+R15/R14+V15/V14+X15/X14)/1000</f>
        <v>0.93955682653289452</v>
      </c>
      <c r="AY41" s="136">
        <f t="shared" ref="AY41:AY48" si="8">AV41/AX41</f>
        <v>1.0212318951224459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0.93955682653289452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0.93955682653289452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0.93955682653289452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0.93955682653289452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0.93955682653289452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0.93955682653289452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0.93955682653289452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80" priority="8" operator="equal">
      <formula>0</formula>
    </cfRule>
    <cfRule type="containsBlanks" dxfId="79" priority="9">
      <formula>LEN(TRIM(F12))=0</formula>
    </cfRule>
  </conditionalFormatting>
  <conditionalFormatting sqref="N12:Q17">
    <cfRule type="cellIs" dxfId="78" priority="6" operator="equal">
      <formula>0</formula>
    </cfRule>
    <cfRule type="containsBlanks" dxfId="77" priority="7">
      <formula>LEN(TRIM(N12))=0</formula>
    </cfRule>
  </conditionalFormatting>
  <conditionalFormatting sqref="Z12:AA17">
    <cfRule type="cellIs" dxfId="76" priority="3" operator="equal">
      <formula>"-"</formula>
    </cfRule>
  </conditionalFormatting>
  <conditionalFormatting sqref="Z12:AE17">
    <cfRule type="cellIs" dxfId="75" priority="4" operator="equal">
      <formula>0</formula>
    </cfRule>
    <cfRule type="containsBlanks" dxfId="74" priority="5">
      <formula>LEN(TRIM(Z12))=0</formula>
    </cfRule>
  </conditionalFormatting>
  <conditionalFormatting sqref="AB12:AC12">
    <cfRule type="cellIs" dxfId="73" priority="2" operator="equal">
      <formula>"-"</formula>
    </cfRule>
  </conditionalFormatting>
  <conditionalFormatting sqref="AB17:AC17">
    <cfRule type="cellIs" dxfId="72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638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38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8B4A-6900-468D-8B08-50519CA170A5}">
  <sheetPr>
    <tabColor rgb="FF002060"/>
    <pageSetUpPr fitToPage="1"/>
  </sheetPr>
  <dimension ref="A1:AY48"/>
  <sheetViews>
    <sheetView showGridLines="0" topLeftCell="X18" zoomScaleNormal="100" workbookViewId="0">
      <selection activeCell="AK24" sqref="AK24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302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0.85799999999999998</v>
      </c>
      <c r="AM23" s="329">
        <f>ROUND(AJ24/AK24/(AJ23/AK23+AJ24/AK24+AJ25/AK25*AK30),3)</f>
        <v>0.14199999999999999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132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1.056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0.99399999999999999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6.0000000000000001E-3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0.53271028037383172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2.1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972.85846732163293</v>
      </c>
      <c r="AQ28">
        <f t="shared" si="3"/>
        <v>1.6800000000000002E-2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2.714153267836707E-2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5.7534246575342467E-3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2460.9599999999996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366"/>
      <c r="AO34" s="94"/>
      <c r="AP34">
        <v>12.66</v>
      </c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>
        <v>6336</v>
      </c>
      <c r="AM35" s="228"/>
      <c r="AN35" s="228"/>
      <c r="AO35" s="94"/>
      <c r="AP35" s="363">
        <v>3.2500000000000001E-2</v>
      </c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  <c r="AP36">
        <f>AP34+(AP34*AP35)</f>
        <v>13.07145</v>
      </c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71" priority="8" operator="equal">
      <formula>0</formula>
    </cfRule>
    <cfRule type="containsBlanks" dxfId="70" priority="9">
      <formula>LEN(TRIM(F12))=0</formula>
    </cfRule>
  </conditionalFormatting>
  <conditionalFormatting sqref="N12:Q17">
    <cfRule type="cellIs" dxfId="69" priority="6" operator="equal">
      <formula>0</formula>
    </cfRule>
    <cfRule type="containsBlanks" dxfId="68" priority="7">
      <formula>LEN(TRIM(N12))=0</formula>
    </cfRule>
  </conditionalFormatting>
  <conditionalFormatting sqref="Z12:AA17">
    <cfRule type="cellIs" dxfId="67" priority="3" operator="equal">
      <formula>"-"</formula>
    </cfRule>
  </conditionalFormatting>
  <conditionalFormatting sqref="Z12:AE17">
    <cfRule type="cellIs" dxfId="66" priority="4" operator="equal">
      <formula>0</formula>
    </cfRule>
    <cfRule type="containsBlanks" dxfId="65" priority="5">
      <formula>LEN(TRIM(Z12))=0</formula>
    </cfRule>
  </conditionalFormatting>
  <conditionalFormatting sqref="AB12:AC12">
    <cfRule type="cellIs" dxfId="64" priority="2" operator="equal">
      <formula>"-"</formula>
    </cfRule>
  </conditionalFormatting>
  <conditionalFormatting sqref="AB17:AC17">
    <cfRule type="cellIs" dxfId="63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91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1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13D9-6A53-4C43-85BA-71401FDDFB79}">
  <sheetPr>
    <tabColor rgb="FF002060"/>
    <pageSetUpPr fitToPage="1"/>
  </sheetPr>
  <dimension ref="A1:AY48"/>
  <sheetViews>
    <sheetView showGridLines="0" topLeftCell="S15" zoomScale="85" zoomScaleNormal="85" workbookViewId="0">
      <selection activeCell="AI19" sqref="AI19:AO1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2.74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304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545</v>
      </c>
      <c r="AK23" s="316">
        <v>2.63</v>
      </c>
      <c r="AL23" s="328">
        <f>ROUND(AJ23/AK23/(AJ23/AK23+AJ24/AK24+AJ25/AK25*AK30),3)</f>
        <v>0.55000000000000004</v>
      </c>
      <c r="AM23" s="329">
        <f>ROUND(AJ24/AK24/(AJ23/AK23+AJ24/AK24+AJ25/AK25*AK30),3)</f>
        <v>0.45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4.3600000000000003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464</v>
      </c>
      <c r="AK24" s="317">
        <v>2.74</v>
      </c>
      <c r="AL24" s="488" t="s">
        <v>21</v>
      </c>
      <c r="AM24" s="489"/>
      <c r="AN24" s="489"/>
      <c r="AO24" s="490"/>
      <c r="AQ24">
        <f t="shared" si="3"/>
        <v>3.7120000000000002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897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Q26">
        <f t="shared" si="3"/>
        <v>7.1760000000000002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0.60501981505944513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988.94844604582511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1.1051553954174892E-2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8.493150684931507E-3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2485.7099999999996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62" priority="8" operator="equal">
      <formula>0</formula>
    </cfRule>
    <cfRule type="containsBlanks" dxfId="61" priority="9">
      <formula>LEN(TRIM(F12))=0</formula>
    </cfRule>
  </conditionalFormatting>
  <conditionalFormatting sqref="N12:Q17">
    <cfRule type="cellIs" dxfId="60" priority="6" operator="equal">
      <formula>0</formula>
    </cfRule>
    <cfRule type="containsBlanks" dxfId="59" priority="7">
      <formula>LEN(TRIM(N12))=0</formula>
    </cfRule>
  </conditionalFormatting>
  <conditionalFormatting sqref="Z12:AA17">
    <cfRule type="cellIs" dxfId="58" priority="3" operator="equal">
      <formula>"-"</formula>
    </cfRule>
  </conditionalFormatting>
  <conditionalFormatting sqref="Z12:AE17">
    <cfRule type="cellIs" dxfId="57" priority="4" operator="equal">
      <formula>0</formula>
    </cfRule>
    <cfRule type="containsBlanks" dxfId="56" priority="5">
      <formula>LEN(TRIM(Z12))=0</formula>
    </cfRule>
  </conditionalFormatting>
  <conditionalFormatting sqref="AB12:AC12">
    <cfRule type="cellIs" dxfId="55" priority="2" operator="equal">
      <formula>"-"</formula>
    </cfRule>
  </conditionalFormatting>
  <conditionalFormatting sqref="AB17:AC17">
    <cfRule type="cellIs" dxfId="54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64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4BF4-144D-47D8-88E2-84D582652ED7}">
  <sheetPr>
    <tabColor rgb="FF002060"/>
    <pageSetUpPr fitToPage="1"/>
  </sheetPr>
  <dimension ref="A1:AY48"/>
  <sheetViews>
    <sheetView showGridLines="0" topLeftCell="V14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9.7323600973236016E-2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2258.09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14.74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402.62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2.65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737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32.638203083136631</v>
      </c>
      <c r="AJ15" s="432" t="s">
        <v>85</v>
      </c>
      <c r="AK15" s="432"/>
      <c r="AL15" s="453"/>
      <c r="AM15" s="340">
        <f>(H15+K15+N15)/(H15+K15+N15+P15+R15+V15)*100</f>
        <v>43.583678296865756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737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42.248094628646335</v>
      </c>
      <c r="AJ16" s="459" t="s">
        <v>87</v>
      </c>
      <c r="AK16" s="459"/>
      <c r="AL16" s="468"/>
      <c r="AM16" s="341">
        <f>(P15+R15+V15)/(H15+K15+N15+P15+R15+V15)*100</f>
        <v>56.416321703134244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788.59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143.63999999999999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74.886297711782959</v>
      </c>
      <c r="AJ17" s="442" t="s">
        <v>89</v>
      </c>
      <c r="AK17" s="442"/>
      <c r="AL17" s="443"/>
      <c r="AM17" s="342">
        <f>(C15+F15)/AB9*100</f>
        <v>16.119818076338852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296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680</v>
      </c>
      <c r="AK23" s="316">
        <v>2.65</v>
      </c>
      <c r="AL23" s="328">
        <f>ROUND(AJ23/AK23/(AJ23/AK23+AJ24/AK24+AJ25/AK25*AK30),3)</f>
        <v>0.84299999999999997</v>
      </c>
      <c r="AM23" s="329">
        <f>ROUND(AJ24/AK24/(AJ23/AK23+AJ24/AK24+AJ25/AK25*AK30),3)</f>
        <v>0.157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5.44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145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1.1599999999999999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1080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Q26">
        <f t="shared" si="3"/>
        <v>8.64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0.5252747252747253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1000.0776051211185</v>
      </c>
      <c r="AQ28">
        <f t="shared" si="3"/>
        <v>2.8000000000000001E-2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210</v>
      </c>
      <c r="AK29" s="321">
        <v>1</v>
      </c>
      <c r="AL29" s="544" t="s">
        <v>24</v>
      </c>
      <c r="AM29" s="545"/>
      <c r="AN29" s="546"/>
      <c r="AO29" s="334">
        <f>(1000-AO28)/1000</f>
        <v>-7.760512111849494E-5</v>
      </c>
      <c r="AQ29">
        <f t="shared" si="3"/>
        <v>1.68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0.56756756756756754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9.45945945945946E-3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2510.4199999999996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2.3073892733058488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0.95993108859688114</v>
      </c>
      <c r="AW41" s="184">
        <f t="shared" ref="AW41:AW48" si="7">SUM($C$15:$F$15)/AV41</f>
        <v>379.19388623203577</v>
      </c>
      <c r="AX41" s="185">
        <f>(C15/C14+F15/F14+H15/H14+K15/K14+N15/N14+P15/P14+R15/R14+V15/V14+X15/X14)/1000</f>
        <v>0.93778174162746863</v>
      </c>
      <c r="AY41" s="136">
        <f t="shared" ref="AY41:AY48" si="8">AV41/AX41</f>
        <v>1.0236188720532919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0.93778174162746863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0.93778174162746863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0.93778174162746863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0.93778174162746863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0.93778174162746863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0.93778174162746863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0.93778174162746863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53" priority="8" operator="equal">
      <formula>0</formula>
    </cfRule>
    <cfRule type="containsBlanks" dxfId="52" priority="9">
      <formula>LEN(TRIM(F12))=0</formula>
    </cfRule>
  </conditionalFormatting>
  <conditionalFormatting sqref="N12:Q17">
    <cfRule type="cellIs" dxfId="51" priority="6" operator="equal">
      <formula>0</formula>
    </cfRule>
    <cfRule type="containsBlanks" dxfId="50" priority="7">
      <formula>LEN(TRIM(N12))=0</formula>
    </cfRule>
  </conditionalFormatting>
  <conditionalFormatting sqref="Z12:AA17">
    <cfRule type="cellIs" dxfId="49" priority="3" operator="equal">
      <formula>"-"</formula>
    </cfRule>
  </conditionalFormatting>
  <conditionalFormatting sqref="Z12:AE17">
    <cfRule type="cellIs" dxfId="48" priority="4" operator="equal">
      <formula>0</formula>
    </cfRule>
    <cfRule type="containsBlanks" dxfId="47" priority="5">
      <formula>LEN(TRIM(Z12))=0</formula>
    </cfRule>
  </conditionalFormatting>
  <conditionalFormatting sqref="AB12:AC12">
    <cfRule type="cellIs" dxfId="46" priority="2" operator="equal">
      <formula>"-"</formula>
    </cfRule>
  </conditionalFormatting>
  <conditionalFormatting sqref="AB17:AC17">
    <cfRule type="cellIs" dxfId="45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393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93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22B1-2217-459F-A535-C9796ABFD507}">
  <sheetPr>
    <tabColor rgb="FF002060"/>
    <pageSetUpPr fitToPage="1"/>
  </sheetPr>
  <dimension ref="A1:AY48"/>
  <sheetViews>
    <sheetView showGridLines="0" topLeftCell="V14" zoomScale="85" zoomScaleNormal="85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9.7323600973236016E-2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2258.09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14.74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402.62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2.65</v>
      </c>
      <c r="I14" s="435"/>
      <c r="J14" s="436"/>
      <c r="K14" s="437">
        <f>AK24</f>
        <v>3.03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737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32.638203083136631</v>
      </c>
      <c r="AJ15" s="432" t="s">
        <v>85</v>
      </c>
      <c r="AK15" s="432"/>
      <c r="AL15" s="453"/>
      <c r="AM15" s="340">
        <f>(H15+K15+N15)/(H15+K15+N15+P15+R15+V15)*100</f>
        <v>43.583678296865756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737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42.248094628646335</v>
      </c>
      <c r="AJ16" s="459" t="s">
        <v>87</v>
      </c>
      <c r="AK16" s="459"/>
      <c r="AL16" s="468"/>
      <c r="AM16" s="341">
        <f>(P15+R15+V15)/(H15+K15+N15+P15+R15+V15)*100</f>
        <v>56.416321703134244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788.59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143.63999999999999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74.886297711782959</v>
      </c>
      <c r="AJ17" s="442" t="s">
        <v>89</v>
      </c>
      <c r="AK17" s="442"/>
      <c r="AL17" s="443"/>
      <c r="AM17" s="342">
        <f>(C15+F15)/AB9*100</f>
        <v>16.119818076338852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297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686</v>
      </c>
      <c r="AK23" s="316">
        <v>2.65</v>
      </c>
      <c r="AL23" s="328">
        <f>ROUND(AJ23/AK23/(AJ23/AK23+AJ24/AK24+AJ25/AK25*AK30),3)</f>
        <v>0.89300000000000002</v>
      </c>
      <c r="AM23" s="329">
        <f>ROUND(AJ24/AK24/(AJ23/AK23+AJ24/AK24+AJ25/AK25*AK30),3)</f>
        <v>0.107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5.4880000000000004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94</v>
      </c>
      <c r="AK24" s="317">
        <v>3.03</v>
      </c>
      <c r="AL24" s="488" t="s">
        <v>21</v>
      </c>
      <c r="AM24" s="489"/>
      <c r="AN24" s="489"/>
      <c r="AO24" s="490"/>
      <c r="AQ24">
        <f t="shared" si="3"/>
        <v>0.752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1005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0.89100000000000001</v>
      </c>
      <c r="AN26" s="329">
        <f>ROUND(AJ27/AK27/(AJ25/AK25*(1-AK30)+AJ26/AK26+AJ27/AK27+AJ28/AK28),3)</f>
        <v>9.9000000000000005E-2</v>
      </c>
      <c r="AO26" s="330">
        <f>ROUND(AJ28/AK28/(AJ25/AK25*(1-AK30)+AJ26/AK26+AJ27/AK27+AJ28/AK28),3)</f>
        <v>8.9999999999999993E-3</v>
      </c>
      <c r="AQ26">
        <f t="shared" si="3"/>
        <v>8.0400000000000009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112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0.50944224857268339</v>
      </c>
      <c r="AQ27">
        <f t="shared" si="3"/>
        <v>0.89600000000000002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3.5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1001.1526286922063</v>
      </c>
      <c r="AQ28">
        <f t="shared" si="3"/>
        <v>2.8000000000000001E-2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210</v>
      </c>
      <c r="AK29" s="321">
        <v>1</v>
      </c>
      <c r="AL29" s="544" t="s">
        <v>24</v>
      </c>
      <c r="AM29" s="545"/>
      <c r="AN29" s="546"/>
      <c r="AO29" s="334">
        <f>(1000-AO28)/1000</f>
        <v>-1.152628692206349E-3</v>
      </c>
      <c r="AQ29">
        <f t="shared" si="3"/>
        <v>1.68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0.55263157894736847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9.2105263157894728E-3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2512.4199999999996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2.3073892733058488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0.95993108859688114</v>
      </c>
      <c r="AW41" s="184">
        <f t="shared" ref="AW41:AW48" si="7">SUM($C$15:$F$15)/AV41</f>
        <v>379.19388623203577</v>
      </c>
      <c r="AX41" s="185">
        <f>(C15/C14+F15/F14+H15/H14+K15/K14+N15/N14+P15/P14+R15/R14+V15/V14+X15/X14)/1000</f>
        <v>0.93778174162746863</v>
      </c>
      <c r="AY41" s="136">
        <f t="shared" ref="AY41:AY48" si="8">AV41/AX41</f>
        <v>1.0236188720532919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0.93778174162746863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0.93778174162746863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0.93778174162746863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0.93778174162746863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0.93778174162746863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0.93778174162746863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0.93778174162746863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44" priority="8" operator="equal">
      <formula>0</formula>
    </cfRule>
    <cfRule type="containsBlanks" dxfId="43" priority="9">
      <formula>LEN(TRIM(F12))=0</formula>
    </cfRule>
  </conditionalFormatting>
  <conditionalFormatting sqref="N12:Q17">
    <cfRule type="cellIs" dxfId="42" priority="6" operator="equal">
      <formula>0</formula>
    </cfRule>
    <cfRule type="containsBlanks" dxfId="41" priority="7">
      <formula>LEN(TRIM(N12))=0</formula>
    </cfRule>
  </conditionalFormatting>
  <conditionalFormatting sqref="Z12:AA17">
    <cfRule type="cellIs" dxfId="40" priority="3" operator="equal">
      <formula>"-"</formula>
    </cfRule>
  </conditionalFormatting>
  <conditionalFormatting sqref="Z12:AE17">
    <cfRule type="cellIs" dxfId="39" priority="4" operator="equal">
      <formula>0</formula>
    </cfRule>
    <cfRule type="containsBlanks" dxfId="38" priority="5">
      <formula>LEN(TRIM(Z12))=0</formula>
    </cfRule>
  </conditionalFormatting>
  <conditionalFormatting sqref="AB12:AC12">
    <cfRule type="cellIs" dxfId="37" priority="2" operator="equal">
      <formula>"-"</formula>
    </cfRule>
  </conditionalFormatting>
  <conditionalFormatting sqref="AB17:AC17">
    <cfRule type="cellIs" dxfId="36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622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22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538A-7FD3-4172-A4CD-93618A49B8AE}">
  <dimension ref="B2:Z8"/>
  <sheetViews>
    <sheetView workbookViewId="0">
      <selection activeCell="AI19" sqref="AI19:AO19"/>
    </sheetView>
  </sheetViews>
  <sheetFormatPr defaultRowHeight="13.2" x14ac:dyDescent="0.25"/>
  <cols>
    <col min="2" max="2" width="2" bestFit="1" customWidth="1"/>
    <col min="3" max="3" width="3" bestFit="1" customWidth="1"/>
    <col min="4" max="6" width="2" bestFit="1" customWidth="1"/>
    <col min="7" max="26" width="3" bestFit="1" customWidth="1"/>
  </cols>
  <sheetData>
    <row r="2" spans="2:26" x14ac:dyDescent="0.25">
      <c r="B2" s="361">
        <v>1</v>
      </c>
      <c r="C2" s="299">
        <v>2</v>
      </c>
      <c r="D2" s="299">
        <v>3</v>
      </c>
      <c r="E2" s="299">
        <v>4</v>
      </c>
      <c r="F2" s="361">
        <v>5</v>
      </c>
      <c r="G2" s="361">
        <v>6</v>
      </c>
      <c r="H2" s="299">
        <v>7</v>
      </c>
      <c r="I2" s="361">
        <v>8</v>
      </c>
      <c r="J2">
        <v>9</v>
      </c>
      <c r="K2">
        <v>10</v>
      </c>
      <c r="L2" s="362">
        <v>11</v>
      </c>
      <c r="M2" s="361">
        <v>12</v>
      </c>
      <c r="N2" s="299">
        <v>13</v>
      </c>
      <c r="O2">
        <v>14</v>
      </c>
      <c r="P2" s="362">
        <v>15</v>
      </c>
      <c r="Q2" s="361">
        <v>16</v>
      </c>
      <c r="R2" s="362">
        <v>17</v>
      </c>
      <c r="S2">
        <v>18</v>
      </c>
      <c r="T2" s="362">
        <v>19</v>
      </c>
      <c r="U2">
        <v>20</v>
      </c>
      <c r="V2">
        <v>21</v>
      </c>
      <c r="W2" s="361">
        <v>22</v>
      </c>
      <c r="X2" s="361">
        <v>23</v>
      </c>
      <c r="Y2" s="361">
        <v>24</v>
      </c>
      <c r="Z2" s="362">
        <v>25</v>
      </c>
    </row>
    <row r="4" spans="2:26" x14ac:dyDescent="0.25">
      <c r="B4">
        <v>1</v>
      </c>
      <c r="C4">
        <v>12</v>
      </c>
      <c r="D4">
        <v>5</v>
      </c>
      <c r="E4">
        <v>6</v>
      </c>
      <c r="F4">
        <v>8</v>
      </c>
      <c r="G4">
        <v>16</v>
      </c>
      <c r="H4">
        <v>22</v>
      </c>
      <c r="I4">
        <v>24</v>
      </c>
      <c r="J4">
        <v>23</v>
      </c>
      <c r="K4">
        <v>15</v>
      </c>
      <c r="L4" s="299">
        <v>3</v>
      </c>
      <c r="M4" s="299">
        <v>13</v>
      </c>
      <c r="N4" s="299">
        <v>4</v>
      </c>
      <c r="O4" s="299">
        <v>2</v>
      </c>
      <c r="P4" s="299">
        <v>7</v>
      </c>
    </row>
    <row r="6" spans="2:26" x14ac:dyDescent="0.25">
      <c r="B6">
        <v>1</v>
      </c>
      <c r="C6">
        <v>12</v>
      </c>
      <c r="D6">
        <v>5</v>
      </c>
      <c r="E6">
        <v>6</v>
      </c>
      <c r="F6">
        <v>8</v>
      </c>
      <c r="G6">
        <v>16</v>
      </c>
      <c r="H6">
        <v>22</v>
      </c>
      <c r="I6">
        <v>24</v>
      </c>
      <c r="J6">
        <v>23</v>
      </c>
      <c r="K6">
        <v>15</v>
      </c>
      <c r="L6" s="362">
        <v>25</v>
      </c>
      <c r="M6" s="362">
        <v>19</v>
      </c>
      <c r="N6" s="362">
        <v>17</v>
      </c>
      <c r="O6" s="362">
        <v>15</v>
      </c>
      <c r="P6" s="362">
        <v>11</v>
      </c>
    </row>
    <row r="8" spans="2:26" x14ac:dyDescent="0.25">
      <c r="B8">
        <v>1</v>
      </c>
      <c r="C8">
        <v>12</v>
      </c>
      <c r="D8">
        <v>5</v>
      </c>
      <c r="E8">
        <v>6</v>
      </c>
      <c r="F8">
        <v>8</v>
      </c>
      <c r="G8">
        <v>16</v>
      </c>
      <c r="H8">
        <v>22</v>
      </c>
      <c r="I8">
        <v>24</v>
      </c>
      <c r="J8">
        <v>23</v>
      </c>
      <c r="K8">
        <v>15</v>
      </c>
      <c r="L8">
        <v>9</v>
      </c>
      <c r="M8">
        <v>10</v>
      </c>
      <c r="N8">
        <v>14</v>
      </c>
      <c r="O8">
        <v>20</v>
      </c>
      <c r="P8">
        <v>21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01CD-FB8D-4B82-A561-2AFBFB1F6A8E}">
  <sheetPr>
    <tabColor rgb="FF002060"/>
    <pageSetUpPr fitToPage="1"/>
  </sheetPr>
  <dimension ref="A1:AY48"/>
  <sheetViews>
    <sheetView showGridLines="0" topLeftCell="R15" zoomScale="85" zoomScaleNormal="85" workbookViewId="0">
      <selection activeCell="AI19" sqref="AI19:AO19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2.74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194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305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364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2.9119999999999999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588</v>
      </c>
      <c r="AK23" s="316">
        <v>2.63</v>
      </c>
      <c r="AL23" s="328">
        <f>ROUND(AJ23/AK23/(AJ23/AK23+AJ24/AK24+AJ25/AK25*AK30),3)</f>
        <v>0.66700000000000004</v>
      </c>
      <c r="AM23" s="329">
        <f>ROUND(AJ24/AK24/(AJ23/AK23+AJ24/AK24+AJ25/AK25*AK30),3)</f>
        <v>0.33300000000000002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4.7039999999999997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306</v>
      </c>
      <c r="AK24" s="317">
        <v>2.74</v>
      </c>
      <c r="AL24" s="488" t="s">
        <v>21</v>
      </c>
      <c r="AM24" s="489"/>
      <c r="AN24" s="489"/>
      <c r="AO24" s="490"/>
      <c r="AQ24">
        <f t="shared" si="3"/>
        <v>2.448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990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0.01</v>
      </c>
      <c r="AQ26">
        <f t="shared" si="3"/>
        <v>7.92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0.55960854092526691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3.4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988.71090389925928</v>
      </c>
      <c r="AQ28">
        <f t="shared" si="3"/>
        <v>2.7199999999999998E-2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200</v>
      </c>
      <c r="AK29" s="321">
        <v>1</v>
      </c>
      <c r="AL29" s="544" t="s">
        <v>24</v>
      </c>
      <c r="AM29" s="545"/>
      <c r="AN29" s="546"/>
      <c r="AO29" s="334">
        <f>(1000-AO28)/1000</f>
        <v>1.1289096100740722E-2</v>
      </c>
      <c r="AQ29">
        <f t="shared" si="3"/>
        <v>1.6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0.5494505494505495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9.3406593406593404E-3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2473.0099999999998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678" t="s">
        <v>128</v>
      </c>
      <c r="AA36" s="679"/>
      <c r="AB36" s="680" t="s">
        <v>131</v>
      </c>
      <c r="AC36" s="680"/>
      <c r="AD36" s="681"/>
      <c r="AE36" s="364">
        <v>680</v>
      </c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35" priority="8" operator="equal">
      <formula>0</formula>
    </cfRule>
    <cfRule type="containsBlanks" dxfId="34" priority="9">
      <formula>LEN(TRIM(F12))=0</formula>
    </cfRule>
  </conditionalFormatting>
  <conditionalFormatting sqref="N12:Q17">
    <cfRule type="cellIs" dxfId="33" priority="6" operator="equal">
      <formula>0</formula>
    </cfRule>
    <cfRule type="containsBlanks" dxfId="32" priority="7">
      <formula>LEN(TRIM(N12))=0</formula>
    </cfRule>
  </conditionalFormatting>
  <conditionalFormatting sqref="Z12:AA17">
    <cfRule type="cellIs" dxfId="31" priority="3" operator="equal">
      <formula>"-"</formula>
    </cfRule>
  </conditionalFormatting>
  <conditionalFormatting sqref="Z12:AE17">
    <cfRule type="cellIs" dxfId="30" priority="4" operator="equal">
      <formula>0</formula>
    </cfRule>
    <cfRule type="containsBlanks" dxfId="29" priority="5">
      <formula>LEN(TRIM(Z12))=0</formula>
    </cfRule>
  </conditionalFormatting>
  <conditionalFormatting sqref="AB12:AC12">
    <cfRule type="cellIs" dxfId="28" priority="2" operator="equal">
      <formula>"-"</formula>
    </cfRule>
  </conditionalFormatting>
  <conditionalFormatting sqref="AB17:AC17">
    <cfRule type="cellIs" dxfId="27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42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2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B186-9C8E-4B87-82D2-371A61A5E5B0}">
  <sheetPr>
    <tabColor rgb="FF002060"/>
    <pageSetUpPr fitToPage="1"/>
  </sheetPr>
  <dimension ref="A1:AY48"/>
  <sheetViews>
    <sheetView showGridLines="0" topLeftCell="A13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299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380</v>
      </c>
      <c r="AK21" s="314">
        <v>3.06</v>
      </c>
      <c r="AL21" s="484" t="s">
        <v>20</v>
      </c>
      <c r="AM21" s="485"/>
      <c r="AN21" s="485"/>
      <c r="AO21" s="486"/>
      <c r="AQ21">
        <f>AJ21*$AQ$20</f>
        <v>3.04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720</v>
      </c>
      <c r="AK23" s="316">
        <v>2.63</v>
      </c>
      <c r="AL23" s="328">
        <f>ROUND(AJ23/AK23/(AJ23/AK23+AJ24/AK24+AJ25/AK25*AK30),3)</f>
        <v>0.86099999999999999</v>
      </c>
      <c r="AM23" s="329">
        <f>ROUND(AJ24/AK24/(AJ23/AK23+AJ24/AK24+AJ25/AK25*AK30),3)</f>
        <v>0.13900000000000001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5.76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132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1.056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0.53987730061349692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986.36499084358923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1.3635009156410775E-2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8.1578947368421053E-3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2496.9599999999996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26" priority="8" operator="equal">
      <formula>0</formula>
    </cfRule>
    <cfRule type="containsBlanks" dxfId="25" priority="9">
      <formula>LEN(TRIM(F12))=0</formula>
    </cfRule>
  </conditionalFormatting>
  <conditionalFormatting sqref="N12:Q17">
    <cfRule type="cellIs" dxfId="24" priority="6" operator="equal">
      <formula>0</formula>
    </cfRule>
    <cfRule type="containsBlanks" dxfId="23" priority="7">
      <formula>LEN(TRIM(N12))=0</formula>
    </cfRule>
  </conditionalFormatting>
  <conditionalFormatting sqref="Z12:AA17">
    <cfRule type="cellIs" dxfId="22" priority="3" operator="equal">
      <formula>"-"</formula>
    </cfRule>
  </conditionalFormatting>
  <conditionalFormatting sqref="Z12:AE17">
    <cfRule type="cellIs" dxfId="21" priority="4" operator="equal">
      <formula>0</formula>
    </cfRule>
    <cfRule type="containsBlanks" dxfId="20" priority="5">
      <formula>LEN(TRIM(Z12))=0</formula>
    </cfRule>
  </conditionalFormatting>
  <conditionalFormatting sqref="AB12:AC12">
    <cfRule type="cellIs" dxfId="19" priority="2" operator="equal">
      <formula>"-"</formula>
    </cfRule>
  </conditionalFormatting>
  <conditionalFormatting sqref="AB17:AC17">
    <cfRule type="cellIs" dxfId="18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899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99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6BF4-699B-4B1C-8E39-0776BAE3FB4A}">
  <sheetPr>
    <tabColor rgb="FF002060"/>
    <pageSetUpPr fitToPage="1"/>
  </sheetPr>
  <dimension ref="A1:AY48"/>
  <sheetViews>
    <sheetView showGridLines="0" topLeftCell="X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300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365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2.92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470</v>
      </c>
      <c r="AK23" s="316">
        <v>2.63</v>
      </c>
      <c r="AL23" s="328">
        <f>ROUND(AJ23/AK23/(AJ23/AK23+AJ24/AK24+AJ25/AK25*AK30),3)</f>
        <v>0.69899999999999995</v>
      </c>
      <c r="AM23" s="329">
        <f>ROUND(AJ24/AK24/(AJ23/AK23+AJ24/AK24+AJ25/AK25*AK30),3)</f>
        <v>0.30099999999999999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3.7600000000000002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230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1.84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1050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0.99099999999999999</v>
      </c>
      <c r="AN26" s="329">
        <f>ROUND(AJ27/AK27/(AJ25/AK25*(1-AK30)+AJ26/AK26+AJ27/AK27+AJ28/AK28),3)</f>
        <v>0</v>
      </c>
      <c r="AO26" s="330">
        <f>ROUND(AJ28/AK28/(AJ25/AK25*(1-AK30)+AJ26/AK26+AJ27/AK27+AJ28/AK28),3)</f>
        <v>8.9999999999999993E-3</v>
      </c>
      <c r="AQ26">
        <f t="shared" si="3"/>
        <v>8.4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0.50354609929078009</v>
      </c>
      <c r="AQ27">
        <f t="shared" si="3"/>
        <v>0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919.18191557118462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8.0818084428815384E-2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0.52054794520547942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8.493150684931507E-3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2329.9599999999996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</mergeCells>
  <conditionalFormatting sqref="F12:G17">
    <cfRule type="cellIs" dxfId="17" priority="8" operator="equal">
      <formula>0</formula>
    </cfRule>
    <cfRule type="containsBlanks" dxfId="16" priority="9">
      <formula>LEN(TRIM(F12))=0</formula>
    </cfRule>
  </conditionalFormatting>
  <conditionalFormatting sqref="N12:Q17">
    <cfRule type="cellIs" dxfId="15" priority="6" operator="equal">
      <formula>0</formula>
    </cfRule>
    <cfRule type="containsBlanks" dxfId="14" priority="7">
      <formula>LEN(TRIM(N12))=0</formula>
    </cfRule>
  </conditionalFormatting>
  <conditionalFormatting sqref="Z12:AA17">
    <cfRule type="cellIs" dxfId="13" priority="3" operator="equal">
      <formula>"-"</formula>
    </cfRule>
  </conditionalFormatting>
  <conditionalFormatting sqref="Z12:AE17">
    <cfRule type="cellIs" dxfId="12" priority="4" operator="equal">
      <formula>0</formula>
    </cfRule>
    <cfRule type="containsBlanks" dxfId="11" priority="5">
      <formula>LEN(TRIM(Z12))=0</formula>
    </cfRule>
  </conditionalFormatting>
  <conditionalFormatting sqref="AB12:AC12">
    <cfRule type="cellIs" dxfId="10" priority="2" operator="equal">
      <formula>"-"</formula>
    </cfRule>
  </conditionalFormatting>
  <conditionalFormatting sqref="AB17:AC17">
    <cfRule type="cellIs" dxfId="9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00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0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EAB0-9B98-4520-8F32-A4A9ADD2B031}">
  <sheetPr>
    <tabColor rgb="FF002060"/>
    <pageSetUpPr fitToPage="1"/>
  </sheetPr>
  <dimension ref="A1:AY48"/>
  <sheetViews>
    <sheetView showGridLines="0" topLeftCell="X16" zoomScaleNormal="100" workbookViewId="0">
      <selection activeCell="AL28" sqref="AL28:AN28"/>
    </sheetView>
  </sheetViews>
  <sheetFormatPr defaultRowHeight="13.2" outlineLevelCol="1" x14ac:dyDescent="0.25"/>
  <cols>
    <col min="1" max="1" width="5.5546875" customWidth="1"/>
    <col min="2" max="2" width="19.664062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9.33203125" customWidth="1"/>
    <col min="16" max="16" width="5.554687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3" width="12.109375" customWidth="1" outlineLevel="1"/>
    <col min="24" max="24" width="14.6640625" customWidth="1" outlineLevel="1"/>
    <col min="25" max="25" width="14.109375" customWidth="1" outlineLevel="1"/>
    <col min="26" max="26" width="6.6640625" customWidth="1" outlineLevel="1"/>
    <col min="27" max="27" width="8.5546875" customWidth="1" outlineLevel="1"/>
    <col min="28" max="28" width="10" customWidth="1" outlineLevel="1"/>
    <col min="29" max="29" width="7.109375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2.33203125" customWidth="1"/>
    <col min="34" max="34" width="11.5546875" hidden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2" max="42" width="10.6640625" bestFit="1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248" t="s">
        <v>30</v>
      </c>
      <c r="C3" s="24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72"/>
      <c r="O3" s="250" t="s">
        <v>45</v>
      </c>
      <c r="P3" s="251"/>
      <c r="Q3" s="251"/>
      <c r="R3" s="234" t="s">
        <v>232</v>
      </c>
      <c r="S3" s="233"/>
      <c r="T3" s="233"/>
      <c r="U3" s="233"/>
      <c r="V3" s="233"/>
      <c r="W3" s="233"/>
      <c r="X3" s="253" t="s">
        <v>59</v>
      </c>
      <c r="Y3" s="251"/>
      <c r="Z3" s="236"/>
      <c r="AA3" s="248" t="s">
        <v>4</v>
      </c>
      <c r="AB3" s="249"/>
      <c r="AC3" s="389"/>
      <c r="AD3" s="389"/>
      <c r="AE3" s="390"/>
      <c r="AH3" s="194"/>
      <c r="AI3" s="391"/>
      <c r="AJ3" s="391"/>
      <c r="AK3" s="194"/>
      <c r="AL3" s="194"/>
    </row>
    <row r="4" spans="2:49" ht="26.25" customHeight="1" thickBot="1" x14ac:dyDescent="0.3">
      <c r="B4" s="248" t="s">
        <v>31</v>
      </c>
      <c r="C4" s="249"/>
      <c r="D4" s="368" t="s">
        <v>140</v>
      </c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9" t="s">
        <v>112</v>
      </c>
      <c r="P4" s="370"/>
      <c r="Q4" s="370"/>
      <c r="R4" s="370"/>
      <c r="S4" s="371" t="s">
        <v>113</v>
      </c>
      <c r="T4" s="371"/>
      <c r="U4" s="371"/>
      <c r="V4" s="234" t="s">
        <v>114</v>
      </c>
      <c r="W4" s="235" t="s">
        <v>138</v>
      </c>
      <c r="X4" s="252" t="s">
        <v>233</v>
      </c>
      <c r="Y4" s="251"/>
      <c r="Z4" s="368"/>
      <c r="AA4" s="368"/>
      <c r="AB4" s="368"/>
      <c r="AC4" s="368"/>
      <c r="AD4" s="368"/>
      <c r="AE4" s="372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659.66853408029874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254" t="s">
        <v>6</v>
      </c>
      <c r="C7" s="255"/>
      <c r="D7" s="237">
        <v>0.55000000000000004</v>
      </c>
      <c r="E7" s="258" t="s">
        <v>8</v>
      </c>
      <c r="F7" s="259" t="s">
        <v>9</v>
      </c>
      <c r="G7" s="400" t="s">
        <v>280</v>
      </c>
      <c r="H7" s="401"/>
      <c r="I7" s="402" t="s">
        <v>12</v>
      </c>
      <c r="J7" s="403"/>
      <c r="K7" s="400" t="s">
        <v>1</v>
      </c>
      <c r="L7" s="403"/>
      <c r="M7" s="400" t="s">
        <v>227</v>
      </c>
      <c r="N7" s="401"/>
      <c r="O7" s="260" t="s">
        <v>49</v>
      </c>
      <c r="P7" s="261"/>
      <c r="Q7" s="242">
        <v>8.5000000000000006E-3</v>
      </c>
      <c r="R7" s="242"/>
      <c r="S7" s="254" t="s">
        <v>51</v>
      </c>
      <c r="T7" s="265"/>
      <c r="U7" s="266"/>
      <c r="V7" s="267"/>
      <c r="W7" s="267"/>
      <c r="X7" s="245">
        <v>0</v>
      </c>
      <c r="Y7" s="248" t="s">
        <v>54</v>
      </c>
      <c r="Z7" s="266"/>
      <c r="AA7" s="266"/>
      <c r="AB7" s="404">
        <v>1000</v>
      </c>
      <c r="AC7" s="404"/>
      <c r="AD7" s="404"/>
      <c r="AE7" s="405"/>
      <c r="AF7" s="38">
        <f>(1000-(1000*X9))-AF6</f>
        <v>320.33146591970126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1/2</v>
      </c>
      <c r="AR7" s="152"/>
    </row>
    <row r="8" spans="2:49" ht="22.5" customHeight="1" thickBot="1" x14ac:dyDescent="0.3">
      <c r="B8" s="248" t="s">
        <v>7</v>
      </c>
      <c r="C8" s="255"/>
      <c r="D8" s="289">
        <f>X15/(F15+C15)</f>
        <v>0.5494505494505495</v>
      </c>
      <c r="E8" s="26">
        <v>0.86799999999999999</v>
      </c>
      <c r="F8" s="27">
        <v>0</v>
      </c>
      <c r="G8" s="406">
        <f>AN23</f>
        <v>0</v>
      </c>
      <c r="H8" s="407"/>
      <c r="I8" s="408">
        <f>AL26</f>
        <v>0</v>
      </c>
      <c r="J8" s="409"/>
      <c r="K8" s="410">
        <v>0.82799999999999996</v>
      </c>
      <c r="L8" s="411"/>
      <c r="M8" s="410">
        <v>0.16400000000000001</v>
      </c>
      <c r="N8" s="412"/>
      <c r="O8" s="262" t="s">
        <v>48</v>
      </c>
      <c r="P8" s="263"/>
      <c r="Q8" s="243">
        <v>0</v>
      </c>
      <c r="R8" s="243"/>
      <c r="S8" s="268" t="s">
        <v>52</v>
      </c>
      <c r="T8" s="266"/>
      <c r="U8" s="266"/>
      <c r="V8" s="266"/>
      <c r="W8" s="267"/>
      <c r="X8" s="246">
        <v>0.56000000000000005</v>
      </c>
      <c r="Y8" s="248" t="s">
        <v>55</v>
      </c>
      <c r="Z8" s="271"/>
      <c r="AA8" s="272"/>
      <c r="AB8" s="413">
        <f>X15/SUM(C15:V15)</f>
        <v>9.760858955588092E-2</v>
      </c>
      <c r="AC8" s="413"/>
      <c r="AD8" s="413"/>
      <c r="AE8" s="414"/>
      <c r="AF8" s="38">
        <f>ROUND((1000-(1000*X9)-X15),2)</f>
        <v>780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256" t="s">
        <v>71</v>
      </c>
      <c r="C9" s="257"/>
      <c r="D9" s="247"/>
      <c r="E9" s="238">
        <v>7.0000000000000007E-2</v>
      </c>
      <c r="F9" s="239">
        <v>0</v>
      </c>
      <c r="G9" s="392">
        <v>0</v>
      </c>
      <c r="H9" s="393"/>
      <c r="I9" s="394">
        <v>0</v>
      </c>
      <c r="J9" s="395"/>
      <c r="K9" s="392">
        <v>5.0000000000000001E-3</v>
      </c>
      <c r="L9" s="395"/>
      <c r="M9" s="392">
        <v>5.0000000000000001E-3</v>
      </c>
      <c r="N9" s="393"/>
      <c r="O9" s="264" t="s">
        <v>50</v>
      </c>
      <c r="P9" s="264"/>
      <c r="Q9" s="244">
        <v>0</v>
      </c>
      <c r="R9" s="244"/>
      <c r="S9" s="269" t="s">
        <v>53</v>
      </c>
      <c r="T9" s="264"/>
      <c r="U9" s="270"/>
      <c r="V9" s="266"/>
      <c r="W9" s="266"/>
      <c r="X9" s="246">
        <v>0.02</v>
      </c>
      <c r="Y9" s="273" t="s">
        <v>17</v>
      </c>
      <c r="Z9" s="270"/>
      <c r="AA9" s="264"/>
      <c r="AB9" s="396">
        <f>ROUND(SUM(C15:AA15),2)</f>
        <v>2252.09</v>
      </c>
      <c r="AC9" s="396"/>
      <c r="AD9" s="396"/>
      <c r="AE9" s="397"/>
      <c r="AF9" s="38">
        <f>AF8*(1-X8)</f>
        <v>343.19999999999993</v>
      </c>
      <c r="AI9" s="173">
        <f>AI8*C15</f>
        <v>364</v>
      </c>
      <c r="AJ9" s="174">
        <f>AJ8*F15</f>
        <v>0</v>
      </c>
      <c r="AK9" s="175">
        <f>AK8*H15</f>
        <v>14.620000000000001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274" t="s">
        <v>3</v>
      </c>
      <c r="C11" s="424" t="s">
        <v>0</v>
      </c>
      <c r="D11" s="425"/>
      <c r="E11" s="426"/>
      <c r="F11" s="427" t="s">
        <v>5</v>
      </c>
      <c r="G11" s="426"/>
      <c r="H11" s="428" t="s">
        <v>8</v>
      </c>
      <c r="I11" s="429"/>
      <c r="J11" s="430"/>
      <c r="K11" s="427" t="s">
        <v>9</v>
      </c>
      <c r="L11" s="425"/>
      <c r="M11" s="426"/>
      <c r="N11" s="428" t="s">
        <v>10</v>
      </c>
      <c r="O11" s="430"/>
      <c r="P11" s="428" t="s">
        <v>12</v>
      </c>
      <c r="Q11" s="430"/>
      <c r="R11" s="428" t="s">
        <v>1</v>
      </c>
      <c r="S11" s="429"/>
      <c r="T11" s="429"/>
      <c r="U11" s="430"/>
      <c r="V11" s="428" t="s">
        <v>227</v>
      </c>
      <c r="W11" s="430"/>
      <c r="X11" s="279" t="s">
        <v>2</v>
      </c>
      <c r="Y11" s="279" t="s">
        <v>18</v>
      </c>
      <c r="Z11" s="428" t="s">
        <v>37</v>
      </c>
      <c r="AA11" s="430"/>
      <c r="AB11" s="428" t="s">
        <v>47</v>
      </c>
      <c r="AC11" s="430"/>
      <c r="AD11" s="429" t="s">
        <v>56</v>
      </c>
      <c r="AE11" s="431"/>
      <c r="AI11" s="154"/>
      <c r="AJ11" s="61"/>
      <c r="AK11" s="61"/>
      <c r="AL11" s="61"/>
      <c r="AM11" s="61"/>
      <c r="AN11" s="61"/>
      <c r="AO11" s="61"/>
      <c r="AP11" s="157">
        <f>SUM(AI9:AP9)</f>
        <v>402.5</v>
      </c>
      <c r="AQ11" s="156" t="s">
        <v>100</v>
      </c>
      <c r="AR11" s="155"/>
    </row>
    <row r="12" spans="2:49" ht="26.25" customHeight="1" x14ac:dyDescent="0.25">
      <c r="B12" s="275" t="s">
        <v>79</v>
      </c>
      <c r="C12" s="421" t="s">
        <v>222</v>
      </c>
      <c r="D12" s="421"/>
      <c r="E12" s="422"/>
      <c r="F12" s="423" t="s">
        <v>280</v>
      </c>
      <c r="G12" s="422"/>
      <c r="H12" s="423" t="s">
        <v>276</v>
      </c>
      <c r="I12" s="421"/>
      <c r="J12" s="422"/>
      <c r="K12" s="423" t="s">
        <v>228</v>
      </c>
      <c r="L12" s="421"/>
      <c r="M12" s="422"/>
      <c r="N12" s="423"/>
      <c r="O12" s="422"/>
      <c r="P12" s="423"/>
      <c r="Q12" s="422"/>
      <c r="R12" s="423" t="s">
        <v>228</v>
      </c>
      <c r="S12" s="421"/>
      <c r="T12" s="421"/>
      <c r="U12" s="422"/>
      <c r="V12" s="423" t="s">
        <v>228</v>
      </c>
      <c r="W12" s="422"/>
      <c r="X12" s="240" t="s">
        <v>237</v>
      </c>
      <c r="Y12" s="240" t="s">
        <v>275</v>
      </c>
      <c r="Z12" s="423"/>
      <c r="AA12" s="422"/>
      <c r="AB12" s="423"/>
      <c r="AC12" s="422"/>
      <c r="AD12" s="423"/>
      <c r="AE12" s="422"/>
    </row>
    <row r="13" spans="2:49" ht="26.25" customHeight="1" thickBot="1" x14ac:dyDescent="0.3">
      <c r="B13" s="275" t="s">
        <v>57</v>
      </c>
      <c r="C13" s="421" t="s">
        <v>221</v>
      </c>
      <c r="D13" s="421"/>
      <c r="E13" s="422"/>
      <c r="F13" s="423" t="s">
        <v>282</v>
      </c>
      <c r="G13" s="422"/>
      <c r="H13" s="423" t="s">
        <v>277</v>
      </c>
      <c r="I13" s="421"/>
      <c r="J13" s="422"/>
      <c r="K13" s="423" t="s">
        <v>225</v>
      </c>
      <c r="L13" s="421"/>
      <c r="M13" s="422"/>
      <c r="N13" s="423"/>
      <c r="O13" s="422"/>
      <c r="P13" s="423"/>
      <c r="Q13" s="422"/>
      <c r="R13" s="423" t="s">
        <v>226</v>
      </c>
      <c r="S13" s="421"/>
      <c r="T13" s="421"/>
      <c r="U13" s="422"/>
      <c r="V13" s="423" t="s">
        <v>227</v>
      </c>
      <c r="W13" s="422"/>
      <c r="X13" s="240" t="s">
        <v>238</v>
      </c>
      <c r="Y13" s="240" t="s">
        <v>274</v>
      </c>
      <c r="Z13" s="423"/>
      <c r="AA13" s="422"/>
      <c r="AB13" s="423"/>
      <c r="AC13" s="422"/>
      <c r="AD13" s="423"/>
      <c r="AE13" s="422"/>
    </row>
    <row r="14" spans="2:49" ht="32.25" customHeight="1" thickBot="1" x14ac:dyDescent="0.3">
      <c r="B14" s="276" t="s">
        <v>77</v>
      </c>
      <c r="C14" s="434">
        <f>AK21</f>
        <v>3.06</v>
      </c>
      <c r="D14" s="435"/>
      <c r="E14" s="436"/>
      <c r="F14" s="437">
        <f>AK22</f>
        <v>2.6</v>
      </c>
      <c r="G14" s="436"/>
      <c r="H14" s="437">
        <f>AK23</f>
        <v>2.63</v>
      </c>
      <c r="I14" s="435"/>
      <c r="J14" s="436"/>
      <c r="K14" s="437">
        <f>AK24</f>
        <v>2.99</v>
      </c>
      <c r="L14" s="435"/>
      <c r="M14" s="436"/>
      <c r="N14" s="437">
        <f>AK25</f>
        <v>2.6</v>
      </c>
      <c r="O14" s="436"/>
      <c r="P14" s="437">
        <f>AK25</f>
        <v>2.6</v>
      </c>
      <c r="Q14" s="436"/>
      <c r="R14" s="437">
        <v>2.8</v>
      </c>
      <c r="S14" s="435"/>
      <c r="T14" s="435"/>
      <c r="U14" s="436"/>
      <c r="V14" s="437">
        <v>2.8</v>
      </c>
      <c r="W14" s="436"/>
      <c r="X14" s="283">
        <f>AK29</f>
        <v>1</v>
      </c>
      <c r="Y14" s="283">
        <v>1.0900000000000001</v>
      </c>
      <c r="Z14" s="437">
        <v>0</v>
      </c>
      <c r="AA14" s="436"/>
      <c r="AB14" s="437">
        <v>0</v>
      </c>
      <c r="AC14" s="436"/>
      <c r="AD14" s="437">
        <v>0</v>
      </c>
      <c r="AE14" s="436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277" t="s">
        <v>78</v>
      </c>
      <c r="C15" s="447">
        <f>ROUND((X15/D7),0)</f>
        <v>364</v>
      </c>
      <c r="D15" s="448"/>
      <c r="E15" s="449"/>
      <c r="F15" s="450">
        <f>C15*X7</f>
        <v>0</v>
      </c>
      <c r="G15" s="451"/>
      <c r="H15" s="452">
        <f>ROUND((AF7*E8*H14),0)</f>
        <v>731</v>
      </c>
      <c r="I15" s="448"/>
      <c r="J15" s="449"/>
      <c r="K15" s="452">
        <f>ROUND((AF7*F8*K14),0)</f>
        <v>0</v>
      </c>
      <c r="L15" s="448"/>
      <c r="M15" s="449"/>
      <c r="N15" s="450">
        <f>ROUND((AF7*G8*N14),0)</f>
        <v>0</v>
      </c>
      <c r="O15" s="451"/>
      <c r="P15" s="450">
        <f>ROUND((AF9*I8*P14),0)</f>
        <v>0</v>
      </c>
      <c r="Q15" s="451"/>
      <c r="R15" s="452">
        <f>ROUND((AF9*K8*R14),0)</f>
        <v>796</v>
      </c>
      <c r="S15" s="448"/>
      <c r="T15" s="448"/>
      <c r="U15" s="449"/>
      <c r="V15" s="452">
        <f>ROUND((AF9*M8*V14),0)</f>
        <v>158</v>
      </c>
      <c r="W15" s="449"/>
      <c r="X15" s="347">
        <v>200</v>
      </c>
      <c r="Y15" s="284">
        <f>ROUND(Q7*(C15),3)</f>
        <v>3.0939999999999999</v>
      </c>
      <c r="Z15" s="450">
        <f>ROUND(Q8*(C15+F15),3)</f>
        <v>0</v>
      </c>
      <c r="AA15" s="451"/>
      <c r="AB15" s="450">
        <f>ROUND(R9*(D15+G15),3)</f>
        <v>0</v>
      </c>
      <c r="AC15" s="451"/>
      <c r="AD15" s="450"/>
      <c r="AE15" s="451"/>
      <c r="AI15" s="337">
        <f>(H15+K15+N15)/(AB9) *100</f>
        <v>32.45873832750911</v>
      </c>
      <c r="AJ15" s="432" t="s">
        <v>85</v>
      </c>
      <c r="AK15" s="432"/>
      <c r="AL15" s="453"/>
      <c r="AM15" s="340">
        <f>(H15+K15+N15)/(H15+K15+N15+P15+R15+V15)*100</f>
        <v>43.382789317507417</v>
      </c>
      <c r="AN15" s="432" t="s">
        <v>86</v>
      </c>
      <c r="AO15" s="432"/>
      <c r="AP15" s="433"/>
    </row>
    <row r="16" spans="2:49" ht="26.25" customHeight="1" thickBot="1" x14ac:dyDescent="0.3">
      <c r="B16" s="277" t="s">
        <v>32</v>
      </c>
      <c r="C16" s="469">
        <f>C15*AB7/1000</f>
        <v>364</v>
      </c>
      <c r="D16" s="466"/>
      <c r="E16" s="467"/>
      <c r="F16" s="438">
        <f>F15*AB7/1000</f>
        <v>0</v>
      </c>
      <c r="G16" s="439"/>
      <c r="H16" s="465">
        <f>H15*AB7/1000</f>
        <v>731</v>
      </c>
      <c r="I16" s="466"/>
      <c r="J16" s="467"/>
      <c r="K16" s="465">
        <f>K15*AB7/1000</f>
        <v>0</v>
      </c>
      <c r="L16" s="466"/>
      <c r="M16" s="467"/>
      <c r="N16" s="438">
        <f>N15*AB7/1000</f>
        <v>0</v>
      </c>
      <c r="O16" s="439"/>
      <c r="P16" s="438">
        <f>P15*AB7/1000</f>
        <v>0</v>
      </c>
      <c r="Q16" s="439"/>
      <c r="R16" s="465">
        <f>R15*AB7/1000</f>
        <v>796</v>
      </c>
      <c r="S16" s="466"/>
      <c r="T16" s="466"/>
      <c r="U16" s="467"/>
      <c r="V16" s="465">
        <f>V15*AB7/1000</f>
        <v>158</v>
      </c>
      <c r="W16" s="467"/>
      <c r="X16" s="285">
        <f>X15*AB7/1000</f>
        <v>200</v>
      </c>
      <c r="Y16" s="286">
        <f>Y15*AB7</f>
        <v>3094</v>
      </c>
      <c r="Z16" s="438">
        <f>Z15*AB7</f>
        <v>0</v>
      </c>
      <c r="AA16" s="439"/>
      <c r="AB16" s="438">
        <f>AB15*AF7</f>
        <v>0</v>
      </c>
      <c r="AC16" s="439"/>
      <c r="AD16" s="438">
        <f>AE15*AB7</f>
        <v>0</v>
      </c>
      <c r="AE16" s="439"/>
      <c r="AI16" s="338">
        <f>(P15+R15+V15)/AB9*100</f>
        <v>42.360651661345685</v>
      </c>
      <c r="AJ16" s="459" t="s">
        <v>87</v>
      </c>
      <c r="AK16" s="459"/>
      <c r="AL16" s="468"/>
      <c r="AM16" s="341">
        <f>(P15+R15+V15)/(H15+K15+N15+P15+R15+V15)*100</f>
        <v>56.617210682492583</v>
      </c>
      <c r="AN16" s="459" t="s">
        <v>88</v>
      </c>
      <c r="AO16" s="459"/>
      <c r="AP16" s="460"/>
      <c r="AR16" s="360"/>
      <c r="AS16" s="194"/>
      <c r="AT16" s="194"/>
      <c r="AU16" s="194"/>
      <c r="AV16" s="194"/>
      <c r="AW16" s="194"/>
    </row>
    <row r="17" spans="1:50" ht="36" customHeight="1" thickBot="1" x14ac:dyDescent="0.3">
      <c r="B17" s="278" t="s">
        <v>14</v>
      </c>
      <c r="C17" s="461">
        <f>C16</f>
        <v>364</v>
      </c>
      <c r="D17" s="462"/>
      <c r="E17" s="463"/>
      <c r="F17" s="440">
        <f>F16</f>
        <v>0</v>
      </c>
      <c r="G17" s="441"/>
      <c r="H17" s="464">
        <f>H16*(1+E9-AT41)</f>
        <v>782.17000000000007</v>
      </c>
      <c r="I17" s="462"/>
      <c r="J17" s="463"/>
      <c r="K17" s="464">
        <f>ROUND((K16+(K16*(F9-AT42))),3)</f>
        <v>0</v>
      </c>
      <c r="L17" s="462"/>
      <c r="M17" s="463"/>
      <c r="N17" s="440">
        <f>ROUND((N16+(N16*(G9-AT43))),3)</f>
        <v>0</v>
      </c>
      <c r="O17" s="441"/>
      <c r="P17" s="440">
        <f>ROUND((P16+(P16*(I9-AT44))),3)</f>
        <v>0</v>
      </c>
      <c r="Q17" s="441"/>
      <c r="R17" s="464">
        <f>ROUND((R16+(R16*(K9-AT45))),3)</f>
        <v>799.98</v>
      </c>
      <c r="S17" s="462"/>
      <c r="T17" s="462"/>
      <c r="U17" s="463"/>
      <c r="V17" s="464">
        <f>ROUND((V16+(V16*(M9-AT46))),3)</f>
        <v>158.79</v>
      </c>
      <c r="W17" s="463"/>
      <c r="X17" s="287">
        <f>ROUND(X16-((H17-H16)+(K17-K16)+(N17-N16)+(P17-P16)+(R17-R16)+(V17-V16)),3)</f>
        <v>144.06</v>
      </c>
      <c r="Y17" s="288">
        <f>Y16/Y14</f>
        <v>2838.5321100917431</v>
      </c>
      <c r="Z17" s="440" t="str">
        <f>IFERROR(Z16/Z14,"-")</f>
        <v>-</v>
      </c>
      <c r="AA17" s="441"/>
      <c r="AB17" s="440" t="str">
        <f>IFERROR(AB16/AB14,"-")</f>
        <v>-</v>
      </c>
      <c r="AC17" s="441"/>
      <c r="AD17" s="440">
        <f>AD16</f>
        <v>0</v>
      </c>
      <c r="AE17" s="441"/>
      <c r="AI17" s="339">
        <f>SUM(AI15:AI16)</f>
        <v>74.819389988854795</v>
      </c>
      <c r="AJ17" s="442" t="s">
        <v>89</v>
      </c>
      <c r="AK17" s="442"/>
      <c r="AL17" s="443"/>
      <c r="AM17" s="342">
        <f>(C15+F15)/AB9*100</f>
        <v>16.162764365544895</v>
      </c>
      <c r="AN17" s="442" t="s">
        <v>90</v>
      </c>
      <c r="AO17" s="442"/>
      <c r="AP17" s="454"/>
      <c r="AR17" s="194"/>
      <c r="AS17" s="194"/>
      <c r="AT17" s="194"/>
      <c r="AU17" s="194"/>
      <c r="AV17" s="194"/>
      <c r="AW17" s="194"/>
    </row>
    <row r="18" spans="1:50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50" ht="22.5" customHeight="1" thickBot="1" x14ac:dyDescent="0.3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56" t="s">
        <v>301</v>
      </c>
      <c r="AJ19" s="457"/>
      <c r="AK19" s="457"/>
      <c r="AL19" s="457"/>
      <c r="AM19" s="457"/>
      <c r="AN19" s="457"/>
      <c r="AO19" s="458"/>
      <c r="AR19" s="487" t="s">
        <v>278</v>
      </c>
      <c r="AS19" s="457"/>
      <c r="AT19" s="457"/>
      <c r="AU19" s="457"/>
      <c r="AV19" s="457"/>
      <c r="AW19" s="457"/>
      <c r="AX19" s="458"/>
    </row>
    <row r="20" spans="1:50" ht="54" customHeight="1" thickBot="1" x14ac:dyDescent="0.3">
      <c r="B20" s="470" t="s">
        <v>75</v>
      </c>
      <c r="C20" s="471"/>
      <c r="D20" s="344" t="s">
        <v>235</v>
      </c>
      <c r="E20" s="344" t="s">
        <v>46</v>
      </c>
      <c r="F20" s="344" t="s">
        <v>62</v>
      </c>
      <c r="G20" s="472" t="s">
        <v>63</v>
      </c>
      <c r="H20" s="471"/>
      <c r="I20" s="472" t="s">
        <v>76</v>
      </c>
      <c r="J20" s="471"/>
      <c r="K20" s="472" t="s">
        <v>64</v>
      </c>
      <c r="L20" s="471"/>
      <c r="M20" s="472" t="s">
        <v>65</v>
      </c>
      <c r="N20" s="471"/>
      <c r="O20" s="472" t="s">
        <v>65</v>
      </c>
      <c r="P20" s="471"/>
      <c r="Q20" s="472" t="s">
        <v>65</v>
      </c>
      <c r="R20" s="471"/>
      <c r="S20" s="472" t="s">
        <v>65</v>
      </c>
      <c r="T20" s="473"/>
      <c r="U20" s="471"/>
      <c r="V20" s="345" t="s">
        <v>66</v>
      </c>
      <c r="W20" s="344" t="s">
        <v>69</v>
      </c>
      <c r="X20" s="344" t="s">
        <v>70</v>
      </c>
      <c r="Y20" s="346" t="s">
        <v>61</v>
      </c>
      <c r="Z20" s="474" t="s">
        <v>146</v>
      </c>
      <c r="AA20" s="475"/>
      <c r="AB20" s="474" t="s">
        <v>147</v>
      </c>
      <c r="AC20" s="475"/>
      <c r="AD20" s="474" t="s">
        <v>148</v>
      </c>
      <c r="AE20" s="476"/>
      <c r="AI20" s="305" t="s">
        <v>3</v>
      </c>
      <c r="AJ20" s="306" t="s">
        <v>16</v>
      </c>
      <c r="AK20" s="307" t="s">
        <v>15</v>
      </c>
      <c r="AL20" s="477" t="s">
        <v>23</v>
      </c>
      <c r="AM20" s="478"/>
      <c r="AN20" s="478"/>
      <c r="AO20" s="479"/>
      <c r="AP20">
        <v>1000</v>
      </c>
      <c r="AQ20">
        <v>8.0000000000000002E-3</v>
      </c>
      <c r="AR20" s="305" t="s">
        <v>3</v>
      </c>
      <c r="AS20" s="306" t="s">
        <v>16</v>
      </c>
      <c r="AT20" s="307" t="s">
        <v>15</v>
      </c>
      <c r="AU20" s="477" t="s">
        <v>23</v>
      </c>
      <c r="AV20" s="478"/>
      <c r="AW20" s="478"/>
      <c r="AX20" s="479"/>
    </row>
    <row r="21" spans="1:50" ht="20.100000000000001" customHeight="1" x14ac:dyDescent="0.3">
      <c r="A21" t="s">
        <v>34</v>
      </c>
      <c r="B21" s="290"/>
      <c r="C21" s="291"/>
      <c r="D21" s="292">
        <v>28</v>
      </c>
      <c r="E21" s="293">
        <v>0.54513888888888895</v>
      </c>
      <c r="F21" s="294"/>
      <c r="G21" s="480"/>
      <c r="H21" s="481"/>
      <c r="I21" s="482"/>
      <c r="J21" s="483"/>
      <c r="K21" s="297">
        <v>140</v>
      </c>
      <c r="L21" s="298"/>
      <c r="M21" s="297"/>
      <c r="N21" s="298"/>
      <c r="O21" s="297"/>
      <c r="P21" s="298"/>
      <c r="Q21" s="297"/>
      <c r="R21" s="298"/>
      <c r="S21" s="297"/>
      <c r="T21" s="299"/>
      <c r="U21" s="298"/>
      <c r="V21" s="295"/>
      <c r="W21" s="280">
        <f>V21+I21</f>
        <v>0</v>
      </c>
      <c r="X21" s="281">
        <f t="shared" ref="X21:X27" si="0">(IF(W21="","",((W21/$AB$7)+$X$15)))</f>
        <v>200</v>
      </c>
      <c r="Y21" s="282">
        <f>IF(X21="","",(X21/(SUM($C$15:$G$15))))</f>
        <v>0.5494505494505495</v>
      </c>
      <c r="Z21" s="301">
        <v>25.3</v>
      </c>
      <c r="AA21" s="296"/>
      <c r="AB21" s="301">
        <v>29.9</v>
      </c>
      <c r="AC21" s="302"/>
      <c r="AD21" s="301"/>
      <c r="AE21" s="303"/>
      <c r="AI21" s="308" t="s">
        <v>0</v>
      </c>
      <c r="AJ21" s="313">
        <v>370</v>
      </c>
      <c r="AK21" s="314">
        <v>3.06</v>
      </c>
      <c r="AL21" s="484" t="s">
        <v>20</v>
      </c>
      <c r="AM21" s="485"/>
      <c r="AN21" s="485"/>
      <c r="AO21" s="486"/>
      <c r="AQ21">
        <f>AJ21*$AQ$20</f>
        <v>2.96</v>
      </c>
      <c r="AR21" s="308" t="s">
        <v>0</v>
      </c>
      <c r="AS21" s="313">
        <v>342</v>
      </c>
      <c r="AT21" s="314">
        <v>3.06</v>
      </c>
      <c r="AU21" s="484" t="s">
        <v>20</v>
      </c>
      <c r="AV21" s="485"/>
      <c r="AW21" s="485"/>
      <c r="AX21" s="486"/>
    </row>
    <row r="22" spans="1:50" ht="20.100000000000001" customHeight="1" x14ac:dyDescent="0.3">
      <c r="B22" s="290"/>
      <c r="C22" s="291"/>
      <c r="D22" s="292"/>
      <c r="E22" s="293"/>
      <c r="F22" s="294"/>
      <c r="G22" s="480"/>
      <c r="H22" s="481"/>
      <c r="I22" s="482"/>
      <c r="J22" s="483"/>
      <c r="K22" s="297"/>
      <c r="L22" s="298"/>
      <c r="M22" s="297"/>
      <c r="N22" s="298"/>
      <c r="O22" s="297"/>
      <c r="P22" s="298"/>
      <c r="Q22" s="297"/>
      <c r="R22" s="298"/>
      <c r="S22" s="297"/>
      <c r="T22" s="299"/>
      <c r="U22" s="298"/>
      <c r="V22" s="295"/>
      <c r="W22" s="280">
        <f t="shared" ref="W22:W27" si="1">V22+I22</f>
        <v>0</v>
      </c>
      <c r="X22" s="281">
        <f t="shared" si="0"/>
        <v>200</v>
      </c>
      <c r="Y22" s="282">
        <f t="shared" ref="Y22:Y27" si="2">IF(X22="","",(X22/(SUM($C$15:$G$15))))</f>
        <v>0.5494505494505495</v>
      </c>
      <c r="Z22" s="301"/>
      <c r="AA22" s="296"/>
      <c r="AB22" s="301"/>
      <c r="AC22" s="302"/>
      <c r="AD22" s="301"/>
      <c r="AE22" s="303"/>
      <c r="AI22" s="309" t="s">
        <v>280</v>
      </c>
      <c r="AJ22" s="315">
        <v>0</v>
      </c>
      <c r="AK22" s="316">
        <v>2.6</v>
      </c>
      <c r="AL22" s="325" t="str">
        <f>AI23</f>
        <v>Areia 1</v>
      </c>
      <c r="AM22" s="326" t="str">
        <f>AI24</f>
        <v>Areia 2</v>
      </c>
      <c r="AN22" s="326" t="str">
        <f>AI25</f>
        <v>Areia 3</v>
      </c>
      <c r="AO22" s="327" t="s">
        <v>281</v>
      </c>
      <c r="AQ22">
        <f t="shared" ref="AQ22:AQ29" si="3">AJ22*$AQ$20</f>
        <v>0</v>
      </c>
      <c r="AR22" s="309" t="s">
        <v>5</v>
      </c>
      <c r="AS22" s="315">
        <v>0</v>
      </c>
      <c r="AT22" s="316">
        <v>1</v>
      </c>
      <c r="AU22" s="325" t="str">
        <f>AR23</f>
        <v>Areia 1</v>
      </c>
      <c r="AV22" s="326" t="str">
        <f>AR24</f>
        <v>Areia 2</v>
      </c>
      <c r="AW22" s="326" t="str">
        <f>AR25</f>
        <v>Areia 3</v>
      </c>
      <c r="AX22" s="327"/>
    </row>
    <row r="23" spans="1:50" ht="20.100000000000001" customHeight="1" thickBot="1" x14ac:dyDescent="0.35">
      <c r="B23" s="290"/>
      <c r="C23" s="291"/>
      <c r="D23" s="292"/>
      <c r="E23" s="293"/>
      <c r="F23" s="294"/>
      <c r="G23" s="480"/>
      <c r="H23" s="481"/>
      <c r="I23" s="482"/>
      <c r="J23" s="483"/>
      <c r="K23" s="297"/>
      <c r="L23" s="298"/>
      <c r="M23" s="297"/>
      <c r="N23" s="298"/>
      <c r="O23" s="297"/>
      <c r="P23" s="298"/>
      <c r="Q23" s="297"/>
      <c r="R23" s="298"/>
      <c r="S23" s="297"/>
      <c r="T23" s="299"/>
      <c r="U23" s="298"/>
      <c r="V23" s="295"/>
      <c r="W23" s="280">
        <f t="shared" si="1"/>
        <v>0</v>
      </c>
      <c r="X23" s="281">
        <f t="shared" si="0"/>
        <v>200</v>
      </c>
      <c r="Y23" s="282">
        <f t="shared" si="2"/>
        <v>0.5494505494505495</v>
      </c>
      <c r="Z23" s="301"/>
      <c r="AA23" s="296"/>
      <c r="AB23" s="301"/>
      <c r="AC23" s="302"/>
      <c r="AD23" s="301"/>
      <c r="AE23" s="303"/>
      <c r="AI23" s="309" t="s">
        <v>8</v>
      </c>
      <c r="AJ23" s="315">
        <v>700</v>
      </c>
      <c r="AK23" s="316">
        <v>2.63</v>
      </c>
      <c r="AL23" s="328">
        <f>ROUND(AJ23/AK23/(AJ23/AK23+AJ24/AK24+AJ25/AK25*AK30),3)</f>
        <v>0.86</v>
      </c>
      <c r="AM23" s="329">
        <f>ROUND(AJ24/AK24/(AJ23/AK23+AJ24/AK24+AJ25/AK25*AK30),3)</f>
        <v>0.14000000000000001</v>
      </c>
      <c r="AN23" s="329">
        <f>ROUND(AJ25/AK25*AK30/(AJ23/AK23+AJ24/AK24+AJ25/AK25*AK30),3)</f>
        <v>0</v>
      </c>
      <c r="AO23" s="355">
        <f>AJ22/AJ21</f>
        <v>0</v>
      </c>
      <c r="AQ23">
        <f t="shared" si="3"/>
        <v>5.6000000000000005</v>
      </c>
      <c r="AR23" s="309" t="s">
        <v>8</v>
      </c>
      <c r="AS23" s="315">
        <v>690</v>
      </c>
      <c r="AT23" s="316">
        <v>2.63</v>
      </c>
      <c r="AU23" s="328">
        <f>ROUND(AS23/AT23/(AS23/AT23+AS24/AT24+AS25/AT25*AT30),3)</f>
        <v>0.78900000000000003</v>
      </c>
      <c r="AV23" s="329">
        <f>ROUND(AS24/AT24/(AS23/AT23+AS24/AT24+AS25/AT25*AT30),3)</f>
        <v>0.21099999999999999</v>
      </c>
      <c r="AW23" s="329">
        <f>ROUND(AS25/AT25*AT30/(AS23/AT23+AS24/AT24+AS25/AT25*AT30),3)</f>
        <v>0</v>
      </c>
      <c r="AX23" s="331"/>
    </row>
    <row r="24" spans="1:50" ht="20.100000000000001" customHeight="1" x14ac:dyDescent="0.3">
      <c r="B24" s="290"/>
      <c r="C24" s="291"/>
      <c r="D24" s="292"/>
      <c r="E24" s="293"/>
      <c r="F24" s="294"/>
      <c r="G24" s="480"/>
      <c r="H24" s="481"/>
      <c r="I24" s="482"/>
      <c r="J24" s="483"/>
      <c r="K24" s="297"/>
      <c r="L24" s="298"/>
      <c r="M24" s="297"/>
      <c r="N24" s="298"/>
      <c r="O24" s="297"/>
      <c r="P24" s="298"/>
      <c r="Q24" s="297"/>
      <c r="R24" s="298"/>
      <c r="S24" s="297"/>
      <c r="T24" s="299"/>
      <c r="U24" s="298"/>
      <c r="V24" s="295"/>
      <c r="W24" s="280">
        <f t="shared" si="1"/>
        <v>0</v>
      </c>
      <c r="X24" s="281">
        <f t="shared" si="0"/>
        <v>200</v>
      </c>
      <c r="Y24" s="282">
        <f t="shared" si="2"/>
        <v>0.5494505494505495</v>
      </c>
      <c r="Z24" s="301"/>
      <c r="AA24" s="296"/>
      <c r="AB24" s="301"/>
      <c r="AC24" s="302"/>
      <c r="AD24" s="301"/>
      <c r="AE24" s="303"/>
      <c r="AI24" s="309" t="s">
        <v>9</v>
      </c>
      <c r="AJ24" s="315">
        <v>130</v>
      </c>
      <c r="AK24" s="317">
        <v>2.99</v>
      </c>
      <c r="AL24" s="488" t="s">
        <v>21</v>
      </c>
      <c r="AM24" s="489"/>
      <c r="AN24" s="489"/>
      <c r="AO24" s="490"/>
      <c r="AQ24">
        <f t="shared" si="3"/>
        <v>1.04</v>
      </c>
      <c r="AR24" s="309" t="s">
        <v>9</v>
      </c>
      <c r="AS24" s="315">
        <v>190</v>
      </c>
      <c r="AT24" s="317">
        <v>2.7</v>
      </c>
      <c r="AU24" s="488" t="s">
        <v>21</v>
      </c>
      <c r="AV24" s="489"/>
      <c r="AW24" s="489"/>
      <c r="AX24" s="490"/>
    </row>
    <row r="25" spans="1:50" ht="20.100000000000001" customHeight="1" x14ac:dyDescent="0.3">
      <c r="B25" s="290"/>
      <c r="C25" s="291"/>
      <c r="D25" s="292"/>
      <c r="E25" s="293"/>
      <c r="F25" s="294"/>
      <c r="G25" s="480"/>
      <c r="H25" s="481"/>
      <c r="I25" s="482"/>
      <c r="J25" s="483"/>
      <c r="K25" s="297"/>
      <c r="L25" s="298"/>
      <c r="M25" s="297"/>
      <c r="N25" s="298"/>
      <c r="O25" s="297"/>
      <c r="P25" s="298"/>
      <c r="Q25" s="297"/>
      <c r="R25" s="298"/>
      <c r="S25" s="297"/>
      <c r="T25" s="300"/>
      <c r="U25" s="298"/>
      <c r="V25" s="295"/>
      <c r="W25" s="280">
        <f t="shared" si="1"/>
        <v>0</v>
      </c>
      <c r="X25" s="281">
        <f t="shared" si="0"/>
        <v>200</v>
      </c>
      <c r="Y25" s="282">
        <f t="shared" si="2"/>
        <v>0.5494505494505495</v>
      </c>
      <c r="Z25" s="301"/>
      <c r="AA25" s="296"/>
      <c r="AB25" s="301"/>
      <c r="AC25" s="302"/>
      <c r="AD25" s="301"/>
      <c r="AE25" s="303"/>
      <c r="AI25" s="309" t="s">
        <v>10</v>
      </c>
      <c r="AJ25" s="315">
        <v>0</v>
      </c>
      <c r="AK25" s="317">
        <v>2.6</v>
      </c>
      <c r="AL25" s="325" t="str">
        <f>AI25</f>
        <v>Areia 3</v>
      </c>
      <c r="AM25" s="326" t="str">
        <f>AI26</f>
        <v>Brita 0</v>
      </c>
      <c r="AN25" s="326" t="str">
        <f>AI27</f>
        <v>Brita 1/2</v>
      </c>
      <c r="AO25" s="327" t="str">
        <f>AI28</f>
        <v>Aditivo</v>
      </c>
      <c r="AQ25">
        <f t="shared" si="3"/>
        <v>0</v>
      </c>
      <c r="AR25" s="309" t="s">
        <v>10</v>
      </c>
      <c r="AS25" s="315">
        <v>0</v>
      </c>
      <c r="AT25" s="317">
        <v>2.6</v>
      </c>
      <c r="AU25" s="325" t="str">
        <f>AR25</f>
        <v>Areia 3</v>
      </c>
      <c r="AV25" s="326" t="str">
        <f>AR26</f>
        <v>Brita 0</v>
      </c>
      <c r="AW25" s="326" t="str">
        <f>AR27</f>
        <v>Brita 1</v>
      </c>
      <c r="AX25" s="327" t="str">
        <f>AR28</f>
        <v>Aditivo</v>
      </c>
    </row>
    <row r="26" spans="1:50" ht="20.100000000000001" customHeight="1" thickBot="1" x14ac:dyDescent="0.35">
      <c r="B26" s="290"/>
      <c r="C26" s="291"/>
      <c r="D26" s="292"/>
      <c r="E26" s="293"/>
      <c r="F26" s="294"/>
      <c r="G26" s="480"/>
      <c r="H26" s="481"/>
      <c r="I26" s="482"/>
      <c r="J26" s="483"/>
      <c r="K26" s="297"/>
      <c r="L26" s="298"/>
      <c r="M26" s="297"/>
      <c r="N26" s="298"/>
      <c r="O26" s="297"/>
      <c r="P26" s="298"/>
      <c r="Q26" s="297"/>
      <c r="R26" s="298"/>
      <c r="S26" s="297"/>
      <c r="T26" s="300"/>
      <c r="U26" s="298"/>
      <c r="V26" s="295"/>
      <c r="W26" s="280">
        <f t="shared" si="1"/>
        <v>0</v>
      </c>
      <c r="X26" s="281">
        <f t="shared" si="0"/>
        <v>200</v>
      </c>
      <c r="Y26" s="282">
        <f t="shared" si="2"/>
        <v>0.5494505494505495</v>
      </c>
      <c r="Z26" s="301"/>
      <c r="AA26" s="296"/>
      <c r="AB26" s="301"/>
      <c r="AC26" s="302"/>
      <c r="AD26" s="301"/>
      <c r="AE26" s="303"/>
      <c r="AI26" s="309" t="s">
        <v>1</v>
      </c>
      <c r="AJ26" s="315">
        <v>950</v>
      </c>
      <c r="AK26" s="317">
        <v>2.99</v>
      </c>
      <c r="AL26" s="328">
        <f>ROUND(AJ25/AK25*(1-AK30)/(AJ25/AK25*(1-AK30)+AJ26/AK26+AJ27/AK27+AJ28/AK28),3)</f>
        <v>0</v>
      </c>
      <c r="AM26" s="329">
        <f>ROUND(AJ26/AK26/(AJ25/AK25*(1-AK30)+AJ26/AK26+AJ27/AK27+AJ28/AK28),3)</f>
        <v>0.91400000000000003</v>
      </c>
      <c r="AN26" s="329">
        <f>ROUND(AJ27/AK27/(AJ25/AK25*(1-AK30)+AJ26/AK26+AJ27/AK27+AJ28/AK28),3)</f>
        <v>7.6999999999999999E-2</v>
      </c>
      <c r="AO26" s="330">
        <f>ROUND(AJ28/AK28/(AJ25/AK25*(1-AK30)+AJ26/AK26+AJ27/AK27+AJ28/AK28),3)</f>
        <v>8.9999999999999993E-3</v>
      </c>
      <c r="AQ26">
        <f t="shared" si="3"/>
        <v>7.6000000000000005</v>
      </c>
      <c r="AR26" s="309" t="s">
        <v>1</v>
      </c>
      <c r="AS26" s="315">
        <v>820</v>
      </c>
      <c r="AT26" s="317">
        <v>2.9</v>
      </c>
      <c r="AU26" s="328">
        <f>ROUND(AS25/AT25*(1-AT30)/(AS25/AT25*(1-AT30)+AS26/AT26+AS27/AT27+AS28/AT28),3)</f>
        <v>0</v>
      </c>
      <c r="AV26" s="329">
        <f>ROUND(AS26/AT26/(AS25/AT25*(1-AT30)+AS26/AT26+AS27/AT27+AS28/AT28),3)</f>
        <v>0.99</v>
      </c>
      <c r="AW26" s="329">
        <f>ROUND(AS27/AT27/(AS25/AT25*(1-AT30)+AS26/AT26+AS27/AT27+AS28/AT28),3)</f>
        <v>0</v>
      </c>
      <c r="AX26" s="330">
        <f>ROUND(AS28/AT28/(AS25/AT25*(1-AT30)+AS26/AT26+AS27/AT27+AS28/AT28),3)</f>
        <v>0.01</v>
      </c>
    </row>
    <row r="27" spans="1:50" ht="20.100000000000001" customHeight="1" thickBot="1" x14ac:dyDescent="0.35">
      <c r="B27" s="290"/>
      <c r="C27" s="291"/>
      <c r="D27" s="292"/>
      <c r="E27" s="293"/>
      <c r="F27" s="294"/>
      <c r="G27" s="480"/>
      <c r="H27" s="481"/>
      <c r="I27" s="482"/>
      <c r="J27" s="483"/>
      <c r="K27" s="297"/>
      <c r="L27" s="298"/>
      <c r="M27" s="297"/>
      <c r="N27" s="298"/>
      <c r="O27" s="297"/>
      <c r="P27" s="298"/>
      <c r="Q27" s="297"/>
      <c r="R27" s="298"/>
      <c r="S27" s="297"/>
      <c r="T27" s="300"/>
      <c r="U27" s="298"/>
      <c r="V27" s="295"/>
      <c r="W27" s="280">
        <f t="shared" si="1"/>
        <v>0</v>
      </c>
      <c r="X27" s="281">
        <f t="shared" si="0"/>
        <v>200</v>
      </c>
      <c r="Y27" s="282">
        <f t="shared" si="2"/>
        <v>0.5494505494505495</v>
      </c>
      <c r="Z27" s="304"/>
      <c r="AA27" s="296"/>
      <c r="AB27" s="304"/>
      <c r="AC27" s="302"/>
      <c r="AD27" s="304"/>
      <c r="AE27" s="303"/>
      <c r="AI27" s="309" t="s">
        <v>227</v>
      </c>
      <c r="AJ27" s="315">
        <v>80</v>
      </c>
      <c r="AK27" s="317">
        <v>2.99</v>
      </c>
      <c r="AL27" s="491" t="s">
        <v>279</v>
      </c>
      <c r="AM27" s="492"/>
      <c r="AN27" s="493"/>
      <c r="AO27" s="332">
        <f>(SUM(AJ21:AJ25)/SUM(AJ21:AJ27))</f>
        <v>0.53811659192825112</v>
      </c>
      <c r="AQ27">
        <f t="shared" si="3"/>
        <v>0.64</v>
      </c>
      <c r="AR27" s="309" t="s">
        <v>11</v>
      </c>
      <c r="AS27" s="315">
        <v>0</v>
      </c>
      <c r="AT27" s="317">
        <v>2.9</v>
      </c>
      <c r="AU27" s="491" t="s">
        <v>25</v>
      </c>
      <c r="AV27" s="492"/>
      <c r="AW27" s="493"/>
      <c r="AX27" s="332">
        <f>(AS21+AS22+AS23+AS24+AS25)/SUM(AS21:AS28)</f>
        <v>0.5975550122249389</v>
      </c>
    </row>
    <row r="28" spans="1:50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310" t="s">
        <v>230</v>
      </c>
      <c r="AJ28" s="318">
        <v>3.1</v>
      </c>
      <c r="AK28" s="319">
        <v>1</v>
      </c>
      <c r="AL28" s="541" t="s">
        <v>80</v>
      </c>
      <c r="AM28" s="542"/>
      <c r="AN28" s="543"/>
      <c r="AO28" s="333" cm="1">
        <f t="array" ref="AO28">SUMPRODUCT(AJ21:AJ29,1/AK21:AK29)</f>
        <v>968.13459471796489</v>
      </c>
      <c r="AQ28">
        <f t="shared" si="3"/>
        <v>2.4800000000000003E-2</v>
      </c>
      <c r="AR28" s="310" t="s">
        <v>230</v>
      </c>
      <c r="AS28" s="318">
        <v>3</v>
      </c>
      <c r="AT28" s="319">
        <v>1</v>
      </c>
      <c r="AU28" s="541" t="s">
        <v>80</v>
      </c>
      <c r="AV28" s="542"/>
      <c r="AW28" s="543"/>
      <c r="AX28" s="333" cm="1">
        <f t="array" ref="AX28">SUMPRODUCT(AS21:AS29,1/AT21:AT29)</f>
        <v>897.25111139104774</v>
      </c>
    </row>
    <row r="29" spans="1:50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311" t="s">
        <v>2</v>
      </c>
      <c r="AJ29" s="320">
        <v>190</v>
      </c>
      <c r="AK29" s="321">
        <v>1</v>
      </c>
      <c r="AL29" s="544" t="s">
        <v>24</v>
      </c>
      <c r="AM29" s="545"/>
      <c r="AN29" s="546"/>
      <c r="AO29" s="334">
        <f>(1000-AO28)/1000</f>
        <v>3.186540528203511E-2</v>
      </c>
      <c r="AQ29">
        <f t="shared" si="3"/>
        <v>1.52</v>
      </c>
      <c r="AR29" s="311" t="s">
        <v>2</v>
      </c>
      <c r="AS29" s="320">
        <v>167</v>
      </c>
      <c r="AT29" s="321">
        <v>1</v>
      </c>
      <c r="AU29" s="544" t="s">
        <v>24</v>
      </c>
      <c r="AV29" s="545"/>
      <c r="AW29" s="546"/>
      <c r="AX29" s="334">
        <f>(1000-AX28)/1000</f>
        <v>0.10274888860895226</v>
      </c>
    </row>
    <row r="30" spans="1:50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351" t="s">
        <v>22</v>
      </c>
      <c r="AJ30" s="352"/>
      <c r="AK30" s="353">
        <v>0.7</v>
      </c>
      <c r="AL30" s="547" t="s">
        <v>26</v>
      </c>
      <c r="AM30" s="548"/>
      <c r="AN30" s="549"/>
      <c r="AO30" s="335">
        <f>AJ29/AJ21</f>
        <v>0.51351351351351349</v>
      </c>
      <c r="AR30" s="351" t="s">
        <v>22</v>
      </c>
      <c r="AS30" s="352"/>
      <c r="AT30" s="353">
        <v>0.7</v>
      </c>
      <c r="AU30" s="547" t="s">
        <v>26</v>
      </c>
      <c r="AV30" s="548"/>
      <c r="AW30" s="549"/>
      <c r="AX30" s="335">
        <f>AS29/AS21</f>
        <v>0.48830409356725146</v>
      </c>
    </row>
    <row r="31" spans="1:50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324" t="s">
        <v>234</v>
      </c>
      <c r="AJ31" s="322">
        <f>AJ25*AK30</f>
        <v>0</v>
      </c>
      <c r="AK31" s="323">
        <f>AJ25-AJ31</f>
        <v>0</v>
      </c>
      <c r="AL31" s="522" t="s">
        <v>231</v>
      </c>
      <c r="AM31" s="523"/>
      <c r="AN31" s="523"/>
      <c r="AO31" s="336">
        <f>AJ28/AJ21</f>
        <v>8.3783783783783778E-3</v>
      </c>
      <c r="AR31" s="324" t="s">
        <v>234</v>
      </c>
      <c r="AS31" s="322">
        <f>AS25*AT30</f>
        <v>0</v>
      </c>
      <c r="AT31" s="323">
        <f>AS25-AS31</f>
        <v>0</v>
      </c>
      <c r="AU31" s="522" t="s">
        <v>231</v>
      </c>
      <c r="AV31" s="523"/>
      <c r="AW31" s="523"/>
      <c r="AX31" s="336">
        <f>AS28/AS21</f>
        <v>8.771929824561403E-3</v>
      </c>
    </row>
    <row r="32" spans="1:50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 t="s">
        <v>15</v>
      </c>
      <c r="AL32" s="528">
        <f>SUMPRODUCT(AJ21:AK29)</f>
        <v>2444.9599999999996</v>
      </c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343" t="s">
        <v>114</v>
      </c>
      <c r="W33" s="529" t="s">
        <v>120</v>
      </c>
      <c r="X33" s="530"/>
      <c r="Y33" s="208"/>
      <c r="Z33" s="514" t="s">
        <v>133</v>
      </c>
      <c r="AA33" s="529"/>
      <c r="AB33" s="529"/>
      <c r="AC33" s="529"/>
      <c r="AD33" s="530"/>
      <c r="AE33" s="44"/>
      <c r="AI33" s="531" t="s">
        <v>253</v>
      </c>
      <c r="AJ33" s="531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514" t="s">
        <v>114</v>
      </c>
      <c r="AA34" s="515"/>
      <c r="AB34" s="516" t="s">
        <v>126</v>
      </c>
      <c r="AC34" s="516"/>
      <c r="AD34" s="517"/>
      <c r="AE34" s="44"/>
      <c r="AI34" s="354" t="s">
        <v>254</v>
      </c>
      <c r="AJ34" s="354">
        <v>770</v>
      </c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354" t="s">
        <v>255</v>
      </c>
      <c r="AJ35" s="354">
        <v>730</v>
      </c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354" t="s">
        <v>256</v>
      </c>
      <c r="AJ36" s="354">
        <v>700</v>
      </c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354" t="s">
        <v>257</v>
      </c>
      <c r="AJ37" s="354">
        <v>670</v>
      </c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2.0641447575636684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4">(AO41-AP41)/AP41*100</f>
        <v>0</v>
      </c>
      <c r="AS41" s="182" t="str">
        <f t="shared" ref="AS41:AS46" si="5">AN41</f>
        <v>Areia 1</v>
      </c>
      <c r="AT41" s="191">
        <v>0</v>
      </c>
      <c r="AU41" s="124"/>
      <c r="AV41" s="183">
        <f t="shared" ref="AV41:AV48" si="6">SUM($C$15:$X$15)/AK41/1000</f>
        <v>0.95737694822810893</v>
      </c>
      <c r="AW41" s="184">
        <f t="shared" ref="AW41:AW48" si="7">SUM($C$15:$F$15)/AV41</f>
        <v>380.20551954345962</v>
      </c>
      <c r="AX41" s="185">
        <f>(C15/C14+F15/F14+H15/H14+K15/K14+N15/N14+P15/P14+R15/R14+V15/V14+X15/X14)/1000</f>
        <v>0.93761530214113531</v>
      </c>
      <c r="AY41" s="136">
        <f t="shared" ref="AY41:AY48" si="8">AV41/AX41</f>
        <v>1.0210764969831934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9">(AJ42-AI42)/(PI()/2)</f>
        <v>0</v>
      </c>
      <c r="AL42" s="134" t="e">
        <f t="shared" ref="AL42:AL48" si="10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4"/>
        <v>0</v>
      </c>
      <c r="AS42" s="186" t="str">
        <f t="shared" si="5"/>
        <v>Areia 2</v>
      </c>
      <c r="AT42" s="192">
        <v>0</v>
      </c>
      <c r="AU42" s="124"/>
      <c r="AV42" s="183" t="e">
        <f t="shared" si="6"/>
        <v>#DIV/0!</v>
      </c>
      <c r="AW42" s="184" t="e">
        <f t="shared" si="7"/>
        <v>#DIV/0!</v>
      </c>
      <c r="AX42" s="187">
        <f t="shared" ref="AX42:AX48" si="11">AX41</f>
        <v>0.93761530214113531</v>
      </c>
      <c r="AY42" s="140" t="e">
        <f t="shared" si="8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9"/>
        <v>0</v>
      </c>
      <c r="AL43" s="134" t="e">
        <f t="shared" si="10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4"/>
        <v>0</v>
      </c>
      <c r="AS43" s="186" t="str">
        <f t="shared" si="5"/>
        <v>Areia 3</v>
      </c>
      <c r="AT43" s="192">
        <v>0</v>
      </c>
      <c r="AU43" s="124"/>
      <c r="AV43" s="183" t="e">
        <f t="shared" si="6"/>
        <v>#DIV/0!</v>
      </c>
      <c r="AW43" s="184" t="e">
        <f t="shared" si="7"/>
        <v>#DIV/0!</v>
      </c>
      <c r="AX43" s="187">
        <f t="shared" si="11"/>
        <v>0.93761530214113531</v>
      </c>
      <c r="AY43" s="140" t="e">
        <f t="shared" si="8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9"/>
        <v>0</v>
      </c>
      <c r="AL44" s="134" t="e">
        <f t="shared" si="10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4"/>
        <v>0</v>
      </c>
      <c r="AS44" s="186" t="str">
        <f t="shared" si="5"/>
        <v>Misto</v>
      </c>
      <c r="AT44" s="192">
        <v>0</v>
      </c>
      <c r="AU44" s="124"/>
      <c r="AV44" s="183" t="e">
        <f t="shared" si="6"/>
        <v>#DIV/0!</v>
      </c>
      <c r="AW44" s="184" t="e">
        <f t="shared" si="7"/>
        <v>#DIV/0!</v>
      </c>
      <c r="AX44" s="187">
        <f t="shared" si="11"/>
        <v>0.93761530214113531</v>
      </c>
      <c r="AY44" s="140" t="e">
        <f t="shared" si="8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9"/>
        <v>0</v>
      </c>
      <c r="AL45" s="134" t="e">
        <f t="shared" si="10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4"/>
        <v>0</v>
      </c>
      <c r="AS45" s="186" t="str">
        <f t="shared" si="5"/>
        <v>Brita 0</v>
      </c>
      <c r="AT45" s="192">
        <v>0</v>
      </c>
      <c r="AU45" s="124"/>
      <c r="AV45" s="183" t="e">
        <f t="shared" si="6"/>
        <v>#DIV/0!</v>
      </c>
      <c r="AW45" s="184" t="e">
        <f t="shared" si="7"/>
        <v>#DIV/0!</v>
      </c>
      <c r="AX45" s="187">
        <f t="shared" si="11"/>
        <v>0.93761530214113531</v>
      </c>
      <c r="AY45" s="140" t="e">
        <f t="shared" si="8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9"/>
        <v>0</v>
      </c>
      <c r="AL46" s="134" t="e">
        <f t="shared" si="10"/>
        <v>#DIV/0!</v>
      </c>
      <c r="AM46" s="124"/>
      <c r="AN46" s="160" t="str">
        <f>V11</f>
        <v>Brita 1/2</v>
      </c>
      <c r="AO46" s="141">
        <v>0.5</v>
      </c>
      <c r="AP46" s="141">
        <v>0.5</v>
      </c>
      <c r="AQ46" s="142">
        <f t="shared" si="4"/>
        <v>0</v>
      </c>
      <c r="AS46" s="188" t="str">
        <f t="shared" si="5"/>
        <v>Brita 1/2</v>
      </c>
      <c r="AT46" s="193">
        <v>0</v>
      </c>
      <c r="AU46" s="124"/>
      <c r="AV46" s="183" t="e">
        <f t="shared" si="6"/>
        <v>#DIV/0!</v>
      </c>
      <c r="AW46" s="184" t="e">
        <f t="shared" si="7"/>
        <v>#DIV/0!</v>
      </c>
      <c r="AX46" s="187">
        <f t="shared" si="11"/>
        <v>0.93761530214113531</v>
      </c>
      <c r="AY46" s="140" t="e">
        <f t="shared" si="8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9"/>
        <v>0</v>
      </c>
      <c r="AL47" s="134" t="e">
        <f t="shared" si="10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6"/>
        <v>#DIV/0!</v>
      </c>
      <c r="AW47" s="184" t="e">
        <f t="shared" si="7"/>
        <v>#DIV/0!</v>
      </c>
      <c r="AX47" s="187">
        <f t="shared" si="11"/>
        <v>0.93761530214113531</v>
      </c>
      <c r="AY47" s="140" t="e">
        <f t="shared" si="8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9"/>
        <v>0</v>
      </c>
      <c r="AL48" s="145" t="e">
        <f t="shared" si="10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6"/>
        <v>#DIV/0!</v>
      </c>
      <c r="AW48" s="184" t="e">
        <f t="shared" si="7"/>
        <v>#DIV/0!</v>
      </c>
      <c r="AX48" s="189">
        <f t="shared" si="11"/>
        <v>0.93761530214113531</v>
      </c>
      <c r="AY48" s="142" t="e">
        <f t="shared" si="8"/>
        <v>#DIV/0!</v>
      </c>
    </row>
  </sheetData>
  <sheetProtection selectLockedCells="1" autoFilter="0" pivotTables="0"/>
  <mergeCells count="192">
    <mergeCell ref="B40:AE40"/>
    <mergeCell ref="W38:X38"/>
    <mergeCell ref="B39:AE39"/>
    <mergeCell ref="AI39:AL39"/>
    <mergeCell ref="AN39:AQ39"/>
    <mergeCell ref="AS39:AT39"/>
    <mergeCell ref="AV39:AY39"/>
    <mergeCell ref="W36:X36"/>
    <mergeCell ref="Z36:AA36"/>
    <mergeCell ref="AB36:AD36"/>
    <mergeCell ref="W37:X37"/>
    <mergeCell ref="Z37:AA37"/>
    <mergeCell ref="AB37:AD37"/>
    <mergeCell ref="W34:X34"/>
    <mergeCell ref="Z34:AA34"/>
    <mergeCell ref="AB34:AD34"/>
    <mergeCell ref="W35:X35"/>
    <mergeCell ref="Z35:AA35"/>
    <mergeCell ref="AB35:AD35"/>
    <mergeCell ref="AU31:AW31"/>
    <mergeCell ref="B32:AE32"/>
    <mergeCell ref="AL32:AN32"/>
    <mergeCell ref="W33:X33"/>
    <mergeCell ref="Z33:AD33"/>
    <mergeCell ref="AI33:AJ33"/>
    <mergeCell ref="AL33:AN33"/>
    <mergeCell ref="W28:W31"/>
    <mergeCell ref="Y28:Y31"/>
    <mergeCell ref="Z28:AE31"/>
    <mergeCell ref="AL28:AN28"/>
    <mergeCell ref="AU28:AW28"/>
    <mergeCell ref="AL29:AN29"/>
    <mergeCell ref="AU29:AW29"/>
    <mergeCell ref="AL30:AN30"/>
    <mergeCell ref="AU30:AW30"/>
    <mergeCell ref="AL31:AN31"/>
    <mergeCell ref="G27:H27"/>
    <mergeCell ref="I27:J27"/>
    <mergeCell ref="AL27:AN27"/>
    <mergeCell ref="AU27:AW27"/>
    <mergeCell ref="B28:C31"/>
    <mergeCell ref="E28:E31"/>
    <mergeCell ref="G28:H31"/>
    <mergeCell ref="K28:L31"/>
    <mergeCell ref="O28:P31"/>
    <mergeCell ref="S28:U31"/>
    <mergeCell ref="AL24:AO24"/>
    <mergeCell ref="AU24:AX24"/>
    <mergeCell ref="G25:H25"/>
    <mergeCell ref="I25:J25"/>
    <mergeCell ref="G26:H26"/>
    <mergeCell ref="I26:J26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AU20:AX20"/>
    <mergeCell ref="G21:H21"/>
    <mergeCell ref="I21:J21"/>
    <mergeCell ref="AL21:AO21"/>
    <mergeCell ref="AU21:AX21"/>
    <mergeCell ref="AR19:AX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B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conditionalFormatting sqref="F12:G17">
    <cfRule type="cellIs" dxfId="8" priority="8" operator="equal">
      <formula>0</formula>
    </cfRule>
    <cfRule type="containsBlanks" dxfId="7" priority="9">
      <formula>LEN(TRIM(F12))=0</formula>
    </cfRule>
  </conditionalFormatting>
  <conditionalFormatting sqref="N12:Q17">
    <cfRule type="cellIs" dxfId="6" priority="6" operator="equal">
      <formula>0</formula>
    </cfRule>
    <cfRule type="containsBlanks" dxfId="5" priority="7">
      <formula>LEN(TRIM(N12))=0</formula>
    </cfRule>
  </conditionalFormatting>
  <conditionalFormatting sqref="Z12:AA17">
    <cfRule type="cellIs" dxfId="4" priority="3" operator="equal">
      <formula>"-"</formula>
    </cfRule>
  </conditionalFormatting>
  <conditionalFormatting sqref="Z12:AE17">
    <cfRule type="cellIs" dxfId="3" priority="4" operator="equal">
      <formula>0</formula>
    </cfRule>
    <cfRule type="containsBlanks" dxfId="2" priority="5">
      <formula>LEN(TRIM(Z12))=0</formula>
    </cfRule>
  </conditionalFormatting>
  <conditionalFormatting sqref="AB12:AC12">
    <cfRule type="cellIs" dxfId="1" priority="2" operator="equal">
      <formula>"-"</formula>
    </cfRule>
  </conditionalFormatting>
  <conditionalFormatting sqref="AB17:AC17">
    <cfRule type="cellIs" dxfId="0" priority="1" operator="equal">
      <formula>"-"</formula>
    </cfRule>
  </conditionalFormatting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4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23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3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AY48"/>
  <sheetViews>
    <sheetView showGridLines="0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163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151</v>
      </c>
      <c r="T4" s="683"/>
      <c r="U4" s="683"/>
      <c r="V4" s="16" t="s">
        <v>114</v>
      </c>
      <c r="W4" s="205" t="s">
        <v>152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696.97903091957005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0.58899999999999997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7.0000000000000001E-3</v>
      </c>
      <c r="R7" s="64"/>
      <c r="S7" s="57" t="s">
        <v>51</v>
      </c>
      <c r="T7" s="48"/>
      <c r="U7" s="58"/>
      <c r="V7" s="52"/>
      <c r="W7" s="52"/>
      <c r="X7" s="62">
        <v>2.7E-2</v>
      </c>
      <c r="Y7" s="60" t="s">
        <v>54</v>
      </c>
      <c r="Z7" s="58"/>
      <c r="AA7" s="58"/>
      <c r="AB7" s="58"/>
      <c r="AC7" s="58"/>
      <c r="AD7" s="691">
        <v>15</v>
      </c>
      <c r="AE7" s="692"/>
      <c r="AF7" s="38">
        <f>(1000-(1000*X9))-AF6</f>
        <v>302.77096908042995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0.57355510797508369</v>
      </c>
      <c r="E8" s="26">
        <v>0.8</v>
      </c>
      <c r="F8" s="27">
        <v>0.2</v>
      </c>
      <c r="G8" s="406">
        <v>0</v>
      </c>
      <c r="H8" s="407"/>
      <c r="I8" s="408">
        <f>AL26</f>
        <v>0</v>
      </c>
      <c r="J8" s="409"/>
      <c r="K8" s="410">
        <v>0.2</v>
      </c>
      <c r="L8" s="411"/>
      <c r="M8" s="410">
        <v>0.8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0.54500000000000004</v>
      </c>
      <c r="Y8" s="60" t="s">
        <v>55</v>
      </c>
      <c r="Z8" s="61"/>
      <c r="AA8" s="59"/>
      <c r="AB8" s="573">
        <f>X15/SUM(C15:V15)</f>
        <v>0.10156576619560621</v>
      </c>
      <c r="AC8" s="573"/>
      <c r="AD8" s="573"/>
      <c r="AE8" s="574"/>
      <c r="AF8" s="38">
        <f>ROUND((1000-(1000*X9)-X15),2)</f>
        <v>784.75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2.5000000000000001E-4</v>
      </c>
      <c r="Y9" s="67" t="s">
        <v>17</v>
      </c>
      <c r="AA9" s="54"/>
      <c r="AB9" s="567">
        <f>ROUND(SUM(C15:AE15),2)</f>
        <v>2339.98</v>
      </c>
      <c r="AC9" s="567"/>
      <c r="AD9" s="567"/>
      <c r="AE9" s="568"/>
      <c r="AF9" s="38">
        <f>AF8*(1-X8)</f>
        <v>357.06124999999997</v>
      </c>
      <c r="AI9" s="173">
        <f>AI8*C15</f>
        <v>365</v>
      </c>
      <c r="AJ9" s="174">
        <f>AJ8*F15</f>
        <v>9.8550000000000004</v>
      </c>
      <c r="AK9" s="175">
        <f>AK8*H15</f>
        <v>12.44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5.7299999999999995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393.02500000000003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 t="s">
        <v>155</v>
      </c>
      <c r="G12" s="694"/>
      <c r="H12" s="695" t="s">
        <v>154</v>
      </c>
      <c r="I12" s="693"/>
      <c r="J12" s="694"/>
      <c r="K12" s="695" t="s">
        <v>161</v>
      </c>
      <c r="L12" s="693"/>
      <c r="M12" s="694"/>
      <c r="N12" s="695" t="s">
        <v>153</v>
      </c>
      <c r="O12" s="694"/>
      <c r="P12" s="695"/>
      <c r="Q12" s="694"/>
      <c r="R12" s="695" t="s">
        <v>159</v>
      </c>
      <c r="S12" s="693"/>
      <c r="T12" s="693"/>
      <c r="U12" s="694"/>
      <c r="V12" s="695" t="s">
        <v>160</v>
      </c>
      <c r="W12" s="694"/>
      <c r="X12" s="216"/>
      <c r="Y12" s="216" t="s">
        <v>157</v>
      </c>
      <c r="Z12" s="695"/>
      <c r="AA12" s="694"/>
      <c r="AB12" s="695"/>
      <c r="AC12" s="694"/>
      <c r="AD12" s="695" t="s">
        <v>162</v>
      </c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81</v>
      </c>
      <c r="L13" s="693"/>
      <c r="M13" s="694"/>
      <c r="N13" s="695" t="s">
        <v>156</v>
      </c>
      <c r="O13" s="694"/>
      <c r="P13" s="695"/>
      <c r="Q13" s="694"/>
      <c r="R13" s="695" t="s">
        <v>82</v>
      </c>
      <c r="S13" s="693"/>
      <c r="T13" s="693"/>
      <c r="U13" s="694"/>
      <c r="V13" s="695"/>
      <c r="W13" s="694"/>
      <c r="X13" s="216"/>
      <c r="Y13" s="216" t="s">
        <v>158</v>
      </c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365</v>
      </c>
      <c r="D15" s="599"/>
      <c r="E15" s="600"/>
      <c r="F15" s="601">
        <f>C15*X7</f>
        <v>9.8550000000000004</v>
      </c>
      <c r="G15" s="602"/>
      <c r="H15" s="603">
        <f>ROUND((AF7*E8*H14),0)</f>
        <v>622</v>
      </c>
      <c r="I15" s="599"/>
      <c r="J15" s="600"/>
      <c r="K15" s="603">
        <f>ROUND((AF7*F8*K14),0)</f>
        <v>161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191</v>
      </c>
      <c r="S15" s="599"/>
      <c r="T15" s="599"/>
      <c r="U15" s="600"/>
      <c r="V15" s="603">
        <f>ROUND((AF9*M8*V14),0)</f>
        <v>768</v>
      </c>
      <c r="W15" s="600"/>
      <c r="X15" s="66">
        <v>215</v>
      </c>
      <c r="Y15" s="218">
        <f>ROUND(Q7*(C15+F15),3)</f>
        <v>2.6240000000000001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>
        <v>5.5</v>
      </c>
      <c r="AE15" s="605"/>
      <c r="AI15" s="118">
        <f>(H15+K15+N15)/(AB9) *100</f>
        <v>33.461824460038123</v>
      </c>
      <c r="AJ15" s="584" t="s">
        <v>85</v>
      </c>
      <c r="AK15" s="584"/>
      <c r="AL15" s="606"/>
      <c r="AM15" s="119">
        <f>(H15+K15+N15)/(H15+K15+N15+P15+R15+V15)*100</f>
        <v>44.94833524684271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5.4749999999999996</v>
      </c>
      <c r="D16" s="615"/>
      <c r="E16" s="591"/>
      <c r="F16" s="621">
        <f>F15*AD7/1000</f>
        <v>0.14782500000000001</v>
      </c>
      <c r="G16" s="622"/>
      <c r="H16" s="590">
        <f>H15*AD7/1000</f>
        <v>9.33</v>
      </c>
      <c r="I16" s="615"/>
      <c r="J16" s="591"/>
      <c r="K16" s="590">
        <f>K15*AD7/1000</f>
        <v>2.415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2.8650000000000002</v>
      </c>
      <c r="S16" s="615"/>
      <c r="T16" s="615"/>
      <c r="U16" s="591"/>
      <c r="V16" s="590">
        <f>V15*AD7/1000</f>
        <v>11.52</v>
      </c>
      <c r="W16" s="591"/>
      <c r="X16" s="225">
        <f>X15*AD7/1000</f>
        <v>3.2250000000000001</v>
      </c>
      <c r="Y16" s="219">
        <f>Y15*AD7</f>
        <v>39.36</v>
      </c>
      <c r="Z16" s="616">
        <f>Z15*AD7</f>
        <v>0</v>
      </c>
      <c r="AA16" s="617"/>
      <c r="AB16" s="616">
        <f>AB15*AF7</f>
        <v>0</v>
      </c>
      <c r="AC16" s="617"/>
      <c r="AD16" s="703">
        <f>AD15*AD7/1000</f>
        <v>8.2500000000000004E-2</v>
      </c>
      <c r="AE16" s="704"/>
      <c r="AI16" s="120">
        <f>(P15+R15+V15)/AB9*100</f>
        <v>40.983256267147581</v>
      </c>
      <c r="AJ16" s="608" t="s">
        <v>87</v>
      </c>
      <c r="AK16" s="608"/>
      <c r="AL16" s="619"/>
      <c r="AM16" s="121">
        <f>(P15+R15+V15)/(H15+K15+N15+P15+R15+V15)*100</f>
        <v>55.05166475315729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5.4749999999999996</v>
      </c>
      <c r="D17" s="611"/>
      <c r="E17" s="612"/>
      <c r="F17" s="613">
        <f>F16</f>
        <v>0.14782500000000001</v>
      </c>
      <c r="G17" s="614"/>
      <c r="H17" s="594">
        <f>H16*(1+E9-AT41)</f>
        <v>9.33</v>
      </c>
      <c r="I17" s="611"/>
      <c r="J17" s="612"/>
      <c r="K17" s="594">
        <f>ROUND((K16+(K16*(F9-AT42))),3)</f>
        <v>2.415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2.8650000000000002</v>
      </c>
      <c r="S17" s="611"/>
      <c r="T17" s="611"/>
      <c r="U17" s="612"/>
      <c r="V17" s="594">
        <f>ROUND((V16+(V16*(M9-AT46))),3)</f>
        <v>11.52</v>
      </c>
      <c r="W17" s="612"/>
      <c r="X17" s="220">
        <f>ROUND(X16-((H17-H16)+(K17-K16)+(N17-N16)+(P17-P16)+(R17-R16)+(V17-V16)),3)</f>
        <v>3.2250000000000001</v>
      </c>
      <c r="Y17" s="221">
        <f>Y16/Y14</f>
        <v>35.142857142857139</v>
      </c>
      <c r="Z17" s="592">
        <f>Z16/Z14</f>
        <v>0</v>
      </c>
      <c r="AA17" s="593"/>
      <c r="AB17" s="592">
        <f>AB16/AB14</f>
        <v>0</v>
      </c>
      <c r="AC17" s="593"/>
      <c r="AD17" s="613">
        <f>AD16</f>
        <v>8.2500000000000004E-2</v>
      </c>
      <c r="AE17" s="701"/>
      <c r="AI17" s="122">
        <f>SUM(AI15:AI16)</f>
        <v>74.445080727185712</v>
      </c>
      <c r="AJ17" s="596" t="s">
        <v>89</v>
      </c>
      <c r="AK17" s="596"/>
      <c r="AL17" s="597"/>
      <c r="AM17" s="123">
        <f>(C15+F15)/AB9*100</f>
        <v>16.019581363943285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181</v>
      </c>
      <c r="N20" s="637"/>
      <c r="O20" s="638" t="s">
        <v>183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tr">
        <f>Y13</f>
        <v>818 LF</v>
      </c>
      <c r="C21" s="84"/>
      <c r="D21" s="83">
        <v>201</v>
      </c>
      <c r="E21" s="35">
        <v>0.64583333333333337</v>
      </c>
      <c r="F21" s="36"/>
      <c r="G21" s="629"/>
      <c r="H21" s="630"/>
      <c r="I21" s="631">
        <v>-200</v>
      </c>
      <c r="J21" s="632"/>
      <c r="K21" s="85">
        <v>150</v>
      </c>
      <c r="L21" s="37"/>
      <c r="M21" s="85">
        <v>100</v>
      </c>
      <c r="N21" s="37"/>
      <c r="O21" s="85">
        <v>120</v>
      </c>
      <c r="P21" s="37"/>
      <c r="Q21" s="85"/>
      <c r="R21" s="37"/>
      <c r="S21" s="85"/>
      <c r="U21" s="37"/>
      <c r="V21" s="226">
        <v>100</v>
      </c>
      <c r="W21" s="226">
        <f>V21+I21</f>
        <v>-100</v>
      </c>
      <c r="X21" s="86">
        <f t="shared" ref="X21:X27" si="0">(IF(W21="","",((W21/$AD$7)+$X$15)))</f>
        <v>208.33333333333334</v>
      </c>
      <c r="Y21" s="87">
        <f>IF(X21="","",(X21/(SUM($C$15:$G$15))))</f>
        <v>0.55577045346422838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0.57355510797508369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0.57355510797508369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0.57355510797508369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0.57355510797508369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0.57355510797508369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0.57355510797508369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189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188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190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 t="s">
        <v>185</v>
      </c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 t="s">
        <v>184</v>
      </c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 t="s">
        <v>186</v>
      </c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 t="s">
        <v>187</v>
      </c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-0.69321634860197712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0.99264749827054566</v>
      </c>
      <c r="AW41" s="184">
        <f t="shared" ref="AW41:AW48" si="6">SUM($C$15:$F$15)/AV41</f>
        <v>377.6315365253995</v>
      </c>
      <c r="AX41" s="185">
        <f>(C15/C14+F15/F14+H15/H14+K15/K14+N15/N14+P15/P14+R15/R14+V15/V14+X15/X14)/1000</f>
        <v>0.99952869301254565</v>
      </c>
      <c r="AY41" s="136">
        <f t="shared" ref="AY41:AY48" si="7">AV41/AX41</f>
        <v>0.99311556057359363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0.99952869301254565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0.99952869301254565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0.99952869301254565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0.99952869301254565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0.99952869301254565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0.99952869301254565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0.99952869301254565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AY48"/>
  <sheetViews>
    <sheetView showGridLines="0" topLeftCell="A8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15.8867187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8.6640625" customWidth="1" outlineLevel="1"/>
    <col min="27" max="28" width="7" customWidth="1" outlineLevel="1"/>
    <col min="29" max="29" width="15.6640625" customWidth="1" outlineLevel="1"/>
    <col min="30" max="30" width="6.44140625" customWidth="1" outlineLevel="1"/>
    <col min="31" max="31" width="6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73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42202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140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113</v>
      </c>
      <c r="T4" s="683"/>
      <c r="U4" s="683"/>
      <c r="V4" s="16" t="s">
        <v>114</v>
      </c>
      <c r="W4" s="205" t="s">
        <v>138</v>
      </c>
      <c r="X4" s="18" t="s">
        <v>72</v>
      </c>
      <c r="Y4" s="15"/>
      <c r="Z4" s="682" t="s">
        <v>136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648.13822125706997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10.5</v>
      </c>
      <c r="AE7" s="692"/>
      <c r="AF7" s="38">
        <f>(1000-(1000*X9))-AF6</f>
        <v>351.86177874293003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0.6992481203007519</v>
      </c>
      <c r="E8" s="26">
        <v>0.8</v>
      </c>
      <c r="F8" s="27">
        <v>0.2</v>
      </c>
      <c r="G8" s="406">
        <f>AN23</f>
        <v>0</v>
      </c>
      <c r="H8" s="407"/>
      <c r="I8" s="408">
        <f>AL26</f>
        <v>0</v>
      </c>
      <c r="J8" s="409"/>
      <c r="K8" s="410">
        <f>AM26</f>
        <v>0.2</v>
      </c>
      <c r="L8" s="411"/>
      <c r="M8" s="410">
        <f>AN26</f>
        <v>0.8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0.54</v>
      </c>
      <c r="Y8" s="60" t="s">
        <v>55</v>
      </c>
      <c r="Z8" s="61"/>
      <c r="AA8" s="59"/>
      <c r="AB8" s="573">
        <f>X15/SUM(C15:V15)</f>
        <v>8.5203847915712325E-2</v>
      </c>
      <c r="AC8" s="573"/>
      <c r="AD8" s="573"/>
      <c r="AE8" s="574"/>
      <c r="AF8" s="38">
        <f>ROUND((1000-(1000*X9)-X15),2)</f>
        <v>814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63">
        <v>0</v>
      </c>
      <c r="Y9" s="67" t="s">
        <v>17</v>
      </c>
      <c r="AA9" s="54"/>
      <c r="AB9" s="567">
        <f>ROUND(SUM(C15:AA15),2)</f>
        <v>2370.6</v>
      </c>
      <c r="AC9" s="567"/>
      <c r="AD9" s="567"/>
      <c r="AE9" s="568"/>
      <c r="AF9" s="38">
        <f>AF8*(1-X8)</f>
        <v>374.44</v>
      </c>
      <c r="AI9" s="173">
        <f>AI8*C15</f>
        <v>266</v>
      </c>
      <c r="AJ9" s="174">
        <f>AJ8*F15</f>
        <v>0</v>
      </c>
      <c r="AK9" s="175">
        <f>AK8*H15</f>
        <v>14.46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6.0299999999999994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286.48999999999995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/>
      <c r="G12" s="694"/>
      <c r="H12" s="695" t="s">
        <v>134</v>
      </c>
      <c r="I12" s="693"/>
      <c r="J12" s="694"/>
      <c r="K12" s="695" t="s">
        <v>135</v>
      </c>
      <c r="L12" s="693"/>
      <c r="M12" s="694"/>
      <c r="N12" s="695"/>
      <c r="O12" s="694"/>
      <c r="P12" s="695"/>
      <c r="Q12" s="694"/>
      <c r="R12" s="695"/>
      <c r="S12" s="693"/>
      <c r="T12" s="693"/>
      <c r="U12" s="694"/>
      <c r="V12" s="695" t="s">
        <v>135</v>
      </c>
      <c r="W12" s="694"/>
      <c r="X12" s="216"/>
      <c r="Y12" s="216" t="s">
        <v>137</v>
      </c>
      <c r="Z12" s="695"/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81</v>
      </c>
      <c r="L13" s="693"/>
      <c r="M13" s="694"/>
      <c r="N13" s="695"/>
      <c r="O13" s="694"/>
      <c r="P13" s="695"/>
      <c r="Q13" s="694"/>
      <c r="R13" s="695" t="s">
        <v>82</v>
      </c>
      <c r="S13" s="693"/>
      <c r="T13" s="693"/>
      <c r="U13" s="694"/>
      <c r="V13" s="695"/>
      <c r="W13" s="694"/>
      <c r="X13" s="216"/>
      <c r="Y13" s="216" t="s">
        <v>143</v>
      </c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2.64</v>
      </c>
      <c r="O14" s="699"/>
      <c r="P14" s="700">
        <f>AK25</f>
        <v>2.64</v>
      </c>
      <c r="Q14" s="699"/>
      <c r="R14" s="700">
        <f>AK26</f>
        <v>2.69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1.0900000000000001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266</v>
      </c>
      <c r="D15" s="599"/>
      <c r="E15" s="600"/>
      <c r="F15" s="601">
        <f>C15*X7</f>
        <v>0</v>
      </c>
      <c r="G15" s="602"/>
      <c r="H15" s="603">
        <f>ROUND((AF7*E8*H14),0)</f>
        <v>723</v>
      </c>
      <c r="I15" s="599"/>
      <c r="J15" s="600"/>
      <c r="K15" s="603">
        <f>ROUND((AF7*F8*K14),0)</f>
        <v>187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201</v>
      </c>
      <c r="S15" s="599"/>
      <c r="T15" s="599"/>
      <c r="U15" s="600"/>
      <c r="V15" s="603">
        <f>ROUND((AF9*M8*V14),0)</f>
        <v>806</v>
      </c>
      <c r="W15" s="600"/>
      <c r="X15" s="66">
        <v>186</v>
      </c>
      <c r="Y15" s="218">
        <f>ROUND(Q7*(C15+F15),3)</f>
        <v>1.5960000000000001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38.386906268455249</v>
      </c>
      <c r="AJ15" s="584" t="s">
        <v>85</v>
      </c>
      <c r="AK15" s="584"/>
      <c r="AL15" s="606"/>
      <c r="AM15" s="119">
        <f>(H15+K15+N15)/(H15+K15+N15+P15+R15+V15)*100</f>
        <v>47.47000521648409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2.7930000000000001</v>
      </c>
      <c r="D16" s="615"/>
      <c r="E16" s="591"/>
      <c r="F16" s="621">
        <f>F15*AD7/1000</f>
        <v>0</v>
      </c>
      <c r="G16" s="622"/>
      <c r="H16" s="590">
        <f>H15*AD7/1000</f>
        <v>7.5914999999999999</v>
      </c>
      <c r="I16" s="615"/>
      <c r="J16" s="591"/>
      <c r="K16" s="590">
        <f>K15*AD7/1000</f>
        <v>1.9635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2.1105</v>
      </c>
      <c r="S16" s="615"/>
      <c r="T16" s="615"/>
      <c r="U16" s="591"/>
      <c r="V16" s="590">
        <f>V15*AD7/1000</f>
        <v>8.4629999999999992</v>
      </c>
      <c r="W16" s="591"/>
      <c r="X16" s="225">
        <f>X15*AD7/1000</f>
        <v>1.9530000000000001</v>
      </c>
      <c r="Y16" s="219">
        <f>Y15*AD7</f>
        <v>16.758000000000003</v>
      </c>
      <c r="Z16" s="616">
        <f>Z15*AD7</f>
        <v>0</v>
      </c>
      <c r="AA16" s="617"/>
      <c r="AB16" s="616">
        <f>AB15*AF7</f>
        <v>0</v>
      </c>
      <c r="AC16" s="617"/>
      <c r="AD16" s="616">
        <f>AE15*AD7</f>
        <v>0</v>
      </c>
      <c r="AE16" s="618"/>
      <c r="AI16" s="120">
        <f>(P15+R15+V15)/AB9*100</f>
        <v>42.478697376191683</v>
      </c>
      <c r="AJ16" s="608" t="s">
        <v>87</v>
      </c>
      <c r="AK16" s="608"/>
      <c r="AL16" s="619"/>
      <c r="AM16" s="121">
        <f>(P15+R15+V15)/(H15+K15+N15+P15+R15+V15)*100</f>
        <v>52.52999478351591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2.7930000000000001</v>
      </c>
      <c r="D17" s="611"/>
      <c r="E17" s="612"/>
      <c r="F17" s="613">
        <f>F16</f>
        <v>0</v>
      </c>
      <c r="G17" s="614"/>
      <c r="H17" s="594">
        <f>H16*(1+E9-AT41)</f>
        <v>7.5914999999999999</v>
      </c>
      <c r="I17" s="611"/>
      <c r="J17" s="612"/>
      <c r="K17" s="594">
        <f>ROUND((K16+(K16*(F9-AT42))),3)</f>
        <v>1.964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2.1110000000000002</v>
      </c>
      <c r="S17" s="611"/>
      <c r="T17" s="611"/>
      <c r="U17" s="612"/>
      <c r="V17" s="594">
        <f>ROUND((V16+(V16*(M9-AT46))),3)</f>
        <v>8.4629999999999992</v>
      </c>
      <c r="W17" s="612"/>
      <c r="X17" s="220">
        <f>ROUND(X16-((H17-H16)+(K17-K16)+(N17-N16)+(P17-P16)+(R17-R16)+(V17-V16)),3)</f>
        <v>1.952</v>
      </c>
      <c r="Y17" s="221">
        <f>Y16/Y14</f>
        <v>15.374311926605506</v>
      </c>
      <c r="Z17" s="592">
        <f>Z16/Z14</f>
        <v>0</v>
      </c>
      <c r="AA17" s="593"/>
      <c r="AB17" s="592">
        <f>AB16/AB14</f>
        <v>0</v>
      </c>
      <c r="AC17" s="593"/>
      <c r="AD17" s="594">
        <f>AD16</f>
        <v>0</v>
      </c>
      <c r="AE17" s="595"/>
      <c r="AI17" s="122">
        <f>SUM(AI15:AI16)</f>
        <v>80.865603644646939</v>
      </c>
      <c r="AJ17" s="596" t="s">
        <v>89</v>
      </c>
      <c r="AK17" s="596"/>
      <c r="AL17" s="597"/>
      <c r="AM17" s="123">
        <f>(C15+F15)/AB9*100</f>
        <v>11.220787986163842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65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79" t="s">
        <v>142</v>
      </c>
      <c r="C21" s="84"/>
      <c r="D21" s="83">
        <v>29</v>
      </c>
      <c r="E21" s="35">
        <v>0.61111111111111105</v>
      </c>
      <c r="F21" s="36"/>
      <c r="G21" s="629"/>
      <c r="H21" s="630"/>
      <c r="I21" s="631">
        <v>60</v>
      </c>
      <c r="J21" s="632"/>
      <c r="K21" s="85">
        <v>120</v>
      </c>
      <c r="L21" s="37"/>
      <c r="M21" s="85"/>
      <c r="N21" s="37"/>
      <c r="O21" s="85"/>
      <c r="P21" s="37"/>
      <c r="Q21" s="85"/>
      <c r="R21" s="37"/>
      <c r="S21" s="85"/>
      <c r="U21" s="37"/>
      <c r="V21" s="226"/>
      <c r="W21" s="226">
        <f>V21+I21</f>
        <v>60</v>
      </c>
      <c r="X21" s="86">
        <f t="shared" ref="X21:X27" si="0">(IF(W21="","",((W21/$AD$7)+$X$15)))</f>
        <v>191.71428571428572</v>
      </c>
      <c r="Y21" s="87">
        <f>IF(X21="","",(X21/(SUM($C$15:$G$15))))</f>
        <v>0.72073039742212675</v>
      </c>
      <c r="Z21" s="202">
        <v>16</v>
      </c>
      <c r="AA21" s="227"/>
      <c r="AB21" s="202">
        <v>23.7</v>
      </c>
      <c r="AC21" s="200"/>
      <c r="AD21" s="202"/>
      <c r="AE21" s="204"/>
      <c r="AI21" s="161" t="s">
        <v>0</v>
      </c>
      <c r="AJ21" s="1">
        <v>4.68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186</v>
      </c>
      <c r="Y22" s="87">
        <f t="shared" ref="Y22:Y27" si="2">IF(X22="","",(X22/(SUM($C$15:$G$15))))</f>
        <v>0.6992481203007519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0.52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186</v>
      </c>
      <c r="Y23" s="87">
        <f t="shared" si="2"/>
        <v>0.6992481203007519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11.79</v>
      </c>
      <c r="AK23" s="4">
        <v>2.57</v>
      </c>
      <c r="AL23" s="111">
        <f>ROUND(AJ23/AK23/(AJ23/AK23+AJ24/AK24+AJ25/AK25*AK30),3)</f>
        <v>0.85399999999999998</v>
      </c>
      <c r="AM23" s="112">
        <f>ROUND(AJ24/AK24/(AJ23/AK23+AJ24/AK24+AJ25/AK25*AK30),3)</f>
        <v>0.14599999999999999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186</v>
      </c>
      <c r="Y24" s="87">
        <f t="shared" si="2"/>
        <v>0.6992481203007519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2.08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186</v>
      </c>
      <c r="Y25" s="87">
        <f t="shared" si="2"/>
        <v>0.6992481203007519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2.64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186</v>
      </c>
      <c r="Y26" s="87">
        <f t="shared" si="2"/>
        <v>0.6992481203007519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3.23</v>
      </c>
      <c r="AK26" s="5">
        <v>2.69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</v>
      </c>
      <c r="AN26" s="112">
        <f>ROUND(AJ27/AK27/(AJ25/AK25*(1-AK30)+AJ26/AK26+AJ27/AK27+AJ28/AK28),3)</f>
        <v>0.8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186</v>
      </c>
      <c r="Y27" s="87">
        <f t="shared" si="2"/>
        <v>0.6992481203007519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12.9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0.54389461710499765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16.266704145040563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3.12</v>
      </c>
      <c r="AK29" s="100">
        <v>1</v>
      </c>
      <c r="AL29" s="644" t="s">
        <v>24</v>
      </c>
      <c r="AM29" s="645"/>
      <c r="AN29" s="646"/>
      <c r="AO29" s="101">
        <f>(1000-AO28)/1000</f>
        <v>0.9837332958549595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0.66666666666666674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0.111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0.86248610517278834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1.0084597556035528</v>
      </c>
      <c r="AW41" s="184">
        <f t="shared" ref="AW41:AW48" si="6">SUM($C$15:$F$15)/AV41</f>
        <v>263.76858225820001</v>
      </c>
      <c r="AX41" s="185">
        <f>(C15/C14+F15/F14+H15/H14+K15/K14+N15/N14+P15/P14+R15/R14+V15/V14+X15/X14)/1000</f>
        <v>0.99976193033521277</v>
      </c>
      <c r="AY41" s="136">
        <f t="shared" ref="AY41:AY48" si="7">AV41/AX41</f>
        <v>1.0086998964497715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0.99976193033521277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0.99976193033521277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0.99976193033521277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0.99976193033521277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0.99976193033521277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0.99976193033521277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0.99976193033521277</v>
      </c>
      <c r="AY48" s="142" t="e">
        <f t="shared" si="7"/>
        <v>#DIV/0!</v>
      </c>
    </row>
  </sheetData>
  <sheetProtection selectLockedCells="1" autoFilter="0" pivotTables="0"/>
  <mergeCells count="183"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6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A1:AY48"/>
  <sheetViews>
    <sheetView showGridLines="0" topLeftCell="A5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15.88671875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6.6640625" customWidth="1" outlineLevel="1"/>
    <col min="27" max="28" width="7" customWidth="1" outlineLevel="1"/>
    <col min="29" max="29" width="8.44140625" customWidth="1" outlineLevel="1"/>
    <col min="30" max="30" width="6.44140625" customWidth="1" outlineLevel="1"/>
    <col min="31" max="31" width="6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73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42202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140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113</v>
      </c>
      <c r="T4" s="683"/>
      <c r="U4" s="683"/>
      <c r="V4" s="16" t="s">
        <v>114</v>
      </c>
      <c r="W4" s="205" t="s">
        <v>138</v>
      </c>
      <c r="X4" s="18" t="s">
        <v>72</v>
      </c>
      <c r="Y4" s="15"/>
      <c r="Z4" s="682" t="s">
        <v>136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632.86012244347114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0.8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10.5</v>
      </c>
      <c r="AE7" s="692"/>
      <c r="AF7" s="38">
        <f>(1000-(1000*X9))-AF6</f>
        <v>367.13987755652886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0.79831932773109249</v>
      </c>
      <c r="E8" s="26">
        <v>0.75</v>
      </c>
      <c r="F8" s="27">
        <v>0.25</v>
      </c>
      <c r="G8" s="406">
        <f>AN23</f>
        <v>0</v>
      </c>
      <c r="H8" s="407"/>
      <c r="I8" s="408">
        <f>AL26</f>
        <v>0</v>
      </c>
      <c r="J8" s="409"/>
      <c r="K8" s="410">
        <f>AM26</f>
        <v>0.2</v>
      </c>
      <c r="L8" s="411"/>
      <c r="M8" s="410">
        <f>AN26</f>
        <v>0.8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0.55000000000000004</v>
      </c>
      <c r="Y8" s="60" t="s">
        <v>55</v>
      </c>
      <c r="Z8" s="61"/>
      <c r="AA8" s="59"/>
      <c r="AB8" s="573">
        <f>X15/SUM(C15:V15)</f>
        <v>8.755760368663594E-2</v>
      </c>
      <c r="AC8" s="573"/>
      <c r="AD8" s="573"/>
      <c r="AE8" s="574"/>
      <c r="AF8" s="38">
        <f>ROUND((1000-(1000*X9)-X15),2)</f>
        <v>810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63">
        <v>0</v>
      </c>
      <c r="Y9" s="67" t="s">
        <v>17</v>
      </c>
      <c r="AA9" s="54"/>
      <c r="AB9" s="567">
        <f>ROUND(SUM(C15:AA15),2)</f>
        <v>2361.4299999999998</v>
      </c>
      <c r="AC9" s="567"/>
      <c r="AD9" s="567"/>
      <c r="AE9" s="568"/>
      <c r="AF9" s="38">
        <f>AF8*(1-X8)</f>
        <v>364.49999999999994</v>
      </c>
      <c r="AI9" s="173">
        <f>AI8*C15</f>
        <v>238</v>
      </c>
      <c r="AJ9" s="174">
        <f>AJ8*F15</f>
        <v>0</v>
      </c>
      <c r="AK9" s="175">
        <f>AK8*H15</f>
        <v>14.16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5.88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258.04000000000002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/>
      <c r="G12" s="694"/>
      <c r="H12" s="695" t="s">
        <v>134</v>
      </c>
      <c r="I12" s="693"/>
      <c r="J12" s="694"/>
      <c r="K12" s="695" t="s">
        <v>135</v>
      </c>
      <c r="L12" s="693"/>
      <c r="M12" s="694"/>
      <c r="N12" s="695"/>
      <c r="O12" s="694"/>
      <c r="P12" s="695"/>
      <c r="Q12" s="694"/>
      <c r="R12" s="695"/>
      <c r="S12" s="693"/>
      <c r="T12" s="693"/>
      <c r="U12" s="694"/>
      <c r="V12" s="695" t="s">
        <v>135</v>
      </c>
      <c r="W12" s="694"/>
      <c r="X12" s="216"/>
      <c r="Y12" s="216" t="s">
        <v>137</v>
      </c>
      <c r="Z12" s="695"/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81</v>
      </c>
      <c r="L13" s="693"/>
      <c r="M13" s="694"/>
      <c r="N13" s="695"/>
      <c r="O13" s="694"/>
      <c r="P13" s="695"/>
      <c r="Q13" s="694"/>
      <c r="R13" s="695" t="s">
        <v>82</v>
      </c>
      <c r="S13" s="693"/>
      <c r="T13" s="693"/>
      <c r="U13" s="694"/>
      <c r="V13" s="695"/>
      <c r="W13" s="694"/>
      <c r="X13" s="216"/>
      <c r="Y13" s="216" t="s">
        <v>143</v>
      </c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2.64</v>
      </c>
      <c r="O14" s="699"/>
      <c r="P14" s="700">
        <f>AK25</f>
        <v>2.64</v>
      </c>
      <c r="Q14" s="699"/>
      <c r="R14" s="700">
        <f>AK26</f>
        <v>2.69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1.0900000000000001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238</v>
      </c>
      <c r="D15" s="599"/>
      <c r="E15" s="600"/>
      <c r="F15" s="601">
        <f>C15*X7</f>
        <v>0</v>
      </c>
      <c r="G15" s="602"/>
      <c r="H15" s="603">
        <f>ROUND((AF7*E8*H14),0)</f>
        <v>708</v>
      </c>
      <c r="I15" s="599"/>
      <c r="J15" s="600"/>
      <c r="K15" s="603">
        <f>ROUND((AF7*F8*K14),0)</f>
        <v>244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196</v>
      </c>
      <c r="S15" s="599"/>
      <c r="T15" s="599"/>
      <c r="U15" s="600"/>
      <c r="V15" s="603">
        <f>ROUND((AF9*M8*V14),0)</f>
        <v>784</v>
      </c>
      <c r="W15" s="600"/>
      <c r="X15" s="66">
        <v>190</v>
      </c>
      <c r="Y15" s="218">
        <f>ROUND(Q7*(C15+F15),3)</f>
        <v>1.4279999999999999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40.314555163608496</v>
      </c>
      <c r="AJ15" s="584" t="s">
        <v>85</v>
      </c>
      <c r="AK15" s="584"/>
      <c r="AL15" s="606"/>
      <c r="AM15" s="119">
        <f>(H15+K15+N15)/(H15+K15+N15+P15+R15+V15)*100</f>
        <v>49.275362318840585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2.4990000000000001</v>
      </c>
      <c r="D16" s="615"/>
      <c r="E16" s="591"/>
      <c r="F16" s="621">
        <f>F15*AD7/1000</f>
        <v>0</v>
      </c>
      <c r="G16" s="622"/>
      <c r="H16" s="590">
        <f>H15*AD7/1000</f>
        <v>7.4340000000000002</v>
      </c>
      <c r="I16" s="615"/>
      <c r="J16" s="591"/>
      <c r="K16" s="590">
        <f>K15*AD7/1000</f>
        <v>2.5619999999999998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2.0579999999999998</v>
      </c>
      <c r="S16" s="615"/>
      <c r="T16" s="615"/>
      <c r="U16" s="591"/>
      <c r="V16" s="590">
        <f>V15*AD7/1000</f>
        <v>8.2319999999999993</v>
      </c>
      <c r="W16" s="591"/>
      <c r="X16" s="225">
        <f>X15*AD7/1000</f>
        <v>1.9950000000000001</v>
      </c>
      <c r="Y16" s="219">
        <f>Y15*AD7</f>
        <v>14.994</v>
      </c>
      <c r="Z16" s="616">
        <f>Z15*AD7</f>
        <v>0</v>
      </c>
      <c r="AA16" s="617"/>
      <c r="AB16" s="616">
        <f>AB15*AF7</f>
        <v>0</v>
      </c>
      <c r="AC16" s="617"/>
      <c r="AD16" s="616">
        <f>AE15*AD7</f>
        <v>0</v>
      </c>
      <c r="AE16" s="618"/>
      <c r="AI16" s="120">
        <f>(P15+R15+V15)/AB9*100</f>
        <v>41.500277374302861</v>
      </c>
      <c r="AJ16" s="608" t="s">
        <v>87</v>
      </c>
      <c r="AK16" s="608"/>
      <c r="AL16" s="619"/>
      <c r="AM16" s="121">
        <f>(P15+R15+V15)/(H15+K15+N15+P15+R15+V15)*100</f>
        <v>50.724637681159422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2.4990000000000001</v>
      </c>
      <c r="D17" s="611"/>
      <c r="E17" s="612"/>
      <c r="F17" s="613">
        <f>F16</f>
        <v>0</v>
      </c>
      <c r="G17" s="614"/>
      <c r="H17" s="594">
        <f>H16*(1+E9-AT41)</f>
        <v>7.4340000000000002</v>
      </c>
      <c r="I17" s="611"/>
      <c r="J17" s="612"/>
      <c r="K17" s="594">
        <f>ROUND((K16+(K16*(F9-AT42))),3)</f>
        <v>2.5619999999999998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2.0579999999999998</v>
      </c>
      <c r="S17" s="611"/>
      <c r="T17" s="611"/>
      <c r="U17" s="612"/>
      <c r="V17" s="594">
        <f>ROUND((V16+(V16*(M9-AT46))),3)</f>
        <v>8.2319999999999993</v>
      </c>
      <c r="W17" s="612"/>
      <c r="X17" s="220">
        <f>ROUND(X16-((H17-H16)+(K17-K16)+(N17-N16)+(P17-P16)+(R17-R16)+(V17-V16)),3)</f>
        <v>1.9950000000000001</v>
      </c>
      <c r="Y17" s="221">
        <f>Y16/Y14</f>
        <v>13.755963302752292</v>
      </c>
      <c r="Z17" s="592">
        <f>Z16/Z14</f>
        <v>0</v>
      </c>
      <c r="AA17" s="593"/>
      <c r="AB17" s="592">
        <f>AB16/AB14</f>
        <v>0</v>
      </c>
      <c r="AC17" s="593"/>
      <c r="AD17" s="594">
        <f>AD16</f>
        <v>0</v>
      </c>
      <c r="AE17" s="595"/>
      <c r="AI17" s="122">
        <f>SUM(AI15:AI16)</f>
        <v>81.814832537911357</v>
      </c>
      <c r="AJ17" s="596" t="s">
        <v>89</v>
      </c>
      <c r="AK17" s="596"/>
      <c r="AL17" s="597"/>
      <c r="AM17" s="123">
        <f>(C15+F15)/AB9*100</f>
        <v>10.078638790902124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65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79" t="s">
        <v>142</v>
      </c>
      <c r="C21" s="84"/>
      <c r="D21" s="83">
        <v>30</v>
      </c>
      <c r="E21" s="35">
        <v>0.62847222222222221</v>
      </c>
      <c r="F21" s="36"/>
      <c r="G21" s="629"/>
      <c r="H21" s="630"/>
      <c r="I21" s="631">
        <v>30</v>
      </c>
      <c r="J21" s="632"/>
      <c r="K21" s="85">
        <v>120</v>
      </c>
      <c r="L21" s="37"/>
      <c r="M21" s="85"/>
      <c r="N21" s="37"/>
      <c r="O21" s="85"/>
      <c r="P21" s="37"/>
      <c r="Q21" s="85"/>
      <c r="R21" s="37"/>
      <c r="S21" s="85"/>
      <c r="U21" s="37"/>
      <c r="V21" s="226"/>
      <c r="W21" s="226">
        <f>V21+I21</f>
        <v>30</v>
      </c>
      <c r="X21" s="86">
        <f t="shared" ref="X21:X27" si="0">(IF(W21="","",((W21/$AD$7)+$X$15)))</f>
        <v>192.85714285714286</v>
      </c>
      <c r="Y21" s="87">
        <f>IF(X21="","",(X21/(SUM($C$15:$G$15))))</f>
        <v>0.81032412965186074</v>
      </c>
      <c r="Z21" s="202">
        <v>12.1</v>
      </c>
      <c r="AA21" s="227"/>
      <c r="AB21" s="202">
        <v>19.2</v>
      </c>
      <c r="AC21" s="200"/>
      <c r="AD21" s="202"/>
      <c r="AE21" s="204"/>
      <c r="AI21" s="161" t="s">
        <v>0</v>
      </c>
      <c r="AJ21" s="1">
        <v>4.68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190</v>
      </c>
      <c r="Y22" s="87">
        <f t="shared" ref="Y22:Y27" si="2">IF(X22="","",(X22/(SUM($C$15:$G$15))))</f>
        <v>0.79831932773109249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0.52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190</v>
      </c>
      <c r="Y23" s="87">
        <f t="shared" si="2"/>
        <v>0.79831932773109249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11.79</v>
      </c>
      <c r="AK23" s="4">
        <v>2.57</v>
      </c>
      <c r="AL23" s="111">
        <f>ROUND(AJ23/AK23/(AJ23/AK23+AJ24/AK24+AJ25/AK25*AK30),3)</f>
        <v>0.85399999999999998</v>
      </c>
      <c r="AM23" s="112">
        <f>ROUND(AJ24/AK24/(AJ23/AK23+AJ24/AK24+AJ25/AK25*AK30),3)</f>
        <v>0.14599999999999999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190</v>
      </c>
      <c r="Y24" s="87">
        <f t="shared" si="2"/>
        <v>0.79831932773109249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2.08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190</v>
      </c>
      <c r="Y25" s="87">
        <f t="shared" si="2"/>
        <v>0.79831932773109249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2.64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190</v>
      </c>
      <c r="Y26" s="87">
        <f t="shared" si="2"/>
        <v>0.79831932773109249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3.23</v>
      </c>
      <c r="AK26" s="5">
        <v>2.69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</v>
      </c>
      <c r="AN26" s="112">
        <f>ROUND(AJ27/AK27/(AJ25/AK25*(1-AK30)+AJ26/AK26+AJ27/AK27+AJ28/AK28),3)</f>
        <v>0.8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190</v>
      </c>
      <c r="Y27" s="87">
        <f t="shared" si="2"/>
        <v>0.79831932773109249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12.9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0.54389461710499765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16.266704145040563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3.12</v>
      </c>
      <c r="AK29" s="100">
        <v>1</v>
      </c>
      <c r="AL29" s="644" t="s">
        <v>24</v>
      </c>
      <c r="AM29" s="645"/>
      <c r="AN29" s="646"/>
      <c r="AO29" s="101">
        <f>(1000-AO28)/1000</f>
        <v>0.9837332958549595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0.66666666666666674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0.111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0.45317426009106043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1.0046285450503947</v>
      </c>
      <c r="AW41" s="184">
        <f t="shared" ref="AW41:AW48" si="6">SUM($C$15:$F$15)/AV41</f>
        <v>236.90348156299035</v>
      </c>
      <c r="AX41" s="185">
        <f>(C15/C14+F15/F14+H15/H14+K15/K14+N15/N14+P15/P14+R15/R14+V15/V14+X15/X14)/1000</f>
        <v>1.000075827074699</v>
      </c>
      <c r="AY41" s="136">
        <f t="shared" ref="AY41:AY48" si="7">AV41/AX41</f>
        <v>1.0045523727825847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1.000075827074699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1.000075827074699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1.000075827074699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1.000075827074699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1.000075827074699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1.000075827074699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1.000075827074699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8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972C-7E7E-4FB3-BF88-91CA8CC3615B}">
  <sheetPr>
    <tabColor rgb="FF002060"/>
    <pageSetUpPr fitToPage="1"/>
  </sheetPr>
  <dimension ref="A1:AY48"/>
  <sheetViews>
    <sheetView showGridLines="0" topLeftCell="A19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163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151</v>
      </c>
      <c r="T4" s="683"/>
      <c r="U4" s="683"/>
      <c r="V4" s="16" t="s">
        <v>114</v>
      </c>
      <c r="W4" s="205" t="s">
        <v>152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696.97903091957005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0.58899999999999997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7.0000000000000001E-3</v>
      </c>
      <c r="R7" s="64"/>
      <c r="S7" s="57" t="s">
        <v>51</v>
      </c>
      <c r="T7" s="48"/>
      <c r="U7" s="58"/>
      <c r="V7" s="52"/>
      <c r="W7" s="52"/>
      <c r="X7" s="62">
        <v>2.7E-2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302.77096908042995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0.57355510797508369</v>
      </c>
      <c r="E8" s="26">
        <v>0.8</v>
      </c>
      <c r="F8" s="27">
        <v>0.2</v>
      </c>
      <c r="G8" s="406">
        <v>0</v>
      </c>
      <c r="H8" s="407"/>
      <c r="I8" s="408">
        <f>AL26</f>
        <v>0</v>
      </c>
      <c r="J8" s="409"/>
      <c r="K8" s="410">
        <v>0.2</v>
      </c>
      <c r="L8" s="411"/>
      <c r="M8" s="410">
        <v>0.8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0.54500000000000004</v>
      </c>
      <c r="Y8" s="60" t="s">
        <v>55</v>
      </c>
      <c r="Z8" s="61"/>
      <c r="AA8" s="59"/>
      <c r="AB8" s="573">
        <f>X15/SUM(C15:V15)</f>
        <v>0.10156576619560621</v>
      </c>
      <c r="AC8" s="573"/>
      <c r="AD8" s="573"/>
      <c r="AE8" s="574"/>
      <c r="AF8" s="38">
        <f>ROUND((1000-(1000*X9)-X15),2)</f>
        <v>784.75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2.5000000000000001E-4</v>
      </c>
      <c r="Y9" s="67" t="s">
        <v>17</v>
      </c>
      <c r="AA9" s="54"/>
      <c r="AB9" s="567">
        <f>ROUND(SUM(C15:AE15),2)</f>
        <v>2339.98</v>
      </c>
      <c r="AC9" s="567"/>
      <c r="AD9" s="567"/>
      <c r="AE9" s="568"/>
      <c r="AF9" s="38">
        <f>AF8*(1-X8)</f>
        <v>357.06124999999997</v>
      </c>
      <c r="AI9" s="173">
        <f>AI8*C15</f>
        <v>365</v>
      </c>
      <c r="AJ9" s="174">
        <f>AJ8*F15</f>
        <v>9.8550000000000004</v>
      </c>
      <c r="AK9" s="175">
        <f>AK8*H15</f>
        <v>12.44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5.7299999999999995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393.02500000000003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 t="s">
        <v>155</v>
      </c>
      <c r="G12" s="694"/>
      <c r="H12" s="695" t="s">
        <v>154</v>
      </c>
      <c r="I12" s="693"/>
      <c r="J12" s="694"/>
      <c r="K12" s="695" t="s">
        <v>161</v>
      </c>
      <c r="L12" s="693"/>
      <c r="M12" s="694"/>
      <c r="N12" s="695" t="s">
        <v>153</v>
      </c>
      <c r="O12" s="694"/>
      <c r="P12" s="695"/>
      <c r="Q12" s="694"/>
      <c r="R12" s="695" t="s">
        <v>159</v>
      </c>
      <c r="S12" s="693"/>
      <c r="T12" s="693"/>
      <c r="U12" s="694"/>
      <c r="V12" s="695" t="s">
        <v>160</v>
      </c>
      <c r="W12" s="694"/>
      <c r="X12" s="216"/>
      <c r="Y12" s="216" t="s">
        <v>164</v>
      </c>
      <c r="Z12" s="695"/>
      <c r="AA12" s="694"/>
      <c r="AB12" s="695"/>
      <c r="AC12" s="694"/>
      <c r="AD12" s="695" t="s">
        <v>162</v>
      </c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81</v>
      </c>
      <c r="L13" s="693"/>
      <c r="M13" s="694"/>
      <c r="N13" s="695" t="s">
        <v>156</v>
      </c>
      <c r="O13" s="694"/>
      <c r="P13" s="695"/>
      <c r="Q13" s="694"/>
      <c r="R13" s="695" t="s">
        <v>82</v>
      </c>
      <c r="S13" s="693"/>
      <c r="T13" s="693"/>
      <c r="U13" s="694"/>
      <c r="V13" s="695"/>
      <c r="W13" s="694"/>
      <c r="X13" s="216"/>
      <c r="Y13" s="216"/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365</v>
      </c>
      <c r="D15" s="599"/>
      <c r="E15" s="600"/>
      <c r="F15" s="601">
        <f>C15*X7</f>
        <v>9.8550000000000004</v>
      </c>
      <c r="G15" s="602"/>
      <c r="H15" s="603">
        <f>ROUND((AF7*E8*H14),0)</f>
        <v>622</v>
      </c>
      <c r="I15" s="599"/>
      <c r="J15" s="600"/>
      <c r="K15" s="603">
        <f>ROUND((AF7*F8*K14),0)</f>
        <v>161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191</v>
      </c>
      <c r="S15" s="599"/>
      <c r="T15" s="599"/>
      <c r="U15" s="600"/>
      <c r="V15" s="603">
        <f>ROUND((AF9*M8*V14),0)</f>
        <v>768</v>
      </c>
      <c r="W15" s="600"/>
      <c r="X15" s="66">
        <v>215</v>
      </c>
      <c r="Y15" s="218">
        <f>ROUND(Q7*(C15+F15),3)</f>
        <v>2.6240000000000001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>
        <v>5.5</v>
      </c>
      <c r="AE15" s="605"/>
      <c r="AI15" s="118">
        <f>(H15+K15+N15)/(AB9) *100</f>
        <v>33.461824460038123</v>
      </c>
      <c r="AJ15" s="584" t="s">
        <v>85</v>
      </c>
      <c r="AK15" s="584"/>
      <c r="AL15" s="606"/>
      <c r="AM15" s="119">
        <f>(H15+K15+N15)/(H15+K15+N15+P15+R15+V15)*100</f>
        <v>44.94833524684271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4.7450000000000001</v>
      </c>
      <c r="D16" s="615"/>
      <c r="E16" s="591"/>
      <c r="F16" s="621">
        <f>F15*AD7/1000</f>
        <v>0.12811500000000001</v>
      </c>
      <c r="G16" s="622"/>
      <c r="H16" s="590">
        <f>H15*AD7/1000</f>
        <v>8.0860000000000003</v>
      </c>
      <c r="I16" s="615"/>
      <c r="J16" s="591"/>
      <c r="K16" s="590">
        <f>K15*AD7/1000</f>
        <v>2.093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2.4830000000000001</v>
      </c>
      <c r="S16" s="615"/>
      <c r="T16" s="615"/>
      <c r="U16" s="591"/>
      <c r="V16" s="590">
        <f>V15*AD7/1000</f>
        <v>9.984</v>
      </c>
      <c r="W16" s="591"/>
      <c r="X16" s="225">
        <f>X15*AD7/1000</f>
        <v>2.7949999999999999</v>
      </c>
      <c r="Y16" s="219">
        <f>Y15*AD7</f>
        <v>34.112000000000002</v>
      </c>
      <c r="Z16" s="616">
        <f>Z15*AD7</f>
        <v>0</v>
      </c>
      <c r="AA16" s="617"/>
      <c r="AB16" s="616">
        <f>AB15*AF7</f>
        <v>0</v>
      </c>
      <c r="AC16" s="617"/>
      <c r="AD16" s="703">
        <f>AD15*AD7/1000</f>
        <v>7.1499999999999994E-2</v>
      </c>
      <c r="AE16" s="704"/>
      <c r="AI16" s="120">
        <f>(P15+R15+V15)/AB9*100</f>
        <v>40.983256267147581</v>
      </c>
      <c r="AJ16" s="608" t="s">
        <v>87</v>
      </c>
      <c r="AK16" s="608"/>
      <c r="AL16" s="619"/>
      <c r="AM16" s="121">
        <f>(P15+R15+V15)/(H15+K15+N15+P15+R15+V15)*100</f>
        <v>55.05166475315729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4.7450000000000001</v>
      </c>
      <c r="D17" s="611"/>
      <c r="E17" s="612"/>
      <c r="F17" s="613">
        <f>F16</f>
        <v>0.12811500000000001</v>
      </c>
      <c r="G17" s="614"/>
      <c r="H17" s="594">
        <f>H16*(1+E9-AT41)</f>
        <v>8.0860000000000003</v>
      </c>
      <c r="I17" s="611"/>
      <c r="J17" s="612"/>
      <c r="K17" s="594">
        <f>ROUND((K16+(K16*(F9-AT42))),3)</f>
        <v>2.093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2.4830000000000001</v>
      </c>
      <c r="S17" s="611"/>
      <c r="T17" s="611"/>
      <c r="U17" s="612"/>
      <c r="V17" s="594">
        <f>ROUND((V16+(V16*(M9-AT46))),3)</f>
        <v>9.984</v>
      </c>
      <c r="W17" s="612"/>
      <c r="X17" s="220">
        <f>ROUND(X16-((H17-H16)+(K17-K16)+(N17-N16)+(P17-P16)+(R17-R16)+(V17-V16)),3)</f>
        <v>2.7949999999999999</v>
      </c>
      <c r="Y17" s="221">
        <f>Y16/Y14</f>
        <v>30.457142857142856</v>
      </c>
      <c r="Z17" s="592">
        <f>Z16/Z14</f>
        <v>0</v>
      </c>
      <c r="AA17" s="593"/>
      <c r="AB17" s="592">
        <f>AB16/AB14</f>
        <v>0</v>
      </c>
      <c r="AC17" s="593"/>
      <c r="AD17" s="613">
        <f>AD16</f>
        <v>7.1499999999999994E-2</v>
      </c>
      <c r="AE17" s="701"/>
      <c r="AI17" s="122">
        <f>SUM(AI15:AI16)</f>
        <v>74.445080727185712</v>
      </c>
      <c r="AJ17" s="596" t="s">
        <v>89</v>
      </c>
      <c r="AK17" s="596"/>
      <c r="AL17" s="597"/>
      <c r="AM17" s="123">
        <f>(C15+F15)/AB9*100</f>
        <v>16.019581363943285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181</v>
      </c>
      <c r="N20" s="637"/>
      <c r="O20" s="638" t="s">
        <v>182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165</v>
      </c>
      <c r="C21" s="84"/>
      <c r="D21" s="83">
        <v>202</v>
      </c>
      <c r="E21" s="35">
        <v>0.67708333333333337</v>
      </c>
      <c r="F21" s="36"/>
      <c r="G21" s="629">
        <v>2.1999999999999999E-2</v>
      </c>
      <c r="H21" s="630"/>
      <c r="I21" s="631">
        <v>-370</v>
      </c>
      <c r="J21" s="632"/>
      <c r="K21" s="85">
        <v>155</v>
      </c>
      <c r="L21" s="37"/>
      <c r="M21" s="85">
        <v>170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-370</v>
      </c>
      <c r="X21" s="86">
        <f t="shared" ref="X21:X27" si="0">(IF(W21="","",((W21/$AD$7)+$X$15)))</f>
        <v>186.53846153846155</v>
      </c>
      <c r="Y21" s="87">
        <f>IF(X21="","",(X21/(SUM($C$15:$G$15))))</f>
        <v>0.4976283137172014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 t="s">
        <v>166</v>
      </c>
      <c r="C22" s="84"/>
      <c r="D22" s="83">
        <v>203</v>
      </c>
      <c r="E22" s="35">
        <v>0.70833333333333337</v>
      </c>
      <c r="F22" s="36"/>
      <c r="G22" s="629"/>
      <c r="H22" s="630"/>
      <c r="I22" s="631">
        <v>-450</v>
      </c>
      <c r="J22" s="632"/>
      <c r="K22" s="85">
        <v>160</v>
      </c>
      <c r="L22" s="37"/>
      <c r="M22" s="85">
        <v>100</v>
      </c>
      <c r="N22" s="37"/>
      <c r="O22" s="85">
        <v>120</v>
      </c>
      <c r="P22" s="37"/>
      <c r="Q22" s="85"/>
      <c r="R22" s="37"/>
      <c r="S22" s="85"/>
      <c r="U22" s="37"/>
      <c r="V22" s="226">
        <v>50</v>
      </c>
      <c r="W22" s="226">
        <f t="shared" ref="W22:W27" si="1">V22+I22</f>
        <v>-400</v>
      </c>
      <c r="X22" s="86">
        <f t="shared" si="0"/>
        <v>184.23076923076923</v>
      </c>
      <c r="Y22" s="87">
        <f t="shared" ref="Y22:Y27" si="2">IF(X22="","",(X22/(SUM($C$15:$G$15))))</f>
        <v>0.49147208715575147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 t="s">
        <v>193</v>
      </c>
      <c r="C23" s="84"/>
      <c r="D23" s="83">
        <v>204</v>
      </c>
      <c r="E23" s="35">
        <v>0.40972222222222227</v>
      </c>
      <c r="F23" s="36"/>
      <c r="G23" s="629"/>
      <c r="H23" s="630"/>
      <c r="I23" s="631">
        <v>-305</v>
      </c>
      <c r="J23" s="632"/>
      <c r="K23" s="85">
        <v>130</v>
      </c>
      <c r="L23" s="37"/>
      <c r="M23" s="85">
        <v>65</v>
      </c>
      <c r="N23" s="37"/>
      <c r="O23" s="85">
        <v>120</v>
      </c>
      <c r="P23" s="37"/>
      <c r="Q23" s="85"/>
      <c r="R23" s="37"/>
      <c r="S23" s="85"/>
      <c r="U23" s="37"/>
      <c r="V23" s="226">
        <v>125</v>
      </c>
      <c r="W23" s="226">
        <f t="shared" si="1"/>
        <v>-180</v>
      </c>
      <c r="X23" s="86">
        <f t="shared" si="0"/>
        <v>201.15384615384616</v>
      </c>
      <c r="Y23" s="87">
        <f t="shared" si="2"/>
        <v>0.53661774860638423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 t="s">
        <v>167</v>
      </c>
      <c r="C24" s="84"/>
      <c r="D24" s="83">
        <v>205</v>
      </c>
      <c r="E24" s="35">
        <v>0.46527777777777773</v>
      </c>
      <c r="F24" s="36"/>
      <c r="G24" s="629"/>
      <c r="H24" s="630"/>
      <c r="I24" s="631">
        <v>-450</v>
      </c>
      <c r="J24" s="632"/>
      <c r="K24" s="85">
        <v>170</v>
      </c>
      <c r="L24" s="37"/>
      <c r="M24" s="85">
        <v>155</v>
      </c>
      <c r="N24" s="37"/>
      <c r="O24" s="85">
        <v>155</v>
      </c>
      <c r="P24" s="37"/>
      <c r="Q24" s="85"/>
      <c r="R24" s="37"/>
      <c r="S24" s="85"/>
      <c r="U24" s="37"/>
      <c r="V24" s="226">
        <v>0</v>
      </c>
      <c r="W24" s="226">
        <f t="shared" si="1"/>
        <v>-450</v>
      </c>
      <c r="X24" s="86">
        <f t="shared" si="0"/>
        <v>180.38461538461539</v>
      </c>
      <c r="Y24" s="87">
        <f t="shared" si="2"/>
        <v>0.48121170955333498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 t="s">
        <v>210</v>
      </c>
      <c r="C25" s="84"/>
      <c r="D25" s="83">
        <v>206</v>
      </c>
      <c r="E25" s="35">
        <v>0.5</v>
      </c>
      <c r="F25" s="36"/>
      <c r="G25" s="629"/>
      <c r="H25" s="630"/>
      <c r="I25" s="631">
        <v>-450</v>
      </c>
      <c r="J25" s="632"/>
      <c r="K25" s="85">
        <v>160</v>
      </c>
      <c r="L25" s="37"/>
      <c r="M25" s="85">
        <v>160</v>
      </c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-450</v>
      </c>
      <c r="X25" s="86">
        <f t="shared" si="0"/>
        <v>180.38461538461539</v>
      </c>
      <c r="Y25" s="87">
        <f t="shared" si="2"/>
        <v>0.48121170955333498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0.57355510797508369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0.57355510797508369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 t="s">
        <v>201</v>
      </c>
      <c r="E33" s="43" t="s">
        <v>200</v>
      </c>
      <c r="F33" s="43" t="s">
        <v>202</v>
      </c>
      <c r="G33" s="705" t="s">
        <v>203</v>
      </c>
      <c r="H33" s="705"/>
      <c r="I33" s="43" t="s">
        <v>204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>
        <v>202</v>
      </c>
      <c r="C34" s="69"/>
      <c r="D34" s="69">
        <v>13100</v>
      </c>
      <c r="E34" s="43">
        <v>5900</v>
      </c>
      <c r="F34" s="43">
        <f>D34-E34</f>
        <v>7200</v>
      </c>
      <c r="G34" s="706">
        <f>(F34/0.0031416)/1000</f>
        <v>2291.8258212375858</v>
      </c>
      <c r="H34" s="706"/>
      <c r="I34" s="43">
        <f>G34/AB9</f>
        <v>0.97942111523926945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>
        <v>203</v>
      </c>
      <c r="C35" s="69"/>
      <c r="D35" s="69">
        <v>13200</v>
      </c>
      <c r="E35" s="43">
        <v>5800</v>
      </c>
      <c r="F35" s="43">
        <f>D35-E35</f>
        <v>7400</v>
      </c>
      <c r="G35" s="706">
        <f>(F35/0.0031416)/1000</f>
        <v>2355.4876496052966</v>
      </c>
      <c r="H35" s="706"/>
      <c r="I35" s="43">
        <f>G35/AB9</f>
        <v>1.0066272573292492</v>
      </c>
      <c r="J35" s="43"/>
      <c r="K35" s="43" t="s">
        <v>205</v>
      </c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>
        <v>204</v>
      </c>
      <c r="C36" s="69"/>
      <c r="D36" s="69"/>
      <c r="E36" s="43"/>
      <c r="F36" s="43">
        <v>7200</v>
      </c>
      <c r="G36" s="706">
        <f>(F36/0.0031416)/1000</f>
        <v>2291.8258212375858</v>
      </c>
      <c r="H36" s="706"/>
      <c r="I36" s="43">
        <f>G36/AB9</f>
        <v>0.97942111523926945</v>
      </c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>
        <v>205</v>
      </c>
      <c r="C37" s="69"/>
      <c r="D37" s="69"/>
      <c r="E37" s="43"/>
      <c r="F37" s="43">
        <v>7200</v>
      </c>
      <c r="G37" s="706">
        <f>(F37/0.0031416)/1000</f>
        <v>2291.8258212375858</v>
      </c>
      <c r="H37" s="706"/>
      <c r="I37" s="43">
        <f>G37/AB9</f>
        <v>0.97942111523926945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232">
        <v>206</v>
      </c>
      <c r="C38" s="46"/>
      <c r="D38" s="46"/>
      <c r="E38" s="46"/>
      <c r="F38" s="43">
        <v>7600</v>
      </c>
      <c r="G38" s="706">
        <f>(F38/0.0031416)/1000</f>
        <v>2419.1494779730069</v>
      </c>
      <c r="H38" s="706"/>
      <c r="I38" s="43">
        <f>G38/AB9</f>
        <v>1.0338333994192288</v>
      </c>
      <c r="J38" s="46"/>
      <c r="K38" s="46" t="s">
        <v>211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-0.69321634860197712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0.99264749827054566</v>
      </c>
      <c r="AW41" s="184">
        <f t="shared" ref="AW41:AW48" si="6">SUM($C$15:$F$15)/AV41</f>
        <v>377.6315365253995</v>
      </c>
      <c r="AX41" s="185">
        <f>(C15/C14+F15/F14+H15/H14+K15/K14+N15/N14+P15/P14+R15/R14+V15/V14+X15/X14)/1000</f>
        <v>0.99952869301254565</v>
      </c>
      <c r="AY41" s="136">
        <f t="shared" ref="AY41:AY48" si="7">AV41/AX41</f>
        <v>0.99311556057359363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0.99952869301254565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0.99952869301254565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0.99952869301254565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0.99952869301254565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0.99952869301254565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0.99952869301254565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0.99952869301254565</v>
      </c>
      <c r="AY48" s="142" t="e">
        <f t="shared" si="7"/>
        <v>#DIV/0!</v>
      </c>
    </row>
  </sheetData>
  <sheetProtection selectLockedCells="1" autoFilter="0" pivotTables="0"/>
  <mergeCells count="189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N39:AQ39"/>
    <mergeCell ref="AS39:AT39"/>
    <mergeCell ref="AV39:AY39"/>
    <mergeCell ref="B40:AE40"/>
    <mergeCell ref="G33:H33"/>
    <mergeCell ref="G34:H34"/>
    <mergeCell ref="G35:H35"/>
    <mergeCell ref="G36:H36"/>
    <mergeCell ref="G37:H37"/>
    <mergeCell ref="G38:H38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AA68-99A4-458D-A252-FD9E0A0790EE}">
  <sheetPr>
    <tabColor rgb="FF002060"/>
    <pageSetUpPr fitToPage="1"/>
  </sheetPr>
  <dimension ref="A1:AY48"/>
  <sheetViews>
    <sheetView showGridLines="0" topLeftCell="B6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172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191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590.5923906997441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0.74199999999999999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409.25760930025592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0.72635135135135132</v>
      </c>
      <c r="E8" s="26">
        <v>0.4</v>
      </c>
      <c r="F8" s="27">
        <v>0.6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4.0000000000000001E-3</v>
      </c>
      <c r="R8" s="65"/>
      <c r="S8" s="51" t="s">
        <v>52</v>
      </c>
      <c r="T8" s="58"/>
      <c r="U8" s="58"/>
      <c r="V8" s="58"/>
      <c r="W8" s="52"/>
      <c r="X8" s="63">
        <v>0.64</v>
      </c>
      <c r="Y8" s="60" t="s">
        <v>55</v>
      </c>
      <c r="Z8" s="61"/>
      <c r="AA8" s="59"/>
      <c r="AB8" s="573">
        <f>X15/SUM(C15:V15)</f>
        <v>0.10179924242424243</v>
      </c>
      <c r="AC8" s="573"/>
      <c r="AD8" s="573"/>
      <c r="AE8" s="574"/>
      <c r="AF8" s="38">
        <f>ROUND((1000-(1000*X9)-X15),2)</f>
        <v>784.85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1.4999999999999999E-4</v>
      </c>
      <c r="Y9" s="67" t="s">
        <v>17</v>
      </c>
      <c r="AA9" s="54"/>
      <c r="AB9" s="567">
        <f>ROUND(SUM(C15:AE15),2)</f>
        <v>2329.96</v>
      </c>
      <c r="AC9" s="567"/>
      <c r="AD9" s="567"/>
      <c r="AE9" s="568"/>
      <c r="AF9" s="38">
        <f>AF8*(1-X8)</f>
        <v>277.83690000000001</v>
      </c>
      <c r="AI9" s="173">
        <f>AI8*C15</f>
        <v>296</v>
      </c>
      <c r="AJ9" s="174">
        <f>AJ8*F15</f>
        <v>0</v>
      </c>
      <c r="AK9" s="175">
        <f>AK8*H15</f>
        <v>8.24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22.259999999999998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326.5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170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158</v>
      </c>
      <c r="Z12" s="695" t="s">
        <v>169</v>
      </c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216"/>
      <c r="Z13" s="707">
        <v>4355</v>
      </c>
      <c r="AA13" s="708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296</v>
      </c>
      <c r="D15" s="599"/>
      <c r="E15" s="600"/>
      <c r="F15" s="601">
        <f>C15*X7</f>
        <v>0</v>
      </c>
      <c r="G15" s="602"/>
      <c r="H15" s="603">
        <f>ROUND((AF7*E8*H14),0)</f>
        <v>412</v>
      </c>
      <c r="I15" s="599"/>
      <c r="J15" s="600"/>
      <c r="K15" s="603">
        <f>ROUND((AF7*F8*K14),0)</f>
        <v>662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742</v>
      </c>
      <c r="S15" s="599"/>
      <c r="T15" s="599"/>
      <c r="U15" s="600"/>
      <c r="V15" s="603">
        <f>ROUND((AF9*M8*V14),0)</f>
        <v>0</v>
      </c>
      <c r="W15" s="600"/>
      <c r="X15" s="66">
        <v>215</v>
      </c>
      <c r="Y15" s="218">
        <f>ROUND(Q7*(C15+F15),3)</f>
        <v>1.776</v>
      </c>
      <c r="Z15" s="603">
        <f>ROUND(Q8*(C15+F15),3)</f>
        <v>1.1839999999999999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46.095211934968837</v>
      </c>
      <c r="AJ15" s="584" t="s">
        <v>85</v>
      </c>
      <c r="AK15" s="584"/>
      <c r="AL15" s="606"/>
      <c r="AM15" s="119">
        <f>(H15+K15+N15)/(H15+K15+N15+P15+R15+V15)*100</f>
        <v>59.140969162995596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3.8479999999999999</v>
      </c>
      <c r="D16" s="615"/>
      <c r="E16" s="591"/>
      <c r="F16" s="621">
        <f>F15*AD7/1000</f>
        <v>0</v>
      </c>
      <c r="G16" s="622"/>
      <c r="H16" s="590">
        <f>H15*AD7/1000</f>
        <v>5.3559999999999999</v>
      </c>
      <c r="I16" s="615"/>
      <c r="J16" s="591"/>
      <c r="K16" s="590">
        <f>K15*AD7/1000</f>
        <v>8.6059999999999999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9.6460000000000008</v>
      </c>
      <c r="S16" s="615"/>
      <c r="T16" s="615"/>
      <c r="U16" s="591"/>
      <c r="V16" s="590">
        <f>V15*AD7/1000</f>
        <v>0</v>
      </c>
      <c r="W16" s="591"/>
      <c r="X16" s="225">
        <f>X15*AD7/1000</f>
        <v>2.7949999999999999</v>
      </c>
      <c r="Y16" s="219">
        <f>Y15*AD7</f>
        <v>23.088000000000001</v>
      </c>
      <c r="Z16" s="616">
        <f>Z15*AD7</f>
        <v>15.391999999999999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31.846040275369536</v>
      </c>
      <c r="AJ16" s="608" t="s">
        <v>87</v>
      </c>
      <c r="AK16" s="608"/>
      <c r="AL16" s="619"/>
      <c r="AM16" s="121">
        <f>(P15+R15+V15)/(H15+K15+N15+P15+R15+V15)*100</f>
        <v>40.859030837004404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3.8479999999999999</v>
      </c>
      <c r="D17" s="611"/>
      <c r="E17" s="612"/>
      <c r="F17" s="613">
        <f>F16</f>
        <v>0</v>
      </c>
      <c r="G17" s="614"/>
      <c r="H17" s="594">
        <f>H16*(1+E9-AT41)</f>
        <v>5.3559999999999999</v>
      </c>
      <c r="I17" s="611"/>
      <c r="J17" s="612"/>
      <c r="K17" s="594">
        <f>ROUND((K16+(K16*(F9-AT42))),3)</f>
        <v>8.6059999999999999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9.6460000000000008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2.7949999999999999</v>
      </c>
      <c r="Y17" s="221">
        <f>Y16/Y14</f>
        <v>20.614285714285714</v>
      </c>
      <c r="Z17" s="592">
        <f>Z16/Z14</f>
        <v>15.239603960396039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77.941252210338376</v>
      </c>
      <c r="AJ17" s="596" t="s">
        <v>89</v>
      </c>
      <c r="AK17" s="596"/>
      <c r="AL17" s="597"/>
      <c r="AM17" s="123">
        <f>(C15+F15)/AB9*100</f>
        <v>12.704080756751187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206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168</v>
      </c>
      <c r="C21" s="84"/>
      <c r="D21" s="83">
        <v>209</v>
      </c>
      <c r="E21" s="35">
        <v>0.6875</v>
      </c>
      <c r="F21" s="36"/>
      <c r="G21" s="629"/>
      <c r="H21" s="630"/>
      <c r="I21" s="631">
        <v>200</v>
      </c>
      <c r="J21" s="632"/>
      <c r="K21" s="85">
        <v>450</v>
      </c>
      <c r="L21" s="37"/>
      <c r="M21" s="85">
        <v>580</v>
      </c>
      <c r="N21" s="37"/>
      <c r="O21" s="85"/>
      <c r="P21" s="37"/>
      <c r="Q21" s="85"/>
      <c r="R21" s="37"/>
      <c r="S21" s="85"/>
      <c r="U21" s="37"/>
      <c r="V21" s="226">
        <v>270</v>
      </c>
      <c r="W21" s="226">
        <f>V21+I21</f>
        <v>470</v>
      </c>
      <c r="X21" s="86">
        <f t="shared" ref="X21:X27" si="0">(IF(W21="","",((W21/$AD$7)+$X$15)))</f>
        <v>251.15384615384616</v>
      </c>
      <c r="Y21" s="87">
        <f>IF(X21="","",(X21/(SUM($C$15:$G$15))))</f>
        <v>0.84849272349272353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0.72635135135135132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0.72635135135135132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0.72635135135135132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0.72635135135135132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0.72635135135135132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0.72635135135135132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 t="s">
        <v>201</v>
      </c>
      <c r="E33" s="43" t="s">
        <v>200</v>
      </c>
      <c r="F33" s="43" t="s">
        <v>202</v>
      </c>
      <c r="G33" s="705" t="s">
        <v>203</v>
      </c>
      <c r="H33" s="705"/>
      <c r="I33" s="43" t="s">
        <v>204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 t="s">
        <v>207</v>
      </c>
      <c r="C34" s="69"/>
      <c r="D34" s="69">
        <v>13100</v>
      </c>
      <c r="E34" s="43">
        <v>5900</v>
      </c>
      <c r="F34" s="43">
        <f>D34-E34</f>
        <v>7200</v>
      </c>
      <c r="G34" s="706">
        <f>(F34/0.0031416)/1000</f>
        <v>2291.8258212375858</v>
      </c>
      <c r="H34" s="706"/>
      <c r="I34" s="43">
        <f>G34/AB9</f>
        <v>0.98363311869628056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-0.92825163034044866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0.99058077302214742</v>
      </c>
      <c r="AW41" s="184">
        <f t="shared" ref="AW41:AW48" si="6">SUM($C$15:$F$15)/AV41</f>
        <v>298.81460256586467</v>
      </c>
      <c r="AX41" s="185">
        <f>(C15/C14+F15/F14+H15/H14+K15/K14+N15/N14+P15/P14+R15/R14+V15/V14+X15/X14)/1000</f>
        <v>0.99977585519756462</v>
      </c>
      <c r="AY41" s="136">
        <f t="shared" ref="AY41:AY48" si="7">AV41/AX41</f>
        <v>0.99080285633263254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0.99977585519756462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0.99977585519756462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0.99977585519756462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0.99977585519756462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0.99977585519756462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0.99977585519756462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0.99977585519756462</v>
      </c>
      <c r="AY48" s="142" t="e">
        <f t="shared" si="7"/>
        <v>#DIV/0!</v>
      </c>
    </row>
  </sheetData>
  <sheetProtection selectLockedCells="1" autoFilter="0" pivotTables="0"/>
  <mergeCells count="185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N39:AQ39"/>
    <mergeCell ref="AS39:AT39"/>
    <mergeCell ref="AV39:AY39"/>
    <mergeCell ref="B40:AE40"/>
    <mergeCell ref="G33:H33"/>
    <mergeCell ref="G34:H34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390C-22B8-42D3-AEBE-EFAFA5134217}">
  <sheetPr>
    <tabColor rgb="FF002060"/>
    <pageSetUpPr fitToPage="1"/>
  </sheetPr>
  <dimension ref="A1:AY48"/>
  <sheetViews>
    <sheetView showGridLines="0" topLeftCell="A11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44623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174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119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608.83691178106574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0.74199999999999999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391.16308821893426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0.74137931034482762</v>
      </c>
      <c r="E8" s="26">
        <v>0.25</v>
      </c>
      <c r="F8" s="27">
        <v>0.25</v>
      </c>
      <c r="G8" s="406">
        <v>0.5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5.4000000000000003E-3</v>
      </c>
      <c r="R8" s="65"/>
      <c r="S8" s="51" t="s">
        <v>52</v>
      </c>
      <c r="T8" s="58"/>
      <c r="U8" s="58"/>
      <c r="V8" s="58"/>
      <c r="W8" s="52"/>
      <c r="X8" s="63">
        <v>0.62</v>
      </c>
      <c r="Y8" s="60" t="s">
        <v>55</v>
      </c>
      <c r="Z8" s="61"/>
      <c r="AA8" s="59"/>
      <c r="AB8" s="573">
        <f>X15/SUM(C15:V15)</f>
        <v>0.1011764705882353</v>
      </c>
      <c r="AC8" s="573"/>
      <c r="AD8" s="573"/>
      <c r="AE8" s="57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0</v>
      </c>
      <c r="Y9" s="67" t="s">
        <v>17</v>
      </c>
      <c r="AA9" s="54"/>
      <c r="AB9" s="567">
        <f>ROUND(SUM(C15:AE15),2)</f>
        <v>2343.31</v>
      </c>
      <c r="AC9" s="567"/>
      <c r="AD9" s="567"/>
      <c r="AE9" s="568"/>
      <c r="AF9" s="38">
        <f>AF8*(1-X8)</f>
        <v>298.3</v>
      </c>
      <c r="AI9" s="173">
        <f>AI8*C15</f>
        <v>290</v>
      </c>
      <c r="AJ9" s="174">
        <f>AJ8*F15</f>
        <v>0</v>
      </c>
      <c r="AK9" s="175">
        <f>AK8*H15</f>
        <v>5.0200000000000005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23.88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318.89999999999998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144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175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158</v>
      </c>
      <c r="Z12" s="695" t="s">
        <v>169</v>
      </c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216"/>
      <c r="Z13" s="695">
        <v>4355</v>
      </c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290</v>
      </c>
      <c r="D15" s="599"/>
      <c r="E15" s="600"/>
      <c r="F15" s="601">
        <f>C15*X7</f>
        <v>0</v>
      </c>
      <c r="G15" s="602"/>
      <c r="H15" s="603">
        <f>ROUND((AF7*E8*H14),0)</f>
        <v>251</v>
      </c>
      <c r="I15" s="599"/>
      <c r="J15" s="600"/>
      <c r="K15" s="603">
        <f>ROUND((AF7*F8*K14),0)</f>
        <v>260</v>
      </c>
      <c r="L15" s="599"/>
      <c r="M15" s="600"/>
      <c r="N15" s="603">
        <f>ROUND((AF7*G8*N14),0)</f>
        <v>528</v>
      </c>
      <c r="O15" s="600"/>
      <c r="P15" s="603">
        <f>ROUND((AF9*I8*P14),0)</f>
        <v>0</v>
      </c>
      <c r="Q15" s="600"/>
      <c r="R15" s="603">
        <f>ROUND((AF9*K8*R14),0)</f>
        <v>796</v>
      </c>
      <c r="S15" s="599"/>
      <c r="T15" s="599"/>
      <c r="U15" s="600"/>
      <c r="V15" s="603">
        <f>ROUND((AF9*M8*V14),0)</f>
        <v>0</v>
      </c>
      <c r="W15" s="600"/>
      <c r="X15" s="66">
        <v>215</v>
      </c>
      <c r="Y15" s="218">
        <f>ROUND(Q7*(C15+F15),3)</f>
        <v>1.74</v>
      </c>
      <c r="Z15" s="603">
        <f>ROUND(Q8*(C15+F15),3)</f>
        <v>1.5660000000000001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44.338990573163599</v>
      </c>
      <c r="AJ15" s="584" t="s">
        <v>85</v>
      </c>
      <c r="AK15" s="584"/>
      <c r="AL15" s="606"/>
      <c r="AM15" s="119">
        <f>(H15+K15+N15)/(H15+K15+N15+P15+R15+V15)*100</f>
        <v>56.621253405994551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3.77</v>
      </c>
      <c r="D16" s="615"/>
      <c r="E16" s="591"/>
      <c r="F16" s="621">
        <f>F15*AD7/1000</f>
        <v>0</v>
      </c>
      <c r="G16" s="622"/>
      <c r="H16" s="590">
        <f>H15*AD7/1000</f>
        <v>3.2629999999999999</v>
      </c>
      <c r="I16" s="615"/>
      <c r="J16" s="591"/>
      <c r="K16" s="590">
        <f>K15*AD7/1000</f>
        <v>3.38</v>
      </c>
      <c r="L16" s="615"/>
      <c r="M16" s="591"/>
      <c r="N16" s="590">
        <f>N15*AD7/1000</f>
        <v>6.8639999999999999</v>
      </c>
      <c r="O16" s="591"/>
      <c r="P16" s="590">
        <f>P15*AD7/1000</f>
        <v>0</v>
      </c>
      <c r="Q16" s="591"/>
      <c r="R16" s="590">
        <f>R15*AD7/1000</f>
        <v>10.348000000000001</v>
      </c>
      <c r="S16" s="615"/>
      <c r="T16" s="615"/>
      <c r="U16" s="591"/>
      <c r="V16" s="590">
        <f>V15*AD7/1000</f>
        <v>0</v>
      </c>
      <c r="W16" s="591"/>
      <c r="X16" s="225">
        <f>X15*AD7/1000</f>
        <v>2.7949999999999999</v>
      </c>
      <c r="Y16" s="219">
        <f>Y15*AD7</f>
        <v>22.62</v>
      </c>
      <c r="Z16" s="616">
        <f>Z15*AD7</f>
        <v>20.358000000000001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33.969043788487227</v>
      </c>
      <c r="AJ16" s="608" t="s">
        <v>87</v>
      </c>
      <c r="AK16" s="608"/>
      <c r="AL16" s="619"/>
      <c r="AM16" s="121">
        <f>(P15+R15+V15)/(H15+K15+N15+P15+R15+V15)*100</f>
        <v>43.378746594005449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3.77</v>
      </c>
      <c r="D17" s="611"/>
      <c r="E17" s="612"/>
      <c r="F17" s="613">
        <f>F16</f>
        <v>0</v>
      </c>
      <c r="G17" s="614"/>
      <c r="H17" s="594">
        <f>H16*(1+E9-AT41)</f>
        <v>3.2629999999999999</v>
      </c>
      <c r="I17" s="611"/>
      <c r="J17" s="612"/>
      <c r="K17" s="594">
        <f>ROUND((K16+(K16*(F9-AT42))),3)</f>
        <v>3.38</v>
      </c>
      <c r="L17" s="611"/>
      <c r="M17" s="612"/>
      <c r="N17" s="594">
        <f>ROUND((N16+(N16*(G9-AT43))),3)</f>
        <v>6.8639999999999999</v>
      </c>
      <c r="O17" s="612"/>
      <c r="P17" s="594">
        <f>ROUND((P16+(P16*(I9-AT44))),3)</f>
        <v>0</v>
      </c>
      <c r="Q17" s="612"/>
      <c r="R17" s="594">
        <f>ROUND((R16+(R16*(K9-AT45))),3)</f>
        <v>10.348000000000001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2.7949999999999999</v>
      </c>
      <c r="Y17" s="221">
        <f>Y16/Y14</f>
        <v>20.196428571428569</v>
      </c>
      <c r="Z17" s="592">
        <f>Z16/Z14</f>
        <v>20.156435643564357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78.308034361650826</v>
      </c>
      <c r="AJ17" s="596" t="s">
        <v>89</v>
      </c>
      <c r="AK17" s="596"/>
      <c r="AL17" s="597"/>
      <c r="AM17" s="123">
        <f>(C15+F15)/AB9*100</f>
        <v>12.375656656609667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65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168</v>
      </c>
      <c r="C21" s="84"/>
      <c r="D21" s="83">
        <v>220</v>
      </c>
      <c r="E21" s="35"/>
      <c r="F21" s="36"/>
      <c r="G21" s="629"/>
      <c r="H21" s="630"/>
      <c r="I21" s="631">
        <v>100</v>
      </c>
      <c r="J21" s="632"/>
      <c r="K21" s="85">
        <v>570</v>
      </c>
      <c r="L21" s="37"/>
      <c r="M21" s="85"/>
      <c r="N21" s="37"/>
      <c r="O21" s="85"/>
      <c r="P21" s="37"/>
      <c r="Q21" s="85"/>
      <c r="R21" s="37"/>
      <c r="S21" s="85"/>
      <c r="U21" s="37"/>
      <c r="V21" s="226">
        <v>200</v>
      </c>
      <c r="W21" s="226">
        <f>V21+I21</f>
        <v>300</v>
      </c>
      <c r="X21" s="86">
        <f t="shared" ref="X21:X27" si="0">(IF(W21="","",((W21/$AD$7)+$X$15)))</f>
        <v>238.07692307692307</v>
      </c>
      <c r="Y21" s="87">
        <f>IF(X21="","",(X21/(SUM($C$15:$G$15))))</f>
        <v>0.82095490716180364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0.74137931034482762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0.74137931034482762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0.74137931034482762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0.74137931034482762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0.74137931034482762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0.74137931034482762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 t="s">
        <v>201</v>
      </c>
      <c r="E33" s="43" t="s">
        <v>200</v>
      </c>
      <c r="F33" s="43" t="s">
        <v>202</v>
      </c>
      <c r="G33" s="705" t="s">
        <v>203</v>
      </c>
      <c r="H33" s="705"/>
      <c r="I33" s="43" t="s">
        <v>204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>
        <v>13000</v>
      </c>
      <c r="E34" s="43">
        <v>5900</v>
      </c>
      <c r="F34" s="43">
        <f>D34-E34</f>
        <v>7100</v>
      </c>
      <c r="G34" s="706">
        <f>(F34/0.0031416)/1000</f>
        <v>2259.9949070537305</v>
      </c>
      <c r="H34" s="706"/>
      <c r="I34" s="43">
        <f>G34/AB9</f>
        <v>0.9644455522546016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 t="s">
        <v>208</v>
      </c>
      <c r="C35" s="69"/>
      <c r="D35" s="69"/>
      <c r="E35" s="43"/>
      <c r="F35" s="43" t="s">
        <v>209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-0.37018366512509004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0.99611474382115384</v>
      </c>
      <c r="AW41" s="184">
        <f t="shared" ref="AW41:AW48" si="6">SUM($C$15:$F$15)/AV41</f>
        <v>291.13111897886705</v>
      </c>
      <c r="AX41" s="185">
        <f>(C15/C14+F15/F14+H15/H14+K15/K14+N15/N14+P15/P14+R15/R14+V15/V14+X15/X14)/1000</f>
        <v>0.99980219788868241</v>
      </c>
      <c r="AY41" s="136">
        <f t="shared" ref="AY41:AY48" si="7">AV41/AX41</f>
        <v>0.99631181640196886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0.99980219788868241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0.99980219788868241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0.99980219788868241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0.99980219788868241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0.99980219788868241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0.99980219788868241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0.99980219788868241</v>
      </c>
      <c r="AY48" s="142" t="e">
        <f t="shared" si="7"/>
        <v>#DIV/0!</v>
      </c>
    </row>
  </sheetData>
  <sheetProtection selectLockedCells="1" autoFilter="0" pivotTables="0"/>
  <mergeCells count="185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AN39:AQ39"/>
    <mergeCell ref="AS39:AT39"/>
    <mergeCell ref="AV39:AY39"/>
    <mergeCell ref="B40:AE40"/>
    <mergeCell ref="G33:H33"/>
    <mergeCell ref="G34:H34"/>
    <mergeCell ref="W37:X37"/>
    <mergeCell ref="Z37:AA37"/>
    <mergeCell ref="AB37:AD37"/>
    <mergeCell ref="W38:X38"/>
    <mergeCell ref="B39:AE39"/>
    <mergeCell ref="AI39:AL39"/>
    <mergeCell ref="W35:X35"/>
    <mergeCell ref="Z35:AA35"/>
    <mergeCell ref="AB35:AD35"/>
    <mergeCell ref="W36:X36"/>
    <mergeCell ref="Z36:AA36"/>
    <mergeCell ref="AB36:AD36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329F-ECA8-45FF-AC22-5B0B3A998A00}">
  <sheetPr>
    <tabColor rgb="FF002060"/>
    <pageSetUpPr fitToPage="1"/>
  </sheetPr>
  <dimension ref="A1:AY48"/>
  <sheetViews>
    <sheetView showGridLines="0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176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119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590.5923906997441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0.72599999999999998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409.4076093002559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0.72635135135135132</v>
      </c>
      <c r="E8" s="26">
        <v>0.39200000000000002</v>
      </c>
      <c r="F8" s="27">
        <v>0.60799999999999998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4.0000000000000001E-3</v>
      </c>
      <c r="R8" s="65"/>
      <c r="S8" s="51" t="s">
        <v>52</v>
      </c>
      <c r="T8" s="58"/>
      <c r="U8" s="58"/>
      <c r="V8" s="58"/>
      <c r="W8" s="52"/>
      <c r="X8" s="63">
        <v>0.64600000000000002</v>
      </c>
      <c r="Y8" s="60" t="s">
        <v>55</v>
      </c>
      <c r="Z8" s="61"/>
      <c r="AA8" s="59"/>
      <c r="AB8" s="573">
        <f>X15/SUM(C15:V15)</f>
        <v>0.10179924242424243</v>
      </c>
      <c r="AC8" s="573"/>
      <c r="AD8" s="573"/>
      <c r="AE8" s="57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0</v>
      </c>
      <c r="Y9" s="67" t="s">
        <v>17</v>
      </c>
      <c r="AA9" s="54"/>
      <c r="AB9" s="567">
        <f>ROUND(SUM(C15:AE15),2)</f>
        <v>2329.96</v>
      </c>
      <c r="AC9" s="567"/>
      <c r="AD9" s="567"/>
      <c r="AE9" s="568"/>
      <c r="AF9" s="38">
        <f>AF8*(1-X8)</f>
        <v>277.89</v>
      </c>
      <c r="AI9" s="173">
        <f>AI8*C15</f>
        <v>296</v>
      </c>
      <c r="AJ9" s="174">
        <f>AJ8*F15</f>
        <v>0</v>
      </c>
      <c r="AK9" s="175">
        <f>AK8*H15</f>
        <v>8.24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22.259999999999998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326.5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215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179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193</v>
      </c>
      <c r="Z12" s="695" t="s">
        <v>212</v>
      </c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216"/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296</v>
      </c>
      <c r="D15" s="599"/>
      <c r="E15" s="600"/>
      <c r="F15" s="601">
        <f>C15*X7</f>
        <v>0</v>
      </c>
      <c r="G15" s="602"/>
      <c r="H15" s="603">
        <f>ROUND((AF7*E8*H14),0)</f>
        <v>412</v>
      </c>
      <c r="I15" s="599"/>
      <c r="J15" s="600"/>
      <c r="K15" s="603">
        <f>ROUND((AF7*F8*K14),0)</f>
        <v>662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742</v>
      </c>
      <c r="S15" s="599"/>
      <c r="T15" s="599"/>
      <c r="U15" s="600"/>
      <c r="V15" s="603">
        <f>ROUND((AF9*M8*V14),0)</f>
        <v>0</v>
      </c>
      <c r="W15" s="600"/>
      <c r="X15" s="66">
        <v>215</v>
      </c>
      <c r="Y15" s="218">
        <f>ROUND(Q7*(C15+F15),3)</f>
        <v>1.776</v>
      </c>
      <c r="Z15" s="603">
        <f>ROUND(Q8*(C15+F15),3)</f>
        <v>1.1839999999999999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46.095211934968837</v>
      </c>
      <c r="AJ15" s="584" t="s">
        <v>85</v>
      </c>
      <c r="AK15" s="584"/>
      <c r="AL15" s="606"/>
      <c r="AM15" s="119">
        <f>(H15+K15+N15)/(H15+K15+N15+P15+R15+V15)*100</f>
        <v>59.140969162995596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3.8479999999999999</v>
      </c>
      <c r="D16" s="615"/>
      <c r="E16" s="591"/>
      <c r="F16" s="621">
        <f>F15*AD7/1000</f>
        <v>0</v>
      </c>
      <c r="G16" s="622"/>
      <c r="H16" s="590">
        <f>H15*AD7/1000</f>
        <v>5.3559999999999999</v>
      </c>
      <c r="I16" s="615"/>
      <c r="J16" s="591"/>
      <c r="K16" s="590">
        <f>K15*AD7/1000</f>
        <v>8.6059999999999999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9.6460000000000008</v>
      </c>
      <c r="S16" s="615"/>
      <c r="T16" s="615"/>
      <c r="U16" s="591"/>
      <c r="V16" s="590">
        <f>V15*AD7/1000</f>
        <v>0</v>
      </c>
      <c r="W16" s="591"/>
      <c r="X16" s="225">
        <f>X15*AD7/1000</f>
        <v>2.7949999999999999</v>
      </c>
      <c r="Y16" s="219">
        <f>Y15*AD7</f>
        <v>23.088000000000001</v>
      </c>
      <c r="Z16" s="616">
        <f>Z15*AD7</f>
        <v>15.391999999999999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31.846040275369536</v>
      </c>
      <c r="AJ16" s="608" t="s">
        <v>87</v>
      </c>
      <c r="AK16" s="608"/>
      <c r="AL16" s="619"/>
      <c r="AM16" s="121">
        <f>(P15+R15+V15)/(H15+K15+N15+P15+R15+V15)*100</f>
        <v>40.859030837004404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3.8479999999999999</v>
      </c>
      <c r="D17" s="611"/>
      <c r="E17" s="612"/>
      <c r="F17" s="613">
        <f>F16</f>
        <v>0</v>
      </c>
      <c r="G17" s="614"/>
      <c r="H17" s="594">
        <f>H16*(1+E9-AT41)</f>
        <v>5.3559999999999999</v>
      </c>
      <c r="I17" s="611"/>
      <c r="J17" s="612"/>
      <c r="K17" s="594">
        <f>ROUND((K16+(K16*(F9-AT42))),3)</f>
        <v>8.6059999999999999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9.6460000000000008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2.7949999999999999</v>
      </c>
      <c r="Y17" s="221">
        <f>Y16/Y14</f>
        <v>20.614285714285714</v>
      </c>
      <c r="Z17" s="592">
        <f>Z16/Z14</f>
        <v>15.239603960396039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77.941252210338376</v>
      </c>
      <c r="AJ17" s="596" t="s">
        <v>89</v>
      </c>
      <c r="AK17" s="596"/>
      <c r="AL17" s="597"/>
      <c r="AM17" s="123">
        <f>(C15+F15)/AB9*100</f>
        <v>12.704080756751187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214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213</v>
      </c>
      <c r="C21" s="84"/>
      <c r="D21" s="83">
        <v>207</v>
      </c>
      <c r="E21" s="35"/>
      <c r="F21" s="36"/>
      <c r="G21" s="629"/>
      <c r="H21" s="630"/>
      <c r="I21" s="631">
        <v>0</v>
      </c>
      <c r="J21" s="632"/>
      <c r="K21" s="85">
        <v>690</v>
      </c>
      <c r="L21" s="37"/>
      <c r="M21" s="85">
        <v>490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0</v>
      </c>
      <c r="X21" s="86">
        <f t="shared" ref="X21:X27" si="0">(IF(W21="","",((W21/$AD$7)+$X$15)))</f>
        <v>215</v>
      </c>
      <c r="Y21" s="87">
        <f>IF(X21="","",(X21/(SUM($C$15:$G$15))))</f>
        <v>0.72635135135135132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 t="s">
        <v>178</v>
      </c>
      <c r="C22" s="84"/>
      <c r="D22" s="83">
        <v>208</v>
      </c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0.72635135135135132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 t="s">
        <v>180</v>
      </c>
      <c r="C23" s="84"/>
      <c r="D23" s="83">
        <v>209</v>
      </c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0.72635135135135132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0.72635135135135132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0.72635135135135132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0.72635135135135132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0.72635135135135132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-0.92825163034044866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0.99058077302214742</v>
      </c>
      <c r="AW41" s="184">
        <f t="shared" ref="AW41:AW48" si="6">SUM($C$15:$F$15)/AV41</f>
        <v>298.81460256586467</v>
      </c>
      <c r="AX41" s="185">
        <f>(C15/C14+F15/F14+H15/H14+K15/K14+N15/N14+P15/P14+R15/R14+V15/V14+X15/X14)/1000</f>
        <v>0.99977585519756462</v>
      </c>
      <c r="AY41" s="136">
        <f t="shared" ref="AY41:AY48" si="7">AV41/AX41</f>
        <v>0.99080285633263254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0.99977585519756462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0.99977585519756462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0.99977585519756462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0.99977585519756462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0.99977585519756462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0.99977585519756462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0.99977585519756462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8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302-F87A-43DA-BADF-50510DBE52EA}">
  <sheetPr>
    <tabColor rgb="FF002060"/>
    <pageSetUpPr fitToPage="1"/>
  </sheetPr>
  <dimension ref="A1:AY48"/>
  <sheetViews>
    <sheetView showGridLines="0" topLeftCell="A6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172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128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593.10657470241404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0.74199999999999999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406.74342529758599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0.74137931034482762</v>
      </c>
      <c r="E8" s="26">
        <v>0.4</v>
      </c>
      <c r="F8" s="27">
        <v>0.6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4.0000000000000001E-3</v>
      </c>
      <c r="R8" s="65"/>
      <c r="S8" s="51" t="s">
        <v>52</v>
      </c>
      <c r="T8" s="58"/>
      <c r="U8" s="58"/>
      <c r="V8" s="58"/>
      <c r="W8" s="52"/>
      <c r="X8" s="63">
        <v>0.64</v>
      </c>
      <c r="Y8" s="60" t="s">
        <v>55</v>
      </c>
      <c r="Z8" s="61"/>
      <c r="AA8" s="59"/>
      <c r="AB8" s="573">
        <f>X15/SUM(C15:V15)</f>
        <v>0.10184746565608717</v>
      </c>
      <c r="AC8" s="573"/>
      <c r="AD8" s="573"/>
      <c r="AE8" s="574"/>
      <c r="AF8" s="38">
        <f>ROUND((1000-(1000*X9)-X15),2)</f>
        <v>784.85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1.4999999999999999E-4</v>
      </c>
      <c r="Y9" s="67" t="s">
        <v>17</v>
      </c>
      <c r="AA9" s="54"/>
      <c r="AB9" s="567">
        <f>ROUND(SUM(C15:AE15),2)</f>
        <v>2328.9</v>
      </c>
      <c r="AC9" s="567"/>
      <c r="AD9" s="567"/>
      <c r="AE9" s="568"/>
      <c r="AF9" s="38">
        <f>AF8*(1-X8)</f>
        <v>282.54599999999999</v>
      </c>
      <c r="AI9" s="173">
        <f>AI8*C15</f>
        <v>290</v>
      </c>
      <c r="AJ9" s="174">
        <f>AJ8*F15</f>
        <v>0</v>
      </c>
      <c r="AK9" s="175">
        <f>AK8*H15</f>
        <v>8.36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22.619999999999997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320.98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199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170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193</v>
      </c>
      <c r="Z12" s="695" t="s">
        <v>194</v>
      </c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216"/>
      <c r="Z13" s="695" t="str">
        <f>B21</f>
        <v>MGL ACE 400</v>
      </c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290</v>
      </c>
      <c r="D15" s="599"/>
      <c r="E15" s="600"/>
      <c r="F15" s="601">
        <f>C15*X7</f>
        <v>0</v>
      </c>
      <c r="G15" s="602"/>
      <c r="H15" s="603">
        <f>ROUND((AF7*E8*H14),0)</f>
        <v>418</v>
      </c>
      <c r="I15" s="599"/>
      <c r="J15" s="600"/>
      <c r="K15" s="603">
        <f>ROUND((AF7*F8*K14),0)</f>
        <v>649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754</v>
      </c>
      <c r="S15" s="599"/>
      <c r="T15" s="599"/>
      <c r="U15" s="600"/>
      <c r="V15" s="603">
        <f>ROUND((AF9*M8*V14),0)</f>
        <v>0</v>
      </c>
      <c r="W15" s="600"/>
      <c r="X15" s="66">
        <v>215</v>
      </c>
      <c r="Y15" s="218">
        <f>ROUND(Q7*(C15+F15),3)</f>
        <v>1.74</v>
      </c>
      <c r="Z15" s="603">
        <f>ROUND(Q8*(C15+F15),3)</f>
        <v>1.1599999999999999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45.815621108677917</v>
      </c>
      <c r="AJ15" s="584" t="s">
        <v>85</v>
      </c>
      <c r="AK15" s="584"/>
      <c r="AL15" s="606"/>
      <c r="AM15" s="119">
        <f>(H15+K15+N15)/(H15+K15+N15+P15+R15+V15)*100</f>
        <v>58.5941790225151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3.77</v>
      </c>
      <c r="D16" s="615"/>
      <c r="E16" s="591"/>
      <c r="F16" s="621">
        <f>F15*AD7/1000</f>
        <v>0</v>
      </c>
      <c r="G16" s="622"/>
      <c r="H16" s="590">
        <f>H15*AD7/1000</f>
        <v>5.4340000000000002</v>
      </c>
      <c r="I16" s="615"/>
      <c r="J16" s="591"/>
      <c r="K16" s="590">
        <f>K15*AD7/1000</f>
        <v>8.4369999999999994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9.8019999999999996</v>
      </c>
      <c r="S16" s="615"/>
      <c r="T16" s="615"/>
      <c r="U16" s="591"/>
      <c r="V16" s="590">
        <f>V15*AD7/1000</f>
        <v>0</v>
      </c>
      <c r="W16" s="591"/>
      <c r="X16" s="225">
        <f>X15*AD7/1000</f>
        <v>2.7949999999999999</v>
      </c>
      <c r="Y16" s="219">
        <f>Y15*AD7</f>
        <v>22.62</v>
      </c>
      <c r="Z16" s="616">
        <f>Z15*AD7</f>
        <v>15.079999999999998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32.3757997337799</v>
      </c>
      <c r="AJ16" s="608" t="s">
        <v>87</v>
      </c>
      <c r="AK16" s="608"/>
      <c r="AL16" s="619"/>
      <c r="AM16" s="121">
        <f>(P15+R15+V15)/(H15+K15+N15+P15+R15+V15)*100</f>
        <v>41.4058209774849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3.77</v>
      </c>
      <c r="D17" s="611"/>
      <c r="E17" s="612"/>
      <c r="F17" s="613">
        <f>F16</f>
        <v>0</v>
      </c>
      <c r="G17" s="614"/>
      <c r="H17" s="594">
        <f>H16*(1+E9-AT41)</f>
        <v>5.4340000000000002</v>
      </c>
      <c r="I17" s="611"/>
      <c r="J17" s="612"/>
      <c r="K17" s="594">
        <f>ROUND((K16+(K16*(F9-AT42))),3)</f>
        <v>8.4369999999999994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9.8019999999999996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2.7949999999999999</v>
      </c>
      <c r="Y17" s="221">
        <f>Y16/Y14</f>
        <v>20.196428571428569</v>
      </c>
      <c r="Z17" s="592">
        <f>Z16/Z14</f>
        <v>14.93069306930693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78.191420842457816</v>
      </c>
      <c r="AJ17" s="596" t="s">
        <v>89</v>
      </c>
      <c r="AK17" s="596"/>
      <c r="AL17" s="597"/>
      <c r="AM17" s="123">
        <f>(C15+F15)/AB9*100</f>
        <v>12.452230666838421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192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177</v>
      </c>
      <c r="C21" s="84"/>
      <c r="D21" s="231">
        <v>207</v>
      </c>
      <c r="E21" s="35"/>
      <c r="F21" s="36"/>
      <c r="G21" s="629"/>
      <c r="H21" s="630"/>
      <c r="I21" s="631">
        <v>0</v>
      </c>
      <c r="J21" s="632"/>
      <c r="K21" s="85">
        <v>680</v>
      </c>
      <c r="L21" s="37"/>
      <c r="M21" s="85">
        <v>490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0</v>
      </c>
      <c r="X21" s="86">
        <f t="shared" ref="X21:X27" si="0">(IF(W21="","",((W21/$AD$7)+$X$15)))</f>
        <v>215</v>
      </c>
      <c r="Y21" s="87">
        <f>IF(X21="","",(X21/(SUM($C$15:$G$15))))</f>
        <v>0.74137931034482762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/>
      <c r="C22" s="84"/>
      <c r="D22" s="83"/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0.74137931034482762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/>
      <c r="C23" s="84"/>
      <c r="D23" s="83"/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0.74137931034482762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0.74137931034482762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0.74137931034482762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0.74137931034482762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0.74137931034482762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 t="s">
        <v>195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 t="s">
        <v>197</v>
      </c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 t="s">
        <v>196</v>
      </c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 t="s">
        <v>198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-0.96776441484081044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0.99015508296068544</v>
      </c>
      <c r="AW41" s="184">
        <f t="shared" ref="AW41:AW48" si="6">SUM($C$15:$F$15)/AV41</f>
        <v>292.88341290221359</v>
      </c>
      <c r="AX41" s="185">
        <f>(C15/C14+F15/F14+H15/H14+K15/K14+N15/N14+P15/P14+R15/R14+V15/V14+X15/X14)/1000</f>
        <v>0.99973745150531634</v>
      </c>
      <c r="AY41" s="136">
        <f t="shared" ref="AY41:AY48" si="7">AV41/AX41</f>
        <v>0.99041511495822965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0.99973745150531634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0.99973745150531634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0.99973745150531634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0.99973745150531634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0.99973745150531634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0.99973745150531634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0.99973745150531634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2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E1A0-DC25-495B-BD20-4C55EB36CFE3}">
  <sheetPr>
    <tabColor rgb="FF002060"/>
    <pageSetUpPr fitToPage="1"/>
  </sheetPr>
  <dimension ref="A1:AY48"/>
  <sheetViews>
    <sheetView showGridLines="0" topLeftCell="C3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44622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176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119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694.74297840157442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0.72599999999999998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6.0000000000000001E-3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305.25702159842558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0.57355510797508369</v>
      </c>
      <c r="E8" s="26">
        <v>0.39200000000000002</v>
      </c>
      <c r="F8" s="27">
        <v>0.60799999999999998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4.0000000000000001E-3</v>
      </c>
      <c r="R8" s="65"/>
      <c r="S8" s="51" t="s">
        <v>52</v>
      </c>
      <c r="T8" s="58"/>
      <c r="U8" s="58"/>
      <c r="V8" s="58"/>
      <c r="W8" s="52"/>
      <c r="X8" s="63">
        <v>0.64600000000000002</v>
      </c>
      <c r="Y8" s="60" t="s">
        <v>55</v>
      </c>
      <c r="Z8" s="61"/>
      <c r="AA8" s="59"/>
      <c r="AB8" s="573">
        <f>X15/SUM(C15:V15)</f>
        <v>0.10113577831037394</v>
      </c>
      <c r="AC8" s="573"/>
      <c r="AD8" s="573"/>
      <c r="AE8" s="574"/>
      <c r="AF8" s="38">
        <f>ROUND((1000-(1000*X9)-X15),2)</f>
        <v>785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0</v>
      </c>
      <c r="Y9" s="67" t="s">
        <v>17</v>
      </c>
      <c r="AA9" s="54"/>
      <c r="AB9" s="567">
        <f>ROUND(SUM(C15:AE15),2)</f>
        <v>2343.1</v>
      </c>
      <c r="AC9" s="567"/>
      <c r="AD9" s="567"/>
      <c r="AE9" s="568"/>
      <c r="AF9" s="38">
        <f>AF8*(1-X8)</f>
        <v>354.82</v>
      </c>
      <c r="AI9" s="173">
        <f>AI8*C15</f>
        <v>365</v>
      </c>
      <c r="AJ9" s="174">
        <f>AJ8*F15</f>
        <v>9.8550000000000004</v>
      </c>
      <c r="AK9" s="175">
        <f>AK8*H15</f>
        <v>7.84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5.67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388.36500000000001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215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179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216</v>
      </c>
      <c r="Z12" s="695" t="s">
        <v>212</v>
      </c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216"/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365</v>
      </c>
      <c r="D15" s="599"/>
      <c r="E15" s="600"/>
      <c r="F15" s="601">
        <f>C15*X7</f>
        <v>9.8550000000000004</v>
      </c>
      <c r="G15" s="602"/>
      <c r="H15" s="603">
        <f>ROUND((AF7*E8*H14),0)</f>
        <v>392</v>
      </c>
      <c r="I15" s="599"/>
      <c r="J15" s="600"/>
      <c r="K15" s="603">
        <f>ROUND((AF7*F8*K14),0)</f>
        <v>406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189</v>
      </c>
      <c r="S15" s="599"/>
      <c r="T15" s="599"/>
      <c r="U15" s="600"/>
      <c r="V15" s="603">
        <f>ROUND((AF9*M8*V14),0)</f>
        <v>764</v>
      </c>
      <c r="W15" s="600"/>
      <c r="X15" s="66">
        <v>215</v>
      </c>
      <c r="Y15" s="218">
        <f>ROUND(Q7*(C15+F15),3)</f>
        <v>2.2490000000000001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34.05744526482011</v>
      </c>
      <c r="AJ15" s="584" t="s">
        <v>85</v>
      </c>
      <c r="AK15" s="584"/>
      <c r="AL15" s="606"/>
      <c r="AM15" s="119">
        <f>(H15+K15+N15)/(H15+K15+N15+P15+R15+V15)*100</f>
        <v>45.573957738435176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4.7450000000000001</v>
      </c>
      <c r="D16" s="615"/>
      <c r="E16" s="591"/>
      <c r="F16" s="621">
        <f>F15*AD7/1000</f>
        <v>0.12811500000000001</v>
      </c>
      <c r="G16" s="622"/>
      <c r="H16" s="590">
        <f>H15*AD7/1000</f>
        <v>5.0960000000000001</v>
      </c>
      <c r="I16" s="615"/>
      <c r="J16" s="591"/>
      <c r="K16" s="590">
        <f>K15*AD7/1000</f>
        <v>5.2779999999999996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2.4569999999999999</v>
      </c>
      <c r="S16" s="615"/>
      <c r="T16" s="615"/>
      <c r="U16" s="591"/>
      <c r="V16" s="590">
        <f>V15*AD7/1000</f>
        <v>9.9320000000000004</v>
      </c>
      <c r="W16" s="591"/>
      <c r="X16" s="225">
        <f>X15*AD7/1000</f>
        <v>2.7949999999999999</v>
      </c>
      <c r="Y16" s="219">
        <f>Y15*AD7</f>
        <v>29.237000000000002</v>
      </c>
      <c r="Z16" s="616">
        <f>Z15*AD7</f>
        <v>0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40.672613204728783</v>
      </c>
      <c r="AJ16" s="608" t="s">
        <v>87</v>
      </c>
      <c r="AK16" s="608"/>
      <c r="AL16" s="619"/>
      <c r="AM16" s="121">
        <f>(P15+R15+V15)/(H15+K15+N15+P15+R15+V15)*100</f>
        <v>54.426042261564824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4.7450000000000001</v>
      </c>
      <c r="D17" s="611"/>
      <c r="E17" s="612"/>
      <c r="F17" s="613">
        <f>F16</f>
        <v>0.12811500000000001</v>
      </c>
      <c r="G17" s="614"/>
      <c r="H17" s="594">
        <f>H16*(1+E9-AT41)</f>
        <v>5.0960000000000001</v>
      </c>
      <c r="I17" s="611"/>
      <c r="J17" s="612"/>
      <c r="K17" s="594">
        <f>ROUND((K16+(K16*(F9-AT42))),3)</f>
        <v>5.2779999999999996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2.4569999999999999</v>
      </c>
      <c r="S17" s="611"/>
      <c r="T17" s="611"/>
      <c r="U17" s="612"/>
      <c r="V17" s="594">
        <f>ROUND((V16+(V16*(M9-AT46))),3)</f>
        <v>9.9320000000000004</v>
      </c>
      <c r="W17" s="612"/>
      <c r="X17" s="220">
        <f>ROUND(X16-((H17-H16)+(K17-K16)+(N17-N16)+(P17-P16)+(R17-R16)+(V17-V16)),3)</f>
        <v>2.7949999999999999</v>
      </c>
      <c r="Y17" s="221">
        <f>Y16/Y14</f>
        <v>26.104464285714286</v>
      </c>
      <c r="Z17" s="592">
        <f>Z16/Z14</f>
        <v>0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74.730058469548894</v>
      </c>
      <c r="AJ17" s="596" t="s">
        <v>89</v>
      </c>
      <c r="AK17" s="596"/>
      <c r="AL17" s="597"/>
      <c r="AM17" s="123">
        <f>(C15+F15)/AB9*100</f>
        <v>15.998250181383639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214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213</v>
      </c>
      <c r="C21" s="84"/>
      <c r="D21" s="83">
        <v>207</v>
      </c>
      <c r="E21" s="35"/>
      <c r="F21" s="36"/>
      <c r="G21" s="629"/>
      <c r="H21" s="630"/>
      <c r="I21" s="631">
        <v>0</v>
      </c>
      <c r="J21" s="632"/>
      <c r="K21" s="85">
        <v>690</v>
      </c>
      <c r="L21" s="37"/>
      <c r="M21" s="85">
        <v>490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-240</v>
      </c>
      <c r="X21" s="86">
        <f t="shared" ref="X21:X27" si="0">(IF(W21="","",((W21/$AD$7)+$X$15)))</f>
        <v>196.53846153846155</v>
      </c>
      <c r="Y21" s="87">
        <f>IF(X21="","",(X21/(SUM($C$15:$G$15))))</f>
        <v>0.52430529548348437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 t="s">
        <v>178</v>
      </c>
      <c r="C22" s="84"/>
      <c r="D22" s="83">
        <v>208</v>
      </c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215</v>
      </c>
      <c r="Y22" s="87">
        <f t="shared" ref="Y22:Y27" si="2">IF(X22="","",(X22/(SUM($C$15:$G$15))))</f>
        <v>0.57355510797508369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 t="s">
        <v>180</v>
      </c>
      <c r="C23" s="84"/>
      <c r="D23" s="83">
        <v>209</v>
      </c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215</v>
      </c>
      <c r="Y23" s="87">
        <f t="shared" si="2"/>
        <v>0.57355510797508369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215</v>
      </c>
      <c r="Y24" s="87">
        <f t="shared" si="2"/>
        <v>0.57355510797508369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215</v>
      </c>
      <c r="Y25" s="87">
        <f t="shared" si="2"/>
        <v>0.57355510797508369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215</v>
      </c>
      <c r="Y26" s="87">
        <f t="shared" si="2"/>
        <v>0.57355510797508369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215</v>
      </c>
      <c r="Y27" s="87">
        <f t="shared" si="2"/>
        <v>0.57355510797508369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-0.34371345562007605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0.99647870882370382</v>
      </c>
      <c r="AW41" s="184">
        <f t="shared" ref="AW41:AW48" si="6">SUM($C$15:$F$15)/AV41</f>
        <v>376.17963804013306</v>
      </c>
      <c r="AX41" s="185">
        <f>(C15/C14+F15/F14+H15/H14+K15/K14+N15/N14+P15/P14+R15/R14+V15/V14+X15/X14)/1000</f>
        <v>0.99990374022832018</v>
      </c>
      <c r="AY41" s="136">
        <f t="shared" ref="AY41:AY48" si="7">AV41/AX41</f>
        <v>0.99657463887090347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0.99990374022832018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0.99990374022832018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0.99990374022832018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0.99990374022832018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0.99990374022832018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0.99990374022832018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0.99990374022832018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225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6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E619-C037-4106-99E1-A05E52A75C88}">
  <sheetPr>
    <tabColor rgb="FF002060"/>
    <pageSetUpPr fitToPage="1"/>
  </sheetPr>
  <dimension ref="A1:AY48"/>
  <sheetViews>
    <sheetView showGridLines="0" zoomScale="70" zoomScaleNormal="7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44624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176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173</v>
      </c>
      <c r="T4" s="683"/>
      <c r="U4" s="683"/>
      <c r="V4" s="16" t="s">
        <v>114</v>
      </c>
      <c r="W4" s="205" t="s">
        <v>119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602.7826232061409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0.58599999999999997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7.0000000000000001E-3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367.2173767938591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0.58648648648648649</v>
      </c>
      <c r="E8" s="26">
        <v>0.52</v>
      </c>
      <c r="F8" s="27">
        <v>0.48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0.65</v>
      </c>
      <c r="Y8" s="60" t="s">
        <v>55</v>
      </c>
      <c r="Z8" s="61"/>
      <c r="AA8" s="59"/>
      <c r="AB8" s="573">
        <f>X15/SUM(C15:V15)</f>
        <v>0.10668633235004917</v>
      </c>
      <c r="AC8" s="573"/>
      <c r="AD8" s="573"/>
      <c r="AE8" s="574"/>
      <c r="AF8" s="38">
        <f>ROUND((1000-(1000*X9)-X15),2)</f>
        <v>753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0.03</v>
      </c>
      <c r="Y9" s="67" t="s">
        <v>17</v>
      </c>
      <c r="AA9" s="54"/>
      <c r="AB9" s="567">
        <f>ROUND(SUM(C15:AE15),2)</f>
        <v>2253.59</v>
      </c>
      <c r="AC9" s="567"/>
      <c r="AD9" s="567"/>
      <c r="AE9" s="568"/>
      <c r="AF9" s="38">
        <f>AF8*(1-X8)</f>
        <v>263.55</v>
      </c>
      <c r="AI9" s="173">
        <f>AI8*C15</f>
        <v>370</v>
      </c>
      <c r="AJ9" s="174">
        <f>AJ8*F15</f>
        <v>0</v>
      </c>
      <c r="AK9" s="175">
        <f>AK8*H15</f>
        <v>9.82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21.119999999999997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400.94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215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179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217</v>
      </c>
      <c r="Z12" s="695"/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66">
        <v>4215</v>
      </c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f>AK21</f>
        <v>3.03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370</v>
      </c>
      <c r="D15" s="599"/>
      <c r="E15" s="600"/>
      <c r="F15" s="601">
        <f>C15*X7</f>
        <v>0</v>
      </c>
      <c r="G15" s="602"/>
      <c r="H15" s="603">
        <f>ROUND((AF7*E8*H14),0)</f>
        <v>491</v>
      </c>
      <c r="I15" s="599"/>
      <c r="J15" s="600"/>
      <c r="K15" s="603">
        <f>ROUND((AF7*F8*K14),0)</f>
        <v>469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704</v>
      </c>
      <c r="S15" s="599"/>
      <c r="T15" s="599"/>
      <c r="U15" s="600"/>
      <c r="V15" s="603">
        <f>ROUND((AF9*M8*V14),0)</f>
        <v>0</v>
      </c>
      <c r="W15" s="600"/>
      <c r="X15" s="66">
        <v>217</v>
      </c>
      <c r="Y15" s="218">
        <f>ROUND(Q7*(C15+F15),3)</f>
        <v>2.59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42.59869807729001</v>
      </c>
      <c r="AJ15" s="584" t="s">
        <v>85</v>
      </c>
      <c r="AK15" s="584"/>
      <c r="AL15" s="606"/>
      <c r="AM15" s="119">
        <f>(H15+K15+N15)/(H15+K15+N15+P15+R15+V15)*100</f>
        <v>57.692307692307686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4.8099999999999996</v>
      </c>
      <c r="D16" s="615"/>
      <c r="E16" s="591"/>
      <c r="F16" s="621">
        <f>F15*AD7/1000</f>
        <v>0</v>
      </c>
      <c r="G16" s="622"/>
      <c r="H16" s="590">
        <f>H15*AD7/1000</f>
        <v>6.383</v>
      </c>
      <c r="I16" s="615"/>
      <c r="J16" s="591"/>
      <c r="K16" s="590">
        <f>K15*AD7/1000</f>
        <v>6.0970000000000004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9.1519999999999992</v>
      </c>
      <c r="S16" s="615"/>
      <c r="T16" s="615"/>
      <c r="U16" s="591"/>
      <c r="V16" s="590">
        <f>V15*AD7/1000</f>
        <v>0</v>
      </c>
      <c r="W16" s="591"/>
      <c r="X16" s="225">
        <f>X15*AD7/1000</f>
        <v>2.8210000000000002</v>
      </c>
      <c r="Y16" s="219">
        <f>Y15*AD7</f>
        <v>33.67</v>
      </c>
      <c r="Z16" s="616">
        <f>Z15*AD7</f>
        <v>0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31.239045256679344</v>
      </c>
      <c r="AJ16" s="608" t="s">
        <v>87</v>
      </c>
      <c r="AK16" s="608"/>
      <c r="AL16" s="619"/>
      <c r="AM16" s="121">
        <f>(P15+R15+V15)/(H15+K15+N15+P15+R15+V15)*100</f>
        <v>42.307692307692307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4.8099999999999996</v>
      </c>
      <c r="D17" s="611"/>
      <c r="E17" s="612"/>
      <c r="F17" s="613">
        <f>F16</f>
        <v>0</v>
      </c>
      <c r="G17" s="614"/>
      <c r="H17" s="594">
        <f>H16*(1+E9-AT41)</f>
        <v>6.383</v>
      </c>
      <c r="I17" s="611"/>
      <c r="J17" s="612"/>
      <c r="K17" s="594">
        <f>ROUND((K16+(K16*(F9-AT42))),3)</f>
        <v>6.0970000000000004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9.1519999999999992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2.8210000000000002</v>
      </c>
      <c r="Y17" s="221">
        <f>Y16/Y14</f>
        <v>30.0625</v>
      </c>
      <c r="Z17" s="592">
        <f>Z16/Z14</f>
        <v>0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73.837743333969357</v>
      </c>
      <c r="AJ17" s="596" t="s">
        <v>89</v>
      </c>
      <c r="AK17" s="596"/>
      <c r="AL17" s="597"/>
      <c r="AM17" s="123">
        <f>(C15+F15)/AB9*100</f>
        <v>16.418248217288859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214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213</v>
      </c>
      <c r="C21" s="84"/>
      <c r="D21" s="83">
        <v>207</v>
      </c>
      <c r="E21" s="35"/>
      <c r="F21" s="36"/>
      <c r="G21" s="629"/>
      <c r="H21" s="630"/>
      <c r="I21" s="631">
        <v>0</v>
      </c>
      <c r="J21" s="632"/>
      <c r="K21" s="85">
        <v>690</v>
      </c>
      <c r="L21" s="37"/>
      <c r="M21" s="85">
        <v>490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0</v>
      </c>
      <c r="X21" s="86">
        <f t="shared" ref="X21:X27" si="0">(IF(W21="","",((W21/$AD$7)+$X$15)))</f>
        <v>217</v>
      </c>
      <c r="Y21" s="87">
        <f>IF(X21="","",(X21/(SUM($C$15:$G$15))))</f>
        <v>0.58648648648648649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 t="s">
        <v>178</v>
      </c>
      <c r="C22" s="84"/>
      <c r="D22" s="83">
        <v>208</v>
      </c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217</v>
      </c>
      <c r="Y22" s="87">
        <f t="shared" ref="Y22:Y27" si="2">IF(X22="","",(X22/(SUM($C$15:$G$15))))</f>
        <v>0.58648648648648649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 t="s">
        <v>180</v>
      </c>
      <c r="C23" s="84"/>
      <c r="D23" s="83">
        <v>209</v>
      </c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217</v>
      </c>
      <c r="Y23" s="87">
        <f t="shared" si="2"/>
        <v>0.58648648648648649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217</v>
      </c>
      <c r="Y24" s="87">
        <f t="shared" si="2"/>
        <v>0.58648648648648649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217</v>
      </c>
      <c r="Y25" s="87">
        <f t="shared" si="2"/>
        <v>0.58648648648648649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217</v>
      </c>
      <c r="Y26" s="87">
        <f t="shared" si="2"/>
        <v>0.58648648648648649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217</v>
      </c>
      <c r="Y27" s="87">
        <f t="shared" si="2"/>
        <v>0.58648648648648649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-1.2440320989981046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0.958228328351033</v>
      </c>
      <c r="AW41" s="184">
        <f t="shared" ref="AW41:AW48" si="6">SUM($C$15:$F$15)/AV41</f>
        <v>386.1292648660413</v>
      </c>
      <c r="AX41" s="185">
        <f>(C15/C14+F15/F14+H15/H14+K15/K14+N15/N14+P15/P14+R15/R14+V15/V14+X15/X14)/1000</f>
        <v>0.97014899633741269</v>
      </c>
      <c r="AY41" s="136">
        <f t="shared" ref="AY41:AY48" si="7">AV41/AX41</f>
        <v>0.98771253896939171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0.97014899633741269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0.97014899633741269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0.97014899633741269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0.97014899633741269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0.97014899633741269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0.97014899633741269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0.97014899633741269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3386-D9AE-4C60-BE9F-1BC8D2847D55}">
  <sheetPr>
    <tabColor rgb="FF002060"/>
    <pageSetUpPr fitToPage="1"/>
  </sheetPr>
  <dimension ref="A1:AY48"/>
  <sheetViews>
    <sheetView showGridLines="0" topLeftCell="C1" zoomScaleNormal="100" workbookViewId="0">
      <selection activeCell="Z20" sqref="Z20:AA20"/>
    </sheetView>
  </sheetViews>
  <sheetFormatPr defaultRowHeight="13.2" outlineLevelCol="1" x14ac:dyDescent="0.25"/>
  <cols>
    <col min="1" max="1" width="5.5546875" customWidth="1"/>
    <col min="2" max="2" width="20" customWidth="1"/>
    <col min="3" max="3" width="4.44140625" customWidth="1"/>
    <col min="4" max="4" width="12.33203125" customWidth="1"/>
    <col min="5" max="5" width="13.109375" customWidth="1"/>
    <col min="6" max="6" width="12.33203125" customWidth="1"/>
    <col min="7" max="8" width="6.33203125" customWidth="1"/>
    <col min="9" max="9" width="8.6640625" customWidth="1"/>
    <col min="10" max="10" width="4.33203125" customWidth="1"/>
    <col min="11" max="11" width="8.6640625" customWidth="1"/>
    <col min="12" max="12" width="4.33203125" customWidth="1"/>
    <col min="13" max="13" width="8.6640625" customWidth="1"/>
    <col min="14" max="14" width="4.33203125" customWidth="1"/>
    <col min="15" max="15" width="8.6640625" customWidth="1"/>
    <col min="16" max="16" width="4.33203125" customWidth="1"/>
    <col min="17" max="17" width="8.6640625" customWidth="1"/>
    <col min="18" max="18" width="5.5546875" customWidth="1"/>
    <col min="19" max="19" width="9.109375" customWidth="1"/>
    <col min="20" max="20" width="9.33203125" hidden="1" customWidth="1"/>
    <col min="21" max="21" width="6.33203125" customWidth="1"/>
    <col min="22" max="22" width="12.88671875" customWidth="1" outlineLevel="1"/>
    <col min="23" max="25" width="12.109375" customWidth="1" outlineLevel="1"/>
    <col min="26" max="26" width="10.5546875" customWidth="1" outlineLevel="1"/>
    <col min="27" max="27" width="12.109375" customWidth="1" outlineLevel="1"/>
    <col min="28" max="28" width="13.33203125" customWidth="1" outlineLevel="1"/>
    <col min="29" max="29" width="10" customWidth="1" outlineLevel="1"/>
    <col min="30" max="30" width="6.44140625" customWidth="1" outlineLevel="1"/>
    <col min="31" max="31" width="8.44140625" customWidth="1" outlineLevel="1"/>
    <col min="32" max="32" width="9.44140625" hidden="1" customWidth="1"/>
    <col min="33" max="33" width="9.44140625" bestFit="1" customWidth="1"/>
    <col min="34" max="34" width="11.5546875" bestFit="1" customWidth="1"/>
    <col min="35" max="36" width="13.6640625" customWidth="1"/>
    <col min="37" max="37" width="12.44140625" customWidth="1"/>
    <col min="38" max="40" width="12.33203125" customWidth="1"/>
    <col min="41" max="41" width="9.33203125" customWidth="1"/>
    <col min="44" max="44" width="17.109375" customWidth="1"/>
    <col min="45" max="46" width="14.33203125" customWidth="1"/>
    <col min="47" max="47" width="14" customWidth="1"/>
    <col min="48" max="48" width="11.88671875" customWidth="1"/>
    <col min="49" max="49" width="12.33203125" customWidth="1"/>
    <col min="51" max="51" width="10.44140625" customWidth="1"/>
  </cols>
  <sheetData>
    <row r="1" spans="2:49" ht="13.8" thickBot="1" x14ac:dyDescent="0.3">
      <c r="AH1" s="194"/>
      <c r="AI1" s="194"/>
      <c r="AJ1" s="194"/>
      <c r="AK1" s="194"/>
      <c r="AL1" s="194"/>
    </row>
    <row r="2" spans="2:49" ht="78.75" customHeight="1" thickBot="1" x14ac:dyDescent="0.3">
      <c r="B2" s="379"/>
      <c r="C2" s="380"/>
      <c r="D2" s="381"/>
      <c r="E2" s="382" t="s">
        <v>149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4"/>
      <c r="Z2" s="385" t="s">
        <v>39</v>
      </c>
      <c r="AA2" s="386"/>
      <c r="AB2" s="386"/>
      <c r="AC2" s="386"/>
      <c r="AD2" s="386"/>
      <c r="AE2" s="387"/>
      <c r="AH2" s="194"/>
      <c r="AI2" s="388"/>
      <c r="AJ2" s="388"/>
      <c r="AK2" s="194"/>
      <c r="AL2" s="194"/>
    </row>
    <row r="3" spans="2:49" ht="26.25" customHeight="1" thickBot="1" x14ac:dyDescent="0.3">
      <c r="B3" s="13" t="s">
        <v>30</v>
      </c>
      <c r="C3" s="75"/>
      <c r="D3" s="682" t="s">
        <v>141</v>
      </c>
      <c r="E3" s="682"/>
      <c r="F3" s="682"/>
      <c r="G3" s="682"/>
      <c r="H3" s="682"/>
      <c r="I3" s="682"/>
      <c r="J3" s="682"/>
      <c r="K3" s="682"/>
      <c r="L3" s="682"/>
      <c r="M3" s="682"/>
      <c r="N3" s="684"/>
      <c r="O3" s="222" t="s">
        <v>45</v>
      </c>
      <c r="P3" s="15"/>
      <c r="Q3" s="15"/>
      <c r="R3" s="71" t="s">
        <v>139</v>
      </c>
      <c r="S3" s="14"/>
      <c r="T3" s="14"/>
      <c r="U3" s="14"/>
      <c r="V3" s="14"/>
      <c r="W3" s="14"/>
      <c r="X3" s="16" t="s">
        <v>59</v>
      </c>
      <c r="Y3" s="15"/>
      <c r="Z3" s="88"/>
      <c r="AA3" s="17" t="s">
        <v>4</v>
      </c>
      <c r="AB3" s="201"/>
      <c r="AC3" s="685">
        <v>44624</v>
      </c>
      <c r="AD3" s="685"/>
      <c r="AE3" s="686"/>
      <c r="AH3" s="194"/>
      <c r="AI3" s="391"/>
      <c r="AJ3" s="391"/>
      <c r="AK3" s="194"/>
      <c r="AL3" s="194"/>
    </row>
    <row r="4" spans="2:49" ht="26.25" customHeight="1" thickBot="1" x14ac:dyDescent="0.3">
      <c r="B4" s="13" t="s">
        <v>31</v>
      </c>
      <c r="C4" s="75"/>
      <c r="D4" s="682" t="s">
        <v>176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565" t="s">
        <v>112</v>
      </c>
      <c r="P4" s="566"/>
      <c r="Q4" s="566"/>
      <c r="R4" s="566"/>
      <c r="S4" s="683" t="s">
        <v>218</v>
      </c>
      <c r="T4" s="683"/>
      <c r="U4" s="683"/>
      <c r="V4" s="16" t="s">
        <v>114</v>
      </c>
      <c r="W4" s="205" t="s">
        <v>118</v>
      </c>
      <c r="X4" s="18" t="s">
        <v>72</v>
      </c>
      <c r="Y4" s="15"/>
      <c r="Z4" s="682" t="s">
        <v>150</v>
      </c>
      <c r="AA4" s="682"/>
      <c r="AB4" s="682"/>
      <c r="AC4" s="682"/>
      <c r="AD4" s="682"/>
      <c r="AE4" s="684"/>
      <c r="AH4" s="194"/>
      <c r="AI4" s="194"/>
      <c r="AJ4" s="194"/>
      <c r="AK4" s="194"/>
      <c r="AL4" s="194"/>
    </row>
    <row r="5" spans="2:49" ht="6" customHeight="1" thickBot="1" x14ac:dyDescent="0.3"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2:49" ht="22.5" customHeight="1" thickBot="1" x14ac:dyDescent="0.3">
      <c r="B6" s="373" t="s">
        <v>13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5"/>
      <c r="AF6" s="38">
        <f>C15/C14+F15/F14+P15/P14+R15/R14+V15/V14+X15/X14</f>
        <v>592.70624954101493</v>
      </c>
      <c r="AI6" s="376" t="s">
        <v>99</v>
      </c>
      <c r="AJ6" s="377"/>
      <c r="AK6" s="377"/>
      <c r="AL6" s="377"/>
      <c r="AM6" s="377"/>
      <c r="AN6" s="377"/>
      <c r="AO6" s="377"/>
      <c r="AP6" s="378"/>
      <c r="AQ6" s="150"/>
      <c r="AR6" s="151"/>
    </row>
    <row r="7" spans="2:49" ht="22.5" customHeight="1" thickBot="1" x14ac:dyDescent="0.3">
      <c r="B7" s="57" t="s">
        <v>6</v>
      </c>
      <c r="C7" s="76"/>
      <c r="D7" s="22">
        <v>0.60299999999999998</v>
      </c>
      <c r="E7" s="23" t="s">
        <v>8</v>
      </c>
      <c r="F7" s="24" t="s">
        <v>9</v>
      </c>
      <c r="G7" s="569" t="s">
        <v>10</v>
      </c>
      <c r="H7" s="570"/>
      <c r="I7" s="571" t="s">
        <v>12</v>
      </c>
      <c r="J7" s="572"/>
      <c r="K7" s="569" t="s">
        <v>1</v>
      </c>
      <c r="L7" s="572"/>
      <c r="M7" s="569" t="s">
        <v>11</v>
      </c>
      <c r="N7" s="570"/>
      <c r="O7" s="49" t="s">
        <v>49</v>
      </c>
      <c r="P7" s="50"/>
      <c r="Q7" s="64">
        <v>7.0000000000000001E-3</v>
      </c>
      <c r="R7" s="64"/>
      <c r="S7" s="57" t="s">
        <v>51</v>
      </c>
      <c r="T7" s="48"/>
      <c r="U7" s="58"/>
      <c r="V7" s="52"/>
      <c r="W7" s="52"/>
      <c r="X7" s="62">
        <v>0</v>
      </c>
      <c r="Y7" s="60" t="s">
        <v>54</v>
      </c>
      <c r="Z7" s="58"/>
      <c r="AA7" s="58"/>
      <c r="AB7" s="58"/>
      <c r="AC7" s="58"/>
      <c r="AD7" s="691">
        <v>13</v>
      </c>
      <c r="AE7" s="692"/>
      <c r="AF7" s="38">
        <f>(1000-(1000*X9))-AF6</f>
        <v>377.29375045898507</v>
      </c>
      <c r="AI7" s="166" t="str">
        <f>C11</f>
        <v>Cimento</v>
      </c>
      <c r="AJ7" s="167" t="str">
        <f>F11</f>
        <v>Adição</v>
      </c>
      <c r="AK7" s="168" t="str">
        <f>H11</f>
        <v>Areia 1</v>
      </c>
      <c r="AL7" s="167" t="str">
        <f>K11</f>
        <v>Areia 2</v>
      </c>
      <c r="AM7" s="168" t="str">
        <f>N11</f>
        <v>Areia 3</v>
      </c>
      <c r="AN7" s="168" t="str">
        <f>P11</f>
        <v>Misto</v>
      </c>
      <c r="AO7" s="168" t="str">
        <f>R11</f>
        <v>Brita 0</v>
      </c>
      <c r="AP7" s="169" t="str">
        <f>V11</f>
        <v>Brita 1</v>
      </c>
      <c r="AR7" s="152"/>
    </row>
    <row r="8" spans="2:49" ht="22.5" customHeight="1" thickBot="1" x14ac:dyDescent="0.3">
      <c r="B8" s="60" t="s">
        <v>7</v>
      </c>
      <c r="C8" s="76"/>
      <c r="D8" s="82">
        <f>X15/(F15+C15)</f>
        <v>0.60312500000000002</v>
      </c>
      <c r="E8" s="26">
        <v>0.5</v>
      </c>
      <c r="F8" s="27">
        <v>0.5</v>
      </c>
      <c r="G8" s="406">
        <v>0</v>
      </c>
      <c r="H8" s="407"/>
      <c r="I8" s="408">
        <f>AL26</f>
        <v>0</v>
      </c>
      <c r="J8" s="409"/>
      <c r="K8" s="410">
        <v>1</v>
      </c>
      <c r="L8" s="411"/>
      <c r="M8" s="410">
        <v>0</v>
      </c>
      <c r="N8" s="412"/>
      <c r="O8" s="55" t="s">
        <v>48</v>
      </c>
      <c r="P8" s="56"/>
      <c r="Q8" s="65">
        <v>0</v>
      </c>
      <c r="R8" s="65"/>
      <c r="S8" s="51" t="s">
        <v>52</v>
      </c>
      <c r="T8" s="58"/>
      <c r="U8" s="58"/>
      <c r="V8" s="58"/>
      <c r="W8" s="52"/>
      <c r="X8" s="63">
        <v>0.62</v>
      </c>
      <c r="Y8" s="60" t="s">
        <v>55</v>
      </c>
      <c r="Z8" s="61"/>
      <c r="AA8" s="59"/>
      <c r="AB8" s="573">
        <f>X15/SUM(C15:V15)</f>
        <v>9.2124105011933174E-2</v>
      </c>
      <c r="AC8" s="573"/>
      <c r="AD8" s="573"/>
      <c r="AE8" s="574"/>
      <c r="AF8" s="38">
        <f>ROUND((1000-(1000*X9)-X15),2)</f>
        <v>777</v>
      </c>
      <c r="AI8" s="170">
        <v>1</v>
      </c>
      <c r="AJ8" s="171">
        <v>1</v>
      </c>
      <c r="AK8" s="171">
        <v>0.02</v>
      </c>
      <c r="AL8" s="171">
        <v>0</v>
      </c>
      <c r="AM8" s="171">
        <v>0</v>
      </c>
      <c r="AN8" s="171">
        <v>0</v>
      </c>
      <c r="AO8" s="171">
        <v>0.03</v>
      </c>
      <c r="AP8" s="172">
        <v>0</v>
      </c>
      <c r="AQ8" s="20" t="s">
        <v>111</v>
      </c>
      <c r="AR8" s="152"/>
    </row>
    <row r="9" spans="2:49" ht="21" customHeight="1" thickBot="1" x14ac:dyDescent="0.3">
      <c r="B9" s="81" t="s">
        <v>71</v>
      </c>
      <c r="C9" s="77"/>
      <c r="D9" s="80"/>
      <c r="E9" s="224">
        <v>0</v>
      </c>
      <c r="F9" s="28">
        <v>0</v>
      </c>
      <c r="G9" s="687">
        <v>0</v>
      </c>
      <c r="H9" s="688"/>
      <c r="I9" s="689">
        <v>0</v>
      </c>
      <c r="J9" s="690"/>
      <c r="K9" s="687">
        <v>0</v>
      </c>
      <c r="L9" s="690"/>
      <c r="M9" s="687">
        <v>0</v>
      </c>
      <c r="N9" s="688"/>
      <c r="O9" s="54" t="s">
        <v>50</v>
      </c>
      <c r="P9" s="54"/>
      <c r="Q9" s="25">
        <v>0</v>
      </c>
      <c r="R9" s="25"/>
      <c r="S9" s="53" t="s">
        <v>53</v>
      </c>
      <c r="T9" s="54"/>
      <c r="V9" s="58"/>
      <c r="W9" s="58"/>
      <c r="X9" s="230">
        <v>0.03</v>
      </c>
      <c r="Y9" s="67" t="s">
        <v>17</v>
      </c>
      <c r="AA9" s="54"/>
      <c r="AB9" s="567">
        <f>ROUND(SUM(C15:AE15),2)</f>
        <v>2290.2399999999998</v>
      </c>
      <c r="AC9" s="567"/>
      <c r="AD9" s="567"/>
      <c r="AE9" s="568"/>
      <c r="AF9" s="38">
        <f>AF8*(1-X8)</f>
        <v>295.26</v>
      </c>
      <c r="AI9" s="173">
        <f>AI8*C15</f>
        <v>320</v>
      </c>
      <c r="AJ9" s="174">
        <f>AJ8*F15</f>
        <v>0</v>
      </c>
      <c r="AK9" s="175">
        <f>AK8*H15</f>
        <v>9.7000000000000011</v>
      </c>
      <c r="AL9" s="175">
        <f>AL8*K15</f>
        <v>0</v>
      </c>
      <c r="AM9" s="175">
        <f>AM8*N15</f>
        <v>0</v>
      </c>
      <c r="AN9" s="175">
        <f>AN8*P15</f>
        <v>0</v>
      </c>
      <c r="AO9" s="175">
        <f>AO8*R15</f>
        <v>23.64</v>
      </c>
      <c r="AP9" s="176">
        <f>AP8*V15</f>
        <v>0</v>
      </c>
      <c r="AR9" s="152"/>
    </row>
    <row r="10" spans="2:49" ht="5.25" customHeight="1" thickBot="1" x14ac:dyDescent="0.3">
      <c r="B10" s="398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I10" s="153"/>
      <c r="AR10" s="152"/>
    </row>
    <row r="11" spans="2:49" ht="26.25" customHeight="1" thickBot="1" x14ac:dyDescent="0.3">
      <c r="B11" s="31" t="s">
        <v>3</v>
      </c>
      <c r="C11" s="575" t="s">
        <v>0</v>
      </c>
      <c r="D11" s="576"/>
      <c r="E11" s="577"/>
      <c r="F11" s="578" t="s">
        <v>5</v>
      </c>
      <c r="G11" s="577"/>
      <c r="H11" s="579" t="s">
        <v>8</v>
      </c>
      <c r="I11" s="580"/>
      <c r="J11" s="581"/>
      <c r="K11" s="578" t="s">
        <v>9</v>
      </c>
      <c r="L11" s="576"/>
      <c r="M11" s="577"/>
      <c r="N11" s="579" t="s">
        <v>10</v>
      </c>
      <c r="O11" s="581"/>
      <c r="P11" s="579" t="s">
        <v>12</v>
      </c>
      <c r="Q11" s="581"/>
      <c r="R11" s="579" t="s">
        <v>1</v>
      </c>
      <c r="S11" s="580"/>
      <c r="T11" s="580"/>
      <c r="U11" s="581"/>
      <c r="V11" s="579" t="s">
        <v>11</v>
      </c>
      <c r="W11" s="581"/>
      <c r="X11" s="215" t="s">
        <v>2</v>
      </c>
      <c r="Y11" s="215" t="s">
        <v>18</v>
      </c>
      <c r="Z11" s="579" t="s">
        <v>37</v>
      </c>
      <c r="AA11" s="581"/>
      <c r="AB11" s="579" t="s">
        <v>47</v>
      </c>
      <c r="AC11" s="581"/>
      <c r="AD11" s="580" t="s">
        <v>56</v>
      </c>
      <c r="AE11" s="583"/>
      <c r="AI11" s="154"/>
      <c r="AJ11" s="61"/>
      <c r="AK11" s="61"/>
      <c r="AL11" s="61"/>
      <c r="AM11" s="61"/>
      <c r="AN11" s="61"/>
      <c r="AO11" s="61"/>
      <c r="AP11" s="157">
        <f>SUM(AI9:AP9)</f>
        <v>353.34</v>
      </c>
      <c r="AQ11" s="156" t="s">
        <v>100</v>
      </c>
      <c r="AR11" s="155"/>
    </row>
    <row r="12" spans="2:49" ht="26.25" customHeight="1" x14ac:dyDescent="0.25">
      <c r="B12" s="78" t="s">
        <v>79</v>
      </c>
      <c r="C12" s="693" t="s">
        <v>215</v>
      </c>
      <c r="D12" s="693"/>
      <c r="E12" s="694"/>
      <c r="F12" s="695"/>
      <c r="G12" s="694"/>
      <c r="H12" s="695" t="s">
        <v>154</v>
      </c>
      <c r="I12" s="693"/>
      <c r="J12" s="694"/>
      <c r="K12" s="695" t="s">
        <v>179</v>
      </c>
      <c r="L12" s="693"/>
      <c r="M12" s="694"/>
      <c r="N12" s="695" t="s">
        <v>153</v>
      </c>
      <c r="O12" s="694"/>
      <c r="P12" s="695"/>
      <c r="Q12" s="694"/>
      <c r="R12" s="695" t="s">
        <v>160</v>
      </c>
      <c r="S12" s="693"/>
      <c r="T12" s="693"/>
      <c r="U12" s="694"/>
      <c r="V12" s="695" t="s">
        <v>160</v>
      </c>
      <c r="W12" s="694"/>
      <c r="X12" s="216"/>
      <c r="Y12" s="216" t="s">
        <v>219</v>
      </c>
      <c r="Z12" s="695"/>
      <c r="AA12" s="694"/>
      <c r="AB12" s="695"/>
      <c r="AC12" s="694"/>
      <c r="AD12" s="695"/>
      <c r="AE12" s="696"/>
    </row>
    <row r="13" spans="2:49" ht="26.25" customHeight="1" thickBot="1" x14ac:dyDescent="0.3">
      <c r="B13" s="78" t="s">
        <v>57</v>
      </c>
      <c r="C13" s="693" t="s">
        <v>145</v>
      </c>
      <c r="D13" s="693"/>
      <c r="E13" s="694"/>
      <c r="F13" s="695"/>
      <c r="G13" s="694"/>
      <c r="H13" s="695" t="s">
        <v>83</v>
      </c>
      <c r="I13" s="693"/>
      <c r="J13" s="694"/>
      <c r="K13" s="695" t="s">
        <v>171</v>
      </c>
      <c r="L13" s="693"/>
      <c r="M13" s="694"/>
      <c r="N13" s="695" t="s">
        <v>156</v>
      </c>
      <c r="O13" s="694"/>
      <c r="P13" s="695"/>
      <c r="Q13" s="694"/>
      <c r="R13" s="695"/>
      <c r="S13" s="693"/>
      <c r="T13" s="693"/>
      <c r="U13" s="694"/>
      <c r="V13" s="695"/>
      <c r="W13" s="694"/>
      <c r="X13" s="216"/>
      <c r="Y13" s="66" t="s">
        <v>220</v>
      </c>
      <c r="Z13" s="695"/>
      <c r="AA13" s="694"/>
      <c r="AB13" s="695"/>
      <c r="AC13" s="694"/>
      <c r="AD13" s="695"/>
      <c r="AE13" s="696"/>
    </row>
    <row r="14" spans="2:49" ht="32.25" customHeight="1" thickBot="1" x14ac:dyDescent="0.3">
      <c r="B14" s="32" t="s">
        <v>77</v>
      </c>
      <c r="C14" s="697">
        <v>3.06</v>
      </c>
      <c r="D14" s="698"/>
      <c r="E14" s="699"/>
      <c r="F14" s="700">
        <f>AK22</f>
        <v>2.2000000000000002</v>
      </c>
      <c r="G14" s="699"/>
      <c r="H14" s="700">
        <f>AK23</f>
        <v>2.57</v>
      </c>
      <c r="I14" s="698"/>
      <c r="J14" s="699"/>
      <c r="K14" s="700">
        <f>AK24</f>
        <v>2.66</v>
      </c>
      <c r="L14" s="698"/>
      <c r="M14" s="699"/>
      <c r="N14" s="700">
        <f>AK25</f>
        <v>2.7</v>
      </c>
      <c r="O14" s="699"/>
      <c r="P14" s="700">
        <f>AK25</f>
        <v>2.7</v>
      </c>
      <c r="Q14" s="699"/>
      <c r="R14" s="700">
        <f>AK26</f>
        <v>2.67</v>
      </c>
      <c r="S14" s="698"/>
      <c r="T14" s="698"/>
      <c r="U14" s="699"/>
      <c r="V14" s="700">
        <f>AK27</f>
        <v>2.69</v>
      </c>
      <c r="W14" s="699"/>
      <c r="X14" s="217">
        <f>AK29</f>
        <v>1</v>
      </c>
      <c r="Y14" s="217">
        <v>1.1200000000000001</v>
      </c>
      <c r="Z14" s="700">
        <v>1.01</v>
      </c>
      <c r="AA14" s="699"/>
      <c r="AB14" s="700">
        <v>1.06</v>
      </c>
      <c r="AC14" s="699"/>
      <c r="AD14" s="700">
        <v>1</v>
      </c>
      <c r="AE14" s="702"/>
      <c r="AI14" s="444" t="s">
        <v>84</v>
      </c>
      <c r="AJ14" s="445"/>
      <c r="AK14" s="445"/>
      <c r="AL14" s="445"/>
      <c r="AM14" s="445"/>
      <c r="AN14" s="445"/>
      <c r="AO14" s="445"/>
      <c r="AP14" s="446"/>
    </row>
    <row r="15" spans="2:49" ht="36.75" customHeight="1" x14ac:dyDescent="0.25">
      <c r="B15" s="33" t="s">
        <v>78</v>
      </c>
      <c r="C15" s="598">
        <f>ROUND((X15/D7),0)</f>
        <v>320</v>
      </c>
      <c r="D15" s="599"/>
      <c r="E15" s="600"/>
      <c r="F15" s="601">
        <f>C15*X7</f>
        <v>0</v>
      </c>
      <c r="G15" s="602"/>
      <c r="H15" s="603">
        <f>ROUND((AF7*E8*H14),0)</f>
        <v>485</v>
      </c>
      <c r="I15" s="599"/>
      <c r="J15" s="600"/>
      <c r="K15" s="603">
        <f>ROUND((AF7*F8*K14),0)</f>
        <v>502</v>
      </c>
      <c r="L15" s="599"/>
      <c r="M15" s="600"/>
      <c r="N15" s="603">
        <f>ROUND((AF7*G8*N14),0)</f>
        <v>0</v>
      </c>
      <c r="O15" s="600"/>
      <c r="P15" s="603">
        <f>ROUND((AF9*I8*P14),0)</f>
        <v>0</v>
      </c>
      <c r="Q15" s="600"/>
      <c r="R15" s="603">
        <f>ROUND((AF9*K8*R14),0)</f>
        <v>788</v>
      </c>
      <c r="S15" s="599"/>
      <c r="T15" s="599"/>
      <c r="U15" s="600"/>
      <c r="V15" s="603">
        <f>ROUND((AF9*M8*V14),0)</f>
        <v>0</v>
      </c>
      <c r="W15" s="600"/>
      <c r="X15" s="66">
        <v>193</v>
      </c>
      <c r="Y15" s="218">
        <f>ROUND(Q7*(C15+F15),3)</f>
        <v>2.2400000000000002</v>
      </c>
      <c r="Z15" s="603">
        <f>ROUND(Q8*(C15+F15),3)</f>
        <v>0</v>
      </c>
      <c r="AA15" s="600"/>
      <c r="AB15" s="603">
        <f>ROUND(R9*(D15+G15),3)</f>
        <v>0</v>
      </c>
      <c r="AC15" s="600"/>
      <c r="AD15" s="603"/>
      <c r="AE15" s="605"/>
      <c r="AI15" s="118">
        <f>(H15+K15+N15)/(AB9) *100</f>
        <v>43.095920078245079</v>
      </c>
      <c r="AJ15" s="584" t="s">
        <v>85</v>
      </c>
      <c r="AK15" s="584"/>
      <c r="AL15" s="606"/>
      <c r="AM15" s="119">
        <f>(H15+K15+N15)/(H15+K15+N15+P15+R15+V15)*100</f>
        <v>55.605633802816904</v>
      </c>
      <c r="AN15" s="584" t="s">
        <v>86</v>
      </c>
      <c r="AO15" s="584"/>
      <c r="AP15" s="585"/>
    </row>
    <row r="16" spans="2:49" ht="26.25" customHeight="1" thickBot="1" x14ac:dyDescent="0.3">
      <c r="B16" s="33" t="s">
        <v>32</v>
      </c>
      <c r="C16" s="620">
        <f>C15*AD7/1000</f>
        <v>4.16</v>
      </c>
      <c r="D16" s="615"/>
      <c r="E16" s="591"/>
      <c r="F16" s="621">
        <f>F15*AD7/1000</f>
        <v>0</v>
      </c>
      <c r="G16" s="622"/>
      <c r="H16" s="590">
        <f>H15*AD7/1000</f>
        <v>6.3049999999999997</v>
      </c>
      <c r="I16" s="615"/>
      <c r="J16" s="591"/>
      <c r="K16" s="590">
        <f>K15*AD7/1000</f>
        <v>6.5259999999999998</v>
      </c>
      <c r="L16" s="615"/>
      <c r="M16" s="591"/>
      <c r="N16" s="590">
        <f>N15*AD7/1000</f>
        <v>0</v>
      </c>
      <c r="O16" s="591"/>
      <c r="P16" s="590">
        <f>P15*AD7/1000</f>
        <v>0</v>
      </c>
      <c r="Q16" s="591"/>
      <c r="R16" s="590">
        <f>R15*AD7/1000</f>
        <v>10.244</v>
      </c>
      <c r="S16" s="615"/>
      <c r="T16" s="615"/>
      <c r="U16" s="591"/>
      <c r="V16" s="590">
        <f>V15*AD7/1000</f>
        <v>0</v>
      </c>
      <c r="W16" s="591"/>
      <c r="X16" s="225">
        <f>X15*AD7/1000</f>
        <v>2.5089999999999999</v>
      </c>
      <c r="Y16" s="219">
        <f>Y15*AD7</f>
        <v>29.120000000000005</v>
      </c>
      <c r="Z16" s="616">
        <f>Z15*AD7</f>
        <v>0</v>
      </c>
      <c r="AA16" s="617"/>
      <c r="AB16" s="616">
        <f>AB15*AF7</f>
        <v>0</v>
      </c>
      <c r="AC16" s="617"/>
      <c r="AD16" s="703">
        <f>AD15*AD7/1000</f>
        <v>0</v>
      </c>
      <c r="AE16" s="704"/>
      <c r="AI16" s="120">
        <f>(P15+R15+V15)/AB9*100</f>
        <v>34.406874388710357</v>
      </c>
      <c r="AJ16" s="608" t="s">
        <v>87</v>
      </c>
      <c r="AK16" s="608"/>
      <c r="AL16" s="619"/>
      <c r="AM16" s="121">
        <f>(P15+R15+V15)/(H15+K15+N15+P15+R15+V15)*100</f>
        <v>44.394366197183096</v>
      </c>
      <c r="AN16" s="608" t="s">
        <v>88</v>
      </c>
      <c r="AO16" s="608"/>
      <c r="AP16" s="609"/>
      <c r="AR16" s="194"/>
      <c r="AS16" s="194"/>
      <c r="AT16" s="194"/>
      <c r="AU16" s="194"/>
      <c r="AV16" s="194"/>
      <c r="AW16" s="194"/>
    </row>
    <row r="17" spans="1:49" ht="36" customHeight="1" thickBot="1" x14ac:dyDescent="0.3">
      <c r="B17" s="72" t="s">
        <v>14</v>
      </c>
      <c r="C17" s="610">
        <f>C16</f>
        <v>4.16</v>
      </c>
      <c r="D17" s="611"/>
      <c r="E17" s="612"/>
      <c r="F17" s="613">
        <f>F16</f>
        <v>0</v>
      </c>
      <c r="G17" s="614"/>
      <c r="H17" s="594">
        <f>H16*(1+E9-AT41)</f>
        <v>6.3049999999999997</v>
      </c>
      <c r="I17" s="611"/>
      <c r="J17" s="612"/>
      <c r="K17" s="594">
        <f>ROUND((K16+(K16*(F9-AT42))),3)</f>
        <v>6.5259999999999998</v>
      </c>
      <c r="L17" s="611"/>
      <c r="M17" s="612"/>
      <c r="N17" s="594">
        <f>ROUND((N16+(N16*(G9-AT43))),3)</f>
        <v>0</v>
      </c>
      <c r="O17" s="612"/>
      <c r="P17" s="594">
        <f>ROUND((P16+(P16*(I9-AT44))),3)</f>
        <v>0</v>
      </c>
      <c r="Q17" s="612"/>
      <c r="R17" s="594">
        <f>ROUND((R16+(R16*(K9-AT45))),3)</f>
        <v>10.244</v>
      </c>
      <c r="S17" s="611"/>
      <c r="T17" s="611"/>
      <c r="U17" s="612"/>
      <c r="V17" s="594">
        <f>ROUND((V16+(V16*(M9-AT46))),3)</f>
        <v>0</v>
      </c>
      <c r="W17" s="612"/>
      <c r="X17" s="220">
        <f>ROUND(X16-((H17-H16)+(K17-K16)+(N17-N16)+(P17-P16)+(R17-R16)+(V17-V16)),3)</f>
        <v>2.5089999999999999</v>
      </c>
      <c r="Y17" s="221">
        <f>Y16/Y14</f>
        <v>26</v>
      </c>
      <c r="Z17" s="592">
        <f>Z16/Z14</f>
        <v>0</v>
      </c>
      <c r="AA17" s="593"/>
      <c r="AB17" s="592">
        <f>AB16/AB14</f>
        <v>0</v>
      </c>
      <c r="AC17" s="593"/>
      <c r="AD17" s="613">
        <f>AD16</f>
        <v>0</v>
      </c>
      <c r="AE17" s="701"/>
      <c r="AI17" s="122">
        <f>SUM(AI15:AI16)</f>
        <v>77.502794466955436</v>
      </c>
      <c r="AJ17" s="596" t="s">
        <v>89</v>
      </c>
      <c r="AK17" s="596"/>
      <c r="AL17" s="597"/>
      <c r="AM17" s="123">
        <f>(C15+F15)/AB9*100</f>
        <v>13.972334777141263</v>
      </c>
      <c r="AN17" s="596" t="s">
        <v>90</v>
      </c>
      <c r="AO17" s="596"/>
      <c r="AP17" s="607"/>
      <c r="AR17" s="194"/>
      <c r="AS17" s="194"/>
      <c r="AT17" s="194"/>
      <c r="AU17" s="194"/>
      <c r="AV17" s="194"/>
      <c r="AW17" s="194"/>
    </row>
    <row r="18" spans="1:49" ht="5.25" customHeight="1" thickBot="1" x14ac:dyDescent="0.3">
      <c r="B18" s="398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4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R18" s="194"/>
      <c r="AS18" s="194"/>
      <c r="AT18" s="194"/>
      <c r="AU18" s="194"/>
      <c r="AV18" s="194"/>
      <c r="AW18" s="194"/>
    </row>
    <row r="19" spans="1:49" ht="22.5" customHeight="1" thickBot="1" x14ac:dyDescent="0.45">
      <c r="B19" s="373" t="s">
        <v>29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5"/>
      <c r="AI19" s="487" t="s">
        <v>27</v>
      </c>
      <c r="AJ19" s="457"/>
      <c r="AK19" s="457"/>
      <c r="AL19" s="457"/>
      <c r="AM19" s="457"/>
      <c r="AN19" s="457"/>
      <c r="AO19" s="458"/>
      <c r="AR19" s="564"/>
      <c r="AS19" s="564"/>
      <c r="AT19" s="564"/>
      <c r="AU19" s="564"/>
      <c r="AV19" s="194"/>
      <c r="AW19" s="194"/>
    </row>
    <row r="20" spans="1:49" ht="54" customHeight="1" thickBot="1" x14ac:dyDescent="0.3">
      <c r="B20" s="636" t="s">
        <v>75</v>
      </c>
      <c r="C20" s="637"/>
      <c r="D20" s="34" t="s">
        <v>60</v>
      </c>
      <c r="E20" s="34" t="s">
        <v>46</v>
      </c>
      <c r="F20" s="34" t="s">
        <v>62</v>
      </c>
      <c r="G20" s="638" t="s">
        <v>63</v>
      </c>
      <c r="H20" s="637"/>
      <c r="I20" s="638" t="s">
        <v>76</v>
      </c>
      <c r="J20" s="637"/>
      <c r="K20" s="638" t="s">
        <v>64</v>
      </c>
      <c r="L20" s="637"/>
      <c r="M20" s="638" t="s">
        <v>214</v>
      </c>
      <c r="N20" s="637"/>
      <c r="O20" s="638" t="s">
        <v>65</v>
      </c>
      <c r="P20" s="637"/>
      <c r="Q20" s="638" t="s">
        <v>65</v>
      </c>
      <c r="R20" s="637"/>
      <c r="S20" s="638" t="s">
        <v>65</v>
      </c>
      <c r="T20" s="639"/>
      <c r="U20" s="637"/>
      <c r="V20" s="70" t="s">
        <v>66</v>
      </c>
      <c r="W20" s="34" t="s">
        <v>69</v>
      </c>
      <c r="X20" s="34" t="s">
        <v>70</v>
      </c>
      <c r="Y20" s="214" t="s">
        <v>61</v>
      </c>
      <c r="Z20" s="623" t="s">
        <v>146</v>
      </c>
      <c r="AA20" s="624"/>
      <c r="AB20" s="623" t="s">
        <v>147</v>
      </c>
      <c r="AC20" s="624"/>
      <c r="AD20" s="623" t="s">
        <v>148</v>
      </c>
      <c r="AE20" s="625"/>
      <c r="AI20" s="7" t="s">
        <v>3</v>
      </c>
      <c r="AJ20" s="8" t="s">
        <v>16</v>
      </c>
      <c r="AK20" s="12" t="s">
        <v>15</v>
      </c>
      <c r="AL20" s="626" t="s">
        <v>23</v>
      </c>
      <c r="AM20" s="627"/>
      <c r="AN20" s="627"/>
      <c r="AO20" s="628"/>
      <c r="AR20" s="195"/>
      <c r="AS20" s="195"/>
      <c r="AT20" s="195"/>
      <c r="AU20" s="195"/>
      <c r="AV20" s="194"/>
      <c r="AW20" s="194"/>
    </row>
    <row r="21" spans="1:49" ht="20.100000000000001" customHeight="1" x14ac:dyDescent="0.3">
      <c r="A21" t="s">
        <v>34</v>
      </c>
      <c r="B21" s="229" t="s">
        <v>213</v>
      </c>
      <c r="C21" s="84"/>
      <c r="D21" s="83">
        <v>207</v>
      </c>
      <c r="E21" s="35"/>
      <c r="F21" s="36"/>
      <c r="G21" s="629"/>
      <c r="H21" s="630"/>
      <c r="I21" s="631">
        <v>0</v>
      </c>
      <c r="J21" s="632"/>
      <c r="K21" s="85">
        <v>690</v>
      </c>
      <c r="L21" s="37"/>
      <c r="M21" s="85">
        <v>490</v>
      </c>
      <c r="N21" s="37"/>
      <c r="O21" s="85"/>
      <c r="P21" s="37"/>
      <c r="Q21" s="85"/>
      <c r="R21" s="37"/>
      <c r="S21" s="85"/>
      <c r="U21" s="37"/>
      <c r="V21" s="226"/>
      <c r="W21" s="226">
        <f>V21+I21</f>
        <v>0</v>
      </c>
      <c r="X21" s="86">
        <f t="shared" ref="X21:X27" si="0">(IF(W21="","",((W21/$AD$7)+$X$15)))</f>
        <v>193</v>
      </c>
      <c r="Y21" s="87">
        <f>IF(X21="","",(X21/(SUM($C$15:$G$15))))</f>
        <v>0.60312500000000002</v>
      </c>
      <c r="Z21" s="202"/>
      <c r="AA21" s="227"/>
      <c r="AB21" s="202"/>
      <c r="AC21" s="200"/>
      <c r="AD21" s="202"/>
      <c r="AE21" s="204"/>
      <c r="AI21" s="161" t="s">
        <v>0</v>
      </c>
      <c r="AJ21" s="1">
        <v>376</v>
      </c>
      <c r="AK21" s="2">
        <v>3.03</v>
      </c>
      <c r="AL21" s="633" t="s">
        <v>20</v>
      </c>
      <c r="AM21" s="634"/>
      <c r="AN21" s="634"/>
      <c r="AO21" s="635"/>
      <c r="AR21" s="196"/>
      <c r="AS21" s="197"/>
      <c r="AT21" s="148"/>
      <c r="AU21" s="149"/>
      <c r="AV21" s="194"/>
      <c r="AW21" s="194"/>
    </row>
    <row r="22" spans="1:49" ht="20.100000000000001" customHeight="1" x14ac:dyDescent="0.3">
      <c r="B22" s="79" t="s">
        <v>178</v>
      </c>
      <c r="C22" s="84"/>
      <c r="D22" s="83">
        <v>208</v>
      </c>
      <c r="E22" s="35"/>
      <c r="F22" s="36"/>
      <c r="G22" s="629"/>
      <c r="H22" s="630"/>
      <c r="I22" s="631"/>
      <c r="J22" s="632"/>
      <c r="K22" s="85"/>
      <c r="L22" s="37"/>
      <c r="M22" s="85"/>
      <c r="N22" s="37"/>
      <c r="O22" s="85"/>
      <c r="P22" s="37"/>
      <c r="Q22" s="85"/>
      <c r="R22" s="37"/>
      <c r="S22" s="85"/>
      <c r="U22" s="37"/>
      <c r="V22" s="226"/>
      <c r="W22" s="226">
        <f t="shared" ref="W22:W27" si="1">V22+I22</f>
        <v>0</v>
      </c>
      <c r="X22" s="86">
        <f t="shared" si="0"/>
        <v>193</v>
      </c>
      <c r="Y22" s="87">
        <f t="shared" ref="Y22:Y27" si="2">IF(X22="","",(X22/(SUM($C$15:$G$15))))</f>
        <v>0.60312500000000002</v>
      </c>
      <c r="Z22" s="202"/>
      <c r="AA22" s="227"/>
      <c r="AB22" s="202"/>
      <c r="AC22" s="200"/>
      <c r="AD22" s="202"/>
      <c r="AE22" s="204"/>
      <c r="AI22" s="162" t="s">
        <v>5</v>
      </c>
      <c r="AJ22" s="3">
        <v>0</v>
      </c>
      <c r="AK22" s="4">
        <v>2.2000000000000002</v>
      </c>
      <c r="AL22" s="117" t="str">
        <f>AI23</f>
        <v>Areia 1</v>
      </c>
      <c r="AM22" s="110" t="str">
        <f>AI24</f>
        <v>Areia 2</v>
      </c>
      <c r="AN22" s="110" t="str">
        <f>AI25</f>
        <v>Areia 3</v>
      </c>
      <c r="AO22" s="113"/>
      <c r="AR22" s="196"/>
      <c r="AS22" s="147"/>
      <c r="AT22" s="148"/>
      <c r="AU22" s="149"/>
      <c r="AV22" s="194"/>
      <c r="AW22" s="194"/>
    </row>
    <row r="23" spans="1:49" ht="20.100000000000001" customHeight="1" thickBot="1" x14ac:dyDescent="0.35">
      <c r="B23" s="79" t="s">
        <v>180</v>
      </c>
      <c r="C23" s="84"/>
      <c r="D23" s="83">
        <v>209</v>
      </c>
      <c r="E23" s="35"/>
      <c r="F23" s="36"/>
      <c r="G23" s="629"/>
      <c r="H23" s="630"/>
      <c r="I23" s="631"/>
      <c r="J23" s="632"/>
      <c r="K23" s="85"/>
      <c r="L23" s="37"/>
      <c r="M23" s="85"/>
      <c r="N23" s="37"/>
      <c r="O23" s="85"/>
      <c r="P23" s="37"/>
      <c r="Q23" s="85"/>
      <c r="R23" s="37"/>
      <c r="S23" s="85"/>
      <c r="U23" s="37"/>
      <c r="V23" s="226"/>
      <c r="W23" s="226">
        <f t="shared" si="1"/>
        <v>0</v>
      </c>
      <c r="X23" s="86">
        <f t="shared" si="0"/>
        <v>193</v>
      </c>
      <c r="Y23" s="87">
        <f t="shared" si="2"/>
        <v>0.60312500000000002</v>
      </c>
      <c r="Z23" s="202"/>
      <c r="AA23" s="227"/>
      <c r="AB23" s="202"/>
      <c r="AC23" s="200"/>
      <c r="AD23" s="202"/>
      <c r="AE23" s="204"/>
      <c r="AI23" s="162" t="s">
        <v>8</v>
      </c>
      <c r="AJ23" s="3">
        <v>689</v>
      </c>
      <c r="AK23" s="4">
        <v>2.57</v>
      </c>
      <c r="AL23" s="111">
        <f>ROUND(AJ23/AK23/(AJ23/AK23+AJ24/AK24+AJ25/AK25*AK30),3)</f>
        <v>0.9</v>
      </c>
      <c r="AM23" s="112">
        <f>ROUND(AJ24/AK24/(AJ23/AK23+AJ24/AK24+AJ25/AK25*AK30),3)</f>
        <v>0.1</v>
      </c>
      <c r="AN23" s="112">
        <f>ROUND(AJ25/AK25*AK30/(AJ23/AK23+AJ24/AK24+AJ25/AK25*AK30),3)</f>
        <v>0</v>
      </c>
      <c r="AO23" s="115"/>
      <c r="AR23" s="198"/>
      <c r="AS23" s="197"/>
      <c r="AT23" s="148"/>
      <c r="AU23" s="149"/>
      <c r="AV23" s="194"/>
      <c r="AW23" s="194"/>
    </row>
    <row r="24" spans="1:49" ht="20.100000000000001" customHeight="1" x14ac:dyDescent="0.3">
      <c r="B24" s="79"/>
      <c r="C24" s="84"/>
      <c r="D24" s="83"/>
      <c r="E24" s="35"/>
      <c r="F24" s="36"/>
      <c r="G24" s="629"/>
      <c r="H24" s="630"/>
      <c r="I24" s="631"/>
      <c r="J24" s="632"/>
      <c r="K24" s="85"/>
      <c r="L24" s="37"/>
      <c r="M24" s="85"/>
      <c r="N24" s="37"/>
      <c r="O24" s="85"/>
      <c r="P24" s="37"/>
      <c r="Q24" s="85"/>
      <c r="R24" s="37"/>
      <c r="S24" s="85"/>
      <c r="U24" s="37"/>
      <c r="V24" s="226"/>
      <c r="W24" s="226">
        <f t="shared" si="1"/>
        <v>0</v>
      </c>
      <c r="X24" s="86">
        <f t="shared" si="0"/>
        <v>193</v>
      </c>
      <c r="Y24" s="87">
        <f t="shared" si="2"/>
        <v>0.60312500000000002</v>
      </c>
      <c r="Z24" s="202"/>
      <c r="AA24" s="227"/>
      <c r="AB24" s="202"/>
      <c r="AC24" s="200"/>
      <c r="AD24" s="202"/>
      <c r="AE24" s="204"/>
      <c r="AI24" s="162" t="s">
        <v>9</v>
      </c>
      <c r="AJ24" s="3">
        <v>79</v>
      </c>
      <c r="AK24" s="5">
        <v>2.66</v>
      </c>
      <c r="AL24" s="633" t="s">
        <v>21</v>
      </c>
      <c r="AM24" s="634"/>
      <c r="AN24" s="634"/>
      <c r="AO24" s="635"/>
      <c r="AR24" s="196"/>
      <c r="AS24" s="197"/>
      <c r="AT24" s="199"/>
      <c r="AU24" s="149"/>
      <c r="AV24" s="194"/>
      <c r="AW24" s="194"/>
    </row>
    <row r="25" spans="1:49" ht="20.100000000000001" customHeight="1" x14ac:dyDescent="0.3">
      <c r="B25" s="79"/>
      <c r="C25" s="84"/>
      <c r="D25" s="83"/>
      <c r="E25" s="35"/>
      <c r="F25" s="36"/>
      <c r="G25" s="629"/>
      <c r="H25" s="630"/>
      <c r="I25" s="631"/>
      <c r="J25" s="632"/>
      <c r="K25" s="85"/>
      <c r="L25" s="37"/>
      <c r="M25" s="85"/>
      <c r="N25" s="37"/>
      <c r="O25" s="85"/>
      <c r="P25" s="37"/>
      <c r="Q25" s="85"/>
      <c r="R25" s="37"/>
      <c r="S25" s="85"/>
      <c r="T25" s="38"/>
      <c r="U25" s="37"/>
      <c r="V25" s="226"/>
      <c r="W25" s="226">
        <f t="shared" si="1"/>
        <v>0</v>
      </c>
      <c r="X25" s="86">
        <f t="shared" si="0"/>
        <v>193</v>
      </c>
      <c r="Y25" s="87">
        <f t="shared" si="2"/>
        <v>0.60312500000000002</v>
      </c>
      <c r="Z25" s="202"/>
      <c r="AA25" s="227"/>
      <c r="AB25" s="202"/>
      <c r="AC25" s="200"/>
      <c r="AD25" s="202"/>
      <c r="AE25" s="204"/>
      <c r="AI25" s="163" t="s">
        <v>10</v>
      </c>
      <c r="AJ25" s="3">
        <v>0</v>
      </c>
      <c r="AK25" s="5">
        <v>2.7</v>
      </c>
      <c r="AL25" s="117" t="str">
        <f>AI25</f>
        <v>Areia 3</v>
      </c>
      <c r="AM25" s="110" t="str">
        <f>AI26</f>
        <v>Brita 0</v>
      </c>
      <c r="AN25" s="110" t="str">
        <f>AI27</f>
        <v>Brita 1</v>
      </c>
      <c r="AO25" s="113" t="str">
        <f>AI28</f>
        <v>Brita 2</v>
      </c>
      <c r="AR25" s="198"/>
      <c r="AS25" s="197"/>
      <c r="AT25" s="199"/>
      <c r="AU25" s="149"/>
      <c r="AV25" s="194"/>
      <c r="AW25" s="194"/>
    </row>
    <row r="26" spans="1:49" ht="20.100000000000001" customHeight="1" thickBot="1" x14ac:dyDescent="0.35">
      <c r="B26" s="79"/>
      <c r="C26" s="84"/>
      <c r="D26" s="83"/>
      <c r="E26" s="35"/>
      <c r="F26" s="36"/>
      <c r="G26" s="629"/>
      <c r="H26" s="630"/>
      <c r="I26" s="631"/>
      <c r="J26" s="632"/>
      <c r="K26" s="85"/>
      <c r="L26" s="37"/>
      <c r="M26" s="85"/>
      <c r="N26" s="37"/>
      <c r="O26" s="85"/>
      <c r="P26" s="37"/>
      <c r="Q26" s="85"/>
      <c r="R26" s="37"/>
      <c r="S26" s="85"/>
      <c r="T26" s="38"/>
      <c r="U26" s="37"/>
      <c r="V26" s="226"/>
      <c r="W26" s="226">
        <f t="shared" si="1"/>
        <v>0</v>
      </c>
      <c r="X26" s="86">
        <f t="shared" si="0"/>
        <v>193</v>
      </c>
      <c r="Y26" s="87">
        <f t="shared" si="2"/>
        <v>0.60312500000000002</v>
      </c>
      <c r="Z26" s="202"/>
      <c r="AA26" s="227"/>
      <c r="AB26" s="202"/>
      <c r="AC26" s="200"/>
      <c r="AD26" s="202"/>
      <c r="AE26" s="204"/>
      <c r="AI26" s="162" t="s">
        <v>1</v>
      </c>
      <c r="AJ26" s="3">
        <v>210</v>
      </c>
      <c r="AK26" s="5">
        <v>2.67</v>
      </c>
      <c r="AL26" s="111">
        <f>ROUND(AJ25/AK25*(1-AK30)/(AJ25/AK25*(1-AK30)+AJ26/AK26+AJ27/AK27+AJ28/AK28),3)</f>
        <v>0</v>
      </c>
      <c r="AM26" s="112">
        <f>ROUND(AJ26/AK26/(AJ25/AK25*(1-AK30)+AJ26/AK26+AJ27/AK27+AJ28/AK28),3)</f>
        <v>0.20100000000000001</v>
      </c>
      <c r="AN26" s="112">
        <f>ROUND(AJ27/AK27/(AJ25/AK25*(1-AK30)+AJ26/AK26+AJ27/AK27+AJ28/AK28),3)</f>
        <v>0.79900000000000004</v>
      </c>
      <c r="AO26" s="114">
        <f>ROUND(AJ28/AK28/(AJ25/AK25*(1-AK30)+AJ26/AK26+AJ27/AK27+AJ28/AK28),3)</f>
        <v>0</v>
      </c>
      <c r="AR26" s="198"/>
      <c r="AS26" s="197"/>
      <c r="AT26" s="148"/>
      <c r="AU26" s="149"/>
      <c r="AV26" s="194"/>
      <c r="AW26" s="194"/>
    </row>
    <row r="27" spans="1:49" ht="20.100000000000001" customHeight="1" thickBot="1" x14ac:dyDescent="0.35">
      <c r="B27" s="79"/>
      <c r="C27" s="84"/>
      <c r="D27" s="83"/>
      <c r="E27" s="35"/>
      <c r="F27" s="36"/>
      <c r="G27" s="629"/>
      <c r="H27" s="630"/>
      <c r="I27" s="631"/>
      <c r="J27" s="632"/>
      <c r="K27" s="85"/>
      <c r="L27" s="37"/>
      <c r="M27" s="85"/>
      <c r="N27" s="37"/>
      <c r="O27" s="85"/>
      <c r="P27" s="37"/>
      <c r="Q27" s="85"/>
      <c r="R27" s="37"/>
      <c r="S27" s="85"/>
      <c r="T27" s="38"/>
      <c r="U27" s="37"/>
      <c r="V27" s="226"/>
      <c r="W27" s="226">
        <f t="shared" si="1"/>
        <v>0</v>
      </c>
      <c r="X27" s="86">
        <f t="shared" si="0"/>
        <v>193</v>
      </c>
      <c r="Y27" s="87">
        <f t="shared" si="2"/>
        <v>0.60312500000000002</v>
      </c>
      <c r="Z27" s="203"/>
      <c r="AA27" s="227"/>
      <c r="AB27" s="203"/>
      <c r="AC27" s="200"/>
      <c r="AD27" s="203"/>
      <c r="AE27" s="204"/>
      <c r="AI27" s="162" t="s">
        <v>11</v>
      </c>
      <c r="AJ27" s="3">
        <v>839</v>
      </c>
      <c r="AK27" s="5">
        <v>2.69</v>
      </c>
      <c r="AL27" s="633" t="s">
        <v>25</v>
      </c>
      <c r="AM27" s="634"/>
      <c r="AN27" s="640"/>
      <c r="AO27" s="116">
        <f>(AJ21/AK21+AJ22/AK22+AJ23/AK23+AJ24/AK24+(AJ25*AK30)/AK25)/(AJ21/AK21+AJ22/AK22+AJ23/AK23+AJ24/AK24+AJ25/AK25+AJ26/AK26+AJ27/AK27+AJ28/AK28)</f>
        <v>0.51928618134394056</v>
      </c>
      <c r="AR27" s="198"/>
      <c r="AS27" s="197"/>
      <c r="AT27" s="148"/>
      <c r="AU27" s="149"/>
      <c r="AV27" s="194"/>
      <c r="AW27" s="194"/>
    </row>
    <row r="28" spans="1:49" ht="20.100000000000001" customHeight="1" x14ac:dyDescent="0.3">
      <c r="B28" s="494" t="s">
        <v>58</v>
      </c>
      <c r="C28" s="495"/>
      <c r="D28" s="223">
        <v>1</v>
      </c>
      <c r="E28" s="500" t="s">
        <v>40</v>
      </c>
      <c r="F28" s="223">
        <v>2</v>
      </c>
      <c r="G28" s="503" t="s">
        <v>41</v>
      </c>
      <c r="H28" s="504"/>
      <c r="I28" s="223">
        <v>3</v>
      </c>
      <c r="J28" s="39"/>
      <c r="K28" s="503" t="s">
        <v>42</v>
      </c>
      <c r="L28" s="504"/>
      <c r="M28" s="223">
        <v>4</v>
      </c>
      <c r="N28" s="39"/>
      <c r="O28" s="503" t="s">
        <v>43</v>
      </c>
      <c r="P28" s="504"/>
      <c r="Q28" s="223">
        <v>5</v>
      </c>
      <c r="R28" s="223"/>
      <c r="S28" s="503" t="s">
        <v>67</v>
      </c>
      <c r="T28" s="509"/>
      <c r="U28" s="504"/>
      <c r="V28" s="223">
        <v>6</v>
      </c>
      <c r="W28" s="500" t="s">
        <v>68</v>
      </c>
      <c r="X28" s="223">
        <v>7</v>
      </c>
      <c r="Y28" s="500" t="s">
        <v>74</v>
      </c>
      <c r="Z28" s="532" t="s">
        <v>44</v>
      </c>
      <c r="AA28" s="533"/>
      <c r="AB28" s="533"/>
      <c r="AC28" s="533"/>
      <c r="AD28" s="533"/>
      <c r="AE28" s="534"/>
      <c r="AI28" s="164" t="s">
        <v>19</v>
      </c>
      <c r="AJ28" s="96">
        <v>0</v>
      </c>
      <c r="AK28" s="97">
        <v>1</v>
      </c>
      <c r="AL28" s="641" t="s">
        <v>80</v>
      </c>
      <c r="AM28" s="642"/>
      <c r="AN28" s="643"/>
      <c r="AO28" s="98">
        <f>SUM(AJ21/AK21+AJ22/AK22+AJ23/AK23+AJ24/AK24+AJ25/AK25+AJ26/AK26+AJ27/AK27+AJ28/AK28+AJ29/AK29)</f>
        <v>1000.4326387491603</v>
      </c>
      <c r="AR28" s="198"/>
      <c r="AS28" s="197"/>
      <c r="AT28" s="148"/>
      <c r="AU28" s="149"/>
      <c r="AV28" s="194"/>
      <c r="AW28" s="194"/>
    </row>
    <row r="29" spans="1:49" ht="20.100000000000001" customHeight="1" thickBot="1" x14ac:dyDescent="0.35">
      <c r="B29" s="496"/>
      <c r="C29" s="497"/>
      <c r="D29" s="41"/>
      <c r="E29" s="501"/>
      <c r="F29" s="40"/>
      <c r="G29" s="505"/>
      <c r="H29" s="506"/>
      <c r="I29" s="41"/>
      <c r="J29" s="41"/>
      <c r="K29" s="505"/>
      <c r="L29" s="506"/>
      <c r="M29" s="41"/>
      <c r="N29" s="41"/>
      <c r="O29" s="505"/>
      <c r="P29" s="506"/>
      <c r="Q29" s="41"/>
      <c r="R29" s="41"/>
      <c r="S29" s="505"/>
      <c r="T29" s="510"/>
      <c r="U29" s="506"/>
      <c r="V29" s="41"/>
      <c r="W29" s="501"/>
      <c r="X29" s="41"/>
      <c r="Y29" s="501"/>
      <c r="Z29" s="535"/>
      <c r="AA29" s="536"/>
      <c r="AB29" s="536"/>
      <c r="AC29" s="536"/>
      <c r="AD29" s="536"/>
      <c r="AE29" s="537"/>
      <c r="AI29" s="165" t="s">
        <v>2</v>
      </c>
      <c r="AJ29" s="99">
        <v>188</v>
      </c>
      <c r="AK29" s="100">
        <v>1</v>
      </c>
      <c r="AL29" s="644" t="s">
        <v>24</v>
      </c>
      <c r="AM29" s="645"/>
      <c r="AN29" s="646"/>
      <c r="AO29" s="101">
        <f>(1000-AO28)/1000</f>
        <v>-4.3263874916033273E-4</v>
      </c>
      <c r="AR29" s="198"/>
      <c r="AS29" s="197"/>
      <c r="AT29" s="148"/>
      <c r="AU29" s="149"/>
      <c r="AV29" s="194"/>
      <c r="AW29" s="194"/>
    </row>
    <row r="30" spans="1:49" ht="20.100000000000001" customHeight="1" thickBot="1" x14ac:dyDescent="0.35">
      <c r="B30" s="496"/>
      <c r="C30" s="497"/>
      <c r="D30" s="41"/>
      <c r="E30" s="501"/>
      <c r="F30" s="41"/>
      <c r="G30" s="505"/>
      <c r="H30" s="506"/>
      <c r="I30" s="41"/>
      <c r="J30" s="41"/>
      <c r="K30" s="505"/>
      <c r="L30" s="506"/>
      <c r="M30" s="41"/>
      <c r="N30" s="41"/>
      <c r="O30" s="505"/>
      <c r="P30" s="506"/>
      <c r="Q30" s="41"/>
      <c r="R30" s="41"/>
      <c r="S30" s="505"/>
      <c r="T30" s="510"/>
      <c r="U30" s="506"/>
      <c r="V30" s="41"/>
      <c r="W30" s="501"/>
      <c r="X30" s="41"/>
      <c r="Y30" s="501"/>
      <c r="Z30" s="535"/>
      <c r="AA30" s="536"/>
      <c r="AB30" s="536"/>
      <c r="AC30" s="536"/>
      <c r="AD30" s="536"/>
      <c r="AE30" s="537"/>
      <c r="AI30" s="102" t="s">
        <v>22</v>
      </c>
      <c r="AJ30" s="103"/>
      <c r="AK30" s="104">
        <v>0.7</v>
      </c>
      <c r="AL30" s="647" t="s">
        <v>26</v>
      </c>
      <c r="AM30" s="648"/>
      <c r="AN30" s="649"/>
      <c r="AO30" s="105">
        <f>AJ29/AJ21</f>
        <v>0.5</v>
      </c>
      <c r="AR30" s="198"/>
      <c r="AS30" s="147"/>
      <c r="AT30" s="148"/>
      <c r="AU30" s="149"/>
      <c r="AV30" s="194"/>
      <c r="AW30" s="194"/>
    </row>
    <row r="31" spans="1:49" ht="20.100000000000001" customHeight="1" thickBot="1" x14ac:dyDescent="0.35">
      <c r="B31" s="498"/>
      <c r="C31" s="499"/>
      <c r="D31" s="42"/>
      <c r="E31" s="502"/>
      <c r="F31" s="42"/>
      <c r="G31" s="507"/>
      <c r="H31" s="508"/>
      <c r="I31" s="42"/>
      <c r="J31" s="42"/>
      <c r="K31" s="507"/>
      <c r="L31" s="508"/>
      <c r="M31" s="42"/>
      <c r="N31" s="42"/>
      <c r="O31" s="507"/>
      <c r="P31" s="508"/>
      <c r="Q31" s="42"/>
      <c r="R31" s="42"/>
      <c r="S31" s="507"/>
      <c r="T31" s="511"/>
      <c r="U31" s="508"/>
      <c r="V31" s="42"/>
      <c r="W31" s="502"/>
      <c r="X31" s="42"/>
      <c r="Y31" s="502"/>
      <c r="Z31" s="538"/>
      <c r="AA31" s="539"/>
      <c r="AB31" s="539"/>
      <c r="AC31" s="539"/>
      <c r="AD31" s="539"/>
      <c r="AE31" s="540"/>
      <c r="AI31" s="106" t="s">
        <v>35</v>
      </c>
      <c r="AJ31" s="107">
        <f>AJ25*AK30</f>
        <v>0</v>
      </c>
      <c r="AK31" s="108">
        <f>AJ25-AJ31</f>
        <v>0</v>
      </c>
      <c r="AL31" s="650" t="s">
        <v>36</v>
      </c>
      <c r="AM31" s="651"/>
      <c r="AN31" s="651"/>
      <c r="AO31" s="109">
        <f>ROUND((AJ22/AJ21),3)</f>
        <v>0</v>
      </c>
      <c r="AR31" s="198"/>
      <c r="AS31" s="147"/>
      <c r="AT31" s="148"/>
      <c r="AU31" s="149"/>
      <c r="AV31" s="194"/>
      <c r="AW31" s="194"/>
    </row>
    <row r="32" spans="1:49" ht="18.75" customHeight="1" thickBot="1" x14ac:dyDescent="0.3">
      <c r="B32" s="524" t="s">
        <v>101</v>
      </c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6"/>
      <c r="Z32" s="525"/>
      <c r="AA32" s="525"/>
      <c r="AB32" s="525"/>
      <c r="AC32" s="525"/>
      <c r="AD32" s="525"/>
      <c r="AE32" s="527"/>
      <c r="AI32" s="90"/>
      <c r="AJ32" s="89"/>
      <c r="AK32" s="91"/>
      <c r="AL32" s="528"/>
      <c r="AM32" s="528"/>
      <c r="AN32" s="528"/>
      <c r="AO32" s="93"/>
      <c r="AR32" s="198"/>
      <c r="AS32" s="147"/>
      <c r="AT32" s="148"/>
      <c r="AU32" s="149"/>
      <c r="AV32" s="194"/>
      <c r="AW32" s="194"/>
    </row>
    <row r="33" spans="2:51" ht="20.100000000000001" customHeight="1" thickBot="1" x14ac:dyDescent="0.35">
      <c r="B33" s="73" t="s">
        <v>38</v>
      </c>
      <c r="C33" s="74"/>
      <c r="D33" s="7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213" t="s">
        <v>114</v>
      </c>
      <c r="W33" s="652" t="s">
        <v>120</v>
      </c>
      <c r="X33" s="653"/>
      <c r="Y33" s="208"/>
      <c r="Z33" s="654" t="s">
        <v>133</v>
      </c>
      <c r="AA33" s="652"/>
      <c r="AB33" s="652"/>
      <c r="AC33" s="652"/>
      <c r="AD33" s="653"/>
      <c r="AE33" s="44"/>
      <c r="AI33" s="92"/>
      <c r="AJ33" s="92"/>
      <c r="AK33" s="95"/>
      <c r="AL33" s="528"/>
      <c r="AM33" s="528"/>
      <c r="AN33" s="528"/>
      <c r="AO33" s="94"/>
      <c r="AR33" s="198"/>
      <c r="AS33" s="147"/>
      <c r="AT33" s="148"/>
      <c r="AU33" s="149"/>
      <c r="AV33" s="194"/>
      <c r="AW33" s="194"/>
    </row>
    <row r="34" spans="2:51" ht="20.100000000000001" customHeight="1" thickBot="1" x14ac:dyDescent="0.35">
      <c r="B34" s="68"/>
      <c r="C34" s="69"/>
      <c r="D34" s="6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206" t="s">
        <v>116</v>
      </c>
      <c r="W34" s="512" t="s">
        <v>121</v>
      </c>
      <c r="X34" s="513"/>
      <c r="Y34" s="209"/>
      <c r="Z34" s="654" t="s">
        <v>114</v>
      </c>
      <c r="AA34" s="655"/>
      <c r="AB34" s="656" t="s">
        <v>126</v>
      </c>
      <c r="AC34" s="656"/>
      <c r="AD34" s="657"/>
      <c r="AE34" s="44"/>
      <c r="AI34" s="92"/>
      <c r="AJ34" s="92"/>
      <c r="AK34" s="95"/>
      <c r="AL34" s="228"/>
      <c r="AM34" s="228"/>
      <c r="AN34" s="228"/>
      <c r="AO34" s="94"/>
      <c r="AR34" s="146"/>
      <c r="AS34" s="147"/>
      <c r="AT34" s="148"/>
      <c r="AU34" s="149"/>
      <c r="AV34" s="194"/>
      <c r="AW34" s="194"/>
    </row>
    <row r="35" spans="2:51" ht="20.100000000000001" customHeight="1" x14ac:dyDescent="0.3">
      <c r="B35" s="68"/>
      <c r="C35" s="69"/>
      <c r="D35" s="6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06" t="s">
        <v>117</v>
      </c>
      <c r="W35" s="518" t="s">
        <v>122</v>
      </c>
      <c r="X35" s="519"/>
      <c r="Y35" s="210"/>
      <c r="Z35" s="520" t="s">
        <v>127</v>
      </c>
      <c r="AA35" s="521"/>
      <c r="AB35" s="512" t="s">
        <v>130</v>
      </c>
      <c r="AC35" s="512"/>
      <c r="AD35" s="513"/>
      <c r="AE35" s="44"/>
      <c r="AI35" s="92"/>
      <c r="AJ35" s="92"/>
      <c r="AK35" s="95"/>
      <c r="AL35" s="228"/>
      <c r="AM35" s="228"/>
      <c r="AN35" s="228"/>
      <c r="AO35" s="94"/>
    </row>
    <row r="36" spans="2:51" ht="20.100000000000001" customHeight="1" x14ac:dyDescent="0.3">
      <c r="B36" s="68"/>
      <c r="C36" s="69"/>
      <c r="D36" s="6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206" t="s">
        <v>115</v>
      </c>
      <c r="W36" s="518" t="s">
        <v>123</v>
      </c>
      <c r="X36" s="519"/>
      <c r="Y36" s="211"/>
      <c r="Z36" s="560" t="s">
        <v>128</v>
      </c>
      <c r="AA36" s="561"/>
      <c r="AB36" s="518" t="s">
        <v>131</v>
      </c>
      <c r="AC36" s="518"/>
      <c r="AD36" s="519"/>
      <c r="AE36" s="44"/>
      <c r="AI36" s="92"/>
      <c r="AJ36" s="92"/>
      <c r="AK36" s="95"/>
      <c r="AL36" s="228"/>
      <c r="AM36" s="228"/>
      <c r="AN36" s="228"/>
      <c r="AO36" s="94"/>
    </row>
    <row r="37" spans="2:51" ht="20.100000000000001" customHeight="1" thickBot="1" x14ac:dyDescent="0.35">
      <c r="B37" s="68"/>
      <c r="C37" s="69"/>
      <c r="D37" s="6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206" t="s">
        <v>118</v>
      </c>
      <c r="W37" s="518" t="s">
        <v>124</v>
      </c>
      <c r="X37" s="519"/>
      <c r="Y37" s="209"/>
      <c r="Z37" s="562" t="s">
        <v>129</v>
      </c>
      <c r="AA37" s="563"/>
      <c r="AB37" s="551" t="s">
        <v>132</v>
      </c>
      <c r="AC37" s="551"/>
      <c r="AD37" s="552"/>
      <c r="AE37" s="44"/>
      <c r="AI37" s="92"/>
      <c r="AJ37" s="92"/>
      <c r="AK37" s="95"/>
      <c r="AL37" s="228"/>
      <c r="AM37" s="228"/>
      <c r="AN37" s="228"/>
      <c r="AO37" s="94"/>
    </row>
    <row r="38" spans="2:51" ht="20.100000000000001" customHeight="1" thickBot="1" x14ac:dyDescent="0.3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07" t="s">
        <v>119</v>
      </c>
      <c r="W38" s="551" t="s">
        <v>125</v>
      </c>
      <c r="X38" s="552"/>
      <c r="Y38" s="46"/>
      <c r="Z38" s="212"/>
      <c r="AA38" s="212"/>
      <c r="AB38" s="212"/>
      <c r="AC38" s="212"/>
      <c r="AD38" s="212"/>
      <c r="AE38" s="47"/>
      <c r="AI38" s="9"/>
      <c r="AJ38" s="9"/>
      <c r="AK38" s="10"/>
      <c r="AL38" s="6"/>
      <c r="AM38" s="6"/>
      <c r="AN38" s="6"/>
      <c r="AO38" s="11"/>
    </row>
    <row r="39" spans="2:51" ht="20.100000000000001" customHeight="1" thickBot="1" x14ac:dyDescent="0.45">
      <c r="B39" s="553" t="s">
        <v>33</v>
      </c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53"/>
      <c r="AE39" s="553"/>
      <c r="AI39" s="554" t="s">
        <v>109</v>
      </c>
      <c r="AJ39" s="555"/>
      <c r="AK39" s="555"/>
      <c r="AL39" s="556"/>
      <c r="AM39" s="124"/>
      <c r="AN39" s="554" t="s">
        <v>91</v>
      </c>
      <c r="AO39" s="555"/>
      <c r="AP39" s="555"/>
      <c r="AQ39" s="556"/>
      <c r="AS39" s="554" t="s">
        <v>102</v>
      </c>
      <c r="AT39" s="556"/>
      <c r="AU39" s="124"/>
      <c r="AV39" s="557" t="s">
        <v>103</v>
      </c>
      <c r="AW39" s="558"/>
      <c r="AX39" s="558"/>
      <c r="AY39" s="559"/>
    </row>
    <row r="40" spans="2:51" ht="29.25" customHeight="1" thickBot="1" x14ac:dyDescent="0.3">
      <c r="B40" s="550" t="s">
        <v>28</v>
      </c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I40" s="190" t="s">
        <v>110</v>
      </c>
      <c r="AJ40" s="125" t="s">
        <v>92</v>
      </c>
      <c r="AK40" s="125" t="s">
        <v>93</v>
      </c>
      <c r="AL40" s="126" t="s">
        <v>94</v>
      </c>
      <c r="AM40" s="127"/>
      <c r="AN40" s="128" t="s">
        <v>95</v>
      </c>
      <c r="AO40" s="129" t="s">
        <v>96</v>
      </c>
      <c r="AP40" s="129" t="s">
        <v>97</v>
      </c>
      <c r="AQ40" s="130" t="s">
        <v>98</v>
      </c>
      <c r="AS40" s="177" t="s">
        <v>95</v>
      </c>
      <c r="AT40" s="178" t="s">
        <v>104</v>
      </c>
      <c r="AU40" s="124"/>
      <c r="AV40" s="179" t="s">
        <v>105</v>
      </c>
      <c r="AW40" s="180" t="s">
        <v>106</v>
      </c>
      <c r="AX40" s="180" t="s">
        <v>107</v>
      </c>
      <c r="AY40" s="181" t="s">
        <v>108</v>
      </c>
    </row>
    <row r="41" spans="2:51" ht="20.100000000000001" customHeight="1" x14ac:dyDescent="0.25">
      <c r="AI41" s="131">
        <v>1</v>
      </c>
      <c r="AJ41" s="132">
        <v>4.6900000000000004</v>
      </c>
      <c r="AK41" s="133">
        <f>(AJ41-AI41)/(PI()/2)</f>
        <v>2.3491269600363753</v>
      </c>
      <c r="AL41" s="134">
        <f>100*(1-1/AY41)</f>
        <v>0.39373064657488577</v>
      </c>
      <c r="AM41" s="124"/>
      <c r="AN41" s="158" t="str">
        <f>H11</f>
        <v>Areia 1</v>
      </c>
      <c r="AO41" s="135">
        <v>0.5</v>
      </c>
      <c r="AP41" s="135">
        <v>0.5</v>
      </c>
      <c r="AQ41" s="136">
        <f t="shared" ref="AQ41:AQ46" si="3">(AO41-AP41)/AP41*100</f>
        <v>0</v>
      </c>
      <c r="AS41" s="182" t="str">
        <f t="shared" ref="AS41:AS46" si="4">AN41</f>
        <v>Areia 1</v>
      </c>
      <c r="AT41" s="191">
        <v>0</v>
      </c>
      <c r="AU41" s="124"/>
      <c r="AV41" s="183">
        <f t="shared" ref="AV41:AV48" si="5">SUM($C$15:$X$15)/AK41/1000</f>
        <v>0.97397886062512828</v>
      </c>
      <c r="AW41" s="184">
        <f t="shared" ref="AW41:AW48" si="6">SUM($C$15:$F$15)/AV41</f>
        <v>328.54922517991264</v>
      </c>
      <c r="AX41" s="185">
        <f>(C15/C14+F15/F14+H15/H14+K15/K14+N15/N14+P15/P14+R15/R14+V15/V14+X15/X14)/1000</f>
        <v>0.9701440073596862</v>
      </c>
      <c r="AY41" s="136">
        <f t="shared" ref="AY41:AY48" si="7">AV41/AX41</f>
        <v>1.0039528701268576</v>
      </c>
    </row>
    <row r="42" spans="2:51" ht="20.100000000000001" customHeight="1" x14ac:dyDescent="0.25">
      <c r="AI42" s="137">
        <v>0</v>
      </c>
      <c r="AJ42" s="138">
        <v>0</v>
      </c>
      <c r="AK42" s="133">
        <f t="shared" ref="AK42:AK48" si="8">(AJ42-AI42)/(PI()/2)</f>
        <v>0</v>
      </c>
      <c r="AL42" s="134" t="e">
        <f t="shared" ref="AL42:AL48" si="9">100*(1-1/AY42)</f>
        <v>#DIV/0!</v>
      </c>
      <c r="AM42" s="124"/>
      <c r="AN42" s="159" t="str">
        <f>K11</f>
        <v>Areia 2</v>
      </c>
      <c r="AO42" s="139">
        <v>0.5</v>
      </c>
      <c r="AP42" s="139">
        <v>0.5</v>
      </c>
      <c r="AQ42" s="140">
        <f t="shared" si="3"/>
        <v>0</v>
      </c>
      <c r="AS42" s="186" t="str">
        <f t="shared" si="4"/>
        <v>Areia 2</v>
      </c>
      <c r="AT42" s="192">
        <v>0</v>
      </c>
      <c r="AU42" s="124"/>
      <c r="AV42" s="183" t="e">
        <f t="shared" si="5"/>
        <v>#DIV/0!</v>
      </c>
      <c r="AW42" s="184" t="e">
        <f t="shared" si="6"/>
        <v>#DIV/0!</v>
      </c>
      <c r="AX42" s="187">
        <f t="shared" ref="AX42:AX48" si="10">AX41</f>
        <v>0.9701440073596862</v>
      </c>
      <c r="AY42" s="140" t="e">
        <f t="shared" si="7"/>
        <v>#DIV/0!</v>
      </c>
    </row>
    <row r="43" spans="2:51" ht="20.100000000000001" customHeight="1" x14ac:dyDescent="0.25">
      <c r="AI43" s="137">
        <v>0</v>
      </c>
      <c r="AJ43" s="138">
        <v>0</v>
      </c>
      <c r="AK43" s="133">
        <f t="shared" si="8"/>
        <v>0</v>
      </c>
      <c r="AL43" s="134" t="e">
        <f t="shared" si="9"/>
        <v>#DIV/0!</v>
      </c>
      <c r="AM43" s="124"/>
      <c r="AN43" s="159" t="str">
        <f>N11</f>
        <v>Areia 3</v>
      </c>
      <c r="AO43" s="139">
        <v>0.5</v>
      </c>
      <c r="AP43" s="139">
        <v>0.5</v>
      </c>
      <c r="AQ43" s="140">
        <f t="shared" si="3"/>
        <v>0</v>
      </c>
      <c r="AS43" s="186" t="str">
        <f t="shared" si="4"/>
        <v>Areia 3</v>
      </c>
      <c r="AT43" s="192">
        <v>0</v>
      </c>
      <c r="AU43" s="124"/>
      <c r="AV43" s="183" t="e">
        <f t="shared" si="5"/>
        <v>#DIV/0!</v>
      </c>
      <c r="AW43" s="184" t="e">
        <f t="shared" si="6"/>
        <v>#DIV/0!</v>
      </c>
      <c r="AX43" s="187">
        <f t="shared" si="10"/>
        <v>0.9701440073596862</v>
      </c>
      <c r="AY43" s="140" t="e">
        <f t="shared" si="7"/>
        <v>#DIV/0!</v>
      </c>
    </row>
    <row r="44" spans="2:51" ht="20.100000000000001" customHeight="1" x14ac:dyDescent="0.25">
      <c r="AI44" s="137">
        <v>0</v>
      </c>
      <c r="AJ44" s="138">
        <v>0</v>
      </c>
      <c r="AK44" s="133">
        <f t="shared" si="8"/>
        <v>0</v>
      </c>
      <c r="AL44" s="134" t="e">
        <f t="shared" si="9"/>
        <v>#DIV/0!</v>
      </c>
      <c r="AM44" s="124"/>
      <c r="AN44" s="159" t="str">
        <f>P11</f>
        <v>Misto</v>
      </c>
      <c r="AO44" s="139">
        <v>0.5</v>
      </c>
      <c r="AP44" s="139">
        <v>0.5</v>
      </c>
      <c r="AQ44" s="140">
        <f t="shared" si="3"/>
        <v>0</v>
      </c>
      <c r="AS44" s="186" t="str">
        <f t="shared" si="4"/>
        <v>Misto</v>
      </c>
      <c r="AT44" s="192">
        <v>0</v>
      </c>
      <c r="AU44" s="124"/>
      <c r="AV44" s="183" t="e">
        <f t="shared" si="5"/>
        <v>#DIV/0!</v>
      </c>
      <c r="AW44" s="184" t="e">
        <f t="shared" si="6"/>
        <v>#DIV/0!</v>
      </c>
      <c r="AX44" s="187">
        <f t="shared" si="10"/>
        <v>0.9701440073596862</v>
      </c>
      <c r="AY44" s="140" t="e">
        <f t="shared" si="7"/>
        <v>#DIV/0!</v>
      </c>
    </row>
    <row r="45" spans="2:51" ht="20.100000000000001" customHeight="1" x14ac:dyDescent="0.25">
      <c r="AI45" s="137">
        <v>0</v>
      </c>
      <c r="AJ45" s="138">
        <v>0</v>
      </c>
      <c r="AK45" s="133">
        <f t="shared" si="8"/>
        <v>0</v>
      </c>
      <c r="AL45" s="134" t="e">
        <f t="shared" si="9"/>
        <v>#DIV/0!</v>
      </c>
      <c r="AM45" s="124"/>
      <c r="AN45" s="159" t="str">
        <f>R11</f>
        <v>Brita 0</v>
      </c>
      <c r="AO45" s="139">
        <v>0.5</v>
      </c>
      <c r="AP45" s="139">
        <v>0.5</v>
      </c>
      <c r="AQ45" s="140">
        <f t="shared" si="3"/>
        <v>0</v>
      </c>
      <c r="AS45" s="186" t="str">
        <f t="shared" si="4"/>
        <v>Brita 0</v>
      </c>
      <c r="AT45" s="192">
        <v>0</v>
      </c>
      <c r="AU45" s="124"/>
      <c r="AV45" s="183" t="e">
        <f t="shared" si="5"/>
        <v>#DIV/0!</v>
      </c>
      <c r="AW45" s="184" t="e">
        <f t="shared" si="6"/>
        <v>#DIV/0!</v>
      </c>
      <c r="AX45" s="187">
        <f t="shared" si="10"/>
        <v>0.9701440073596862</v>
      </c>
      <c r="AY45" s="140" t="e">
        <f t="shared" si="7"/>
        <v>#DIV/0!</v>
      </c>
    </row>
    <row r="46" spans="2:51" ht="21" customHeight="1" thickBot="1" x14ac:dyDescent="0.3">
      <c r="AI46" s="137">
        <v>0</v>
      </c>
      <c r="AJ46" s="138">
        <v>0</v>
      </c>
      <c r="AK46" s="133">
        <f t="shared" si="8"/>
        <v>0</v>
      </c>
      <c r="AL46" s="134" t="e">
        <f t="shared" si="9"/>
        <v>#DIV/0!</v>
      </c>
      <c r="AM46" s="124"/>
      <c r="AN46" s="160" t="str">
        <f>V11</f>
        <v>Brita 1</v>
      </c>
      <c r="AO46" s="141">
        <v>0.5</v>
      </c>
      <c r="AP46" s="141">
        <v>0.5</v>
      </c>
      <c r="AQ46" s="142">
        <f t="shared" si="3"/>
        <v>0</v>
      </c>
      <c r="AS46" s="188" t="str">
        <f t="shared" si="4"/>
        <v>Brita 1</v>
      </c>
      <c r="AT46" s="193">
        <v>0</v>
      </c>
      <c r="AU46" s="124"/>
      <c r="AV46" s="183" t="e">
        <f t="shared" si="5"/>
        <v>#DIV/0!</v>
      </c>
      <c r="AW46" s="184" t="e">
        <f t="shared" si="6"/>
        <v>#DIV/0!</v>
      </c>
      <c r="AX46" s="187">
        <f t="shared" si="10"/>
        <v>0.9701440073596862</v>
      </c>
      <c r="AY46" s="140" t="e">
        <f t="shared" si="7"/>
        <v>#DIV/0!</v>
      </c>
    </row>
    <row r="47" spans="2:51" ht="15.75" customHeight="1" x14ac:dyDescent="0.25">
      <c r="AI47" s="137">
        <v>0</v>
      </c>
      <c r="AJ47" s="138">
        <v>0</v>
      </c>
      <c r="AK47" s="133">
        <f t="shared" si="8"/>
        <v>0</v>
      </c>
      <c r="AL47" s="134" t="e">
        <f t="shared" si="9"/>
        <v>#DIV/0!</v>
      </c>
      <c r="AM47" s="124"/>
      <c r="AN47" s="124"/>
      <c r="AO47" s="124"/>
      <c r="AP47" s="124"/>
      <c r="AQ47" s="124"/>
      <c r="AS47" s="124"/>
      <c r="AT47" s="124"/>
      <c r="AU47" s="124"/>
      <c r="AV47" s="183" t="e">
        <f t="shared" si="5"/>
        <v>#DIV/0!</v>
      </c>
      <c r="AW47" s="184" t="e">
        <f t="shared" si="6"/>
        <v>#DIV/0!</v>
      </c>
      <c r="AX47" s="187">
        <f t="shared" si="10"/>
        <v>0.9701440073596862</v>
      </c>
      <c r="AY47" s="140" t="e">
        <f t="shared" si="7"/>
        <v>#DIV/0!</v>
      </c>
    </row>
    <row r="48" spans="2:51" ht="18.75" customHeight="1" thickBot="1" x14ac:dyDescent="0.3">
      <c r="AI48" s="143">
        <v>0</v>
      </c>
      <c r="AJ48" s="144">
        <v>0</v>
      </c>
      <c r="AK48" s="133">
        <f t="shared" si="8"/>
        <v>0</v>
      </c>
      <c r="AL48" s="145" t="e">
        <f t="shared" si="9"/>
        <v>#DIV/0!</v>
      </c>
      <c r="AM48" s="124"/>
      <c r="AN48" s="124"/>
      <c r="AO48" s="124"/>
      <c r="AP48" s="124"/>
      <c r="AQ48" s="124"/>
      <c r="AS48" s="124"/>
      <c r="AT48" s="124"/>
      <c r="AU48" s="124"/>
      <c r="AV48" s="183" t="e">
        <f t="shared" si="5"/>
        <v>#DIV/0!</v>
      </c>
      <c r="AW48" s="184" t="e">
        <f t="shared" si="6"/>
        <v>#DIV/0!</v>
      </c>
      <c r="AX48" s="189">
        <f t="shared" si="10"/>
        <v>0.9701440073596862</v>
      </c>
      <c r="AY48" s="142" t="e">
        <f t="shared" si="7"/>
        <v>#DIV/0!</v>
      </c>
    </row>
  </sheetData>
  <sheetProtection selectLockedCells="1" autoFilter="0" pivotTables="0"/>
  <mergeCells count="183">
    <mergeCell ref="D4:N4"/>
    <mergeCell ref="O4:R4"/>
    <mergeCell ref="S4:U4"/>
    <mergeCell ref="Z4:AE4"/>
    <mergeCell ref="B6:AE6"/>
    <mergeCell ref="AI6:AP6"/>
    <mergeCell ref="B2:D2"/>
    <mergeCell ref="E2:Y2"/>
    <mergeCell ref="Z2:AE2"/>
    <mergeCell ref="AI2:AJ2"/>
    <mergeCell ref="D3:N3"/>
    <mergeCell ref="AC3:AE3"/>
    <mergeCell ref="AI3:AJ3"/>
    <mergeCell ref="G9:H9"/>
    <mergeCell ref="I9:J9"/>
    <mergeCell ref="K9:L9"/>
    <mergeCell ref="M9:N9"/>
    <mergeCell ref="AB9:AE9"/>
    <mergeCell ref="B10:S10"/>
    <mergeCell ref="G7:H7"/>
    <mergeCell ref="I7:J7"/>
    <mergeCell ref="K7:L7"/>
    <mergeCell ref="M7:N7"/>
    <mergeCell ref="AD7:AE7"/>
    <mergeCell ref="G8:H8"/>
    <mergeCell ref="I8:J8"/>
    <mergeCell ref="K8:L8"/>
    <mergeCell ref="M8:N8"/>
    <mergeCell ref="AB8:AE8"/>
    <mergeCell ref="C12:E12"/>
    <mergeCell ref="F12:G12"/>
    <mergeCell ref="H12:J12"/>
    <mergeCell ref="K12:M12"/>
    <mergeCell ref="N12:O12"/>
    <mergeCell ref="C11:E11"/>
    <mergeCell ref="F11:G11"/>
    <mergeCell ref="H11:J11"/>
    <mergeCell ref="K11:M11"/>
    <mergeCell ref="N11:O11"/>
    <mergeCell ref="P12:Q12"/>
    <mergeCell ref="R12:U12"/>
    <mergeCell ref="V12:W12"/>
    <mergeCell ref="Z12:AA12"/>
    <mergeCell ref="AB12:AC12"/>
    <mergeCell ref="AD12:AE12"/>
    <mergeCell ref="R11:U11"/>
    <mergeCell ref="V11:W11"/>
    <mergeCell ref="Z11:AA11"/>
    <mergeCell ref="AB11:AC11"/>
    <mergeCell ref="AD11:AE11"/>
    <mergeCell ref="P11:Q11"/>
    <mergeCell ref="AN15:AP15"/>
    <mergeCell ref="R13:U13"/>
    <mergeCell ref="V13:W13"/>
    <mergeCell ref="Z13:AA13"/>
    <mergeCell ref="AB13:AC13"/>
    <mergeCell ref="AD13:AE13"/>
    <mergeCell ref="C14:E14"/>
    <mergeCell ref="F14:G14"/>
    <mergeCell ref="H14:J14"/>
    <mergeCell ref="K14:M14"/>
    <mergeCell ref="N14:O14"/>
    <mergeCell ref="C13:E13"/>
    <mergeCell ref="F13:G13"/>
    <mergeCell ref="H13:J13"/>
    <mergeCell ref="K13:M13"/>
    <mergeCell ref="N13:O13"/>
    <mergeCell ref="P13:Q13"/>
    <mergeCell ref="N16:O16"/>
    <mergeCell ref="P16:Q16"/>
    <mergeCell ref="AB17:AC17"/>
    <mergeCell ref="AD17:AE17"/>
    <mergeCell ref="AJ17:AL17"/>
    <mergeCell ref="AI14:AP14"/>
    <mergeCell ref="C15:E15"/>
    <mergeCell ref="F15:G15"/>
    <mergeCell ref="H15:J15"/>
    <mergeCell ref="K15:M15"/>
    <mergeCell ref="N15:O15"/>
    <mergeCell ref="P15:Q15"/>
    <mergeCell ref="R15:U15"/>
    <mergeCell ref="V15:W15"/>
    <mergeCell ref="Z15:AA15"/>
    <mergeCell ref="P14:Q14"/>
    <mergeCell ref="R14:U14"/>
    <mergeCell ref="V14:W14"/>
    <mergeCell ref="Z14:AA14"/>
    <mergeCell ref="AB14:AC14"/>
    <mergeCell ref="AD14:AE14"/>
    <mergeCell ref="AB15:AC15"/>
    <mergeCell ref="AD15:AE15"/>
    <mergeCell ref="AJ15:AL15"/>
    <mergeCell ref="AN17:AP17"/>
    <mergeCell ref="B18:S18"/>
    <mergeCell ref="B19:AE19"/>
    <mergeCell ref="AI19:AO19"/>
    <mergeCell ref="AN16:AP16"/>
    <mergeCell ref="C17:E17"/>
    <mergeCell ref="F17:G17"/>
    <mergeCell ref="H17:J17"/>
    <mergeCell ref="K17:M17"/>
    <mergeCell ref="N17:O17"/>
    <mergeCell ref="P17:Q17"/>
    <mergeCell ref="R17:U17"/>
    <mergeCell ref="V17:W17"/>
    <mergeCell ref="Z17:AA17"/>
    <mergeCell ref="R16:U16"/>
    <mergeCell ref="V16:W16"/>
    <mergeCell ref="Z16:AA16"/>
    <mergeCell ref="AB16:AC16"/>
    <mergeCell ref="AD16:AE16"/>
    <mergeCell ref="AJ16:AL16"/>
    <mergeCell ref="C16:E16"/>
    <mergeCell ref="F16:G16"/>
    <mergeCell ref="H16:J16"/>
    <mergeCell ref="K16:M16"/>
    <mergeCell ref="AB20:AC20"/>
    <mergeCell ref="AD20:AE20"/>
    <mergeCell ref="AL20:AO20"/>
    <mergeCell ref="G21:H21"/>
    <mergeCell ref="I21:J21"/>
    <mergeCell ref="AL21:AO21"/>
    <mergeCell ref="AR19:AU19"/>
    <mergeCell ref="B20:C20"/>
    <mergeCell ref="G20:H20"/>
    <mergeCell ref="I20:J20"/>
    <mergeCell ref="K20:L20"/>
    <mergeCell ref="M20:N20"/>
    <mergeCell ref="O20:P20"/>
    <mergeCell ref="Q20:R20"/>
    <mergeCell ref="S20:U20"/>
    <mergeCell ref="Z20:AA20"/>
    <mergeCell ref="AL24:AO24"/>
    <mergeCell ref="G25:H25"/>
    <mergeCell ref="I25:J25"/>
    <mergeCell ref="G26:H26"/>
    <mergeCell ref="I26:J26"/>
    <mergeCell ref="G27:H27"/>
    <mergeCell ref="I27:J27"/>
    <mergeCell ref="AL27:AN27"/>
    <mergeCell ref="G22:H22"/>
    <mergeCell ref="I22:J22"/>
    <mergeCell ref="G23:H23"/>
    <mergeCell ref="I23:J23"/>
    <mergeCell ref="G24:H24"/>
    <mergeCell ref="I24:J24"/>
    <mergeCell ref="W28:W31"/>
    <mergeCell ref="Y28:Y31"/>
    <mergeCell ref="Z28:AE31"/>
    <mergeCell ref="AL28:AN28"/>
    <mergeCell ref="AL29:AN29"/>
    <mergeCell ref="AL30:AN30"/>
    <mergeCell ref="AL31:AN31"/>
    <mergeCell ref="B28:C31"/>
    <mergeCell ref="E28:E31"/>
    <mergeCell ref="G28:H31"/>
    <mergeCell ref="K28:L31"/>
    <mergeCell ref="O28:P31"/>
    <mergeCell ref="S28:U31"/>
    <mergeCell ref="W35:X35"/>
    <mergeCell ref="Z35:AA35"/>
    <mergeCell ref="AB35:AD35"/>
    <mergeCell ref="W36:X36"/>
    <mergeCell ref="Z36:AA36"/>
    <mergeCell ref="AB36:AD36"/>
    <mergeCell ref="B32:AE32"/>
    <mergeCell ref="AL32:AN32"/>
    <mergeCell ref="W33:X33"/>
    <mergeCell ref="Z33:AD33"/>
    <mergeCell ref="AL33:AN33"/>
    <mergeCell ref="W34:X34"/>
    <mergeCell ref="Z34:AA34"/>
    <mergeCell ref="AB34:AD34"/>
    <mergeCell ref="AN39:AQ39"/>
    <mergeCell ref="AS39:AT39"/>
    <mergeCell ref="AV39:AY39"/>
    <mergeCell ref="B40:AE40"/>
    <mergeCell ref="W37:X37"/>
    <mergeCell ref="Z37:AA37"/>
    <mergeCell ref="AB37:AD37"/>
    <mergeCell ref="W38:X38"/>
    <mergeCell ref="B39:AE39"/>
    <mergeCell ref="AI39:AL39"/>
  </mergeCells>
  <printOptions horizontalCentered="1" verticalCentered="1"/>
  <pageMargins left="0.39370078740157483" right="0.39370078740157483" top="0.19685039370078741" bottom="0.39370078740157483" header="0.31496062992125984" footer="0.31496062992125984"/>
  <pageSetup paperSize="9" scale="53" orientation="landscape" r:id="rId1"/>
  <headerFooter alignWithMargins="0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3" r:id="rId4" name="OptionButton">
              <controlPr locked="0" defaultSize="0" autoFill="0" autoLine="0" autoPict="0">
                <anchor moveWithCells="1" sizeWithCells="1">
                  <from>
                    <xdr:col>24</xdr:col>
                    <xdr:colOff>449580</xdr:colOff>
                    <xdr:row>5</xdr:row>
                    <xdr:rowOff>38100</xdr:rowOff>
                  </from>
                  <to>
                    <xdr:col>25</xdr:col>
                    <xdr:colOff>121920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4" r:id="rId5" name="Option Button 2">
              <controlPr locked="0" defaultSize="0" autoFill="0" autoLine="0" autoPict="0">
                <anchor moveWithCells="1" sizeWithCells="1">
                  <from>
                    <xdr:col>26</xdr:col>
                    <xdr:colOff>274320</xdr:colOff>
                    <xdr:row>5</xdr:row>
                    <xdr:rowOff>38100</xdr:rowOff>
                  </from>
                  <to>
                    <xdr:col>27</xdr:col>
                    <xdr:colOff>0</xdr:colOff>
                    <xdr:row>5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85</vt:i4>
      </vt:variant>
      <vt:variant>
        <vt:lpstr>Intervalos Nomeados</vt:lpstr>
      </vt:variant>
      <vt:variant>
        <vt:i4>84</vt:i4>
      </vt:variant>
    </vt:vector>
  </HeadingPairs>
  <TitlesOfParts>
    <vt:vector size="169" baseType="lpstr">
      <vt:lpstr>Traço Padrão T10- - Concrefer</vt:lpstr>
      <vt:lpstr>Traço Padrão T11-</vt:lpstr>
      <vt:lpstr>Traço Padrão T12</vt:lpstr>
      <vt:lpstr>Traço Padrão T13</vt:lpstr>
      <vt:lpstr>Traço caa - Concrefer (2)</vt:lpstr>
      <vt:lpstr>Traço caa - Concrefer (3)</vt:lpstr>
      <vt:lpstr>CAA BASALTO AREIA EMBU</vt:lpstr>
      <vt:lpstr>basalto-tec</vt:lpstr>
      <vt:lpstr>TESTE CAA BASALTO 1</vt:lpstr>
      <vt:lpstr>TESTE CAA BASALTO - TECNOSIL</vt:lpstr>
      <vt:lpstr>TESTE CAA BASALTO - TECNOSI (2)</vt:lpstr>
      <vt:lpstr>CAA CAMILO AJUSTADO</vt:lpstr>
      <vt:lpstr>CAA CAMILO AJUSTADO (2)</vt:lpstr>
      <vt:lpstr>VALE REF. 2</vt:lpstr>
      <vt:lpstr>Flavio - Vale - padrão</vt:lpstr>
      <vt:lpstr>UNATUBOS</vt:lpstr>
      <vt:lpstr>UNATUBOS-aduelas</vt:lpstr>
      <vt:lpstr>UNATUBOS - aduelas 2</vt:lpstr>
      <vt:lpstr>CAA ajusttado  adva 518</vt:lpstr>
      <vt:lpstr>9.8.1 - T-574</vt:lpstr>
      <vt:lpstr>CAA NOROESTE</vt:lpstr>
      <vt:lpstr>PEDERNEIRAS </vt:lpstr>
      <vt:lpstr>PEDERNEIRAS</vt:lpstr>
      <vt:lpstr>RP</vt:lpstr>
      <vt:lpstr>RP (2)</vt:lpstr>
      <vt:lpstr>CAA ajusttado  T-574 -370</vt:lpstr>
      <vt:lpstr>CAA ajusttado  T-574 -370 (2)</vt:lpstr>
      <vt:lpstr>CAA ajusttado  T-574 -370 (3)</vt:lpstr>
      <vt:lpstr>CAA ajusttado  T-574 -370 (4)</vt:lpstr>
      <vt:lpstr>CAA ajusttado  T-574 -370 (5)</vt:lpstr>
      <vt:lpstr>CHRYSO ADVA 518 (2)</vt:lpstr>
      <vt:lpstr>CHRYSO ADVA 518</vt:lpstr>
      <vt:lpstr>9.6.1 - 2BRITAS</vt:lpstr>
      <vt:lpstr>2.1.2</vt:lpstr>
      <vt:lpstr>FILLER V2</vt:lpstr>
      <vt:lpstr>FILLER V3</vt:lpstr>
      <vt:lpstr>2.9.1 - 370 kg cimento</vt:lpstr>
      <vt:lpstr>R10 (2)</vt:lpstr>
      <vt:lpstr>R10 (6)</vt:lpstr>
      <vt:lpstr>R10 (7)</vt:lpstr>
      <vt:lpstr>7.1 - 2X ES - CAA - FILLER (2)</vt:lpstr>
      <vt:lpstr>7.1 - 2X ES - CAA - FILLER (3)</vt:lpstr>
      <vt:lpstr>7.2 - CAA OBRA</vt:lpstr>
      <vt:lpstr>1.0 - TRAÇO ALTERNATIVO</vt:lpstr>
      <vt:lpstr>adva1291.1.1 - CAA - FILLER V08</vt:lpstr>
      <vt:lpstr>athena1.1.1 - CAA - FILLER V08 </vt:lpstr>
      <vt:lpstr>MARCOS</vt:lpstr>
      <vt:lpstr>CAA - FILLER V07 - ARG 51,43</vt:lpstr>
      <vt:lpstr>CAA TOPCP - v02 - Filler - adbs</vt:lpstr>
      <vt:lpstr>7.1</vt:lpstr>
      <vt:lpstr>5.1 CAA Filler</vt:lpstr>
      <vt:lpstr>5.1 CAA v2</vt:lpstr>
      <vt:lpstr>2.9.1</vt:lpstr>
      <vt:lpstr>TESTE AGREGADO V1</vt:lpstr>
      <vt:lpstr>TESTE AGREGADO V2</vt:lpstr>
      <vt:lpstr>TESTE AGREGADO V3</vt:lpstr>
      <vt:lpstr>1.2.5 - ADITIBRAS</vt:lpstr>
      <vt:lpstr>1.2.6 - CTC 380 </vt:lpstr>
      <vt:lpstr>4.1.1 - FCK 25 PERTIGA</vt:lpstr>
      <vt:lpstr>4.1.1 - FCK 25 PERTIGA (2)</vt:lpstr>
      <vt:lpstr>4.1.1 - FCK 25 PERTIGA (3)</vt:lpstr>
      <vt:lpstr>4.1.4 - FCK 25 PERTIGA (4)</vt:lpstr>
      <vt:lpstr>1.2.79- CTC 380</vt:lpstr>
      <vt:lpstr>filler caa</vt:lpstr>
      <vt:lpstr>filler caa (2)</vt:lpstr>
      <vt:lpstr>ATENA_M920</vt:lpstr>
      <vt:lpstr>CSN - FERNANDO</vt:lpstr>
      <vt:lpstr>1.3.9 - 375</vt:lpstr>
      <vt:lpstr>1.2.89 - C389</vt:lpstr>
      <vt:lpstr>Planilha5</vt:lpstr>
      <vt:lpstr>CSN - FERNANDO T3</vt:lpstr>
      <vt:lpstr>R10 (3)</vt:lpstr>
      <vt:lpstr>R10 (4)</vt:lpstr>
      <vt:lpstr>R10 (5)</vt:lpstr>
      <vt:lpstr>Traço 201 Piso</vt:lpstr>
      <vt:lpstr>Traço A-C 0,70</vt:lpstr>
      <vt:lpstr>Traço A-C 0,80 </vt:lpstr>
      <vt:lpstr>Traço 202.a 206- Piso BASF</vt:lpstr>
      <vt:lpstr>Traço 209 Parede ref</vt:lpstr>
      <vt:lpstr>Traço 220 Parede Vale</vt:lpstr>
      <vt:lpstr>Traço 210-Parede Basf</vt:lpstr>
      <vt:lpstr>Traço 207 BasF </vt:lpstr>
      <vt:lpstr>Traço 208 Basf</vt:lpstr>
      <vt:lpstr>Traço 212 Estaca ref</vt:lpstr>
      <vt:lpstr>Traço 211 Estaca Basf</vt:lpstr>
      <vt:lpstr>'1.0 - TRAÇO ALTERNATIVO'!Area_de_impressao</vt:lpstr>
      <vt:lpstr>'1.2.5 - ADITIBRAS'!Area_de_impressao</vt:lpstr>
      <vt:lpstr>'1.2.6 - CTC 380 '!Area_de_impressao</vt:lpstr>
      <vt:lpstr>'1.2.79- CTC 380'!Area_de_impressao</vt:lpstr>
      <vt:lpstr>'1.2.89 - C389'!Area_de_impressao</vt:lpstr>
      <vt:lpstr>'1.3.9 - 375'!Area_de_impressao</vt:lpstr>
      <vt:lpstr>'2.1.2'!Area_de_impressao</vt:lpstr>
      <vt:lpstr>'2.9.1'!Area_de_impressao</vt:lpstr>
      <vt:lpstr>'2.9.1 - 370 kg cimento'!Area_de_impressao</vt:lpstr>
      <vt:lpstr>'4.1.1 - FCK 25 PERTIGA'!Area_de_impressao</vt:lpstr>
      <vt:lpstr>'4.1.1 - FCK 25 PERTIGA (2)'!Area_de_impressao</vt:lpstr>
      <vt:lpstr>'4.1.1 - FCK 25 PERTIGA (3)'!Area_de_impressao</vt:lpstr>
      <vt:lpstr>'4.1.4 - FCK 25 PERTIGA (4)'!Area_de_impressao</vt:lpstr>
      <vt:lpstr>'5.1 CAA Filler'!Area_de_impressao</vt:lpstr>
      <vt:lpstr>'5.1 CAA v2'!Area_de_impressao</vt:lpstr>
      <vt:lpstr>'7.1'!Area_de_impressao</vt:lpstr>
      <vt:lpstr>'7.1 - 2X ES - CAA - FILLER (2)'!Area_de_impressao</vt:lpstr>
      <vt:lpstr>'7.1 - 2X ES - CAA - FILLER (3)'!Area_de_impressao</vt:lpstr>
      <vt:lpstr>'7.2 - CAA OBRA'!Area_de_impressao</vt:lpstr>
      <vt:lpstr>'9.6.1 - 2BRITAS'!Area_de_impressao</vt:lpstr>
      <vt:lpstr>'9.8.1 - T-574'!Area_de_impressao</vt:lpstr>
      <vt:lpstr>'adva1291.1.1 - CAA - FILLER V08'!Area_de_impressao</vt:lpstr>
      <vt:lpstr>ATENA_M920!Area_de_impressao</vt:lpstr>
      <vt:lpstr>'athena1.1.1 - CAA - FILLER V08 '!Area_de_impressao</vt:lpstr>
      <vt:lpstr>'basalto-tec'!Area_de_impressao</vt:lpstr>
      <vt:lpstr>'CAA - FILLER V07 - ARG 51,43'!Area_de_impressao</vt:lpstr>
      <vt:lpstr>'CAA ajusttado  adva 518'!Area_de_impressao</vt:lpstr>
      <vt:lpstr>'CAA ajusttado  T-574 -370'!Area_de_impressao</vt:lpstr>
      <vt:lpstr>'CAA ajusttado  T-574 -370 (2)'!Area_de_impressao</vt:lpstr>
      <vt:lpstr>'CAA ajusttado  T-574 -370 (3)'!Area_de_impressao</vt:lpstr>
      <vt:lpstr>'CAA ajusttado  T-574 -370 (4)'!Area_de_impressao</vt:lpstr>
      <vt:lpstr>'CAA ajusttado  T-574 -370 (5)'!Area_de_impressao</vt:lpstr>
      <vt:lpstr>'CAA BASALTO AREIA EMBU'!Area_de_impressao</vt:lpstr>
      <vt:lpstr>'CAA CAMILO AJUSTADO'!Area_de_impressao</vt:lpstr>
      <vt:lpstr>'CAA CAMILO AJUSTADO (2)'!Area_de_impressao</vt:lpstr>
      <vt:lpstr>'CAA NOROESTE'!Area_de_impressao</vt:lpstr>
      <vt:lpstr>'CAA TOPCP - v02 - Filler - adbs'!Area_de_impressao</vt:lpstr>
      <vt:lpstr>'CHRYSO ADVA 518'!Area_de_impressao</vt:lpstr>
      <vt:lpstr>'CHRYSO ADVA 518 (2)'!Area_de_impressao</vt:lpstr>
      <vt:lpstr>'CSN - FERNANDO'!Area_de_impressao</vt:lpstr>
      <vt:lpstr>'CSN - FERNANDO T3'!Area_de_impressao</vt:lpstr>
      <vt:lpstr>'filler caa'!Area_de_impressao</vt:lpstr>
      <vt:lpstr>'filler caa (2)'!Area_de_impressao</vt:lpstr>
      <vt:lpstr>'FILLER V2'!Area_de_impressao</vt:lpstr>
      <vt:lpstr>'FILLER V3'!Area_de_impressao</vt:lpstr>
      <vt:lpstr>'Flavio - Vale - padrão'!Area_de_impressao</vt:lpstr>
      <vt:lpstr>MARCOS!Area_de_impressao</vt:lpstr>
      <vt:lpstr>PEDERNEIRAS!Area_de_impressao</vt:lpstr>
      <vt:lpstr>'PEDERNEIRAS '!Area_de_impressao</vt:lpstr>
      <vt:lpstr>'R10 (2)'!Area_de_impressao</vt:lpstr>
      <vt:lpstr>'R10 (3)'!Area_de_impressao</vt:lpstr>
      <vt:lpstr>'R10 (4)'!Area_de_impressao</vt:lpstr>
      <vt:lpstr>'R10 (5)'!Area_de_impressao</vt:lpstr>
      <vt:lpstr>'R10 (6)'!Area_de_impressao</vt:lpstr>
      <vt:lpstr>'R10 (7)'!Area_de_impressao</vt:lpstr>
      <vt:lpstr>RP!Area_de_impressao</vt:lpstr>
      <vt:lpstr>'RP (2)'!Area_de_impressao</vt:lpstr>
      <vt:lpstr>'TESTE AGREGADO V1'!Area_de_impressao</vt:lpstr>
      <vt:lpstr>'TESTE AGREGADO V2'!Area_de_impressao</vt:lpstr>
      <vt:lpstr>'TESTE AGREGADO V3'!Area_de_impressao</vt:lpstr>
      <vt:lpstr>'TESTE CAA BASALTO - TECNOSI (2)'!Area_de_impressao</vt:lpstr>
      <vt:lpstr>'TESTE CAA BASALTO - TECNOSIL'!Area_de_impressao</vt:lpstr>
      <vt:lpstr>'TESTE CAA BASALTO 1'!Area_de_impressao</vt:lpstr>
      <vt:lpstr>'Traço 201 Piso'!Area_de_impressao</vt:lpstr>
      <vt:lpstr>'Traço 202.a 206- Piso BASF'!Area_de_impressao</vt:lpstr>
      <vt:lpstr>'Traço 207 BasF '!Area_de_impressao</vt:lpstr>
      <vt:lpstr>'Traço 208 Basf'!Area_de_impressao</vt:lpstr>
      <vt:lpstr>'Traço 209 Parede ref'!Area_de_impressao</vt:lpstr>
      <vt:lpstr>'Traço 210-Parede Basf'!Area_de_impressao</vt:lpstr>
      <vt:lpstr>'Traço 211 Estaca Basf'!Area_de_impressao</vt:lpstr>
      <vt:lpstr>'Traço 212 Estaca ref'!Area_de_impressao</vt:lpstr>
      <vt:lpstr>'Traço 220 Parede Vale'!Area_de_impressao</vt:lpstr>
      <vt:lpstr>'Traço A-C 0,70'!Area_de_impressao</vt:lpstr>
      <vt:lpstr>'Traço A-C 0,80 '!Area_de_impressao</vt:lpstr>
      <vt:lpstr>'Traço caa - Concrefer (2)'!Area_de_impressao</vt:lpstr>
      <vt:lpstr>'Traço caa - Concrefer (3)'!Area_de_impressao</vt:lpstr>
      <vt:lpstr>'Traço Padrão T10- - Concrefer'!Area_de_impressao</vt:lpstr>
      <vt:lpstr>'Traço Padrão T11-'!Area_de_impressao</vt:lpstr>
      <vt:lpstr>'Traço Padrão T12'!Area_de_impressao</vt:lpstr>
      <vt:lpstr>'Traço Padrão T13'!Area_de_impressao</vt:lpstr>
      <vt:lpstr>UNATUBOS!Area_de_impressao</vt:lpstr>
      <vt:lpstr>'UNATUBOS - aduelas 2'!Area_de_impressao</vt:lpstr>
      <vt:lpstr>'UNATUBOS-aduelas'!Area_de_impressao</vt:lpstr>
      <vt:lpstr>'VALE REF. 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Dr.-Eng. Holger Schmidt;Dr. Eng. Holger Schmidt</dc:creator>
  <cp:lastModifiedBy>Admin</cp:lastModifiedBy>
  <cp:lastPrinted>2026-04-30T09:49:43Z</cp:lastPrinted>
  <dcterms:created xsi:type="dcterms:W3CDTF">2005-10-27T11:11:49Z</dcterms:created>
  <dcterms:modified xsi:type="dcterms:W3CDTF">2026-10-18T17:50:49Z</dcterms:modified>
</cp:coreProperties>
</file>