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882" activeTab="7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 iterateDelta="1E-4"/>
</workbook>
</file>

<file path=xl/calcChain.xml><?xml version="1.0" encoding="utf-8"?>
<calcChain xmlns="http://schemas.openxmlformats.org/spreadsheetml/2006/main">
  <c r="AR5" i="8" l="1"/>
  <c r="D82" i="7"/>
  <c r="B82" i="7"/>
  <c r="I81" i="7"/>
  <c r="B81" i="7"/>
  <c r="D81" i="7" s="1"/>
  <c r="C80" i="7"/>
  <c r="D80" i="7" s="1"/>
  <c r="B61" i="7"/>
  <c r="D61" i="7" s="1"/>
  <c r="I60" i="7"/>
  <c r="D60" i="7"/>
  <c r="B60" i="7"/>
  <c r="D59" i="7"/>
  <c r="C59" i="7"/>
  <c r="D36" i="7"/>
  <c r="B36" i="7"/>
  <c r="I35" i="7"/>
  <c r="B35" i="7"/>
  <c r="D35" i="7" s="1"/>
  <c r="C34" i="7"/>
  <c r="D34" i="7" s="1"/>
  <c r="B17" i="7"/>
  <c r="D17" i="7" s="1"/>
  <c r="B16" i="7"/>
  <c r="D16" i="7" s="1"/>
  <c r="I15" i="7"/>
  <c r="D15" i="7"/>
  <c r="C15" i="7"/>
  <c r="Q6" i="6"/>
  <c r="Q5" i="6"/>
  <c r="Q4" i="6"/>
  <c r="Q6" i="5"/>
  <c r="Q5" i="5"/>
  <c r="Q4" i="5"/>
  <c r="R14" i="4"/>
  <c r="R13" i="4"/>
  <c r="R12" i="4"/>
  <c r="R8" i="4"/>
  <c r="R7" i="4"/>
  <c r="R6" i="4"/>
  <c r="R5" i="4"/>
  <c r="R4" i="4"/>
  <c r="Q15" i="3"/>
  <c r="Q14" i="3"/>
  <c r="Q13" i="3"/>
  <c r="Q9" i="3"/>
  <c r="Q8" i="3"/>
  <c r="Q7" i="3"/>
  <c r="Q6" i="3"/>
  <c r="Q5" i="3"/>
  <c r="Q4" i="3"/>
  <c r="D170" i="2"/>
  <c r="E170" i="2" s="1"/>
  <c r="E169" i="2"/>
  <c r="E168" i="2"/>
  <c r="D168" i="2"/>
  <c r="E167" i="2"/>
  <c r="D167" i="2"/>
  <c r="E166" i="2"/>
  <c r="D166" i="2"/>
  <c r="E165" i="2"/>
  <c r="D165" i="2"/>
  <c r="E157" i="2"/>
  <c r="D157" i="2"/>
  <c r="E156" i="2"/>
  <c r="D155" i="2"/>
  <c r="E155" i="2" s="1"/>
  <c r="E154" i="2"/>
  <c r="E153" i="2"/>
  <c r="D153" i="2"/>
  <c r="E152" i="2"/>
  <c r="D152" i="2"/>
  <c r="E145" i="2"/>
  <c r="D145" i="2"/>
  <c r="E144" i="2"/>
  <c r="D143" i="2"/>
  <c r="E143" i="2" s="1"/>
  <c r="D142" i="2"/>
  <c r="E142" i="2" s="1"/>
  <c r="D141" i="2"/>
  <c r="E141" i="2" s="1"/>
  <c r="D140" i="2"/>
  <c r="E140" i="2" s="1"/>
  <c r="D132" i="2"/>
  <c r="E132" i="2" s="1"/>
  <c r="E131" i="2"/>
  <c r="E130" i="2"/>
  <c r="D130" i="2"/>
  <c r="E129" i="2"/>
  <c r="D128" i="2"/>
  <c r="E128" i="2" s="1"/>
  <c r="D127" i="2"/>
  <c r="E127" i="2" s="1"/>
  <c r="D119" i="2"/>
  <c r="E119" i="2" s="1"/>
  <c r="E118" i="2"/>
  <c r="E117" i="2"/>
  <c r="D117" i="2"/>
  <c r="E116" i="2"/>
  <c r="D116" i="2"/>
  <c r="E115" i="2"/>
  <c r="D115" i="2"/>
  <c r="E114" i="2"/>
  <c r="D114" i="2"/>
  <c r="E102" i="2"/>
  <c r="D102" i="2"/>
  <c r="E101" i="2"/>
  <c r="D100" i="2"/>
  <c r="E100" i="2" s="1"/>
  <c r="E99" i="2"/>
  <c r="E98" i="2"/>
  <c r="D98" i="2"/>
  <c r="E97" i="2"/>
  <c r="D97" i="2"/>
  <c r="E89" i="2"/>
  <c r="D89" i="2"/>
  <c r="E88" i="2"/>
  <c r="D87" i="2"/>
  <c r="E87" i="2" s="1"/>
  <c r="D86" i="2"/>
  <c r="E86" i="2" s="1"/>
  <c r="D85" i="2"/>
  <c r="E85" i="2" s="1"/>
  <c r="D84" i="2"/>
  <c r="E84" i="2" s="1"/>
  <c r="D76" i="2"/>
  <c r="E76" i="2" s="1"/>
  <c r="E75" i="2"/>
  <c r="E74" i="2"/>
  <c r="D74" i="2"/>
  <c r="E73" i="2"/>
  <c r="D73" i="2"/>
  <c r="E72" i="2"/>
  <c r="D72" i="2"/>
  <c r="E71" i="2"/>
  <c r="D71" i="2"/>
  <c r="E62" i="2"/>
  <c r="D62" i="2"/>
  <c r="E61" i="2"/>
  <c r="D60" i="2"/>
  <c r="E60" i="2" s="1"/>
  <c r="E59" i="2"/>
  <c r="E58" i="2"/>
  <c r="D58" i="2"/>
  <c r="E57" i="2"/>
  <c r="D57" i="2"/>
  <c r="E48" i="2"/>
  <c r="D48" i="2"/>
  <c r="E47" i="2"/>
  <c r="D46" i="2"/>
  <c r="E46" i="2" s="1"/>
  <c r="E45" i="2"/>
  <c r="E44" i="2"/>
  <c r="D44" i="2"/>
  <c r="E43" i="2"/>
  <c r="D43" i="2"/>
  <c r="E35" i="2"/>
  <c r="D35" i="2"/>
  <c r="E34" i="2"/>
  <c r="D33" i="2"/>
  <c r="E33" i="2" s="1"/>
  <c r="E32" i="2"/>
  <c r="E31" i="2"/>
  <c r="D31" i="2"/>
  <c r="E30" i="2"/>
  <c r="D30" i="2"/>
  <c r="E23" i="2"/>
  <c r="D23" i="2"/>
  <c r="E22" i="2"/>
  <c r="D21" i="2"/>
  <c r="E21" i="2" s="1"/>
  <c r="E20" i="2"/>
  <c r="E19" i="2"/>
  <c r="D19" i="2"/>
  <c r="E18" i="2"/>
  <c r="D18" i="2"/>
  <c r="E10" i="2"/>
  <c r="D10" i="2"/>
  <c r="E9" i="2"/>
  <c r="D8" i="2"/>
  <c r="E8" i="2" s="1"/>
  <c r="E7" i="2"/>
  <c r="E6" i="2"/>
  <c r="D6" i="2"/>
  <c r="E5" i="2"/>
  <c r="D5" i="2"/>
  <c r="E153" i="1"/>
  <c r="E152" i="1"/>
  <c r="E151" i="1"/>
  <c r="E150" i="1"/>
  <c r="E149" i="1"/>
  <c r="E148" i="1"/>
  <c r="E141" i="1"/>
  <c r="E140" i="1"/>
  <c r="E139" i="1"/>
  <c r="E138" i="1"/>
  <c r="E137" i="1"/>
  <c r="E136" i="1"/>
  <c r="E129" i="1"/>
  <c r="E128" i="1"/>
  <c r="E127" i="1"/>
  <c r="E126" i="1"/>
  <c r="E125" i="1"/>
  <c r="E124" i="1"/>
  <c r="E114" i="1"/>
  <c r="E113" i="1"/>
  <c r="E112" i="1"/>
  <c r="E111" i="1"/>
  <c r="E110" i="1"/>
  <c r="E109" i="1"/>
  <c r="E103" i="1"/>
  <c r="E102" i="1"/>
  <c r="E101" i="1"/>
  <c r="E100" i="1"/>
  <c r="E99" i="1"/>
  <c r="E98" i="1"/>
  <c r="E91" i="1"/>
  <c r="E90" i="1"/>
  <c r="E89" i="1"/>
  <c r="E88" i="1"/>
  <c r="E87" i="1"/>
  <c r="E86" i="1"/>
  <c r="E79" i="1"/>
  <c r="E78" i="1"/>
  <c r="E77" i="1"/>
  <c r="E76" i="1"/>
  <c r="E75" i="1"/>
  <c r="E74" i="1"/>
  <c r="E67" i="1"/>
  <c r="E66" i="1"/>
  <c r="E65" i="1"/>
  <c r="E64" i="1"/>
  <c r="E63" i="1"/>
  <c r="E62" i="1"/>
  <c r="E56" i="1"/>
  <c r="E55" i="1"/>
  <c r="E54" i="1"/>
  <c r="E53" i="1"/>
  <c r="E52" i="1"/>
  <c r="E51" i="1"/>
  <c r="E45" i="1"/>
  <c r="E44" i="1"/>
  <c r="E43" i="1"/>
  <c r="E42" i="1"/>
  <c r="E41" i="1"/>
  <c r="E40" i="1"/>
  <c r="E33" i="1"/>
  <c r="E32" i="1"/>
  <c r="E31" i="1"/>
  <c r="E30" i="1"/>
  <c r="E29" i="1"/>
  <c r="E28" i="1"/>
  <c r="E22" i="1"/>
  <c r="E21" i="1"/>
  <c r="E20" i="1"/>
  <c r="E19" i="1"/>
  <c r="E18" i="1"/>
  <c r="E17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<sst xmlns="http://schemas.openxmlformats.org/spreadsheetml/2006/main" count="431" uniqueCount="80">
  <si>
    <t>Versión 1.0</t>
  </si>
  <si>
    <t>P1351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</si>
  <si>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</si>
  <si>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</si>
  <si>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</si>
  <si>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</si>
  <si>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</si>
  <si>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</si>
  <si>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</si>
  <si>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</si>
  <si>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</si>
  <si>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P1378</t>
  </si>
  <si>
    <t>P1381</t>
  </si>
  <si>
    <t>P1382</t>
  </si>
  <si>
    <t>P1387</t>
  </si>
  <si>
    <t>P1393</t>
  </si>
  <si>
    <t>P1397</t>
  </si>
  <si>
    <t>P1377</t>
  </si>
  <si>
    <t>P1398</t>
  </si>
  <si>
    <t>P1399</t>
  </si>
  <si>
    <t>P1363</t>
  </si>
  <si>
    <t>P1404</t>
  </si>
  <si>
    <t>P1390</t>
  </si>
  <si>
    <t>Nivel de Apego</t>
  </si>
  <si>
    <t>Procesos</t>
  </si>
  <si>
    <t>Prospectación</t>
  </si>
  <si>
    <t>Garantía</t>
  </si>
  <si>
    <t>Organizacional</t>
  </si>
  <si>
    <t>Metricas</t>
  </si>
  <si>
    <t>Calidad</t>
  </si>
  <si>
    <t>Cambios</t>
  </si>
  <si>
    <t>Reporte monitoreo</t>
  </si>
  <si>
    <t>Plan de Proyecto</t>
  </si>
  <si>
    <t>Estimación</t>
  </si>
  <si>
    <t>Tickets de Servicio</t>
  </si>
  <si>
    <t>Carta de aceptación</t>
  </si>
  <si>
    <t>Reporte de Monitoreo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</si>
  <si>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</si>
  <si>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</si>
  <si>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</si>
  <si>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</si>
  <si>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</si>
  <si>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</si>
  <si>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</si>
  <si>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</si>
  <si>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</si>
  <si>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</si>
  <si>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Noviembre</t>
  </si>
  <si>
    <t>Apegó</t>
  </si>
  <si>
    <t>Periodo</t>
  </si>
  <si>
    <t>Oriana</t>
  </si>
  <si>
    <t>Marisol</t>
  </si>
  <si>
    <t>Diciembre mes completo</t>
  </si>
  <si>
    <t>Indice de Satisfacción</t>
  </si>
  <si>
    <t>Resultados</t>
  </si>
  <si>
    <t>N/A</t>
  </si>
  <si>
    <t>P1406</t>
  </si>
  <si>
    <t>P1401</t>
  </si>
  <si>
    <t>P1411</t>
  </si>
  <si>
    <t>P1410</t>
  </si>
  <si>
    <t>P1421</t>
  </si>
  <si>
    <t>P1429</t>
  </si>
  <si>
    <t>P1424</t>
  </si>
  <si>
    <t>P1419</t>
  </si>
  <si>
    <t>P1422</t>
  </si>
  <si>
    <t>P1415</t>
  </si>
  <si>
    <t>P1416</t>
  </si>
  <si>
    <t>P1417</t>
  </si>
  <si>
    <t>P1420</t>
  </si>
  <si>
    <t>P1426</t>
  </si>
  <si>
    <t>P1437</t>
  </si>
  <si>
    <t>P1448</t>
  </si>
  <si>
    <t>P1441</t>
  </si>
  <si>
    <t>P1445</t>
  </si>
  <si>
    <t>P1447</t>
  </si>
  <si>
    <t>P1452</t>
  </si>
  <si>
    <t>P1456</t>
  </si>
  <si>
    <t>P1457</t>
  </si>
  <si>
    <t>P1430</t>
  </si>
  <si>
    <t>P1431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</si>
</sst>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\$* #,##0.00_-;&quot;-$&quot;* #,##0.00_-;_-\$* \-??_-;_-@_-"/>
    <numFmt numFmtId="165" formatCode="dd/mm/yy"/>
    <numFmt numFmtId="166" formatCode="\$#,##0.00;[Red]&quot;-$&quot;#,##0.00"/>
  </numFmts>
  <fonts count="6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3333"/>
        <bgColor rgb="FFC0504D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auto="1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rgb="FF604A7B"/>
      </left>
      <right style="thin">
        <color auto="1"/>
      </right>
      <top style="thin">
        <color rgb="FF604A7B"/>
      </top>
      <bottom style="thin">
        <color rgb="FF604A7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Border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0" fillId="3" borderId="0" xfId="0" applyFont="1" applyFill="1"/>
    <xf numFmtId="14" fontId="1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9" fontId="2" fillId="6" borderId="1" xfId="2" applyFont="1" applyFill="1" applyBorder="1" applyAlignment="1" applyProtection="1"/>
    <xf numFmtId="0" fontId="0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0" xfId="0" applyBorder="1"/>
    <xf numFmtId="164" fontId="0" fillId="5" borderId="6" xfId="1" applyFont="1" applyFill="1" applyBorder="1" applyAlignment="1" applyProtection="1">
      <alignment horizontal="center"/>
    </xf>
    <xf numFmtId="9" fontId="0" fillId="6" borderId="7" xfId="2" applyFont="1" applyFill="1" applyBorder="1" applyAlignment="1" applyProtection="1">
      <alignment horizontal="center"/>
    </xf>
    <xf numFmtId="9" fontId="2" fillId="6" borderId="7" xfId="2" applyFont="1" applyFill="1" applyBorder="1" applyAlignment="1" applyProtection="1">
      <alignment horizontal="center"/>
    </xf>
    <xf numFmtId="0" fontId="0" fillId="4" borderId="1" xfId="0" applyFont="1" applyFill="1" applyBorder="1" applyAlignment="1">
      <alignment horizontal="center"/>
    </xf>
    <xf numFmtId="0" fontId="3" fillId="5" borderId="8" xfId="0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10" fontId="0" fillId="6" borderId="1" xfId="0" applyNumberFormat="1" applyFill="1" applyBorder="1" applyAlignment="1">
      <alignment horizontal="center" vertical="center"/>
    </xf>
    <xf numFmtId="9" fontId="0" fillId="6" borderId="1" xfId="2" applyFont="1" applyFill="1" applyBorder="1" applyAlignment="1" applyProtection="1">
      <alignment horizontal="center"/>
    </xf>
    <xf numFmtId="10" fontId="0" fillId="2" borderId="0" xfId="0" applyNumberFormat="1" applyFill="1"/>
    <xf numFmtId="165" fontId="0" fillId="4" borderId="1" xfId="0" applyNumberFormat="1" applyFont="1" applyFill="1" applyBorder="1" applyAlignment="1">
      <alignment horizontal="center"/>
    </xf>
    <xf numFmtId="9" fontId="0" fillId="5" borderId="1" xfId="2" applyFont="1" applyFill="1" applyBorder="1" applyAlignment="1" applyProtection="1">
      <alignment horizontal="center"/>
    </xf>
    <xf numFmtId="10" fontId="0" fillId="6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3" fillId="5" borderId="1" xfId="0" applyNumberFormat="1" applyFont="1" applyFill="1" applyBorder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16" fontId="0" fillId="5" borderId="2" xfId="0" applyNumberFormat="1" applyFont="1" applyFill="1" applyBorder="1" applyAlignment="1">
      <alignment horizontal="left" vertical="center"/>
    </xf>
    <xf numFmtId="164" fontId="0" fillId="5" borderId="4" xfId="1" applyFont="1" applyFill="1" applyBorder="1" applyAlignment="1" applyProtection="1">
      <alignment horizontal="center"/>
    </xf>
    <xf numFmtId="4" fontId="2" fillId="6" borderId="4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5" borderId="1" xfId="1" applyFont="1" applyFill="1" applyBorder="1" applyAlignment="1" applyProtection="1">
      <alignment horizontal="center"/>
    </xf>
    <xf numFmtId="4" fontId="2" fillId="6" borderId="6" xfId="2" applyNumberFormat="1" applyFont="1" applyFill="1" applyBorder="1" applyAlignment="1" applyProtection="1">
      <alignment horizontal="center"/>
    </xf>
    <xf numFmtId="166" fontId="4" fillId="6" borderId="1" xfId="0" applyNumberFormat="1" applyFont="1" applyFill="1" applyBorder="1"/>
    <xf numFmtId="4" fontId="2" fillId="6" borderId="12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6" borderId="13" xfId="2" applyNumberFormat="1" applyFont="1" applyFill="1" applyBorder="1" applyAlignment="1" applyProtection="1">
      <alignment horizontal="center"/>
    </xf>
    <xf numFmtId="15" fontId="1" fillId="4" borderId="4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" fontId="2" fillId="6" borderId="1" xfId="2" applyNumberFormat="1" applyFont="1" applyFill="1" applyBorder="1" applyAlignment="1" applyProtection="1">
      <alignment horizontal="center"/>
    </xf>
    <xf numFmtId="15" fontId="3" fillId="5" borderId="1" xfId="0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39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79646"/>
      <rgbColor rgb="FFFF6600"/>
      <rgbColor rgb="FF604A7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costos'!$C$5:$C$10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costos'!$D$5:$D$10</c:f>
              <c:numCache>
                <c:formatCode>_-\$* #,##0.00_-;"-$"* #,##0.00_-;_-\$* \-??_-;_-@_-</c:formatCode>
                <c:ptCount val="6"/>
                <c:pt idx="0">
                  <c:v>114.696</c:v>
                </c:pt>
                <c:pt idx="1">
                  <c:v>4.617</c:v>
                </c:pt>
                <c:pt idx="2">
                  <c:v>0</c:v>
                </c:pt>
                <c:pt idx="3">
                  <c:v>1.944</c:v>
                </c:pt>
                <c:pt idx="4">
                  <c:v>0</c:v>
                </c:pt>
                <c:pt idx="5">
                  <c:v>0.24299999999999999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82880"/>
        <c:axId val="87429504"/>
      </c:barChart>
      <c:catAx>
        <c:axId val="79882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429504"/>
        <c:crosses val="autoZero"/>
        <c:auto val="1"/>
        <c:lblAlgn val="ctr"/>
        <c:lblOffset val="100"/>
        <c:noMultiLvlLbl val="1"/>
      </c:catAx>
      <c:valAx>
        <c:axId val="874295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8828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costos'!$E$57:$E$62</c:f>
              <c:numCache>
                <c:formatCode>0%</c:formatCode>
                <c:ptCount val="6"/>
                <c:pt idx="0">
                  <c:v>-0.68674429019256611</c:v>
                </c:pt>
                <c:pt idx="1">
                  <c:v>-0.96363636363636362</c:v>
                </c:pt>
                <c:pt idx="2">
                  <c:v>1</c:v>
                </c:pt>
                <c:pt idx="3">
                  <c:v>7.2181818181818222E-2</c:v>
                </c:pt>
                <c:pt idx="4">
                  <c:v>1</c:v>
                </c:pt>
                <c:pt idx="5">
                  <c:v>0.94599999999999995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54528"/>
        <c:axId val="90856064"/>
      </c:barChart>
      <c:catAx>
        <c:axId val="90854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856064"/>
        <c:crosses val="autoZero"/>
        <c:auto val="1"/>
        <c:lblAlgn val="ctr"/>
        <c:lblOffset val="100"/>
        <c:noMultiLvlLbl val="1"/>
      </c:catAx>
      <c:valAx>
        <c:axId val="908560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8545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costos'!$C$70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costos'!$C$71:$C$76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costos'!$D$70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costos'!$D$71:$D$76</c:f>
              <c:numCache>
                <c:formatCode>_-\$* #,##0.00_-;"-$"* #,##0.00_-;_-\$* \-??_-;_-@_-</c:formatCode>
                <c:ptCount val="6"/>
                <c:pt idx="0">
                  <c:v>112.995</c:v>
                </c:pt>
                <c:pt idx="1">
                  <c:v>1.4580000000000002</c:v>
                </c:pt>
                <c:pt idx="2">
                  <c:v>32.805</c:v>
                </c:pt>
                <c:pt idx="3">
                  <c:v>3.4020000000000001</c:v>
                </c:pt>
                <c:pt idx="4">
                  <c:v>0</c:v>
                </c:pt>
                <c:pt idx="5">
                  <c:v>4.2525000000000004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72544"/>
        <c:axId val="90974080"/>
      </c:barChart>
      <c:catAx>
        <c:axId val="90972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974080"/>
        <c:crosses val="autoZero"/>
        <c:auto val="1"/>
        <c:lblAlgn val="ctr"/>
        <c:lblOffset val="100"/>
        <c:noMultiLvlLbl val="1"/>
      </c:catAx>
      <c:valAx>
        <c:axId val="90974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9725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costos'!$E$70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costos'!$E$71:$E$76</c:f>
              <c:numCache>
                <c:formatCode>0%</c:formatCode>
                <c:ptCount val="6"/>
                <c:pt idx="0">
                  <c:v>-4.0602328705776989</c:v>
                </c:pt>
                <c:pt idx="1">
                  <c:v>0.63181818181818172</c:v>
                </c:pt>
                <c:pt idx="2">
                  <c:v>-0.69097938144329907</c:v>
                </c:pt>
                <c:pt idx="3">
                  <c:v>0.38145454545454544</c:v>
                </c:pt>
                <c:pt idx="4">
                  <c:v>1</c:v>
                </c:pt>
                <c:pt idx="5">
                  <c:v>0.81099999999999994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99040"/>
        <c:axId val="91004928"/>
      </c:barChart>
      <c:catAx>
        <c:axId val="90999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004928"/>
        <c:crosses val="autoZero"/>
        <c:auto val="1"/>
        <c:lblAlgn val="ctr"/>
        <c:lblOffset val="100"/>
        <c:noMultiLvlLbl val="1"/>
      </c:catAx>
      <c:valAx>
        <c:axId val="910049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9990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costos'!$C$83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costos'!$C$84:$C$89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costos'!$D$83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costos'!$D$84:$D$89</c:f>
              <c:numCache>
                <c:formatCode>_-\$* #,##0.00_-;"-$"* #,##0.00_-;_-\$* \-??_-;_-@_-</c:formatCode>
                <c:ptCount val="6"/>
                <c:pt idx="0">
                  <c:v>27.216000000000001</c:v>
                </c:pt>
                <c:pt idx="1">
                  <c:v>18.468</c:v>
                </c:pt>
                <c:pt idx="2">
                  <c:v>21.627000000000002</c:v>
                </c:pt>
                <c:pt idx="3">
                  <c:v>5.3460000000000001</c:v>
                </c:pt>
                <c:pt idx="4">
                  <c:v>0</c:v>
                </c:pt>
                <c:pt idx="5">
                  <c:v>1.5795000000000001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99552"/>
        <c:axId val="90201088"/>
      </c:barChart>
      <c:catAx>
        <c:axId val="9019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201088"/>
        <c:crosses val="autoZero"/>
        <c:auto val="1"/>
        <c:lblAlgn val="ctr"/>
        <c:lblOffset val="100"/>
        <c:noMultiLvlLbl val="1"/>
      </c:catAx>
      <c:valAx>
        <c:axId val="90201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1995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costos'!$E$83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costos'!$E$84:$E$89</c:f>
              <c:numCache>
                <c:formatCode>0%</c:formatCode>
                <c:ptCount val="6"/>
                <c:pt idx="0">
                  <c:v>-0.21880877742946722</c:v>
                </c:pt>
                <c:pt idx="1">
                  <c:v>-3.6636363636363636</c:v>
                </c:pt>
                <c:pt idx="2">
                  <c:v>-0.1147938144329899</c:v>
                </c:pt>
                <c:pt idx="3">
                  <c:v>2.7999999999999983E-2</c:v>
                </c:pt>
                <c:pt idx="4">
                  <c:v>1</c:v>
                </c:pt>
                <c:pt idx="5">
                  <c:v>0.92980000000000007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13760"/>
        <c:axId val="90236032"/>
      </c:barChart>
      <c:catAx>
        <c:axId val="90213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236032"/>
        <c:crosses val="autoZero"/>
        <c:auto val="1"/>
        <c:lblAlgn val="ctr"/>
        <c:lblOffset val="100"/>
        <c:noMultiLvlLbl val="1"/>
      </c:catAx>
      <c:valAx>
        <c:axId val="902360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2137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costos'!$C$96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costos'!$C$97:$C$102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costos'!$D$96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costos'!$D$97:$D$102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1.2149999999999999</c:v>
                </c:pt>
                <c:pt idx="2">
                  <c:v>0</c:v>
                </c:pt>
                <c:pt idx="3">
                  <c:v>7.7759999999999998</c:v>
                </c:pt>
                <c:pt idx="4">
                  <c:v>0</c:v>
                </c:pt>
                <c:pt idx="5">
                  <c:v>4.7385000000000002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39968"/>
        <c:axId val="90345856"/>
      </c:barChart>
      <c:catAx>
        <c:axId val="90339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345856"/>
        <c:crosses val="autoZero"/>
        <c:auto val="1"/>
        <c:lblAlgn val="ctr"/>
        <c:lblOffset val="100"/>
        <c:noMultiLvlLbl val="1"/>
      </c:catAx>
      <c:valAx>
        <c:axId val="90345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3399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costos'!$E$96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costos'!$E$97:$E$102</c:f>
              <c:numCache>
                <c:formatCode>0%</c:formatCode>
                <c:ptCount val="6"/>
                <c:pt idx="0">
                  <c:v>0.94558889386475597</c:v>
                </c:pt>
                <c:pt idx="1">
                  <c:v>0.69318181818181823</c:v>
                </c:pt>
                <c:pt idx="2">
                  <c:v>1</c:v>
                </c:pt>
                <c:pt idx="3">
                  <c:v>-0.41381818181818181</c:v>
                </c:pt>
                <c:pt idx="4">
                  <c:v>1</c:v>
                </c:pt>
                <c:pt idx="5">
                  <c:v>0.78939999999999988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70816"/>
        <c:axId val="90372352"/>
      </c:barChart>
      <c:catAx>
        <c:axId val="9037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372352"/>
        <c:crosses val="autoZero"/>
        <c:auto val="1"/>
        <c:lblAlgn val="ctr"/>
        <c:lblOffset val="100"/>
        <c:noMultiLvlLbl val="1"/>
      </c:catAx>
      <c:valAx>
        <c:axId val="903723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3708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costos'!$C$113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costos'!$C$114:$C$119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costos'!$D$113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costos'!$D$114:$D$119</c:f>
              <c:numCache>
                <c:formatCode>_-\$* #,##0.00_-;"-$"* #,##0.00_-;_-\$* \-??_-;_-@_-</c:formatCode>
                <c:ptCount val="6"/>
                <c:pt idx="0">
                  <c:v>26.73</c:v>
                </c:pt>
                <c:pt idx="1">
                  <c:v>28.431000000000001</c:v>
                </c:pt>
                <c:pt idx="2">
                  <c:v>99.63</c:v>
                </c:pt>
                <c:pt idx="3">
                  <c:v>0.72900000000000009</c:v>
                </c:pt>
                <c:pt idx="4">
                  <c:v>0</c:v>
                </c:pt>
                <c:pt idx="5">
                  <c:v>3.645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04512"/>
        <c:axId val="90306048"/>
      </c:barChart>
      <c:catAx>
        <c:axId val="90304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306048"/>
        <c:crosses val="autoZero"/>
        <c:auto val="1"/>
        <c:lblAlgn val="ctr"/>
        <c:lblOffset val="100"/>
        <c:noMultiLvlLbl val="1"/>
      </c:catAx>
      <c:valAx>
        <c:axId val="90306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3045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costos'!$E$113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costos'!$E$114:$E$119</c:f>
              <c:numCache>
                <c:formatCode>0%</c:formatCode>
                <c:ptCount val="6"/>
                <c:pt idx="0">
                  <c:v>-0.19704433497536958</c:v>
                </c:pt>
                <c:pt idx="1">
                  <c:v>-6.1795454545454547</c:v>
                </c:pt>
                <c:pt idx="2">
                  <c:v>-4.1355670103092779</c:v>
                </c:pt>
                <c:pt idx="3">
                  <c:v>0.86745454545454548</c:v>
                </c:pt>
                <c:pt idx="4">
                  <c:v>1</c:v>
                </c:pt>
                <c:pt idx="5">
                  <c:v>0.83799999999999997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39616"/>
        <c:axId val="91041152"/>
      </c:barChart>
      <c:catAx>
        <c:axId val="91039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041152"/>
        <c:crosses val="autoZero"/>
        <c:auto val="1"/>
        <c:lblAlgn val="ctr"/>
        <c:lblOffset val="100"/>
        <c:noMultiLvlLbl val="1"/>
      </c:catAx>
      <c:valAx>
        <c:axId val="910411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0396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costos'!$C$126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costos'!$C$127:$C$132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costos'!$D$126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costos'!$D$127:$D$132</c:f>
              <c:numCache>
                <c:formatCode>_-\$* #,##0.00_-;"-$"* #,##0.00_-;_-\$* \-??_-;_-@_-</c:formatCode>
                <c:ptCount val="6"/>
                <c:pt idx="0">
                  <c:v>37.178999999999995</c:v>
                </c:pt>
                <c:pt idx="1">
                  <c:v>13.850999999999999</c:v>
                </c:pt>
                <c:pt idx="2">
                  <c:v>0</c:v>
                </c:pt>
                <c:pt idx="3">
                  <c:v>8.9909999999999997</c:v>
                </c:pt>
                <c:pt idx="4">
                  <c:v>0</c:v>
                </c:pt>
                <c:pt idx="5">
                  <c:v>1.8225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88000"/>
        <c:axId val="91089536"/>
      </c:barChart>
      <c:catAx>
        <c:axId val="91088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089536"/>
        <c:crosses val="autoZero"/>
        <c:auto val="1"/>
        <c:lblAlgn val="ctr"/>
        <c:lblOffset val="100"/>
        <c:noMultiLvlLbl val="1"/>
      </c:catAx>
      <c:valAx>
        <c:axId val="91089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0880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costos'!$E$5:$E$10</c:f>
              <c:numCache>
                <c:formatCode>0%</c:formatCode>
                <c:ptCount val="6"/>
                <c:pt idx="0">
                  <c:v>-4.1364084191670401</c:v>
                </c:pt>
                <c:pt idx="1">
                  <c:v>-0.16590909090909092</c:v>
                </c:pt>
                <c:pt idx="2">
                  <c:v>1</c:v>
                </c:pt>
                <c:pt idx="3">
                  <c:v>0.64654545454545453</c:v>
                </c:pt>
                <c:pt idx="4">
                  <c:v>1</c:v>
                </c:pt>
                <c:pt idx="5">
                  <c:v>0.98920000000000008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74944"/>
        <c:axId val="87476480"/>
      </c:barChart>
      <c:catAx>
        <c:axId val="87474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476480"/>
        <c:crosses val="autoZero"/>
        <c:auto val="1"/>
        <c:lblAlgn val="ctr"/>
        <c:lblOffset val="100"/>
        <c:noMultiLvlLbl val="1"/>
      </c:catAx>
      <c:valAx>
        <c:axId val="874764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4749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costos'!$E$126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costos'!$E$127:$E$132</c:f>
              <c:numCache>
                <c:formatCode>0%</c:formatCode>
                <c:ptCount val="6"/>
                <c:pt idx="0">
                  <c:v>-0.6649798477384683</c:v>
                </c:pt>
                <c:pt idx="1">
                  <c:v>-2.4977272727272721</c:v>
                </c:pt>
                <c:pt idx="2">
                  <c:v>1</c:v>
                </c:pt>
                <c:pt idx="3">
                  <c:v>-0.6347272727272727</c:v>
                </c:pt>
                <c:pt idx="4">
                  <c:v>1</c:v>
                </c:pt>
                <c:pt idx="5">
                  <c:v>0.91899999999999993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10400"/>
        <c:axId val="91128576"/>
      </c:barChart>
      <c:catAx>
        <c:axId val="91110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28576"/>
        <c:crosses val="autoZero"/>
        <c:auto val="1"/>
        <c:lblAlgn val="ctr"/>
        <c:lblOffset val="100"/>
        <c:noMultiLvlLbl val="1"/>
      </c:catAx>
      <c:valAx>
        <c:axId val="91128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104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costos'!$C$139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costos'!$C$140:$C$145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costos'!$D$139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costos'!$D$140:$D$145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50.544000000000004</c:v>
                </c:pt>
                <c:pt idx="2">
                  <c:v>3.4020000000000001</c:v>
                </c:pt>
                <c:pt idx="3">
                  <c:v>1.4580000000000002</c:v>
                </c:pt>
                <c:pt idx="4">
                  <c:v>0</c:v>
                </c:pt>
                <c:pt idx="5">
                  <c:v>2.1869999999999998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55072"/>
        <c:axId val="91156864"/>
      </c:barChart>
      <c:catAx>
        <c:axId val="91155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56864"/>
        <c:crosses val="autoZero"/>
        <c:auto val="1"/>
        <c:lblAlgn val="ctr"/>
        <c:lblOffset val="100"/>
        <c:noMultiLvlLbl val="1"/>
      </c:catAx>
      <c:valAx>
        <c:axId val="911568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550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costos'!$E$139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costos'!$E$140:$E$145</c:f>
              <c:numCache>
                <c:formatCode>0%</c:formatCode>
                <c:ptCount val="6"/>
                <c:pt idx="0">
                  <c:v>0.98911777877295126</c:v>
                </c:pt>
                <c:pt idx="1">
                  <c:v>-11.763636363636364</c:v>
                </c:pt>
                <c:pt idx="2">
                  <c:v>0.82463917525773189</c:v>
                </c:pt>
                <c:pt idx="3">
                  <c:v>0.73490909090909085</c:v>
                </c:pt>
                <c:pt idx="4">
                  <c:v>1</c:v>
                </c:pt>
                <c:pt idx="5">
                  <c:v>0.90279999999999994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59648"/>
        <c:axId val="91261184"/>
      </c:barChart>
      <c:catAx>
        <c:axId val="91259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261184"/>
        <c:crosses val="autoZero"/>
        <c:auto val="1"/>
        <c:lblAlgn val="ctr"/>
        <c:lblOffset val="100"/>
        <c:noMultiLvlLbl val="1"/>
      </c:catAx>
      <c:valAx>
        <c:axId val="91261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259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costos'!$C$151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costos'!$C$152:$C$157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costos'!$D$151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costos'!$D$152:$D$157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0.72900000000000009</c:v>
                </c:pt>
                <c:pt idx="2">
                  <c:v>0</c:v>
                </c:pt>
                <c:pt idx="3">
                  <c:v>4.1310000000000002</c:v>
                </c:pt>
                <c:pt idx="4">
                  <c:v>0</c:v>
                </c:pt>
                <c:pt idx="5">
                  <c:v>2.0655000000000001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73568"/>
        <c:axId val="91375104"/>
      </c:barChart>
      <c:catAx>
        <c:axId val="91373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375104"/>
        <c:crosses val="autoZero"/>
        <c:auto val="1"/>
        <c:lblAlgn val="ctr"/>
        <c:lblOffset val="100"/>
        <c:noMultiLvlLbl val="1"/>
      </c:catAx>
      <c:valAx>
        <c:axId val="913751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3735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costos'!$E$151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costos'!$E$152:$E$157</c:f>
              <c:numCache>
                <c:formatCode>0%</c:formatCode>
                <c:ptCount val="6"/>
                <c:pt idx="0">
                  <c:v>0.89117778772951184</c:v>
                </c:pt>
                <c:pt idx="1">
                  <c:v>0.81590909090909092</c:v>
                </c:pt>
                <c:pt idx="2">
                  <c:v>1</c:v>
                </c:pt>
                <c:pt idx="3">
                  <c:v>0.24890909090909086</c:v>
                </c:pt>
                <c:pt idx="4">
                  <c:v>1</c:v>
                </c:pt>
                <c:pt idx="5">
                  <c:v>0.90820000000000001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95968"/>
        <c:axId val="91397504"/>
      </c:barChart>
      <c:catAx>
        <c:axId val="9139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397504"/>
        <c:crosses val="autoZero"/>
        <c:auto val="1"/>
        <c:lblAlgn val="ctr"/>
        <c:lblOffset val="100"/>
        <c:noMultiLvlLbl val="1"/>
      </c:catAx>
      <c:valAx>
        <c:axId val="913975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3959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costos'!$C$165:$C$170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costos'!$D$165:$D$170</c:f>
              <c:numCache>
                <c:formatCode>_-\$* #,##0.00_-;"-$"* #,##0.00_-;_-\$* \-??_-;_-@_-</c:formatCode>
                <c:ptCount val="6"/>
                <c:pt idx="0">
                  <c:v>147.01500000000001</c:v>
                </c:pt>
                <c:pt idx="1">
                  <c:v>0.97199999999999998</c:v>
                </c:pt>
                <c:pt idx="2">
                  <c:v>19.196999999999999</c:v>
                </c:pt>
                <c:pt idx="3">
                  <c:v>2.9160000000000004</c:v>
                </c:pt>
                <c:pt idx="4">
                  <c:v>0</c:v>
                </c:pt>
                <c:pt idx="5">
                  <c:v>2.1869999999999998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13632"/>
        <c:axId val="101415168"/>
      </c:barChart>
      <c:catAx>
        <c:axId val="101413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415168"/>
        <c:crosses val="autoZero"/>
        <c:auto val="1"/>
        <c:lblAlgn val="ctr"/>
        <c:lblOffset val="100"/>
        <c:noMultiLvlLbl val="1"/>
      </c:catAx>
      <c:valAx>
        <c:axId val="101415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4136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costos'!$E$165:$E$170</c:f>
              <c:numCache>
                <c:formatCode>0%</c:formatCode>
                <c:ptCount val="6"/>
                <c:pt idx="0">
                  <c:v>-5.5837438423645329</c:v>
                </c:pt>
                <c:pt idx="1">
                  <c:v>0.75454545454545452</c:v>
                </c:pt>
                <c:pt idx="2">
                  <c:v>1.0463917525773166E-2</c:v>
                </c:pt>
                <c:pt idx="3">
                  <c:v>0.46981818181818175</c:v>
                </c:pt>
                <c:pt idx="4">
                  <c:v>1</c:v>
                </c:pt>
                <c:pt idx="5">
                  <c:v>0.90279999999999994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31936"/>
        <c:axId val="101446016"/>
      </c:barChart>
      <c:catAx>
        <c:axId val="101431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446016"/>
        <c:crosses val="autoZero"/>
        <c:auto val="1"/>
        <c:lblAlgn val="ctr"/>
        <c:lblOffset val="100"/>
        <c:noMultiLvlLbl val="1"/>
      </c:catAx>
      <c:valAx>
        <c:axId val="1014460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4319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Procesos'!$C$4:$C$10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Procesos'!$Q$4:$Q$9</c:f>
              <c:numCache>
                <c:formatCode>0%</c:formatCode>
                <c:ptCount val="6"/>
                <c:pt idx="0">
                  <c:v>0</c:v>
                </c:pt>
                <c:pt idx="1">
                  <c:v>0.98900769230769225</c:v>
                </c:pt>
                <c:pt idx="2">
                  <c:v>1</c:v>
                </c:pt>
                <c:pt idx="3">
                  <c:v>1</c:v>
                </c:pt>
                <c:pt idx="4">
                  <c:v>0.66667500000000002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573760"/>
        <c:axId val="101575296"/>
      </c:barChart>
      <c:catAx>
        <c:axId val="101573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1575296"/>
        <c:crosses val="autoZero"/>
        <c:auto val="1"/>
        <c:lblAlgn val="ctr"/>
        <c:lblOffset val="100"/>
        <c:noMultiLvlLbl val="1"/>
      </c:catAx>
      <c:valAx>
        <c:axId val="101575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15737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Procesos'!$Q$13:$Q$15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2490752"/>
        <c:axId val="92496640"/>
      </c:barChart>
      <c:catAx>
        <c:axId val="92490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496640"/>
        <c:crosses val="autoZero"/>
        <c:auto val="1"/>
        <c:lblAlgn val="ctr"/>
        <c:lblOffset val="100"/>
        <c:noMultiLvlLbl val="1"/>
      </c:catAx>
      <c:valAx>
        <c:axId val="92496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4907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Productos'!$Q$4:$Q$8</c:f>
              <c:numCache>
                <c:formatCode>0.00%</c:formatCode>
                <c:ptCount val="5"/>
                <c:pt idx="0">
                  <c:v>0.94120000000000004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406848"/>
        <c:axId val="92540928"/>
      </c:barChart>
      <c:catAx>
        <c:axId val="87406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540928"/>
        <c:crosses val="autoZero"/>
        <c:auto val="1"/>
        <c:lblAlgn val="ctr"/>
        <c:lblOffset val="100"/>
        <c:noMultiLvlLbl val="1"/>
      </c:catAx>
      <c:valAx>
        <c:axId val="92540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4068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costos'!$C$18:$C$23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costos'!$D$18:$D$23</c:f>
              <c:numCache>
                <c:formatCode>_-\$* #,##0.00_-;"-$"* #,##0.00_-;_-\$* \-??_-;_-@_-</c:formatCode>
                <c:ptCount val="6"/>
                <c:pt idx="0">
                  <c:v>5.8320000000000007</c:v>
                </c:pt>
                <c:pt idx="1">
                  <c:v>10.692</c:v>
                </c:pt>
                <c:pt idx="2">
                  <c:v>0</c:v>
                </c:pt>
                <c:pt idx="3">
                  <c:v>3.4020000000000001</c:v>
                </c:pt>
                <c:pt idx="4">
                  <c:v>0</c:v>
                </c:pt>
                <c:pt idx="5">
                  <c:v>3.8879999999999999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64416"/>
        <c:axId val="88765952"/>
      </c:barChart>
      <c:catAx>
        <c:axId val="88764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65952"/>
        <c:crosses val="autoZero"/>
        <c:auto val="1"/>
        <c:lblAlgn val="ctr"/>
        <c:lblOffset val="100"/>
        <c:noMultiLvlLbl val="1"/>
      </c:catAx>
      <c:valAx>
        <c:axId val="88765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644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Productos'!$R$12:$R$14</c:f>
              <c:numCache>
                <c:formatCode>0%</c:formatCode>
                <c:ptCount val="3"/>
                <c:pt idx="0">
                  <c:v>1</c:v>
                </c:pt>
                <c:pt idx="1">
                  <c:v>0.85709999999999997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2565888"/>
        <c:axId val="92567424"/>
      </c:barChart>
      <c:catAx>
        <c:axId val="92565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567424"/>
        <c:crosses val="autoZero"/>
        <c:auto val="1"/>
        <c:lblAlgn val="ctr"/>
        <c:lblOffset val="100"/>
        <c:noMultiLvlLbl val="1"/>
      </c:catAx>
      <c:valAx>
        <c:axId val="92567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5658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Física!$Q$4:$Q$6</c:f>
              <c:numCache>
                <c:formatCode>0%</c:formatCode>
                <c:ptCount val="3"/>
                <c:pt idx="0">
                  <c:v>0.84615384615384615</c:v>
                </c:pt>
                <c:pt idx="1">
                  <c:v>0.76923076923076927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849728"/>
        <c:axId val="101855616"/>
      </c:barChart>
      <c:catAx>
        <c:axId val="101849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1855616"/>
        <c:crosses val="autoZero"/>
        <c:auto val="1"/>
        <c:lblAlgn val="ctr"/>
        <c:lblOffset val="100"/>
        <c:noMultiLvlLbl val="1"/>
      </c:catAx>
      <c:valAx>
        <c:axId val="101855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18497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Funcional!$Q$4:$Q$6</c:f>
              <c:numCache>
                <c:formatCode>0%</c:formatCode>
                <c:ptCount val="3"/>
                <c:pt idx="0">
                  <c:v>0.79461538461538461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983360"/>
        <c:axId val="101984896"/>
      </c:barChart>
      <c:catAx>
        <c:axId val="101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1984896"/>
        <c:crosses val="autoZero"/>
        <c:auto val="1"/>
        <c:lblAlgn val="ctr"/>
        <c:lblOffset val="100"/>
        <c:noMultiLvlLbl val="1"/>
      </c:catAx>
      <c:valAx>
        <c:axId val="101984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19833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Satisfacción'!$AR$3</c:f>
              <c:strCache>
                <c:ptCount val="1"/>
                <c:pt idx="0">
                  <c:v>Resultados</c:v>
                </c:pt>
              </c:strCache>
            </c:strRef>
          </c:cat>
          <c:val>
            <c:numRef>
              <c:f>'Indice de Satisfacción'!$AR$5</c:f>
              <c:numCache>
                <c:formatCode>0.00%</c:formatCode>
                <c:ptCount val="1"/>
                <c:pt idx="0">
                  <c:v>0.99087692307692299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633408"/>
        <c:axId val="101635200"/>
      </c:barChart>
      <c:catAx>
        <c:axId val="101633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1635200"/>
        <c:crosses val="autoZero"/>
        <c:auto val="1"/>
        <c:lblAlgn val="ctr"/>
        <c:lblOffset val="100"/>
        <c:noMultiLvlLbl val="1"/>
      </c:catAx>
      <c:valAx>
        <c:axId val="101635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16334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costos'!$E$18:$E$23</c:f>
              <c:numCache>
                <c:formatCode>0%</c:formatCode>
                <c:ptCount val="6"/>
                <c:pt idx="0">
                  <c:v>0.73882669055082839</c:v>
                </c:pt>
                <c:pt idx="1">
                  <c:v>-1.7000000000000002</c:v>
                </c:pt>
                <c:pt idx="2">
                  <c:v>1</c:v>
                </c:pt>
                <c:pt idx="3">
                  <c:v>0.38145454545454544</c:v>
                </c:pt>
                <c:pt idx="4">
                  <c:v>1</c:v>
                </c:pt>
                <c:pt idx="5">
                  <c:v>0.82720000000000005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99104"/>
        <c:axId val="88800640"/>
      </c:barChart>
      <c:catAx>
        <c:axId val="88799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800640"/>
        <c:crosses val="autoZero"/>
        <c:auto val="1"/>
        <c:lblAlgn val="ctr"/>
        <c:lblOffset val="100"/>
        <c:noMultiLvlLbl val="1"/>
      </c:catAx>
      <c:valAx>
        <c:axId val="88800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991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costos'!$C$30:$C$35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costos'!$D$30:$D$35</c:f>
              <c:numCache>
                <c:formatCode>_-\$* #,##0.00_-;"-$"* #,##0.00_-;_-\$* \-??_-;_-@_-</c:formatCode>
                <c:ptCount val="6"/>
                <c:pt idx="0">
                  <c:v>13.122</c:v>
                </c:pt>
                <c:pt idx="1">
                  <c:v>8.2620000000000005</c:v>
                </c:pt>
                <c:pt idx="2">
                  <c:v>0</c:v>
                </c:pt>
                <c:pt idx="3">
                  <c:v>4.3739999999999997</c:v>
                </c:pt>
                <c:pt idx="4">
                  <c:v>0</c:v>
                </c:pt>
                <c:pt idx="5">
                  <c:v>1.3365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99872"/>
        <c:axId val="90401408"/>
      </c:barChart>
      <c:catAx>
        <c:axId val="90399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401408"/>
        <c:crosses val="autoZero"/>
        <c:auto val="1"/>
        <c:lblAlgn val="ctr"/>
        <c:lblOffset val="100"/>
        <c:noMultiLvlLbl val="1"/>
      </c:catAx>
      <c:valAx>
        <c:axId val="90401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3998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costos'!$E$30:$E$35</c:f>
              <c:numCache>
                <c:formatCode>0%</c:formatCode>
                <c:ptCount val="6"/>
                <c:pt idx="0">
                  <c:v>0.41236005373936402</c:v>
                </c:pt>
                <c:pt idx="1">
                  <c:v>-1.0863636363636364</c:v>
                </c:pt>
                <c:pt idx="2">
                  <c:v>1</c:v>
                </c:pt>
                <c:pt idx="3">
                  <c:v>0.20472727272727279</c:v>
                </c:pt>
                <c:pt idx="4">
                  <c:v>1</c:v>
                </c:pt>
                <c:pt idx="5">
                  <c:v>0.94059999999999999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30848"/>
        <c:axId val="90514560"/>
      </c:barChart>
      <c:catAx>
        <c:axId val="90430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514560"/>
        <c:crosses val="autoZero"/>
        <c:auto val="1"/>
        <c:lblAlgn val="ctr"/>
        <c:lblOffset val="100"/>
        <c:noMultiLvlLbl val="1"/>
      </c:catAx>
      <c:valAx>
        <c:axId val="905145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4308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costos'!$C$43:$C$48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costos'!$D$43:$D$48</c:f>
              <c:numCache>
                <c:formatCode>_-\$* #,##0.00_-;"-$"* #,##0.00_-;_-\$* \-??_-;_-@_-</c:formatCode>
                <c:ptCount val="6"/>
                <c:pt idx="0">
                  <c:v>12.879</c:v>
                </c:pt>
                <c:pt idx="1">
                  <c:v>10.692</c:v>
                </c:pt>
                <c:pt idx="2">
                  <c:v>0</c:v>
                </c:pt>
                <c:pt idx="3">
                  <c:v>4.8599999999999994</c:v>
                </c:pt>
                <c:pt idx="4">
                  <c:v>0</c:v>
                </c:pt>
                <c:pt idx="5">
                  <c:v>2.3085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44768"/>
        <c:axId val="90550656"/>
      </c:barChart>
      <c:catAx>
        <c:axId val="90544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550656"/>
        <c:crosses val="autoZero"/>
        <c:auto val="1"/>
        <c:lblAlgn val="ctr"/>
        <c:lblOffset val="100"/>
        <c:noMultiLvlLbl val="1"/>
      </c:catAx>
      <c:valAx>
        <c:axId val="905506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5447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costos'!$E$43:$E$48</c:f>
              <c:numCache>
                <c:formatCode>0%</c:formatCode>
                <c:ptCount val="6"/>
                <c:pt idx="0">
                  <c:v>0.42324227496641287</c:v>
                </c:pt>
                <c:pt idx="1">
                  <c:v>-1.7000000000000002</c:v>
                </c:pt>
                <c:pt idx="2">
                  <c:v>1</c:v>
                </c:pt>
                <c:pt idx="3">
                  <c:v>0.11636363636363646</c:v>
                </c:pt>
                <c:pt idx="4">
                  <c:v>1</c:v>
                </c:pt>
                <c:pt idx="5">
                  <c:v>0.89740000000000009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27488"/>
        <c:axId val="90929024"/>
      </c:barChart>
      <c:catAx>
        <c:axId val="90927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929024"/>
        <c:crosses val="autoZero"/>
        <c:auto val="1"/>
        <c:lblAlgn val="ctr"/>
        <c:lblOffset val="100"/>
        <c:noMultiLvlLbl val="1"/>
      </c:catAx>
      <c:valAx>
        <c:axId val="90929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9274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costos'!$C$57:$C$62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costos'!$D$57:$D$62</c:f>
              <c:numCache>
                <c:formatCode>_-\$* #,##0.00_-;"-$"* #,##0.00_-;_-\$* \-??_-;_-@_-</c:formatCode>
                <c:ptCount val="6"/>
                <c:pt idx="0">
                  <c:v>37.664999999999999</c:v>
                </c:pt>
                <c:pt idx="1">
                  <c:v>7.7759999999999998</c:v>
                </c:pt>
                <c:pt idx="2">
                  <c:v>0</c:v>
                </c:pt>
                <c:pt idx="3">
                  <c:v>5.1029999999999998</c:v>
                </c:pt>
                <c:pt idx="4">
                  <c:v>0</c:v>
                </c:pt>
                <c:pt idx="5">
                  <c:v>1.2149999999999999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50656"/>
        <c:axId val="90952448"/>
      </c:barChart>
      <c:catAx>
        <c:axId val="90950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952448"/>
        <c:crosses val="autoZero"/>
        <c:auto val="1"/>
        <c:lblAlgn val="ctr"/>
        <c:lblOffset val="100"/>
        <c:noMultiLvlLbl val="1"/>
      </c:catAx>
      <c:valAx>
        <c:axId val="909524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9506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309240</xdr:colOff>
      <xdr:row>0</xdr:row>
      <xdr:rowOff>175680</xdr:rowOff>
    </xdr:from>
    <xdr:to>
      <xdr:col>11</xdr:col>
      <xdr:colOff>149400</xdr:colOff>
      <xdr:row>10</xdr:row>
      <xdr:rowOff>180360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330480</xdr:colOff>
      <xdr:row>0</xdr:row>
      <xdr:rowOff>16920</xdr:rowOff>
    </xdr:from>
    <xdr:to>
      <xdr:col>16</xdr:col>
      <xdr:colOff>730800</xdr:colOff>
      <xdr:row>10</xdr:row>
      <xdr:rowOff>159120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351360</xdr:colOff>
      <xdr:row>14</xdr:row>
      <xdr:rowOff>42840</xdr:rowOff>
    </xdr:from>
    <xdr:to>
      <xdr:col>11</xdr:col>
      <xdr:colOff>339840</xdr:colOff>
      <xdr:row>25</xdr:row>
      <xdr:rowOff>47160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616320</xdr:colOff>
      <xdr:row>14</xdr:row>
      <xdr:rowOff>148680</xdr:rowOff>
    </xdr:from>
    <xdr:to>
      <xdr:col>17</xdr:col>
      <xdr:colOff>128160</xdr:colOff>
      <xdr:row>25</xdr:row>
      <xdr:rowOff>15120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340920</xdr:colOff>
      <xdr:row>26</xdr:row>
      <xdr:rowOff>37080</xdr:rowOff>
    </xdr:from>
    <xdr:to>
      <xdr:col>11</xdr:col>
      <xdr:colOff>117720</xdr:colOff>
      <xdr:row>36</xdr:row>
      <xdr:rowOff>73440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351720</xdr:colOff>
      <xdr:row>25</xdr:row>
      <xdr:rowOff>185040</xdr:rowOff>
    </xdr:from>
    <xdr:to>
      <xdr:col>16</xdr:col>
      <xdr:colOff>667440</xdr:colOff>
      <xdr:row>36</xdr:row>
      <xdr:rowOff>114480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224280</xdr:colOff>
      <xdr:row>38</xdr:row>
      <xdr:rowOff>94680</xdr:rowOff>
    </xdr:from>
    <xdr:to>
      <xdr:col>11</xdr:col>
      <xdr:colOff>149040</xdr:colOff>
      <xdr:row>49</xdr:row>
      <xdr:rowOff>108000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500040</xdr:colOff>
      <xdr:row>38</xdr:row>
      <xdr:rowOff>20880</xdr:rowOff>
    </xdr:from>
    <xdr:to>
      <xdr:col>17</xdr:col>
      <xdr:colOff>181080</xdr:colOff>
      <xdr:row>49</xdr:row>
      <xdr:rowOff>119520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288000</xdr:colOff>
      <xdr:row>51</xdr:row>
      <xdr:rowOff>162720</xdr:rowOff>
    </xdr:from>
    <xdr:to>
      <xdr:col>11</xdr:col>
      <xdr:colOff>276480</xdr:colOff>
      <xdr:row>63</xdr:row>
      <xdr:rowOff>34920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500040</xdr:colOff>
      <xdr:row>51</xdr:row>
      <xdr:rowOff>141480</xdr:rowOff>
    </xdr:from>
    <xdr:to>
      <xdr:col>17</xdr:col>
      <xdr:colOff>234000</xdr:colOff>
      <xdr:row>63</xdr:row>
      <xdr:rowOff>34920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309240</xdr:colOff>
      <xdr:row>66</xdr:row>
      <xdr:rowOff>131040</xdr:rowOff>
    </xdr:from>
    <xdr:to>
      <xdr:col>11</xdr:col>
      <xdr:colOff>286920</xdr:colOff>
      <xdr:row>77</xdr:row>
      <xdr:rowOff>71640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574200</xdr:colOff>
      <xdr:row>66</xdr:row>
      <xdr:rowOff>141480</xdr:rowOff>
    </xdr:from>
    <xdr:to>
      <xdr:col>17</xdr:col>
      <xdr:colOff>244800</xdr:colOff>
      <xdr:row>77</xdr:row>
      <xdr:rowOff>29160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340920</xdr:colOff>
      <xdr:row>79</xdr:row>
      <xdr:rowOff>177840</xdr:rowOff>
    </xdr:from>
    <xdr:to>
      <xdr:col>11</xdr:col>
      <xdr:colOff>456120</xdr:colOff>
      <xdr:row>91</xdr:row>
      <xdr:rowOff>76320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637560</xdr:colOff>
      <xdr:row>80</xdr:row>
      <xdr:rowOff>103680</xdr:rowOff>
    </xdr:from>
    <xdr:to>
      <xdr:col>17</xdr:col>
      <xdr:colOff>297360</xdr:colOff>
      <xdr:row>91</xdr:row>
      <xdr:rowOff>55080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266760</xdr:colOff>
      <xdr:row>93</xdr:row>
      <xdr:rowOff>24120</xdr:rowOff>
    </xdr:from>
    <xdr:to>
      <xdr:col>10</xdr:col>
      <xdr:colOff>857880</xdr:colOff>
      <xdr:row>103</xdr:row>
      <xdr:rowOff>97560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320040</xdr:colOff>
      <xdr:row>92</xdr:row>
      <xdr:rowOff>151200</xdr:rowOff>
    </xdr:from>
    <xdr:to>
      <xdr:col>16</xdr:col>
      <xdr:colOff>635760</xdr:colOff>
      <xdr:row>103</xdr:row>
      <xdr:rowOff>87120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457200</xdr:colOff>
      <xdr:row>110</xdr:row>
      <xdr:rowOff>182520</xdr:rowOff>
    </xdr:from>
    <xdr:to>
      <xdr:col>11</xdr:col>
      <xdr:colOff>286920</xdr:colOff>
      <xdr:row>121</xdr:row>
      <xdr:rowOff>7200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468360</xdr:colOff>
      <xdr:row>110</xdr:row>
      <xdr:rowOff>182520</xdr:rowOff>
    </xdr:from>
    <xdr:to>
      <xdr:col>16</xdr:col>
      <xdr:colOff>773640</xdr:colOff>
      <xdr:row>121</xdr:row>
      <xdr:rowOff>60120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256320</xdr:colOff>
      <xdr:row>123</xdr:row>
      <xdr:rowOff>70920</xdr:rowOff>
    </xdr:from>
    <xdr:to>
      <xdr:col>11</xdr:col>
      <xdr:colOff>382320</xdr:colOff>
      <xdr:row>134</xdr:row>
      <xdr:rowOff>64440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11</xdr:col>
      <xdr:colOff>521280</xdr:colOff>
      <xdr:row>123</xdr:row>
      <xdr:rowOff>155520</xdr:rowOff>
    </xdr:from>
    <xdr:to>
      <xdr:col>17</xdr:col>
      <xdr:colOff>106920</xdr:colOff>
      <xdr:row>134</xdr:row>
      <xdr:rowOff>1080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245520</xdr:colOff>
      <xdr:row>136</xdr:row>
      <xdr:rowOff>170640</xdr:rowOff>
    </xdr:from>
    <xdr:to>
      <xdr:col>11</xdr:col>
      <xdr:colOff>244440</xdr:colOff>
      <xdr:row>147</xdr:row>
      <xdr:rowOff>69120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351720</xdr:colOff>
      <xdr:row>137</xdr:row>
      <xdr:rowOff>11880</xdr:rowOff>
    </xdr:from>
    <xdr:to>
      <xdr:col>16</xdr:col>
      <xdr:colOff>773280</xdr:colOff>
      <xdr:row>147</xdr:row>
      <xdr:rowOff>153720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298440</xdr:colOff>
      <xdr:row>149</xdr:row>
      <xdr:rowOff>80280</xdr:rowOff>
    </xdr:from>
    <xdr:to>
      <xdr:col>11</xdr:col>
      <xdr:colOff>265680</xdr:colOff>
      <xdr:row>159</xdr:row>
      <xdr:rowOff>174600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394200</xdr:colOff>
      <xdr:row>149</xdr:row>
      <xdr:rowOff>80280</xdr:rowOff>
    </xdr:from>
    <xdr:to>
      <xdr:col>16</xdr:col>
      <xdr:colOff>805320</xdr:colOff>
      <xdr:row>159</xdr:row>
      <xdr:rowOff>79560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330120</xdr:colOff>
      <xdr:row>162</xdr:row>
      <xdr:rowOff>69480</xdr:rowOff>
    </xdr:from>
    <xdr:to>
      <xdr:col>11</xdr:col>
      <xdr:colOff>329040</xdr:colOff>
      <xdr:row>172</xdr:row>
      <xdr:rowOff>144720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11</xdr:col>
      <xdr:colOff>383400</xdr:colOff>
      <xdr:row>162</xdr:row>
      <xdr:rowOff>122760</xdr:rowOff>
    </xdr:from>
    <xdr:to>
      <xdr:col>16</xdr:col>
      <xdr:colOff>762480</xdr:colOff>
      <xdr:row>172</xdr:row>
      <xdr:rowOff>91440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482400</xdr:colOff>
      <xdr:row>16</xdr:row>
      <xdr:rowOff>31680</xdr:rowOff>
    </xdr:from>
    <xdr:to>
      <xdr:col>8</xdr:col>
      <xdr:colOff>424800</xdr:colOff>
      <xdr:row>34</xdr:row>
      <xdr:rowOff>24480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390600</xdr:colOff>
      <xdr:row>16</xdr:row>
      <xdr:rowOff>58680</xdr:rowOff>
    </xdr:from>
    <xdr:to>
      <xdr:col>16</xdr:col>
      <xdr:colOff>460080</xdr:colOff>
      <xdr:row>34</xdr:row>
      <xdr:rowOff>51480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922320</xdr:colOff>
      <xdr:row>18</xdr:row>
      <xdr:rowOff>57600</xdr:rowOff>
    </xdr:from>
    <xdr:to>
      <xdr:col>10</xdr:col>
      <xdr:colOff>775080</xdr:colOff>
      <xdr:row>36</xdr:row>
      <xdr:rowOff>50400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389520</xdr:colOff>
      <xdr:row>18</xdr:row>
      <xdr:rowOff>146520</xdr:rowOff>
    </xdr:from>
    <xdr:to>
      <xdr:col>17</xdr:col>
      <xdr:colOff>1271880</xdr:colOff>
      <xdr:row>36</xdr:row>
      <xdr:rowOff>139320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370440</xdr:colOff>
      <xdr:row>7</xdr:row>
      <xdr:rowOff>90720</xdr:rowOff>
    </xdr:from>
    <xdr:to>
      <xdr:col>11</xdr:col>
      <xdr:colOff>439920</xdr:colOff>
      <xdr:row>25</xdr:row>
      <xdr:rowOff>174960</xdr:rowOff>
    </xdr:to>
    <xdr:graphicFrame macro="">
      <xdr:nvGraphicFramePr>
        <xdr:cNvPr id="3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586440</xdr:colOff>
      <xdr:row>7</xdr:row>
      <xdr:rowOff>52560</xdr:rowOff>
    </xdr:from>
    <xdr:to>
      <xdr:col>11</xdr:col>
      <xdr:colOff>655920</xdr:colOff>
      <xdr:row>25</xdr:row>
      <xdr:rowOff>136800</xdr:rowOff>
    </xdr:to>
    <xdr:graphicFrame macro="">
      <xdr:nvGraphicFramePr>
        <xdr:cNvPr id="3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145800</xdr:colOff>
      <xdr:row>9</xdr:row>
      <xdr:rowOff>132480</xdr:rowOff>
    </xdr:from>
    <xdr:to>
      <xdr:col>12</xdr:col>
      <xdr:colOff>646920</xdr:colOff>
      <xdr:row>28</xdr:row>
      <xdr:rowOff>41400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30" zoomScale="90" zoomScaleNormal="90" workbookViewId="0">
      <selection activeCell="B130" sqref="B130"/>
    </sheetView>
  </sheetViews>
  <sheetFormatPr baseColWidth="10" defaultColWidth="9.140625" defaultRowHeight="15" x14ac:dyDescent="0.25"/>
  <cols>
    <col min="1" max="1" width="2.28515625"/>
    <col min="2" max="2" width="45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pans="1:11" x14ac:dyDescent="0.25">
      <c r="A1" s="2"/>
      <c r="B1" s="2" t="s">
        <v>0</v>
      </c>
      <c r="K1" s="2"/>
    </row>
    <row r="4" spans="1:11" x14ac:dyDescent="0.25">
      <c r="B4" s="3" t="s">
        <v>1</v>
      </c>
    </row>
    <row r="5" spans="1:11" ht="21" x14ac:dyDescent="0.25">
      <c r="B5" s="4">
        <v>42388</v>
      </c>
      <c r="C5" s="5" t="s">
        <v>2</v>
      </c>
      <c r="D5" s="5" t="s">
        <v>3</v>
      </c>
      <c r="E5" s="5" t="s">
        <v>4</v>
      </c>
    </row>
    <row r="6" spans="1:11" x14ac:dyDescent="0.25">
      <c r="B6" s="6" t="s">
        <v>5</v>
      </c>
      <c r="C6" s="7">
        <v>51</v>
      </c>
      <c r="D6" s="7">
        <v>472</v>
      </c>
      <c r="E6" s="8">
        <f t="shared" ref="E6:E11" si="0">(C6-D6)/C6</f>
        <v>-8.2549019607843146</v>
      </c>
    </row>
    <row r="7" spans="1:11" x14ac:dyDescent="0.25">
      <c r="B7" s="9" t="s">
        <v>6</v>
      </c>
      <c r="C7" s="10">
        <v>35</v>
      </c>
      <c r="D7" s="10">
        <v>19</v>
      </c>
      <c r="E7" s="11">
        <f t="shared" si="0"/>
        <v>0.45714285714285713</v>
      </c>
    </row>
    <row r="8" spans="1:11" x14ac:dyDescent="0.25">
      <c r="B8" s="9" t="s">
        <v>7</v>
      </c>
      <c r="C8" s="10">
        <v>240</v>
      </c>
      <c r="D8" s="10">
        <v>0</v>
      </c>
      <c r="E8" s="11">
        <f t="shared" si="0"/>
        <v>1</v>
      </c>
    </row>
    <row r="9" spans="1:11" x14ac:dyDescent="0.25">
      <c r="B9" s="9" t="s">
        <v>8</v>
      </c>
      <c r="C9" s="10">
        <v>23</v>
      </c>
      <c r="D9" s="10">
        <v>10</v>
      </c>
      <c r="E9" s="11">
        <f t="shared" si="0"/>
        <v>0.56521739130434778</v>
      </c>
    </row>
    <row r="10" spans="1:11" x14ac:dyDescent="0.25">
      <c r="B10" s="9" t="s">
        <v>9</v>
      </c>
      <c r="C10" s="10">
        <v>90</v>
      </c>
      <c r="D10" s="10">
        <v>0</v>
      </c>
      <c r="E10" s="11">
        <f t="shared" si="0"/>
        <v>1</v>
      </c>
    </row>
    <row r="11" spans="1:11" x14ac:dyDescent="0.25">
      <c r="B11" s="9" t="s">
        <v>10</v>
      </c>
      <c r="C11" s="10">
        <v>142</v>
      </c>
      <c r="D11" s="10">
        <v>8</v>
      </c>
      <c r="E11" s="11">
        <f t="shared" si="0"/>
        <v>0.94366197183098588</v>
      </c>
    </row>
    <row r="12" spans="1:11" x14ac:dyDescent="0.25">
      <c r="D12" s="12"/>
    </row>
    <row r="15" spans="1:11" x14ac:dyDescent="0.25">
      <c r="B15" t="s">
        <v>11</v>
      </c>
    </row>
    <row r="16" spans="1:11" ht="21" x14ac:dyDescent="0.25">
      <c r="B16" s="4">
        <v>42388</v>
      </c>
      <c r="C16" s="5" t="s">
        <v>2</v>
      </c>
      <c r="D16" s="5" t="s">
        <v>3</v>
      </c>
      <c r="E16" s="5" t="s">
        <v>4</v>
      </c>
    </row>
    <row r="17" spans="2:5" x14ac:dyDescent="0.25">
      <c r="B17" s="6" t="s">
        <v>5</v>
      </c>
      <c r="C17" s="7">
        <v>51</v>
      </c>
      <c r="D17" s="7">
        <v>24</v>
      </c>
      <c r="E17" s="8">
        <f t="shared" ref="E17:E22" si="1">(C17-D17)/C17</f>
        <v>0.52941176470588236</v>
      </c>
    </row>
    <row r="18" spans="2:5" x14ac:dyDescent="0.25">
      <c r="B18" s="9" t="s">
        <v>6</v>
      </c>
      <c r="C18" s="10">
        <v>35</v>
      </c>
      <c r="D18" s="10">
        <v>44</v>
      </c>
      <c r="E18" s="11">
        <f t="shared" si="1"/>
        <v>-0.25714285714285712</v>
      </c>
    </row>
    <row r="19" spans="2:5" x14ac:dyDescent="0.25">
      <c r="B19" s="9" t="s">
        <v>7</v>
      </c>
      <c r="C19" s="10">
        <v>0</v>
      </c>
      <c r="D19" s="10">
        <v>0</v>
      </c>
      <c r="E19" s="11" t="e">
        <f t="shared" si="1"/>
        <v>#DIV/0!</v>
      </c>
    </row>
    <row r="20" spans="2:5" x14ac:dyDescent="0.25">
      <c r="B20" s="9" t="s">
        <v>8</v>
      </c>
      <c r="C20" s="10">
        <v>23</v>
      </c>
      <c r="D20" s="10">
        <v>14</v>
      </c>
      <c r="E20" s="11">
        <f t="shared" si="1"/>
        <v>0.39130434782608697</v>
      </c>
    </row>
    <row r="21" spans="2:5" x14ac:dyDescent="0.25">
      <c r="B21" s="9" t="s">
        <v>9</v>
      </c>
      <c r="C21" s="10">
        <v>90</v>
      </c>
      <c r="D21" s="10">
        <v>0</v>
      </c>
      <c r="E21" s="11">
        <f t="shared" si="1"/>
        <v>1</v>
      </c>
    </row>
    <row r="22" spans="2:5" x14ac:dyDescent="0.25">
      <c r="B22" s="9" t="s">
        <v>10</v>
      </c>
      <c r="C22" s="10">
        <v>142</v>
      </c>
      <c r="D22" s="13">
        <v>32</v>
      </c>
      <c r="E22" s="11">
        <f t="shared" si="1"/>
        <v>0.77464788732394363</v>
      </c>
    </row>
    <row r="23" spans="2:5" x14ac:dyDescent="0.25">
      <c r="D23" s="14"/>
    </row>
    <row r="26" spans="2:5" x14ac:dyDescent="0.25">
      <c r="B26" t="s">
        <v>12</v>
      </c>
    </row>
    <row r="27" spans="2:5" ht="21" x14ac:dyDescent="0.25">
      <c r="B27" s="4">
        <v>42388</v>
      </c>
      <c r="C27" s="5" t="s">
        <v>2</v>
      </c>
      <c r="D27" s="5" t="s">
        <v>3</v>
      </c>
      <c r="E27" s="5" t="s">
        <v>4</v>
      </c>
    </row>
    <row r="28" spans="2:5" x14ac:dyDescent="0.25">
      <c r="B28" s="6" t="s">
        <v>5</v>
      </c>
      <c r="C28" s="7">
        <v>51</v>
      </c>
      <c r="D28" s="7">
        <v>54</v>
      </c>
      <c r="E28" s="8">
        <f t="shared" ref="E28:E33" si="2">(C28-D28)/C28</f>
        <v>-5.8823529411764705E-2</v>
      </c>
    </row>
    <row r="29" spans="2:5" x14ac:dyDescent="0.25">
      <c r="B29" s="9" t="s">
        <v>6</v>
      </c>
      <c r="C29" s="10">
        <v>35</v>
      </c>
      <c r="D29" s="10">
        <v>34</v>
      </c>
      <c r="E29" s="11">
        <f t="shared" si="2"/>
        <v>2.8571428571428571E-2</v>
      </c>
    </row>
    <row r="30" spans="2:5" x14ac:dyDescent="0.25">
      <c r="B30" s="9" t="s">
        <v>7</v>
      </c>
      <c r="C30" s="10">
        <v>0</v>
      </c>
      <c r="D30" s="10">
        <v>0</v>
      </c>
      <c r="E30" s="11" t="e">
        <f t="shared" si="2"/>
        <v>#DIV/0!</v>
      </c>
    </row>
    <row r="31" spans="2:5" x14ac:dyDescent="0.25">
      <c r="B31" s="9" t="s">
        <v>8</v>
      </c>
      <c r="C31" s="10">
        <v>23</v>
      </c>
      <c r="D31" s="10">
        <v>18</v>
      </c>
      <c r="E31" s="11">
        <f t="shared" si="2"/>
        <v>0.21739130434782608</v>
      </c>
    </row>
    <row r="32" spans="2:5" x14ac:dyDescent="0.25">
      <c r="B32" s="9" t="s">
        <v>9</v>
      </c>
      <c r="C32" s="10">
        <v>90</v>
      </c>
      <c r="D32" s="10">
        <v>0</v>
      </c>
      <c r="E32" s="11">
        <f t="shared" si="2"/>
        <v>1</v>
      </c>
    </row>
    <row r="33" spans="2:5" x14ac:dyDescent="0.25">
      <c r="B33" s="9" t="s">
        <v>10</v>
      </c>
      <c r="C33" s="10">
        <v>142</v>
      </c>
      <c r="D33" s="10">
        <v>11</v>
      </c>
      <c r="E33" s="11">
        <f t="shared" si="2"/>
        <v>0.92253521126760563</v>
      </c>
    </row>
    <row r="38" spans="2:5" x14ac:dyDescent="0.25">
      <c r="B38" t="s">
        <v>13</v>
      </c>
    </row>
    <row r="39" spans="2:5" ht="21" x14ac:dyDescent="0.25">
      <c r="B39" s="4">
        <v>42388</v>
      </c>
      <c r="C39" s="5" t="s">
        <v>2</v>
      </c>
      <c r="D39" s="5" t="s">
        <v>3</v>
      </c>
      <c r="E39" s="5" t="s">
        <v>4</v>
      </c>
    </row>
    <row r="40" spans="2:5" x14ac:dyDescent="0.25">
      <c r="B40" s="6" t="s">
        <v>5</v>
      </c>
      <c r="C40" s="7">
        <v>51</v>
      </c>
      <c r="D40" s="7">
        <v>53</v>
      </c>
      <c r="E40" s="8">
        <f t="shared" ref="E40:E45" si="3">(C40-D40)/C40</f>
        <v>-3.9215686274509803E-2</v>
      </c>
    </row>
    <row r="41" spans="2:5" x14ac:dyDescent="0.25">
      <c r="B41" s="9" t="s">
        <v>6</v>
      </c>
      <c r="C41" s="10">
        <v>35</v>
      </c>
      <c r="D41" s="10">
        <v>44</v>
      </c>
      <c r="E41" s="11">
        <f t="shared" si="3"/>
        <v>-0.25714285714285712</v>
      </c>
    </row>
    <row r="42" spans="2:5" x14ac:dyDescent="0.25">
      <c r="B42" s="9" t="s">
        <v>7</v>
      </c>
      <c r="C42" s="10">
        <v>0</v>
      </c>
      <c r="D42" s="10">
        <v>0</v>
      </c>
      <c r="E42" s="11" t="e">
        <f t="shared" si="3"/>
        <v>#DIV/0!</v>
      </c>
    </row>
    <row r="43" spans="2:5" x14ac:dyDescent="0.25">
      <c r="B43" s="9" t="s">
        <v>8</v>
      </c>
      <c r="C43" s="10">
        <v>23</v>
      </c>
      <c r="D43" s="10">
        <v>20</v>
      </c>
      <c r="E43" s="11">
        <f t="shared" si="3"/>
        <v>0.13043478260869565</v>
      </c>
    </row>
    <row r="44" spans="2:5" x14ac:dyDescent="0.25">
      <c r="B44" s="9" t="s">
        <v>9</v>
      </c>
      <c r="C44" s="10">
        <v>90</v>
      </c>
      <c r="D44" s="10">
        <v>0</v>
      </c>
      <c r="E44" s="11">
        <f t="shared" si="3"/>
        <v>1</v>
      </c>
    </row>
    <row r="45" spans="2:5" x14ac:dyDescent="0.25">
      <c r="B45" s="9" t="s">
        <v>10</v>
      </c>
      <c r="C45" s="10">
        <v>142</v>
      </c>
      <c r="D45" s="10">
        <v>19</v>
      </c>
      <c r="E45" s="11">
        <f t="shared" si="3"/>
        <v>0.86619718309859151</v>
      </c>
    </row>
    <row r="49" spans="2:5" x14ac:dyDescent="0.25">
      <c r="B49" s="3" t="s">
        <v>14</v>
      </c>
    </row>
    <row r="50" spans="2:5" ht="21" x14ac:dyDescent="0.25">
      <c r="B50" s="4">
        <v>42388</v>
      </c>
      <c r="C50" s="5" t="s">
        <v>2</v>
      </c>
      <c r="D50" s="5" t="s">
        <v>3</v>
      </c>
      <c r="E50" s="5" t="s">
        <v>4</v>
      </c>
    </row>
    <row r="51" spans="2:5" x14ac:dyDescent="0.25">
      <c r="B51" s="6" t="s">
        <v>5</v>
      </c>
      <c r="C51" s="7">
        <v>51</v>
      </c>
      <c r="D51" s="7">
        <v>155</v>
      </c>
      <c r="E51" s="8">
        <f t="shared" ref="E51:E56" si="4">(C51-D51)/C51</f>
        <v>-2.0392156862745097</v>
      </c>
    </row>
    <row r="52" spans="2:5" x14ac:dyDescent="0.25">
      <c r="B52" s="9" t="s">
        <v>6</v>
      </c>
      <c r="C52" s="10">
        <v>35</v>
      </c>
      <c r="D52" s="10">
        <v>32</v>
      </c>
      <c r="E52" s="11">
        <f t="shared" si="4"/>
        <v>8.5714285714285715E-2</v>
      </c>
    </row>
    <row r="53" spans="2:5" x14ac:dyDescent="0.25">
      <c r="B53" s="9" t="s">
        <v>7</v>
      </c>
      <c r="C53" s="10">
        <v>0</v>
      </c>
      <c r="D53" s="10">
        <v>0</v>
      </c>
      <c r="E53" s="11" t="e">
        <f t="shared" si="4"/>
        <v>#DIV/0!</v>
      </c>
    </row>
    <row r="54" spans="2:5" x14ac:dyDescent="0.25">
      <c r="B54" s="9" t="s">
        <v>8</v>
      </c>
      <c r="C54" s="10">
        <v>23</v>
      </c>
      <c r="D54" s="10">
        <v>21</v>
      </c>
      <c r="E54" s="11">
        <f t="shared" si="4"/>
        <v>8.6956521739130432E-2</v>
      </c>
    </row>
    <row r="55" spans="2:5" x14ac:dyDescent="0.25">
      <c r="B55" s="9" t="s">
        <v>9</v>
      </c>
      <c r="C55" s="10">
        <v>90</v>
      </c>
      <c r="D55" s="10">
        <v>0</v>
      </c>
      <c r="E55" s="11">
        <f t="shared" si="4"/>
        <v>1</v>
      </c>
    </row>
    <row r="56" spans="2:5" x14ac:dyDescent="0.25">
      <c r="B56" s="9" t="s">
        <v>10</v>
      </c>
      <c r="C56" s="10">
        <v>142</v>
      </c>
      <c r="D56" s="10">
        <v>10</v>
      </c>
      <c r="E56" s="11">
        <f t="shared" si="4"/>
        <v>0.92957746478873238</v>
      </c>
    </row>
    <row r="60" spans="2:5" x14ac:dyDescent="0.25">
      <c r="B60" s="3" t="s">
        <v>15</v>
      </c>
    </row>
    <row r="61" spans="2:5" ht="21" x14ac:dyDescent="0.25">
      <c r="B61" s="4">
        <v>42388</v>
      </c>
      <c r="C61" s="5" t="s">
        <v>2</v>
      </c>
      <c r="D61" s="5" t="s">
        <v>3</v>
      </c>
      <c r="E61" s="5" t="s">
        <v>4</v>
      </c>
    </row>
    <row r="62" spans="2:5" x14ac:dyDescent="0.25">
      <c r="B62" s="6" t="s">
        <v>5</v>
      </c>
      <c r="C62" s="7">
        <v>51</v>
      </c>
      <c r="D62" s="7">
        <v>465</v>
      </c>
      <c r="E62" s="8">
        <f t="shared" ref="E62:E67" si="5">(C62-D62)/C62</f>
        <v>-8.117647058823529</v>
      </c>
    </row>
    <row r="63" spans="2:5" x14ac:dyDescent="0.25">
      <c r="B63" s="9" t="s">
        <v>6</v>
      </c>
      <c r="C63" s="10">
        <v>35</v>
      </c>
      <c r="D63" s="10">
        <v>6</v>
      </c>
      <c r="E63" s="11">
        <f t="shared" si="5"/>
        <v>0.82857142857142863</v>
      </c>
    </row>
    <row r="64" spans="2:5" x14ac:dyDescent="0.25">
      <c r="B64" s="9" t="s">
        <v>7</v>
      </c>
      <c r="C64" s="10">
        <v>90</v>
      </c>
      <c r="D64" s="10">
        <v>135</v>
      </c>
      <c r="E64" s="11">
        <f t="shared" si="5"/>
        <v>-0.5</v>
      </c>
    </row>
    <row r="65" spans="2:5" x14ac:dyDescent="0.25">
      <c r="B65" s="9" t="s">
        <v>8</v>
      </c>
      <c r="C65" s="10">
        <v>23</v>
      </c>
      <c r="D65" s="10">
        <v>14</v>
      </c>
      <c r="E65" s="11">
        <f t="shared" si="5"/>
        <v>0.39130434782608697</v>
      </c>
    </row>
    <row r="66" spans="2:5" x14ac:dyDescent="0.25">
      <c r="B66" s="9" t="s">
        <v>9</v>
      </c>
      <c r="C66" s="10">
        <v>90</v>
      </c>
      <c r="D66" s="10">
        <v>0</v>
      </c>
      <c r="E66" s="11">
        <f t="shared" si="5"/>
        <v>1</v>
      </c>
    </row>
    <row r="67" spans="2:5" x14ac:dyDescent="0.25">
      <c r="B67" s="9" t="s">
        <v>10</v>
      </c>
      <c r="C67" s="10">
        <v>142</v>
      </c>
      <c r="D67" s="10">
        <v>35</v>
      </c>
      <c r="E67" s="11">
        <f t="shared" si="5"/>
        <v>0.75352112676056338</v>
      </c>
    </row>
    <row r="72" spans="2:5" x14ac:dyDescent="0.25">
      <c r="B72" s="3" t="s">
        <v>16</v>
      </c>
    </row>
    <row r="73" spans="2:5" ht="21" x14ac:dyDescent="0.25">
      <c r="B73" s="4">
        <v>42388</v>
      </c>
      <c r="C73" s="5" t="s">
        <v>2</v>
      </c>
      <c r="D73" s="5" t="s">
        <v>3</v>
      </c>
      <c r="E73" s="5" t="s">
        <v>4</v>
      </c>
    </row>
    <row r="74" spans="2:5" x14ac:dyDescent="0.25">
      <c r="B74" s="6" t="s">
        <v>5</v>
      </c>
      <c r="C74" s="7">
        <v>51</v>
      </c>
      <c r="D74" s="7">
        <v>112</v>
      </c>
      <c r="E74" s="8">
        <f t="shared" ref="E74:E79" si="6">(C74-D74)/C74</f>
        <v>-1.196078431372549</v>
      </c>
    </row>
    <row r="75" spans="2:5" x14ac:dyDescent="0.25">
      <c r="B75" s="9" t="s">
        <v>6</v>
      </c>
      <c r="C75" s="10">
        <v>35</v>
      </c>
      <c r="D75" s="10">
        <v>76</v>
      </c>
      <c r="E75" s="11">
        <f t="shared" si="6"/>
        <v>-1.1714285714285715</v>
      </c>
    </row>
    <row r="76" spans="2:5" x14ac:dyDescent="0.25">
      <c r="B76" s="9" t="s">
        <v>7</v>
      </c>
      <c r="C76" s="10">
        <v>120</v>
      </c>
      <c r="D76" s="10">
        <v>89</v>
      </c>
      <c r="E76" s="11">
        <f t="shared" si="6"/>
        <v>0.25833333333333336</v>
      </c>
    </row>
    <row r="77" spans="2:5" x14ac:dyDescent="0.25">
      <c r="B77" s="9" t="s">
        <v>8</v>
      </c>
      <c r="C77" s="10">
        <v>23</v>
      </c>
      <c r="D77" s="10">
        <v>22</v>
      </c>
      <c r="E77" s="11">
        <f t="shared" si="6"/>
        <v>4.3478260869565216E-2</v>
      </c>
    </row>
    <row r="78" spans="2:5" x14ac:dyDescent="0.25">
      <c r="B78" s="9" t="s">
        <v>9</v>
      </c>
      <c r="C78" s="10">
        <v>90</v>
      </c>
      <c r="D78" s="10">
        <v>0</v>
      </c>
      <c r="E78" s="11">
        <f t="shared" si="6"/>
        <v>1</v>
      </c>
    </row>
    <row r="79" spans="2:5" x14ac:dyDescent="0.25">
      <c r="B79" s="9" t="s">
        <v>10</v>
      </c>
      <c r="C79" s="10">
        <v>142</v>
      </c>
      <c r="D79" s="10">
        <v>13</v>
      </c>
      <c r="E79" s="11">
        <f t="shared" si="6"/>
        <v>0.90845070422535212</v>
      </c>
    </row>
    <row r="84" spans="2:5" x14ac:dyDescent="0.25">
      <c r="B84" t="s">
        <v>17</v>
      </c>
    </row>
    <row r="85" spans="2:5" ht="21" x14ac:dyDescent="0.25">
      <c r="B85" s="4">
        <v>42388</v>
      </c>
      <c r="C85" s="5" t="s">
        <v>2</v>
      </c>
      <c r="D85" s="5" t="s">
        <v>3</v>
      </c>
      <c r="E85" s="5" t="s">
        <v>4</v>
      </c>
    </row>
    <row r="86" spans="2:5" x14ac:dyDescent="0.25">
      <c r="B86" s="6" t="s">
        <v>5</v>
      </c>
      <c r="C86" s="7">
        <v>51</v>
      </c>
      <c r="D86" s="7">
        <v>5</v>
      </c>
      <c r="E86" s="8">
        <f t="shared" ref="E86:E91" si="7">(C86-D86)/C86</f>
        <v>0.90196078431372551</v>
      </c>
    </row>
    <row r="87" spans="2:5" x14ac:dyDescent="0.25">
      <c r="B87" s="9" t="s">
        <v>6</v>
      </c>
      <c r="C87" s="10">
        <v>35</v>
      </c>
      <c r="D87" s="10">
        <v>5</v>
      </c>
      <c r="E87" s="11">
        <f t="shared" si="7"/>
        <v>0.8571428571428571</v>
      </c>
    </row>
    <row r="88" spans="2:5" x14ac:dyDescent="0.25">
      <c r="B88" s="9" t="s">
        <v>7</v>
      </c>
      <c r="C88" s="10">
        <v>0</v>
      </c>
      <c r="D88" s="10">
        <v>0</v>
      </c>
      <c r="E88" s="11" t="e">
        <f t="shared" si="7"/>
        <v>#DIV/0!</v>
      </c>
    </row>
    <row r="89" spans="2:5" x14ac:dyDescent="0.25">
      <c r="B89" s="9" t="s">
        <v>8</v>
      </c>
      <c r="C89" s="10">
        <v>23</v>
      </c>
      <c r="D89" s="10">
        <v>32</v>
      </c>
      <c r="E89" s="11">
        <f t="shared" si="7"/>
        <v>-0.39130434782608697</v>
      </c>
    </row>
    <row r="90" spans="2:5" x14ac:dyDescent="0.25">
      <c r="B90" s="9" t="s">
        <v>9</v>
      </c>
      <c r="C90" s="10">
        <v>90</v>
      </c>
      <c r="D90" s="10">
        <v>0</v>
      </c>
      <c r="E90" s="11">
        <f t="shared" si="7"/>
        <v>1</v>
      </c>
    </row>
    <row r="91" spans="2:5" x14ac:dyDescent="0.25">
      <c r="B91" s="9" t="s">
        <v>10</v>
      </c>
      <c r="C91" s="10">
        <v>142</v>
      </c>
      <c r="D91" s="10">
        <v>39</v>
      </c>
      <c r="E91" s="11">
        <f t="shared" si="7"/>
        <v>0.72535211267605637</v>
      </c>
    </row>
    <row r="96" spans="2:5" x14ac:dyDescent="0.25">
      <c r="B96" s="3" t="s">
        <v>18</v>
      </c>
    </row>
    <row r="97" spans="2:5" ht="21" x14ac:dyDescent="0.25">
      <c r="B97" s="4">
        <v>42388</v>
      </c>
      <c r="C97" s="5" t="s">
        <v>2</v>
      </c>
      <c r="D97" s="5" t="s">
        <v>3</v>
      </c>
      <c r="E97" s="5" t="s">
        <v>4</v>
      </c>
    </row>
    <row r="98" spans="2:5" x14ac:dyDescent="0.25">
      <c r="B98" s="6" t="s">
        <v>5</v>
      </c>
      <c r="C98" s="7">
        <v>51</v>
      </c>
      <c r="D98" s="7">
        <v>110</v>
      </c>
      <c r="E98" s="8">
        <f t="shared" ref="E98:E103" si="8">(C98-D98)/C98</f>
        <v>-1.1568627450980393</v>
      </c>
    </row>
    <row r="99" spans="2:5" x14ac:dyDescent="0.25">
      <c r="B99" s="9" t="s">
        <v>6</v>
      </c>
      <c r="C99" s="10">
        <v>35</v>
      </c>
      <c r="D99" s="10">
        <v>117</v>
      </c>
      <c r="E99" s="11">
        <f t="shared" si="8"/>
        <v>-2.342857142857143</v>
      </c>
    </row>
    <row r="100" spans="2:5" x14ac:dyDescent="0.25">
      <c r="B100" s="9" t="s">
        <v>7</v>
      </c>
      <c r="C100" s="10">
        <v>300</v>
      </c>
      <c r="D100" s="10">
        <v>410</v>
      </c>
      <c r="E100" s="11">
        <f t="shared" si="8"/>
        <v>-0.36666666666666664</v>
      </c>
    </row>
    <row r="101" spans="2:5" x14ac:dyDescent="0.25">
      <c r="B101" s="9" t="s">
        <v>8</v>
      </c>
      <c r="C101" s="10">
        <v>23</v>
      </c>
      <c r="D101" s="10">
        <v>3</v>
      </c>
      <c r="E101" s="11">
        <f t="shared" si="8"/>
        <v>0.86956521739130432</v>
      </c>
    </row>
    <row r="102" spans="2:5" x14ac:dyDescent="0.25">
      <c r="B102" s="9" t="s">
        <v>9</v>
      </c>
      <c r="C102" s="10">
        <v>90</v>
      </c>
      <c r="D102" s="10">
        <v>0</v>
      </c>
      <c r="E102" s="11">
        <f t="shared" si="8"/>
        <v>1</v>
      </c>
    </row>
    <row r="103" spans="2:5" x14ac:dyDescent="0.25">
      <c r="B103" s="9" t="s">
        <v>10</v>
      </c>
      <c r="C103" s="10">
        <v>142</v>
      </c>
      <c r="D103" s="10">
        <v>30</v>
      </c>
      <c r="E103" s="11">
        <f t="shared" si="8"/>
        <v>0.78873239436619713</v>
      </c>
    </row>
    <row r="107" spans="2:5" x14ac:dyDescent="0.25">
      <c r="B107" s="3" t="s">
        <v>19</v>
      </c>
    </row>
    <row r="108" spans="2:5" ht="21" x14ac:dyDescent="0.25">
      <c r="B108" s="4">
        <v>42388</v>
      </c>
      <c r="C108" s="5" t="s">
        <v>2</v>
      </c>
      <c r="D108" s="5" t="s">
        <v>3</v>
      </c>
      <c r="E108" s="5" t="s">
        <v>4</v>
      </c>
    </row>
    <row r="109" spans="2:5" x14ac:dyDescent="0.25">
      <c r="B109" s="6" t="s">
        <v>5</v>
      </c>
      <c r="C109" s="7">
        <v>51</v>
      </c>
      <c r="D109" s="7">
        <v>153</v>
      </c>
      <c r="E109" s="8">
        <f t="shared" ref="E109:E114" si="9">(C109-D109)/C109</f>
        <v>-2</v>
      </c>
    </row>
    <row r="110" spans="2:5" x14ac:dyDescent="0.25">
      <c r="B110" s="9" t="s">
        <v>6</v>
      </c>
      <c r="C110" s="10">
        <v>35</v>
      </c>
      <c r="D110" s="10">
        <v>57</v>
      </c>
      <c r="E110" s="11">
        <f t="shared" si="9"/>
        <v>-0.62857142857142856</v>
      </c>
    </row>
    <row r="111" spans="2:5" x14ac:dyDescent="0.25">
      <c r="B111" s="9" t="s">
        <v>7</v>
      </c>
      <c r="C111" s="10">
        <v>0</v>
      </c>
      <c r="D111" s="10">
        <v>0</v>
      </c>
      <c r="E111" s="11" t="e">
        <f t="shared" si="9"/>
        <v>#DIV/0!</v>
      </c>
    </row>
    <row r="112" spans="2:5" x14ac:dyDescent="0.25">
      <c r="B112" s="9" t="s">
        <v>8</v>
      </c>
      <c r="C112" s="10">
        <v>23</v>
      </c>
      <c r="D112" s="10">
        <v>37</v>
      </c>
      <c r="E112" s="11">
        <f t="shared" si="9"/>
        <v>-0.60869565217391308</v>
      </c>
    </row>
    <row r="113" spans="2:5" x14ac:dyDescent="0.25">
      <c r="B113" s="9" t="s">
        <v>9</v>
      </c>
      <c r="C113" s="10">
        <v>90</v>
      </c>
      <c r="D113" s="10">
        <v>0</v>
      </c>
      <c r="E113" s="11">
        <f t="shared" si="9"/>
        <v>1</v>
      </c>
    </row>
    <row r="114" spans="2:5" x14ac:dyDescent="0.25">
      <c r="B114" s="9" t="s">
        <v>10</v>
      </c>
      <c r="C114" s="10">
        <v>142</v>
      </c>
      <c r="D114" s="10">
        <v>15</v>
      </c>
      <c r="E114" s="11">
        <f t="shared" si="9"/>
        <v>0.89436619718309862</v>
      </c>
    </row>
    <row r="122" spans="2:5" x14ac:dyDescent="0.25">
      <c r="B122" s="3" t="s">
        <v>20</v>
      </c>
    </row>
    <row r="123" spans="2:5" ht="21" x14ac:dyDescent="0.25">
      <c r="B123" s="4">
        <v>42388</v>
      </c>
      <c r="C123" s="5" t="s">
        <v>2</v>
      </c>
      <c r="D123" s="5" t="s">
        <v>3</v>
      </c>
      <c r="E123" s="5" t="s">
        <v>4</v>
      </c>
    </row>
    <row r="124" spans="2:5" x14ac:dyDescent="0.25">
      <c r="B124" s="6" t="s">
        <v>5</v>
      </c>
      <c r="C124" s="7">
        <v>51</v>
      </c>
      <c r="D124" s="7">
        <v>1</v>
      </c>
      <c r="E124" s="8">
        <f t="shared" ref="E124:E129" si="10">(C124-D124)/C124</f>
        <v>0.98039215686274506</v>
      </c>
    </row>
    <row r="125" spans="2:5" x14ac:dyDescent="0.25">
      <c r="B125" s="9" t="s">
        <v>6</v>
      </c>
      <c r="C125" s="10">
        <v>35</v>
      </c>
      <c r="D125" s="10">
        <v>208</v>
      </c>
      <c r="E125" s="11">
        <f t="shared" si="10"/>
        <v>-4.9428571428571431</v>
      </c>
    </row>
    <row r="126" spans="2:5" x14ac:dyDescent="0.25">
      <c r="B126" s="9" t="s">
        <v>7</v>
      </c>
      <c r="C126" s="10">
        <v>80</v>
      </c>
      <c r="D126" s="10">
        <v>14</v>
      </c>
      <c r="E126" s="11">
        <f t="shared" si="10"/>
        <v>0.82499999999999996</v>
      </c>
    </row>
    <row r="127" spans="2:5" x14ac:dyDescent="0.25">
      <c r="B127" s="9" t="s">
        <v>8</v>
      </c>
      <c r="C127" s="10">
        <v>23</v>
      </c>
      <c r="D127" s="10">
        <v>6</v>
      </c>
      <c r="E127" s="11">
        <f t="shared" si="10"/>
        <v>0.73913043478260865</v>
      </c>
    </row>
    <row r="128" spans="2:5" x14ac:dyDescent="0.25">
      <c r="B128" s="9" t="s">
        <v>9</v>
      </c>
      <c r="C128" s="10">
        <v>90</v>
      </c>
      <c r="D128" s="10">
        <v>0</v>
      </c>
      <c r="E128" s="11">
        <f t="shared" si="10"/>
        <v>1</v>
      </c>
    </row>
    <row r="129" spans="2:5" x14ac:dyDescent="0.25">
      <c r="B129" s="9" t="s">
        <v>10</v>
      </c>
      <c r="C129" s="10">
        <v>142</v>
      </c>
      <c r="D129" s="10">
        <v>18</v>
      </c>
      <c r="E129" s="11">
        <f t="shared" si="10"/>
        <v>0.87323943661971826</v>
      </c>
    </row>
    <row r="134" spans="2:5" x14ac:dyDescent="0.25">
      <c r="B134" t="s">
        <v>21</v>
      </c>
    </row>
    <row r="135" spans="2:5" ht="21" x14ac:dyDescent="0.25">
      <c r="B135" s="4">
        <v>42388</v>
      </c>
      <c r="C135" s="5" t="s">
        <v>2</v>
      </c>
      <c r="D135" s="5" t="s">
        <v>3</v>
      </c>
      <c r="E135" s="5" t="s">
        <v>4</v>
      </c>
    </row>
    <row r="136" spans="2:5" x14ac:dyDescent="0.25">
      <c r="B136" s="6" t="s">
        <v>5</v>
      </c>
      <c r="C136" s="7">
        <v>51</v>
      </c>
      <c r="D136" s="7">
        <v>10</v>
      </c>
      <c r="E136" s="8">
        <f t="shared" ref="E136:E141" si="11">(C136-D136)/C136</f>
        <v>0.80392156862745101</v>
      </c>
    </row>
    <row r="137" spans="2:5" x14ac:dyDescent="0.25">
      <c r="B137" s="9" t="s">
        <v>6</v>
      </c>
      <c r="C137" s="10">
        <v>35</v>
      </c>
      <c r="D137" s="10">
        <v>3</v>
      </c>
      <c r="E137" s="11">
        <f t="shared" si="11"/>
        <v>0.91428571428571426</v>
      </c>
    </row>
    <row r="138" spans="2:5" x14ac:dyDescent="0.25">
      <c r="B138" s="9" t="s">
        <v>7</v>
      </c>
      <c r="C138" s="10">
        <v>0</v>
      </c>
      <c r="D138" s="10">
        <v>0</v>
      </c>
      <c r="E138" s="11" t="e">
        <f t="shared" si="11"/>
        <v>#DIV/0!</v>
      </c>
    </row>
    <row r="139" spans="2:5" x14ac:dyDescent="0.25">
      <c r="B139" s="9" t="s">
        <v>8</v>
      </c>
      <c r="C139" s="10">
        <v>23</v>
      </c>
      <c r="D139" s="10">
        <v>17</v>
      </c>
      <c r="E139" s="11">
        <f t="shared" si="11"/>
        <v>0.2608695652173913</v>
      </c>
    </row>
    <row r="140" spans="2:5" x14ac:dyDescent="0.25">
      <c r="B140" s="9" t="s">
        <v>9</v>
      </c>
      <c r="C140" s="10">
        <v>90</v>
      </c>
      <c r="D140" s="10">
        <v>0</v>
      </c>
      <c r="E140" s="11">
        <f t="shared" si="11"/>
        <v>1</v>
      </c>
    </row>
    <row r="141" spans="2:5" x14ac:dyDescent="0.25">
      <c r="B141" s="9" t="s">
        <v>10</v>
      </c>
      <c r="C141" s="10">
        <v>142</v>
      </c>
      <c r="D141" s="10">
        <v>17</v>
      </c>
      <c r="E141" s="11">
        <f t="shared" si="11"/>
        <v>0.88028169014084512</v>
      </c>
    </row>
    <row r="146" spans="2:5" x14ac:dyDescent="0.25">
      <c r="B146" s="3" t="s">
        <v>22</v>
      </c>
    </row>
    <row r="147" spans="2:5" ht="21" x14ac:dyDescent="0.25">
      <c r="B147" s="4">
        <v>42388</v>
      </c>
      <c r="C147" s="5" t="s">
        <v>2</v>
      </c>
      <c r="D147" s="5" t="s">
        <v>3</v>
      </c>
      <c r="E147" s="5" t="s">
        <v>4</v>
      </c>
    </row>
    <row r="148" spans="2:5" x14ac:dyDescent="0.25">
      <c r="B148" s="6" t="s">
        <v>5</v>
      </c>
      <c r="C148" s="7">
        <v>51</v>
      </c>
      <c r="D148" s="7">
        <v>605</v>
      </c>
      <c r="E148" s="8">
        <f t="shared" ref="E148:E153" si="12">(C148-D148)/C148</f>
        <v>-10.862745098039216</v>
      </c>
    </row>
    <row r="149" spans="2:5" x14ac:dyDescent="0.25">
      <c r="B149" s="9" t="s">
        <v>6</v>
      </c>
      <c r="C149" s="10">
        <v>35</v>
      </c>
      <c r="D149" s="10">
        <v>4</v>
      </c>
      <c r="E149" s="11">
        <f t="shared" si="12"/>
        <v>0.88571428571428568</v>
      </c>
    </row>
    <row r="150" spans="2:5" x14ac:dyDescent="0.25">
      <c r="B150" s="9" t="s">
        <v>7</v>
      </c>
      <c r="C150" s="10">
        <v>180</v>
      </c>
      <c r="D150" s="10">
        <v>79</v>
      </c>
      <c r="E150" s="11">
        <f t="shared" si="12"/>
        <v>0.56111111111111112</v>
      </c>
    </row>
    <row r="151" spans="2:5" x14ac:dyDescent="0.25">
      <c r="B151" s="9" t="s">
        <v>8</v>
      </c>
      <c r="C151" s="10">
        <v>23</v>
      </c>
      <c r="D151" s="10">
        <v>12</v>
      </c>
      <c r="E151" s="11">
        <f t="shared" si="12"/>
        <v>0.47826086956521741</v>
      </c>
    </row>
    <row r="152" spans="2:5" x14ac:dyDescent="0.25">
      <c r="B152" s="9" t="s">
        <v>9</v>
      </c>
      <c r="C152" s="10">
        <v>90</v>
      </c>
      <c r="D152" s="10">
        <v>0</v>
      </c>
      <c r="E152" s="11">
        <f t="shared" si="12"/>
        <v>1</v>
      </c>
    </row>
    <row r="153" spans="2:5" x14ac:dyDescent="0.25">
      <c r="B153" s="9" t="s">
        <v>10</v>
      </c>
      <c r="C153" s="10">
        <v>142</v>
      </c>
      <c r="D153" s="10">
        <v>18</v>
      </c>
      <c r="E153" s="11">
        <f t="shared" si="12"/>
        <v>0.87323943661971826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0"/>
  <sheetViews>
    <sheetView zoomScale="90" zoomScaleNormal="90" workbookViewId="0">
      <selection activeCell="B3" sqref="B3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3" spans="2:6" x14ac:dyDescent="0.25">
      <c r="B3" s="3" t="s">
        <v>1</v>
      </c>
    </row>
    <row r="4" spans="2:6" ht="21" x14ac:dyDescent="0.25">
      <c r="B4" s="4">
        <v>42388</v>
      </c>
      <c r="C4" s="15" t="s">
        <v>2</v>
      </c>
      <c r="D4" s="15" t="s">
        <v>3</v>
      </c>
      <c r="E4" s="16" t="s">
        <v>4</v>
      </c>
      <c r="F4" s="17"/>
    </row>
    <row r="5" spans="2:6" x14ac:dyDescent="0.25">
      <c r="B5" s="6" t="s">
        <v>5</v>
      </c>
      <c r="C5" s="18">
        <v>22.33</v>
      </c>
      <c r="D5" s="18">
        <f>472/60*14.58</f>
        <v>114.696</v>
      </c>
      <c r="E5" s="19">
        <f t="shared" ref="E5:E10" si="0">(C5-D5)/C5</f>
        <v>-4.1364084191670401</v>
      </c>
      <c r="F5" s="12"/>
    </row>
    <row r="6" spans="2:6" ht="12.75" customHeight="1" x14ac:dyDescent="0.25">
      <c r="B6" s="9" t="s">
        <v>6</v>
      </c>
      <c r="C6" s="18">
        <v>3.96</v>
      </c>
      <c r="D6" s="18">
        <f>19/60*14.58</f>
        <v>4.617</v>
      </c>
      <c r="E6" s="20">
        <f t="shared" si="0"/>
        <v>-0.16590909090909092</v>
      </c>
      <c r="F6" s="12"/>
    </row>
    <row r="7" spans="2:6" x14ac:dyDescent="0.25">
      <c r="B7" s="9" t="s">
        <v>7</v>
      </c>
      <c r="C7" s="18">
        <v>19.399999999999999</v>
      </c>
      <c r="D7" s="18">
        <v>0</v>
      </c>
      <c r="E7" s="20">
        <f t="shared" si="0"/>
        <v>1</v>
      </c>
      <c r="F7" s="12"/>
    </row>
    <row r="8" spans="2:6" x14ac:dyDescent="0.25">
      <c r="B8" s="9" t="s">
        <v>8</v>
      </c>
      <c r="C8" s="18">
        <v>5.5</v>
      </c>
      <c r="D8" s="18">
        <f>8/60*14.58</f>
        <v>1.944</v>
      </c>
      <c r="E8" s="19">
        <f t="shared" si="0"/>
        <v>0.64654545454545453</v>
      </c>
      <c r="F8" s="12"/>
    </row>
    <row r="9" spans="2:6" x14ac:dyDescent="0.25">
      <c r="B9" s="9" t="s">
        <v>9</v>
      </c>
      <c r="C9" s="18">
        <v>29</v>
      </c>
      <c r="D9" s="18">
        <v>0</v>
      </c>
      <c r="E9" s="20">
        <f t="shared" si="0"/>
        <v>1</v>
      </c>
      <c r="F9" s="12"/>
    </row>
    <row r="10" spans="2:6" x14ac:dyDescent="0.25">
      <c r="B10" s="9" t="s">
        <v>10</v>
      </c>
      <c r="C10" s="18">
        <v>22.5</v>
      </c>
      <c r="D10" s="18">
        <f>2/60*7.29</f>
        <v>0.24299999999999999</v>
      </c>
      <c r="E10" s="19">
        <f t="shared" si="0"/>
        <v>0.98920000000000008</v>
      </c>
      <c r="F10" s="12"/>
    </row>
    <row r="11" spans="2:6" x14ac:dyDescent="0.25">
      <c r="F11" s="17"/>
    </row>
    <row r="12" spans="2:6" x14ac:dyDescent="0.25">
      <c r="F12" s="17"/>
    </row>
    <row r="13" spans="2:6" x14ac:dyDescent="0.25">
      <c r="F13" s="17"/>
    </row>
    <row r="14" spans="2:6" x14ac:dyDescent="0.25">
      <c r="F14" s="17"/>
    </row>
    <row r="15" spans="2:6" x14ac:dyDescent="0.25">
      <c r="F15" s="17"/>
    </row>
    <row r="16" spans="2:6" x14ac:dyDescent="0.25">
      <c r="B16" s="3" t="s">
        <v>11</v>
      </c>
      <c r="F16" s="17"/>
    </row>
    <row r="17" spans="2:6" ht="21" x14ac:dyDescent="0.25">
      <c r="B17" s="4">
        <v>42388</v>
      </c>
      <c r="C17" s="15" t="s">
        <v>2</v>
      </c>
      <c r="D17" s="15" t="s">
        <v>3</v>
      </c>
      <c r="E17" s="16" t="s">
        <v>4</v>
      </c>
      <c r="F17" s="17"/>
    </row>
    <row r="18" spans="2:6" x14ac:dyDescent="0.25">
      <c r="B18" s="6" t="s">
        <v>5</v>
      </c>
      <c r="C18" s="18">
        <v>22.33</v>
      </c>
      <c r="D18" s="18">
        <f>24/60*14.58</f>
        <v>5.8320000000000007</v>
      </c>
      <c r="E18" s="19">
        <f t="shared" ref="E18:E23" si="1">(C18-D18)/C18</f>
        <v>0.73882669055082839</v>
      </c>
      <c r="F18" s="12"/>
    </row>
    <row r="19" spans="2:6" x14ac:dyDescent="0.25">
      <c r="B19" s="9" t="s">
        <v>6</v>
      </c>
      <c r="C19" s="18">
        <v>3.96</v>
      </c>
      <c r="D19" s="18">
        <f>44/60*14.58</f>
        <v>10.692</v>
      </c>
      <c r="E19" s="20">
        <f t="shared" si="1"/>
        <v>-1.7000000000000002</v>
      </c>
      <c r="F19" s="12"/>
    </row>
    <row r="20" spans="2:6" x14ac:dyDescent="0.25">
      <c r="B20" s="9" t="s">
        <v>7</v>
      </c>
      <c r="C20" s="18">
        <v>19.399999999999999</v>
      </c>
      <c r="D20" s="18">
        <v>0</v>
      </c>
      <c r="E20" s="20">
        <f t="shared" si="1"/>
        <v>1</v>
      </c>
      <c r="F20" s="12"/>
    </row>
    <row r="21" spans="2:6" x14ac:dyDescent="0.25">
      <c r="B21" s="9" t="s">
        <v>8</v>
      </c>
      <c r="C21" s="18">
        <v>5.5</v>
      </c>
      <c r="D21" s="18">
        <f>14/60*14.58</f>
        <v>3.4020000000000001</v>
      </c>
      <c r="E21" s="19">
        <f t="shared" si="1"/>
        <v>0.38145454545454544</v>
      </c>
      <c r="F21" s="12"/>
    </row>
    <row r="22" spans="2:6" x14ac:dyDescent="0.25">
      <c r="B22" s="9" t="s">
        <v>9</v>
      </c>
      <c r="C22" s="18">
        <v>29</v>
      </c>
      <c r="D22" s="18">
        <v>0</v>
      </c>
      <c r="E22" s="20">
        <f t="shared" si="1"/>
        <v>1</v>
      </c>
      <c r="F22" s="12"/>
    </row>
    <row r="23" spans="2:6" x14ac:dyDescent="0.25">
      <c r="B23" s="9" t="s">
        <v>10</v>
      </c>
      <c r="C23" s="18">
        <v>22.5</v>
      </c>
      <c r="D23" s="18">
        <f>32/60*7.29</f>
        <v>3.8879999999999999</v>
      </c>
      <c r="E23" s="19">
        <f t="shared" si="1"/>
        <v>0.82720000000000005</v>
      </c>
      <c r="F23" s="12"/>
    </row>
    <row r="24" spans="2:6" x14ac:dyDescent="0.25">
      <c r="F24" s="17"/>
    </row>
    <row r="25" spans="2:6" x14ac:dyDescent="0.25">
      <c r="F25" s="17"/>
    </row>
    <row r="26" spans="2:6" x14ac:dyDescent="0.25">
      <c r="F26" s="17"/>
    </row>
    <row r="27" spans="2:6" x14ac:dyDescent="0.25">
      <c r="F27" s="17"/>
    </row>
    <row r="28" spans="2:6" x14ac:dyDescent="0.25">
      <c r="B28" s="3" t="s">
        <v>12</v>
      </c>
      <c r="F28" s="17"/>
    </row>
    <row r="29" spans="2:6" ht="21" x14ac:dyDescent="0.25">
      <c r="B29" s="4">
        <v>42388</v>
      </c>
      <c r="C29" s="15" t="s">
        <v>2</v>
      </c>
      <c r="D29" s="15" t="s">
        <v>3</v>
      </c>
      <c r="E29" s="16" t="s">
        <v>4</v>
      </c>
      <c r="F29" s="17"/>
    </row>
    <row r="30" spans="2:6" x14ac:dyDescent="0.25">
      <c r="B30" s="6" t="s">
        <v>5</v>
      </c>
      <c r="C30" s="18">
        <v>22.33</v>
      </c>
      <c r="D30" s="18">
        <f>54/60*14.58</f>
        <v>13.122</v>
      </c>
      <c r="E30" s="19">
        <f t="shared" ref="E30:E35" si="2">(C30-D30)/C30</f>
        <v>0.41236005373936402</v>
      </c>
      <c r="F30" s="12"/>
    </row>
    <row r="31" spans="2:6" x14ac:dyDescent="0.25">
      <c r="B31" s="9" t="s">
        <v>6</v>
      </c>
      <c r="C31" s="18">
        <v>3.96</v>
      </c>
      <c r="D31" s="18">
        <f>34/60*14.58</f>
        <v>8.2620000000000005</v>
      </c>
      <c r="E31" s="20">
        <f t="shared" si="2"/>
        <v>-1.0863636363636364</v>
      </c>
      <c r="F31" s="12"/>
    </row>
    <row r="32" spans="2:6" x14ac:dyDescent="0.25">
      <c r="B32" s="9" t="s">
        <v>7</v>
      </c>
      <c r="C32" s="18">
        <v>19.399999999999999</v>
      </c>
      <c r="D32" s="18">
        <v>0</v>
      </c>
      <c r="E32" s="20">
        <f t="shared" si="2"/>
        <v>1</v>
      </c>
      <c r="F32" s="12"/>
    </row>
    <row r="33" spans="2:6" x14ac:dyDescent="0.25">
      <c r="B33" s="9" t="s">
        <v>8</v>
      </c>
      <c r="C33" s="18">
        <v>5.5</v>
      </c>
      <c r="D33" s="18">
        <f>18/60*14.58</f>
        <v>4.3739999999999997</v>
      </c>
      <c r="E33" s="19">
        <f t="shared" si="2"/>
        <v>0.20472727272727279</v>
      </c>
      <c r="F33" s="12"/>
    </row>
    <row r="34" spans="2:6" x14ac:dyDescent="0.25">
      <c r="B34" s="9" t="s">
        <v>9</v>
      </c>
      <c r="C34" s="18">
        <v>29</v>
      </c>
      <c r="D34" s="18">
        <v>0</v>
      </c>
      <c r="E34" s="20">
        <f t="shared" si="2"/>
        <v>1</v>
      </c>
      <c r="F34" s="12"/>
    </row>
    <row r="35" spans="2:6" x14ac:dyDescent="0.25">
      <c r="B35" s="9" t="s">
        <v>10</v>
      </c>
      <c r="C35" s="18">
        <v>22.5</v>
      </c>
      <c r="D35" s="18">
        <f>11/60*7.29</f>
        <v>1.3365</v>
      </c>
      <c r="E35" s="19">
        <f t="shared" si="2"/>
        <v>0.94059999999999999</v>
      </c>
      <c r="F35" s="12"/>
    </row>
    <row r="36" spans="2:6" x14ac:dyDescent="0.25">
      <c r="F36" s="17"/>
    </row>
    <row r="37" spans="2:6" x14ac:dyDescent="0.25">
      <c r="F37" s="17"/>
    </row>
    <row r="38" spans="2:6" x14ac:dyDescent="0.25">
      <c r="F38" s="17"/>
    </row>
    <row r="39" spans="2:6" x14ac:dyDescent="0.25">
      <c r="F39" s="17"/>
    </row>
    <row r="40" spans="2:6" x14ac:dyDescent="0.25">
      <c r="F40" s="17"/>
    </row>
    <row r="41" spans="2:6" x14ac:dyDescent="0.25">
      <c r="B41" s="3" t="s">
        <v>13</v>
      </c>
      <c r="F41" s="17"/>
    </row>
    <row r="42" spans="2:6" ht="21" x14ac:dyDescent="0.25">
      <c r="B42" s="4">
        <v>42388</v>
      </c>
      <c r="C42" s="15" t="s">
        <v>2</v>
      </c>
      <c r="D42" s="15" t="s">
        <v>3</v>
      </c>
      <c r="E42" s="16" t="s">
        <v>4</v>
      </c>
      <c r="F42" s="17"/>
    </row>
    <row r="43" spans="2:6" x14ac:dyDescent="0.25">
      <c r="B43" s="6" t="s">
        <v>5</v>
      </c>
      <c r="C43" s="18">
        <v>22.33</v>
      </c>
      <c r="D43" s="18">
        <f>53/60*14.58</f>
        <v>12.879</v>
      </c>
      <c r="E43" s="19">
        <f t="shared" ref="E43:E48" si="3">(C43-D43)/C43</f>
        <v>0.42324227496641287</v>
      </c>
      <c r="F43" s="12"/>
    </row>
    <row r="44" spans="2:6" x14ac:dyDescent="0.25">
      <c r="B44" s="9" t="s">
        <v>6</v>
      </c>
      <c r="C44" s="18">
        <v>3.96</v>
      </c>
      <c r="D44" s="18">
        <f>44/60*14.58</f>
        <v>10.692</v>
      </c>
      <c r="E44" s="20">
        <f t="shared" si="3"/>
        <v>-1.7000000000000002</v>
      </c>
      <c r="F44" s="12"/>
    </row>
    <row r="45" spans="2:6" x14ac:dyDescent="0.25">
      <c r="B45" s="9" t="s">
        <v>7</v>
      </c>
      <c r="C45" s="18">
        <v>19.399999999999999</v>
      </c>
      <c r="D45" s="18">
        <v>0</v>
      </c>
      <c r="E45" s="20">
        <f t="shared" si="3"/>
        <v>1</v>
      </c>
      <c r="F45" s="12"/>
    </row>
    <row r="46" spans="2:6" x14ac:dyDescent="0.25">
      <c r="B46" s="9" t="s">
        <v>8</v>
      </c>
      <c r="C46" s="18">
        <v>5.5</v>
      </c>
      <c r="D46" s="18">
        <f>20/60*14.58</f>
        <v>4.8599999999999994</v>
      </c>
      <c r="E46" s="19">
        <f t="shared" si="3"/>
        <v>0.11636363636363646</v>
      </c>
      <c r="F46" s="12"/>
    </row>
    <row r="47" spans="2:6" x14ac:dyDescent="0.25">
      <c r="B47" s="9" t="s">
        <v>9</v>
      </c>
      <c r="C47" s="18">
        <v>29</v>
      </c>
      <c r="D47" s="18">
        <v>0</v>
      </c>
      <c r="E47" s="20">
        <f t="shared" si="3"/>
        <v>1</v>
      </c>
      <c r="F47" s="12"/>
    </row>
    <row r="48" spans="2:6" x14ac:dyDescent="0.25">
      <c r="B48" s="9" t="s">
        <v>10</v>
      </c>
      <c r="C48" s="18">
        <v>22.5</v>
      </c>
      <c r="D48" s="18">
        <f>19/60*7.29</f>
        <v>2.3085</v>
      </c>
      <c r="E48" s="19">
        <f t="shared" si="3"/>
        <v>0.89740000000000009</v>
      </c>
      <c r="F48" s="17"/>
    </row>
    <row r="49" spans="2:6" x14ac:dyDescent="0.25">
      <c r="F49" s="17"/>
    </row>
    <row r="50" spans="2:6" x14ac:dyDescent="0.25">
      <c r="F50" s="17"/>
    </row>
    <row r="51" spans="2:6" x14ac:dyDescent="0.25">
      <c r="F51" s="17"/>
    </row>
    <row r="52" spans="2:6" x14ac:dyDescent="0.25">
      <c r="F52" s="17"/>
    </row>
    <row r="53" spans="2:6" x14ac:dyDescent="0.25">
      <c r="F53" s="17"/>
    </row>
    <row r="54" spans="2:6" x14ac:dyDescent="0.25">
      <c r="F54" s="17"/>
    </row>
    <row r="55" spans="2:6" x14ac:dyDescent="0.25">
      <c r="B55" t="s">
        <v>14</v>
      </c>
      <c r="F55" s="17"/>
    </row>
    <row r="56" spans="2:6" ht="21" x14ac:dyDescent="0.25">
      <c r="B56" s="4">
        <v>42388</v>
      </c>
      <c r="C56" s="15" t="s">
        <v>2</v>
      </c>
      <c r="D56" s="15" t="s">
        <v>3</v>
      </c>
      <c r="E56" s="16" t="s">
        <v>4</v>
      </c>
      <c r="F56" s="17"/>
    </row>
    <row r="57" spans="2:6" x14ac:dyDescent="0.25">
      <c r="B57" s="6" t="s">
        <v>5</v>
      </c>
      <c r="C57" s="18">
        <v>22.33</v>
      </c>
      <c r="D57" s="18">
        <f>155/60*14.58</f>
        <v>37.664999999999999</v>
      </c>
      <c r="E57" s="19">
        <f t="shared" ref="E57:E62" si="4">(C57-D57)/C57</f>
        <v>-0.68674429019256611</v>
      </c>
      <c r="F57" s="12"/>
    </row>
    <row r="58" spans="2:6" x14ac:dyDescent="0.25">
      <c r="B58" s="9" t="s">
        <v>6</v>
      </c>
      <c r="C58" s="18">
        <v>3.96</v>
      </c>
      <c r="D58" s="18">
        <f>32/60*14.58</f>
        <v>7.7759999999999998</v>
      </c>
      <c r="E58" s="20">
        <f t="shared" si="4"/>
        <v>-0.96363636363636362</v>
      </c>
      <c r="F58" s="12"/>
    </row>
    <row r="59" spans="2:6" x14ac:dyDescent="0.25">
      <c r="B59" s="9" t="s">
        <v>7</v>
      </c>
      <c r="C59" s="18">
        <v>19.399999999999999</v>
      </c>
      <c r="D59" s="18">
        <v>0</v>
      </c>
      <c r="E59" s="20">
        <f t="shared" si="4"/>
        <v>1</v>
      </c>
      <c r="F59" s="12"/>
    </row>
    <row r="60" spans="2:6" x14ac:dyDescent="0.25">
      <c r="B60" s="9" t="s">
        <v>8</v>
      </c>
      <c r="C60" s="18">
        <v>5.5</v>
      </c>
      <c r="D60" s="18">
        <f>21/60*14.58</f>
        <v>5.1029999999999998</v>
      </c>
      <c r="E60" s="19">
        <f t="shared" si="4"/>
        <v>7.2181818181818222E-2</v>
      </c>
      <c r="F60" s="12"/>
    </row>
    <row r="61" spans="2:6" x14ac:dyDescent="0.25">
      <c r="B61" s="9" t="s">
        <v>9</v>
      </c>
      <c r="C61" s="18">
        <v>29</v>
      </c>
      <c r="D61" s="18">
        <v>0</v>
      </c>
      <c r="E61" s="20">
        <f t="shared" si="4"/>
        <v>1</v>
      </c>
      <c r="F61" s="12"/>
    </row>
    <row r="62" spans="2:6" x14ac:dyDescent="0.25">
      <c r="B62" s="9" t="s">
        <v>10</v>
      </c>
      <c r="C62" s="18">
        <v>22.5</v>
      </c>
      <c r="D62" s="18">
        <f>10/60*7.29</f>
        <v>1.2149999999999999</v>
      </c>
      <c r="E62" s="19">
        <f t="shared" si="4"/>
        <v>0.94599999999999995</v>
      </c>
      <c r="F62" s="12"/>
    </row>
    <row r="63" spans="2:6" x14ac:dyDescent="0.25">
      <c r="F63" s="17"/>
    </row>
    <row r="64" spans="2:6" x14ac:dyDescent="0.25">
      <c r="F64" s="17"/>
    </row>
    <row r="65" spans="2:6" x14ac:dyDescent="0.25">
      <c r="F65" s="17"/>
    </row>
    <row r="66" spans="2:6" x14ac:dyDescent="0.25">
      <c r="F66" s="17"/>
    </row>
    <row r="67" spans="2:6" x14ac:dyDescent="0.25">
      <c r="F67" s="17"/>
    </row>
    <row r="68" spans="2:6" x14ac:dyDescent="0.25">
      <c r="F68" s="17"/>
    </row>
    <row r="69" spans="2:6" x14ac:dyDescent="0.25">
      <c r="B69" s="3" t="s">
        <v>15</v>
      </c>
      <c r="F69" s="17"/>
    </row>
    <row r="70" spans="2:6" ht="21" x14ac:dyDescent="0.25">
      <c r="B70" s="4">
        <v>42388</v>
      </c>
      <c r="C70" s="15" t="s">
        <v>2</v>
      </c>
      <c r="D70" s="15" t="s">
        <v>3</v>
      </c>
      <c r="E70" s="16" t="s">
        <v>4</v>
      </c>
      <c r="F70" s="17"/>
    </row>
    <row r="71" spans="2:6" x14ac:dyDescent="0.25">
      <c r="B71" s="6" t="s">
        <v>5</v>
      </c>
      <c r="C71" s="18">
        <v>22.33</v>
      </c>
      <c r="D71" s="18">
        <f>465/60*14.58</f>
        <v>112.995</v>
      </c>
      <c r="E71" s="19">
        <f t="shared" ref="E71:E76" si="5">(C71-D71)/C71</f>
        <v>-4.0602328705776989</v>
      </c>
      <c r="F71" s="12"/>
    </row>
    <row r="72" spans="2:6" x14ac:dyDescent="0.25">
      <c r="B72" s="9" t="s">
        <v>6</v>
      </c>
      <c r="C72" s="18">
        <v>3.96</v>
      </c>
      <c r="D72" s="18">
        <f>6/60*14.58</f>
        <v>1.4580000000000002</v>
      </c>
      <c r="E72" s="20">
        <f t="shared" si="5"/>
        <v>0.63181818181818172</v>
      </c>
      <c r="F72" s="12"/>
    </row>
    <row r="73" spans="2:6" x14ac:dyDescent="0.25">
      <c r="B73" s="9" t="s">
        <v>7</v>
      </c>
      <c r="C73" s="18">
        <v>19.399999999999999</v>
      </c>
      <c r="D73" s="18">
        <f>135/60*14.58</f>
        <v>32.805</v>
      </c>
      <c r="E73" s="20">
        <f t="shared" si="5"/>
        <v>-0.69097938144329907</v>
      </c>
      <c r="F73" s="12"/>
    </row>
    <row r="74" spans="2:6" x14ac:dyDescent="0.25">
      <c r="B74" s="9" t="s">
        <v>8</v>
      </c>
      <c r="C74" s="18">
        <v>5.5</v>
      </c>
      <c r="D74" s="18">
        <f>14/60*14.58</f>
        <v>3.4020000000000001</v>
      </c>
      <c r="E74" s="19">
        <f t="shared" si="5"/>
        <v>0.38145454545454544</v>
      </c>
      <c r="F74" s="12"/>
    </row>
    <row r="75" spans="2:6" x14ac:dyDescent="0.25">
      <c r="B75" s="9" t="s">
        <v>9</v>
      </c>
      <c r="C75" s="18">
        <v>29</v>
      </c>
      <c r="D75" s="18">
        <v>0</v>
      </c>
      <c r="E75" s="20">
        <f t="shared" si="5"/>
        <v>1</v>
      </c>
      <c r="F75" s="12"/>
    </row>
    <row r="76" spans="2:6" x14ac:dyDescent="0.25">
      <c r="B76" s="9" t="s">
        <v>10</v>
      </c>
      <c r="C76" s="18">
        <v>22.5</v>
      </c>
      <c r="D76" s="18">
        <f>35/60*7.29</f>
        <v>4.2525000000000004</v>
      </c>
      <c r="E76" s="19">
        <f t="shared" si="5"/>
        <v>0.81099999999999994</v>
      </c>
      <c r="F76" s="12"/>
    </row>
    <row r="77" spans="2:6" x14ac:dyDescent="0.25">
      <c r="F77" s="17"/>
    </row>
    <row r="78" spans="2:6" x14ac:dyDescent="0.25">
      <c r="F78" s="17"/>
    </row>
    <row r="79" spans="2:6" x14ac:dyDescent="0.25">
      <c r="F79" s="17"/>
    </row>
    <row r="80" spans="2:6" x14ac:dyDescent="0.25">
      <c r="F80" s="17"/>
    </row>
    <row r="81" spans="2:6" x14ac:dyDescent="0.25">
      <c r="F81" s="17"/>
    </row>
    <row r="82" spans="2:6" x14ac:dyDescent="0.25">
      <c r="B82" s="3" t="s">
        <v>16</v>
      </c>
      <c r="F82" s="17"/>
    </row>
    <row r="83" spans="2:6" ht="21" x14ac:dyDescent="0.25">
      <c r="B83" s="4">
        <v>42388</v>
      </c>
      <c r="C83" s="15" t="s">
        <v>2</v>
      </c>
      <c r="D83" s="15" t="s">
        <v>3</v>
      </c>
      <c r="E83" s="16" t="s">
        <v>4</v>
      </c>
      <c r="F83" s="17"/>
    </row>
    <row r="84" spans="2:6" x14ac:dyDescent="0.25">
      <c r="B84" s="6" t="s">
        <v>5</v>
      </c>
      <c r="C84" s="18">
        <v>22.33</v>
      </c>
      <c r="D84" s="18">
        <f>112/60*14.58</f>
        <v>27.216000000000001</v>
      </c>
      <c r="E84" s="19">
        <f t="shared" ref="E84:E89" si="6">(C84-D84)/C84</f>
        <v>-0.21880877742946722</v>
      </c>
      <c r="F84" s="12"/>
    </row>
    <row r="85" spans="2:6" x14ac:dyDescent="0.25">
      <c r="B85" s="9" t="s">
        <v>6</v>
      </c>
      <c r="C85" s="18">
        <v>3.96</v>
      </c>
      <c r="D85" s="18">
        <f>76/60*14.58</f>
        <v>18.468</v>
      </c>
      <c r="E85" s="20">
        <f t="shared" si="6"/>
        <v>-3.6636363636363636</v>
      </c>
      <c r="F85" s="12"/>
    </row>
    <row r="86" spans="2:6" x14ac:dyDescent="0.25">
      <c r="B86" s="9" t="s">
        <v>7</v>
      </c>
      <c r="C86" s="18">
        <v>19.399999999999999</v>
      </c>
      <c r="D86" s="18">
        <f>89/60*14.58</f>
        <v>21.627000000000002</v>
      </c>
      <c r="E86" s="20">
        <f t="shared" si="6"/>
        <v>-0.1147938144329899</v>
      </c>
      <c r="F86" s="12"/>
    </row>
    <row r="87" spans="2:6" x14ac:dyDescent="0.25">
      <c r="B87" s="9" t="s">
        <v>8</v>
      </c>
      <c r="C87" s="18">
        <v>5.5</v>
      </c>
      <c r="D87" s="18">
        <f>22/60*14.58</f>
        <v>5.3460000000000001</v>
      </c>
      <c r="E87" s="19">
        <f t="shared" si="6"/>
        <v>2.7999999999999983E-2</v>
      </c>
      <c r="F87" s="12"/>
    </row>
    <row r="88" spans="2:6" x14ac:dyDescent="0.25">
      <c r="B88" s="9" t="s">
        <v>9</v>
      </c>
      <c r="C88" s="18">
        <v>29</v>
      </c>
      <c r="D88" s="18">
        <v>0</v>
      </c>
      <c r="E88" s="20">
        <f t="shared" si="6"/>
        <v>1</v>
      </c>
      <c r="F88" s="12"/>
    </row>
    <row r="89" spans="2:6" x14ac:dyDescent="0.25">
      <c r="B89" s="9" t="s">
        <v>10</v>
      </c>
      <c r="C89" s="18">
        <v>22.5</v>
      </c>
      <c r="D89" s="18">
        <f>13/60*7.29</f>
        <v>1.5795000000000001</v>
      </c>
      <c r="E89" s="19">
        <f t="shared" si="6"/>
        <v>0.92980000000000007</v>
      </c>
      <c r="F89" s="12"/>
    </row>
    <row r="90" spans="2:6" x14ac:dyDescent="0.25">
      <c r="F90" s="17"/>
    </row>
    <row r="91" spans="2:6" x14ac:dyDescent="0.25">
      <c r="F91" s="17"/>
    </row>
    <row r="92" spans="2:6" x14ac:dyDescent="0.25">
      <c r="F92" s="17"/>
    </row>
    <row r="93" spans="2:6" x14ac:dyDescent="0.25">
      <c r="F93" s="17"/>
    </row>
    <row r="94" spans="2:6" x14ac:dyDescent="0.25">
      <c r="F94" s="17"/>
    </row>
    <row r="95" spans="2:6" x14ac:dyDescent="0.25">
      <c r="B95" t="s">
        <v>17</v>
      </c>
      <c r="F95" s="17"/>
    </row>
    <row r="96" spans="2:6" ht="21" x14ac:dyDescent="0.25">
      <c r="B96" s="4">
        <v>42388</v>
      </c>
      <c r="C96" s="15" t="s">
        <v>2</v>
      </c>
      <c r="D96" s="15" t="s">
        <v>3</v>
      </c>
      <c r="E96" s="16" t="s">
        <v>4</v>
      </c>
      <c r="F96" s="17"/>
    </row>
    <row r="97" spans="2:6" x14ac:dyDescent="0.25">
      <c r="B97" s="6" t="s">
        <v>5</v>
      </c>
      <c r="C97" s="18">
        <v>22.33</v>
      </c>
      <c r="D97" s="18">
        <f>5/60*14.58</f>
        <v>1.2149999999999999</v>
      </c>
      <c r="E97" s="19">
        <f t="shared" ref="E97:E102" si="7">(C97-D97)/C97</f>
        <v>0.94558889386475597</v>
      </c>
      <c r="F97" s="12"/>
    </row>
    <row r="98" spans="2:6" x14ac:dyDescent="0.25">
      <c r="B98" s="9" t="s">
        <v>6</v>
      </c>
      <c r="C98" s="18">
        <v>3.96</v>
      </c>
      <c r="D98" s="18">
        <f>5/60*14.58</f>
        <v>1.2149999999999999</v>
      </c>
      <c r="E98" s="20">
        <f t="shared" si="7"/>
        <v>0.69318181818181823</v>
      </c>
      <c r="F98" s="12"/>
    </row>
    <row r="99" spans="2:6" x14ac:dyDescent="0.25">
      <c r="B99" s="9" t="s">
        <v>7</v>
      </c>
      <c r="C99" s="18">
        <v>19.399999999999999</v>
      </c>
      <c r="D99" s="18">
        <v>0</v>
      </c>
      <c r="E99" s="20">
        <f t="shared" si="7"/>
        <v>1</v>
      </c>
      <c r="F99" s="12"/>
    </row>
    <row r="100" spans="2:6" x14ac:dyDescent="0.25">
      <c r="B100" s="9" t="s">
        <v>8</v>
      </c>
      <c r="C100" s="18">
        <v>5.5</v>
      </c>
      <c r="D100" s="18">
        <f>32/60*14.58</f>
        <v>7.7759999999999998</v>
      </c>
      <c r="E100" s="19">
        <f t="shared" si="7"/>
        <v>-0.41381818181818181</v>
      </c>
      <c r="F100" s="12"/>
    </row>
    <row r="101" spans="2:6" x14ac:dyDescent="0.25">
      <c r="B101" s="9" t="s">
        <v>9</v>
      </c>
      <c r="C101" s="18">
        <v>29</v>
      </c>
      <c r="D101" s="18">
        <v>0</v>
      </c>
      <c r="E101" s="20">
        <f t="shared" si="7"/>
        <v>1</v>
      </c>
      <c r="F101" s="12"/>
    </row>
    <row r="102" spans="2:6" x14ac:dyDescent="0.25">
      <c r="B102" s="9" t="s">
        <v>10</v>
      </c>
      <c r="C102" s="18">
        <v>22.5</v>
      </c>
      <c r="D102" s="18">
        <f>39/60*7.29</f>
        <v>4.7385000000000002</v>
      </c>
      <c r="E102" s="19">
        <f t="shared" si="7"/>
        <v>0.78939999999999988</v>
      </c>
      <c r="F102" s="12"/>
    </row>
    <row r="103" spans="2:6" x14ac:dyDescent="0.25">
      <c r="F103" s="17"/>
    </row>
    <row r="104" spans="2:6" x14ac:dyDescent="0.25">
      <c r="F104" s="17"/>
    </row>
    <row r="105" spans="2:6" x14ac:dyDescent="0.25">
      <c r="F105" s="17"/>
    </row>
    <row r="106" spans="2:6" x14ac:dyDescent="0.25">
      <c r="F106" s="17"/>
    </row>
    <row r="107" spans="2:6" x14ac:dyDescent="0.25">
      <c r="F107" s="17"/>
    </row>
    <row r="108" spans="2:6" x14ac:dyDescent="0.25">
      <c r="F108" s="17"/>
    </row>
    <row r="109" spans="2:6" x14ac:dyDescent="0.25">
      <c r="F109" s="17"/>
    </row>
    <row r="110" spans="2:6" x14ac:dyDescent="0.25">
      <c r="F110" s="17"/>
    </row>
    <row r="111" spans="2:6" x14ac:dyDescent="0.25">
      <c r="F111" s="17"/>
    </row>
    <row r="112" spans="2:6" x14ac:dyDescent="0.25">
      <c r="B112" s="3" t="s">
        <v>18</v>
      </c>
      <c r="F112" s="17"/>
    </row>
    <row r="113" spans="2:6" ht="21" x14ac:dyDescent="0.25">
      <c r="B113" s="4">
        <v>42388</v>
      </c>
      <c r="C113" s="15" t="s">
        <v>2</v>
      </c>
      <c r="D113" s="15" t="s">
        <v>3</v>
      </c>
      <c r="E113" s="16" t="s">
        <v>4</v>
      </c>
      <c r="F113" s="17"/>
    </row>
    <row r="114" spans="2:6" x14ac:dyDescent="0.25">
      <c r="B114" s="6" t="s">
        <v>5</v>
      </c>
      <c r="C114" s="18">
        <v>22.33</v>
      </c>
      <c r="D114" s="18">
        <f>110/60*14.58</f>
        <v>26.73</v>
      </c>
      <c r="E114" s="19">
        <f t="shared" ref="E114:E119" si="8">(C114-D114)/C114</f>
        <v>-0.19704433497536958</v>
      </c>
      <c r="F114" s="12"/>
    </row>
    <row r="115" spans="2:6" x14ac:dyDescent="0.25">
      <c r="B115" s="9" t="s">
        <v>6</v>
      </c>
      <c r="C115" s="18">
        <v>3.96</v>
      </c>
      <c r="D115" s="18">
        <f>117/60*14.58</f>
        <v>28.431000000000001</v>
      </c>
      <c r="E115" s="20">
        <f t="shared" si="8"/>
        <v>-6.1795454545454547</v>
      </c>
      <c r="F115" s="12"/>
    </row>
    <row r="116" spans="2:6" x14ac:dyDescent="0.25">
      <c r="B116" s="9" t="s">
        <v>7</v>
      </c>
      <c r="C116" s="18">
        <v>19.399999999999999</v>
      </c>
      <c r="D116" s="18">
        <f>410/60*14.58</f>
        <v>99.63</v>
      </c>
      <c r="E116" s="20">
        <f t="shared" si="8"/>
        <v>-4.1355670103092779</v>
      </c>
      <c r="F116" s="12"/>
    </row>
    <row r="117" spans="2:6" x14ac:dyDescent="0.25">
      <c r="B117" s="9" t="s">
        <v>8</v>
      </c>
      <c r="C117" s="18">
        <v>5.5</v>
      </c>
      <c r="D117" s="18">
        <f>3/60*14.58</f>
        <v>0.72900000000000009</v>
      </c>
      <c r="E117" s="19">
        <f t="shared" si="8"/>
        <v>0.86745454545454548</v>
      </c>
      <c r="F117" s="12"/>
    </row>
    <row r="118" spans="2:6" x14ac:dyDescent="0.25">
      <c r="B118" s="9" t="s">
        <v>9</v>
      </c>
      <c r="C118" s="18">
        <v>29</v>
      </c>
      <c r="D118" s="18">
        <v>0</v>
      </c>
      <c r="E118" s="20">
        <f t="shared" si="8"/>
        <v>1</v>
      </c>
      <c r="F118" s="12"/>
    </row>
    <row r="119" spans="2:6" x14ac:dyDescent="0.25">
      <c r="B119" s="9" t="s">
        <v>10</v>
      </c>
      <c r="C119" s="18">
        <v>22.5</v>
      </c>
      <c r="D119" s="18">
        <f>30/60*7.29</f>
        <v>3.645</v>
      </c>
      <c r="E119" s="19">
        <f t="shared" si="8"/>
        <v>0.83799999999999997</v>
      </c>
      <c r="F119" s="12"/>
    </row>
    <row r="120" spans="2:6" x14ac:dyDescent="0.25">
      <c r="F120" s="17"/>
    </row>
    <row r="121" spans="2:6" x14ac:dyDescent="0.25">
      <c r="F121" s="17"/>
    </row>
    <row r="122" spans="2:6" x14ac:dyDescent="0.25">
      <c r="F122" s="17"/>
    </row>
    <row r="123" spans="2:6" x14ac:dyDescent="0.25">
      <c r="F123" s="17"/>
    </row>
    <row r="124" spans="2:6" x14ac:dyDescent="0.25">
      <c r="F124" s="17"/>
    </row>
    <row r="125" spans="2:6" x14ac:dyDescent="0.25">
      <c r="B125" s="3" t="s">
        <v>19</v>
      </c>
      <c r="F125" s="17"/>
    </row>
    <row r="126" spans="2:6" ht="21" x14ac:dyDescent="0.25">
      <c r="B126" s="4">
        <v>42388</v>
      </c>
      <c r="C126" s="15" t="s">
        <v>2</v>
      </c>
      <c r="D126" s="15" t="s">
        <v>3</v>
      </c>
      <c r="E126" s="16" t="s">
        <v>4</v>
      </c>
      <c r="F126" s="17"/>
    </row>
    <row r="127" spans="2:6" x14ac:dyDescent="0.25">
      <c r="B127" s="6" t="s">
        <v>5</v>
      </c>
      <c r="C127" s="18">
        <v>22.33</v>
      </c>
      <c r="D127" s="18">
        <f>153/60*14.58</f>
        <v>37.178999999999995</v>
      </c>
      <c r="E127" s="19">
        <f t="shared" ref="E127:E132" si="9">(C127-D127)/C127</f>
        <v>-0.6649798477384683</v>
      </c>
      <c r="F127" s="12"/>
    </row>
    <row r="128" spans="2:6" x14ac:dyDescent="0.25">
      <c r="B128" s="9" t="s">
        <v>6</v>
      </c>
      <c r="C128" s="18">
        <v>3.96</v>
      </c>
      <c r="D128" s="18">
        <f>57/60*14.58</f>
        <v>13.850999999999999</v>
      </c>
      <c r="E128" s="20">
        <f t="shared" si="9"/>
        <v>-2.4977272727272721</v>
      </c>
      <c r="F128" s="12"/>
    </row>
    <row r="129" spans="2:6" x14ac:dyDescent="0.25">
      <c r="B129" s="9" t="s">
        <v>7</v>
      </c>
      <c r="C129" s="18">
        <v>19.399999999999999</v>
      </c>
      <c r="D129" s="18">
        <v>0</v>
      </c>
      <c r="E129" s="20">
        <f t="shared" si="9"/>
        <v>1</v>
      </c>
      <c r="F129" s="12"/>
    </row>
    <row r="130" spans="2:6" x14ac:dyDescent="0.25">
      <c r="B130" s="9" t="s">
        <v>8</v>
      </c>
      <c r="C130" s="18">
        <v>5.5</v>
      </c>
      <c r="D130" s="18">
        <f>37/60*14.58</f>
        <v>8.9909999999999997</v>
      </c>
      <c r="E130" s="19">
        <f t="shared" si="9"/>
        <v>-0.6347272727272727</v>
      </c>
      <c r="F130" s="12"/>
    </row>
    <row r="131" spans="2:6" x14ac:dyDescent="0.25">
      <c r="B131" s="9" t="s">
        <v>9</v>
      </c>
      <c r="C131" s="18">
        <v>29</v>
      </c>
      <c r="D131" s="18">
        <v>0</v>
      </c>
      <c r="E131" s="20">
        <f t="shared" si="9"/>
        <v>1</v>
      </c>
      <c r="F131" s="12"/>
    </row>
    <row r="132" spans="2:6" x14ac:dyDescent="0.25">
      <c r="B132" s="9" t="s">
        <v>10</v>
      </c>
      <c r="C132" s="18">
        <v>22.5</v>
      </c>
      <c r="D132" s="18">
        <f>15/60*7.29</f>
        <v>1.8225</v>
      </c>
      <c r="E132" s="19">
        <f t="shared" si="9"/>
        <v>0.91899999999999993</v>
      </c>
      <c r="F132" s="12"/>
    </row>
    <row r="133" spans="2:6" x14ac:dyDescent="0.25">
      <c r="F133" s="17"/>
    </row>
    <row r="134" spans="2:6" x14ac:dyDescent="0.25">
      <c r="F134" s="17"/>
    </row>
    <row r="135" spans="2:6" x14ac:dyDescent="0.25">
      <c r="F135" s="17"/>
    </row>
    <row r="136" spans="2:6" x14ac:dyDescent="0.25">
      <c r="F136" s="17"/>
    </row>
    <row r="137" spans="2:6" x14ac:dyDescent="0.25">
      <c r="F137" s="17"/>
    </row>
    <row r="138" spans="2:6" x14ac:dyDescent="0.25">
      <c r="B138" s="3" t="s">
        <v>20</v>
      </c>
      <c r="F138" s="17"/>
    </row>
    <row r="139" spans="2:6" ht="21" x14ac:dyDescent="0.25">
      <c r="B139" s="4">
        <v>42388</v>
      </c>
      <c r="C139" s="15" t="s">
        <v>2</v>
      </c>
      <c r="D139" s="15" t="s">
        <v>3</v>
      </c>
      <c r="E139" s="16" t="s">
        <v>4</v>
      </c>
      <c r="F139" s="17"/>
    </row>
    <row r="140" spans="2:6" x14ac:dyDescent="0.25">
      <c r="B140" s="6" t="s">
        <v>5</v>
      </c>
      <c r="C140" s="18">
        <v>22.33</v>
      </c>
      <c r="D140" s="18">
        <f>1/60*14.58</f>
        <v>0.24299999999999999</v>
      </c>
      <c r="E140" s="19">
        <f t="shared" ref="E140:E145" si="10">(C140-D140)/C140</f>
        <v>0.98911777877295126</v>
      </c>
      <c r="F140" s="12"/>
    </row>
    <row r="141" spans="2:6" x14ac:dyDescent="0.25">
      <c r="B141" s="9" t="s">
        <v>6</v>
      </c>
      <c r="C141" s="18">
        <v>3.96</v>
      </c>
      <c r="D141" s="18">
        <f>208/60*14.58</f>
        <v>50.544000000000004</v>
      </c>
      <c r="E141" s="20">
        <f t="shared" si="10"/>
        <v>-11.763636363636364</v>
      </c>
      <c r="F141" s="12"/>
    </row>
    <row r="142" spans="2:6" x14ac:dyDescent="0.25">
      <c r="B142" s="9" t="s">
        <v>7</v>
      </c>
      <c r="C142" s="18">
        <v>19.399999999999999</v>
      </c>
      <c r="D142" s="18">
        <f>14/60*14.58</f>
        <v>3.4020000000000001</v>
      </c>
      <c r="E142" s="20">
        <f t="shared" si="10"/>
        <v>0.82463917525773189</v>
      </c>
      <c r="F142" s="12"/>
    </row>
    <row r="143" spans="2:6" x14ac:dyDescent="0.25">
      <c r="B143" s="9" t="s">
        <v>8</v>
      </c>
      <c r="C143" s="18">
        <v>5.5</v>
      </c>
      <c r="D143" s="18">
        <f>6/60*14.58</f>
        <v>1.4580000000000002</v>
      </c>
      <c r="E143" s="19">
        <f t="shared" si="10"/>
        <v>0.73490909090909085</v>
      </c>
      <c r="F143" s="12"/>
    </row>
    <row r="144" spans="2:6" x14ac:dyDescent="0.25">
      <c r="B144" s="9" t="s">
        <v>9</v>
      </c>
      <c r="C144" s="18">
        <v>29</v>
      </c>
      <c r="D144" s="18">
        <v>0</v>
      </c>
      <c r="E144" s="20">
        <f t="shared" si="10"/>
        <v>1</v>
      </c>
      <c r="F144" s="12"/>
    </row>
    <row r="145" spans="2:6" x14ac:dyDescent="0.25">
      <c r="B145" s="9" t="s">
        <v>10</v>
      </c>
      <c r="C145" s="18">
        <v>22.5</v>
      </c>
      <c r="D145" s="18">
        <f>18/60*7.29</f>
        <v>2.1869999999999998</v>
      </c>
      <c r="E145" s="19">
        <f t="shared" si="10"/>
        <v>0.90279999999999994</v>
      </c>
      <c r="F145" s="12"/>
    </row>
    <row r="146" spans="2:6" x14ac:dyDescent="0.25">
      <c r="F146" s="17"/>
    </row>
    <row r="147" spans="2:6" x14ac:dyDescent="0.25">
      <c r="F147" s="17"/>
    </row>
    <row r="148" spans="2:6" x14ac:dyDescent="0.25">
      <c r="F148" s="17"/>
    </row>
    <row r="149" spans="2:6" x14ac:dyDescent="0.25">
      <c r="F149" s="17"/>
    </row>
    <row r="150" spans="2:6" x14ac:dyDescent="0.25">
      <c r="B150" t="s">
        <v>21</v>
      </c>
      <c r="F150" s="17"/>
    </row>
    <row r="151" spans="2:6" ht="21" x14ac:dyDescent="0.25">
      <c r="B151" s="4">
        <v>42388</v>
      </c>
      <c r="C151" s="15" t="s">
        <v>2</v>
      </c>
      <c r="D151" s="15" t="s">
        <v>3</v>
      </c>
      <c r="E151" s="16" t="s">
        <v>4</v>
      </c>
      <c r="F151" s="17"/>
    </row>
    <row r="152" spans="2:6" x14ac:dyDescent="0.25">
      <c r="B152" s="6" t="s">
        <v>5</v>
      </c>
      <c r="C152" s="18">
        <v>22.33</v>
      </c>
      <c r="D152" s="18">
        <f>10/60*14.58</f>
        <v>2.4299999999999997</v>
      </c>
      <c r="E152" s="19">
        <f t="shared" ref="E152:E157" si="11">(C152-D152)/C152</f>
        <v>0.89117778772951184</v>
      </c>
      <c r="F152" s="12"/>
    </row>
    <row r="153" spans="2:6" x14ac:dyDescent="0.25">
      <c r="B153" s="9" t="s">
        <v>6</v>
      </c>
      <c r="C153" s="18">
        <v>3.96</v>
      </c>
      <c r="D153" s="18">
        <f>3/60*14.58</f>
        <v>0.72900000000000009</v>
      </c>
      <c r="E153" s="20">
        <f t="shared" si="11"/>
        <v>0.81590909090909092</v>
      </c>
      <c r="F153" s="12"/>
    </row>
    <row r="154" spans="2:6" x14ac:dyDescent="0.25">
      <c r="B154" s="9" t="s">
        <v>7</v>
      </c>
      <c r="C154" s="18">
        <v>19.399999999999999</v>
      </c>
      <c r="D154" s="18">
        <v>0</v>
      </c>
      <c r="E154" s="20">
        <f t="shared" si="11"/>
        <v>1</v>
      </c>
      <c r="F154" s="12"/>
    </row>
    <row r="155" spans="2:6" x14ac:dyDescent="0.25">
      <c r="B155" s="9" t="s">
        <v>8</v>
      </c>
      <c r="C155" s="18">
        <v>5.5</v>
      </c>
      <c r="D155" s="18">
        <f>17/60*14.58</f>
        <v>4.1310000000000002</v>
      </c>
      <c r="E155" s="19">
        <f t="shared" si="11"/>
        <v>0.24890909090909086</v>
      </c>
      <c r="F155" s="12"/>
    </row>
    <row r="156" spans="2:6" x14ac:dyDescent="0.25">
      <c r="B156" s="9" t="s">
        <v>9</v>
      </c>
      <c r="C156" s="18">
        <v>29</v>
      </c>
      <c r="D156" s="18">
        <v>0</v>
      </c>
      <c r="E156" s="20">
        <f t="shared" si="11"/>
        <v>1</v>
      </c>
      <c r="F156" s="12"/>
    </row>
    <row r="157" spans="2:6" x14ac:dyDescent="0.25">
      <c r="B157" s="9" t="s">
        <v>10</v>
      </c>
      <c r="C157" s="18">
        <v>22.5</v>
      </c>
      <c r="D157" s="18">
        <f>17/60*7.29</f>
        <v>2.0655000000000001</v>
      </c>
      <c r="E157" s="19">
        <f t="shared" si="11"/>
        <v>0.90820000000000001</v>
      </c>
      <c r="F157" s="12"/>
    </row>
    <row r="158" spans="2:6" x14ac:dyDescent="0.25">
      <c r="F158" s="17"/>
    </row>
    <row r="159" spans="2:6" x14ac:dyDescent="0.25">
      <c r="F159" s="17"/>
    </row>
    <row r="160" spans="2:6" x14ac:dyDescent="0.25">
      <c r="F160" s="17"/>
    </row>
    <row r="161" spans="2:6" x14ac:dyDescent="0.25">
      <c r="F161" s="17"/>
    </row>
    <row r="162" spans="2:6" x14ac:dyDescent="0.25">
      <c r="F162" s="17"/>
    </row>
    <row r="163" spans="2:6" x14ac:dyDescent="0.25">
      <c r="B163" s="3" t="s">
        <v>22</v>
      </c>
      <c r="F163" s="17"/>
    </row>
    <row r="164" spans="2:6" ht="21" x14ac:dyDescent="0.25">
      <c r="B164" s="4">
        <v>42388</v>
      </c>
      <c r="C164" s="15" t="s">
        <v>2</v>
      </c>
      <c r="D164" s="15" t="s">
        <v>3</v>
      </c>
      <c r="E164" s="16" t="s">
        <v>4</v>
      </c>
      <c r="F164" s="17"/>
    </row>
    <row r="165" spans="2:6" x14ac:dyDescent="0.25">
      <c r="B165" s="6" t="s">
        <v>5</v>
      </c>
      <c r="C165" s="18">
        <v>22.33</v>
      </c>
      <c r="D165" s="18">
        <f>605/60*14.58</f>
        <v>147.01500000000001</v>
      </c>
      <c r="E165" s="19">
        <f t="shared" ref="E165:E170" si="12">(C165-D165)/C165</f>
        <v>-5.5837438423645329</v>
      </c>
      <c r="F165" s="12"/>
    </row>
    <row r="166" spans="2:6" x14ac:dyDescent="0.25">
      <c r="B166" s="9" t="s">
        <v>6</v>
      </c>
      <c r="C166" s="18">
        <v>3.96</v>
      </c>
      <c r="D166" s="18">
        <f>4/60*14.58</f>
        <v>0.97199999999999998</v>
      </c>
      <c r="E166" s="20">
        <f t="shared" si="12"/>
        <v>0.75454545454545452</v>
      </c>
      <c r="F166" s="12"/>
    </row>
    <row r="167" spans="2:6" x14ac:dyDescent="0.25">
      <c r="B167" s="9" t="s">
        <v>7</v>
      </c>
      <c r="C167" s="18">
        <v>19.399999999999999</v>
      </c>
      <c r="D167" s="18">
        <f>79/60*14.58</f>
        <v>19.196999999999999</v>
      </c>
      <c r="E167" s="20">
        <f t="shared" si="12"/>
        <v>1.0463917525773166E-2</v>
      </c>
      <c r="F167" s="12"/>
    </row>
    <row r="168" spans="2:6" x14ac:dyDescent="0.25">
      <c r="B168" s="9" t="s">
        <v>8</v>
      </c>
      <c r="C168" s="18">
        <v>5.5</v>
      </c>
      <c r="D168" s="18">
        <f>12/60*14.58</f>
        <v>2.9160000000000004</v>
      </c>
      <c r="E168" s="19">
        <f t="shared" si="12"/>
        <v>0.46981818181818175</v>
      </c>
      <c r="F168" s="12"/>
    </row>
    <row r="169" spans="2:6" x14ac:dyDescent="0.25">
      <c r="B169" s="9" t="s">
        <v>9</v>
      </c>
      <c r="C169" s="18">
        <v>29</v>
      </c>
      <c r="D169" s="18">
        <v>0</v>
      </c>
      <c r="E169" s="20">
        <f t="shared" si="12"/>
        <v>1</v>
      </c>
      <c r="F169" s="12"/>
    </row>
    <row r="170" spans="2:6" x14ac:dyDescent="0.25">
      <c r="B170" s="9" t="s">
        <v>10</v>
      </c>
      <c r="C170" s="18">
        <v>22.5</v>
      </c>
      <c r="D170" s="18">
        <f>18/60*7.29</f>
        <v>2.1869999999999998</v>
      </c>
      <c r="E170" s="19">
        <f t="shared" si="12"/>
        <v>0.90279999999999994</v>
      </c>
      <c r="F170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8"/>
  <sheetViews>
    <sheetView topLeftCell="A9" zoomScaleNormal="100" workbookViewId="0">
      <selection activeCell="N2" sqref="N2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17" max="17" width="23.28515625"/>
    <col min="18" max="18" width="5.140625"/>
    <col min="19" max="22" width="6.140625"/>
    <col min="23" max="1025" width="11.5703125"/>
  </cols>
  <sheetData>
    <row r="2" spans="2:25" x14ac:dyDescent="0.25">
      <c r="D2" s="21" t="s">
        <v>1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17</v>
      </c>
      <c r="L2" s="21" t="s">
        <v>18</v>
      </c>
      <c r="M2" s="21" t="s">
        <v>19</v>
      </c>
      <c r="N2" s="21" t="s">
        <v>20</v>
      </c>
      <c r="O2" s="21" t="s">
        <v>21</v>
      </c>
      <c r="P2" s="21" t="s">
        <v>22</v>
      </c>
      <c r="Q2" s="21" t="s">
        <v>23</v>
      </c>
    </row>
    <row r="3" spans="2:25" x14ac:dyDescent="0.25">
      <c r="B3" s="22"/>
      <c r="C3" s="23" t="s">
        <v>24</v>
      </c>
      <c r="D3" s="24">
        <v>20160119</v>
      </c>
      <c r="E3" s="24">
        <v>20160119</v>
      </c>
      <c r="F3" s="24">
        <v>20160119</v>
      </c>
      <c r="G3" s="24">
        <v>20160119</v>
      </c>
      <c r="H3" s="24">
        <v>20160119</v>
      </c>
      <c r="I3" s="24">
        <v>20160119</v>
      </c>
      <c r="J3" s="24">
        <v>20160119</v>
      </c>
      <c r="K3" s="24">
        <v>20160119</v>
      </c>
      <c r="L3" s="24">
        <v>20160119</v>
      </c>
      <c r="M3" s="24">
        <v>20160119</v>
      </c>
      <c r="N3" s="24">
        <v>20160119</v>
      </c>
      <c r="O3" s="24">
        <v>20160119</v>
      </c>
      <c r="P3" s="24">
        <v>20160119</v>
      </c>
      <c r="Q3" s="25"/>
    </row>
    <row r="4" spans="2:25" x14ac:dyDescent="0.25">
      <c r="B4" s="24">
        <v>1</v>
      </c>
      <c r="C4" s="23" t="s">
        <v>25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 t="e">
        <f t="shared" ref="Q4:Q9" si="0">AVERAGE(D4:P4)</f>
        <v>#DIV/0!</v>
      </c>
    </row>
    <row r="5" spans="2:25" x14ac:dyDescent="0.25">
      <c r="B5" s="24">
        <v>2</v>
      </c>
      <c r="C5" s="23" t="s">
        <v>5</v>
      </c>
      <c r="D5" s="26">
        <v>1</v>
      </c>
      <c r="E5" s="26">
        <v>1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0.85709999999999997</v>
      </c>
      <c r="O5" s="26">
        <v>1</v>
      </c>
      <c r="P5" s="26">
        <v>1</v>
      </c>
      <c r="Q5" s="27">
        <f t="shared" si="0"/>
        <v>0.98900769230769225</v>
      </c>
    </row>
    <row r="6" spans="2:25" x14ac:dyDescent="0.25">
      <c r="B6" s="24">
        <v>3</v>
      </c>
      <c r="C6" s="23" t="s">
        <v>6</v>
      </c>
      <c r="D6" s="26">
        <v>1</v>
      </c>
      <c r="E6" s="26">
        <v>1</v>
      </c>
      <c r="F6" s="26">
        <v>1</v>
      </c>
      <c r="G6" s="26">
        <v>1</v>
      </c>
      <c r="H6" s="26">
        <v>1</v>
      </c>
      <c r="I6" s="26">
        <v>1</v>
      </c>
      <c r="J6" s="26">
        <v>1</v>
      </c>
      <c r="K6" s="26">
        <v>1</v>
      </c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7">
        <f t="shared" si="0"/>
        <v>1</v>
      </c>
    </row>
    <row r="7" spans="2:25" x14ac:dyDescent="0.25">
      <c r="B7" s="24">
        <v>5</v>
      </c>
      <c r="C7" s="23" t="s">
        <v>7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>
        <v>1</v>
      </c>
      <c r="P7" s="26">
        <v>1</v>
      </c>
      <c r="Q7" s="27">
        <f t="shared" si="0"/>
        <v>1</v>
      </c>
    </row>
    <row r="8" spans="2:25" x14ac:dyDescent="0.25">
      <c r="B8" s="24">
        <v>6</v>
      </c>
      <c r="C8" s="23" t="s">
        <v>8</v>
      </c>
      <c r="D8" s="26"/>
      <c r="E8" s="26">
        <v>1</v>
      </c>
      <c r="F8" s="26">
        <v>1</v>
      </c>
      <c r="G8" s="26">
        <v>1</v>
      </c>
      <c r="H8" s="26">
        <v>0.66669999999999996</v>
      </c>
      <c r="I8" s="26">
        <v>0.66669999999999996</v>
      </c>
      <c r="J8" s="26">
        <v>0.66669999999999996</v>
      </c>
      <c r="K8" s="26">
        <v>0.66669999999999996</v>
      </c>
      <c r="L8" s="26">
        <v>0.66669999999999996</v>
      </c>
      <c r="M8" s="26">
        <v>0.66669999999999996</v>
      </c>
      <c r="N8" s="26">
        <v>0.33329999999999999</v>
      </c>
      <c r="O8" s="26">
        <v>0.33329999999999999</v>
      </c>
      <c r="P8" s="26">
        <v>0.33329999999999999</v>
      </c>
      <c r="Q8" s="27">
        <f t="shared" si="0"/>
        <v>0.66667500000000002</v>
      </c>
    </row>
    <row r="9" spans="2:25" x14ac:dyDescent="0.25">
      <c r="B9" s="24">
        <v>7</v>
      </c>
      <c r="C9" s="23" t="s">
        <v>26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 t="e">
        <f t="shared" si="0"/>
        <v>#DIV/0!</v>
      </c>
    </row>
    <row r="10" spans="2:25" x14ac:dyDescent="0.25">
      <c r="Y10" s="28"/>
    </row>
    <row r="11" spans="2:25" x14ac:dyDescent="0.25">
      <c r="C11" s="21" t="s">
        <v>27</v>
      </c>
      <c r="D11" s="29">
        <v>42375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 t="s">
        <v>23</v>
      </c>
      <c r="Y11" s="28"/>
    </row>
    <row r="12" spans="2:25" x14ac:dyDescent="0.25">
      <c r="B12" s="23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30"/>
      <c r="Y12" s="28"/>
    </row>
    <row r="13" spans="2:25" x14ac:dyDescent="0.25">
      <c r="B13" s="24">
        <v>1</v>
      </c>
      <c r="C13" s="23" t="s">
        <v>28</v>
      </c>
      <c r="D13" s="31">
        <v>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27">
        <f>AVERAGE(D13:P13)</f>
        <v>1</v>
      </c>
    </row>
    <row r="14" spans="2:25" x14ac:dyDescent="0.25">
      <c r="B14" s="24">
        <v>2</v>
      </c>
      <c r="C14" s="23" t="s">
        <v>29</v>
      </c>
      <c r="D14" s="31">
        <v>1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27">
        <f>AVERAGE(D14:P14)</f>
        <v>1</v>
      </c>
    </row>
    <row r="15" spans="2:25" x14ac:dyDescent="0.25">
      <c r="B15" s="24">
        <v>3</v>
      </c>
      <c r="C15" s="23" t="s">
        <v>30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27" t="e">
        <f>AVERAGE(D15:P15)</f>
        <v>#DIV/0!</v>
      </c>
    </row>
    <row r="28" ht="21" customHeight="1" x14ac:dyDescent="0.25"/>
  </sheetData>
  <conditionalFormatting sqref="D11:P11">
    <cfRule type="cellIs" dxfId="21" priority="2" operator="notEqual">
      <formula>INDIRECT("Dummy_for_Comparison1!"&amp;ADDRESS(ROW(),COLUMN()))</formula>
    </cfRule>
  </conditionalFormatting>
  <conditionalFormatting sqref="C11">
    <cfRule type="cellIs" dxfId="20" priority="3" operator="notEqual">
      <formula>INDIRECT("Dummy_for_Comparison1!"&amp;ADDRESS(ROW(),COLUMN()))</formula>
    </cfRule>
  </conditionalFormatting>
  <conditionalFormatting sqref="Q11">
    <cfRule type="cellIs" dxfId="19" priority="4" operator="notEqual">
      <formula>INDIRECT("Dummy_for_Comparison1!"&amp;ADDRESS(ROW(),COLUMN()))</formula>
    </cfRule>
  </conditionalFormatting>
  <conditionalFormatting sqref="B12:C15">
    <cfRule type="cellIs" dxfId="18" priority="5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3"/>
  <sheetViews>
    <sheetView topLeftCell="C1" zoomScaleNormal="100" workbookViewId="0">
      <pane xSplit="1" ySplit="3" topLeftCell="D16" activePane="bottomRight" state="frozen"/>
      <selection activeCell="C1" sqref="C1"/>
      <selection pane="topRight" activeCell="D1" sqref="D1"/>
      <selection pane="bottomLeft" activeCell="C16" sqref="C16"/>
      <selection pane="bottomRight" activeCell="L31" sqref="L3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5703125"/>
    <col min="18" max="18" width="19.42578125"/>
    <col min="19" max="19" width="11.5703125"/>
    <col min="20" max="20" width="15.7109375"/>
    <col min="21" max="1025" width="11.5703125"/>
  </cols>
  <sheetData>
    <row r="2" spans="2:20" ht="15" customHeight="1" x14ac:dyDescent="0.25">
      <c r="D2" t="s">
        <v>31</v>
      </c>
      <c r="E2" s="21" t="s">
        <v>1</v>
      </c>
      <c r="F2" s="21" t="s">
        <v>11</v>
      </c>
      <c r="G2" s="21" t="s">
        <v>12</v>
      </c>
      <c r="H2" s="21" t="s">
        <v>13</v>
      </c>
      <c r="I2" s="21" t="s">
        <v>14</v>
      </c>
      <c r="J2" s="21" t="s">
        <v>15</v>
      </c>
      <c r="K2" s="21" t="s">
        <v>16</v>
      </c>
      <c r="L2" s="21" t="s">
        <v>17</v>
      </c>
      <c r="M2" s="21" t="s">
        <v>18</v>
      </c>
      <c r="N2" s="21" t="s">
        <v>19</v>
      </c>
      <c r="O2" s="21" t="s">
        <v>20</v>
      </c>
      <c r="P2" s="21" t="s">
        <v>21</v>
      </c>
      <c r="Q2" s="21" t="s">
        <v>22</v>
      </c>
      <c r="R2" s="21" t="s">
        <v>23</v>
      </c>
      <c r="S2" s="32"/>
      <c r="T2" s="32"/>
    </row>
    <row r="3" spans="2:20" x14ac:dyDescent="0.25">
      <c r="B3" s="23"/>
      <c r="C3" s="23" t="s">
        <v>24</v>
      </c>
      <c r="D3" s="23"/>
      <c r="E3" s="24">
        <v>20160119</v>
      </c>
      <c r="F3" s="24">
        <v>20160119</v>
      </c>
      <c r="G3" s="24">
        <v>20160119</v>
      </c>
      <c r="H3" s="24">
        <v>20160119</v>
      </c>
      <c r="I3" s="24">
        <v>20160119</v>
      </c>
      <c r="J3" s="24">
        <v>20160119</v>
      </c>
      <c r="K3" s="24">
        <v>20160119</v>
      </c>
      <c r="L3" s="24">
        <v>20160119</v>
      </c>
      <c r="M3" s="24">
        <v>20160119</v>
      </c>
      <c r="N3" s="24">
        <v>20160119</v>
      </c>
      <c r="O3" s="24">
        <v>20160119</v>
      </c>
      <c r="P3" s="24">
        <v>20160119</v>
      </c>
      <c r="Q3" s="24">
        <v>20160119</v>
      </c>
      <c r="R3" s="25"/>
      <c r="S3" s="32"/>
      <c r="T3" s="32"/>
    </row>
    <row r="4" spans="2:20" x14ac:dyDescent="0.25">
      <c r="B4" s="23">
        <v>1</v>
      </c>
      <c r="C4" s="23" t="s">
        <v>32</v>
      </c>
      <c r="D4" s="23"/>
      <c r="E4" s="31">
        <v>0.82350000000000001</v>
      </c>
      <c r="F4" s="31">
        <v>1</v>
      </c>
      <c r="G4" s="31">
        <v>1</v>
      </c>
      <c r="H4" s="31">
        <v>1</v>
      </c>
      <c r="I4" s="31">
        <v>1</v>
      </c>
      <c r="J4" s="31">
        <v>1</v>
      </c>
      <c r="K4" s="31">
        <v>1</v>
      </c>
      <c r="L4" s="31">
        <v>0.94120000000000004</v>
      </c>
      <c r="M4" s="31">
        <v>1</v>
      </c>
      <c r="N4" s="31">
        <v>1</v>
      </c>
      <c r="O4" s="31">
        <v>1</v>
      </c>
      <c r="P4" s="31">
        <v>0.94120000000000004</v>
      </c>
      <c r="Q4" s="31">
        <v>0.94120000000000004</v>
      </c>
      <c r="R4" s="27">
        <f>AVERAGE(E4:Q4)</f>
        <v>0.97285384615384629</v>
      </c>
      <c r="S4" s="32"/>
      <c r="T4" s="32"/>
    </row>
    <row r="5" spans="2:20" x14ac:dyDescent="0.25">
      <c r="B5" s="23">
        <v>2</v>
      </c>
      <c r="C5" s="23" t="s">
        <v>33</v>
      </c>
      <c r="D5" s="23"/>
      <c r="E5" s="31">
        <v>1</v>
      </c>
      <c r="F5" s="31">
        <v>1</v>
      </c>
      <c r="G5" s="31">
        <v>1</v>
      </c>
      <c r="H5" s="31">
        <v>1</v>
      </c>
      <c r="I5" s="31">
        <v>1</v>
      </c>
      <c r="J5" s="31">
        <v>1</v>
      </c>
      <c r="K5" s="31">
        <v>1</v>
      </c>
      <c r="L5" s="31">
        <v>1</v>
      </c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27">
        <f>AVERAGE(E5:Q5)</f>
        <v>1</v>
      </c>
      <c r="S5" s="32"/>
      <c r="T5" s="32"/>
    </row>
    <row r="6" spans="2:20" x14ac:dyDescent="0.25">
      <c r="B6" s="23">
        <v>3</v>
      </c>
      <c r="C6" s="23" t="s">
        <v>34</v>
      </c>
      <c r="D6" s="23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27" t="e">
        <f>AVERAGE(E6:Q6)</f>
        <v>#DIV/0!</v>
      </c>
      <c r="S6" s="32"/>
      <c r="T6" s="32"/>
    </row>
    <row r="7" spans="2:20" x14ac:dyDescent="0.25">
      <c r="B7" s="23">
        <v>4</v>
      </c>
      <c r="C7" s="23" t="s">
        <v>35</v>
      </c>
      <c r="D7" s="23"/>
      <c r="E7" s="31">
        <v>1</v>
      </c>
      <c r="F7" s="31">
        <v>1</v>
      </c>
      <c r="G7" s="31">
        <v>1</v>
      </c>
      <c r="H7" s="31">
        <v>1</v>
      </c>
      <c r="I7" s="31">
        <v>1</v>
      </c>
      <c r="J7" s="31">
        <v>1</v>
      </c>
      <c r="K7" s="31">
        <v>1</v>
      </c>
      <c r="L7" s="31">
        <v>1</v>
      </c>
      <c r="M7" s="31">
        <v>1</v>
      </c>
      <c r="N7" s="31">
        <v>1</v>
      </c>
      <c r="O7" s="31">
        <v>1</v>
      </c>
      <c r="P7" s="31">
        <v>1</v>
      </c>
      <c r="Q7" s="31">
        <v>1</v>
      </c>
      <c r="R7" s="27">
        <f>AVERAGE(E7:Q7)</f>
        <v>1</v>
      </c>
      <c r="S7" s="32"/>
      <c r="T7" s="32"/>
    </row>
    <row r="8" spans="2:20" x14ac:dyDescent="0.25">
      <c r="B8" s="23">
        <v>5</v>
      </c>
      <c r="C8" s="23" t="s">
        <v>36</v>
      </c>
      <c r="D8" s="33">
        <v>1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27">
        <f>AVERAGE(D8:Q8)</f>
        <v>1</v>
      </c>
      <c r="S8" s="32"/>
      <c r="T8" s="32"/>
    </row>
    <row r="9" spans="2:20" x14ac:dyDescent="0.25">
      <c r="S9" s="32"/>
      <c r="T9" s="32"/>
    </row>
    <row r="10" spans="2:20" ht="14.25" customHeight="1" x14ac:dyDescent="0.25">
      <c r="C10" s="21" t="s">
        <v>27</v>
      </c>
      <c r="D10" s="21"/>
      <c r="E10" s="29">
        <v>42375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 t="s">
        <v>23</v>
      </c>
      <c r="S10" s="32"/>
      <c r="T10" s="32"/>
    </row>
    <row r="11" spans="2:20" x14ac:dyDescent="0.2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30"/>
      <c r="S11" s="32"/>
      <c r="T11" s="32"/>
    </row>
    <row r="12" spans="2:20" x14ac:dyDescent="0.25">
      <c r="B12" s="23">
        <v>1</v>
      </c>
      <c r="C12" s="23" t="s">
        <v>37</v>
      </c>
      <c r="D12" s="23"/>
      <c r="E12" s="26">
        <v>1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7">
        <f>AVERAGE(E12:Q12)</f>
        <v>1</v>
      </c>
      <c r="S12" s="32"/>
      <c r="T12" s="32"/>
    </row>
    <row r="13" spans="2:20" x14ac:dyDescent="0.25">
      <c r="B13" s="23">
        <v>2</v>
      </c>
      <c r="C13" s="23" t="s">
        <v>38</v>
      </c>
      <c r="D13" s="23"/>
      <c r="E13" s="26">
        <v>0.85709999999999997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7">
        <f>AVERAGE(E13:Q13)</f>
        <v>0.85709999999999997</v>
      </c>
      <c r="S13" s="34"/>
      <c r="T13" s="35"/>
    </row>
    <row r="14" spans="2:20" x14ac:dyDescent="0.25">
      <c r="B14" s="23">
        <v>3</v>
      </c>
      <c r="C14" s="23" t="s">
        <v>39</v>
      </c>
      <c r="D14" s="23"/>
      <c r="E14" s="26">
        <v>1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7">
        <f>AVERAGE(E14:Q14)</f>
        <v>1</v>
      </c>
    </row>
    <row r="15" spans="2:20" x14ac:dyDescent="0.25">
      <c r="C15" s="36"/>
      <c r="D15" s="36"/>
    </row>
    <row r="33" ht="21" customHeight="1" x14ac:dyDescent="0.25"/>
  </sheetData>
  <conditionalFormatting sqref="R10">
    <cfRule type="cellIs" dxfId="17" priority="2" operator="notEqual">
      <formula>INDIRECT("Dummy_for_Comparison1!"&amp;ADDRESS(ROW(),COLUMN()))</formula>
    </cfRule>
  </conditionalFormatting>
  <conditionalFormatting sqref="C11:D11">
    <cfRule type="cellIs" dxfId="16" priority="3" operator="notEqual">
      <formula>INDIRECT("Dummy_for_Comparison1!"&amp;ADDRESS(ROW(),COLUMN()))</formula>
    </cfRule>
  </conditionalFormatting>
  <conditionalFormatting sqref="C12:D14">
    <cfRule type="cellIs" dxfId="15" priority="4" operator="notEqual">
      <formula>INDIRECT("Dummy_for_Comparison1!"&amp;ADDRESS(ROW(),COLUMN()))</formula>
    </cfRule>
  </conditionalFormatting>
  <conditionalFormatting sqref="B3:B8">
    <cfRule type="cellIs" dxfId="14" priority="5" operator="notEqual">
      <formula>INDIRECT("Dummy_for_Comparison1!"&amp;ADDRESS(ROW(),COLUMN()))</formula>
    </cfRule>
  </conditionalFormatting>
  <conditionalFormatting sqref="B11:B14">
    <cfRule type="cellIs" dxfId="13" priority="6" operator="notEqual">
      <formula>INDIRECT("Dummy_for_Comparison1!"&amp;ADDRESS(ROW(),COLUMN()))</formula>
    </cfRule>
  </conditionalFormatting>
  <conditionalFormatting sqref="E10">
    <cfRule type="cellIs" dxfId="12" priority="7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4" sqref="B1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17" max="17" width="18.7109375"/>
    <col min="18" max="18" width="11.5703125"/>
    <col min="19" max="19" width="15.7109375"/>
    <col min="20" max="1025" width="11.5703125"/>
  </cols>
  <sheetData>
    <row r="2" spans="2:19" ht="15" customHeight="1" x14ac:dyDescent="0.25">
      <c r="D2" s="21" t="s">
        <v>1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17</v>
      </c>
      <c r="L2" s="21" t="s">
        <v>18</v>
      </c>
      <c r="M2" s="21" t="s">
        <v>19</v>
      </c>
      <c r="N2" s="21" t="s">
        <v>20</v>
      </c>
      <c r="O2" s="21" t="s">
        <v>21</v>
      </c>
      <c r="P2" s="21" t="s">
        <v>22</v>
      </c>
      <c r="Q2" s="21" t="s">
        <v>23</v>
      </c>
      <c r="R2" s="32"/>
      <c r="S2" s="32"/>
    </row>
    <row r="3" spans="2:19" x14ac:dyDescent="0.25">
      <c r="B3" s="23"/>
      <c r="C3" s="23" t="s">
        <v>40</v>
      </c>
      <c r="D3" s="24">
        <v>20160119</v>
      </c>
      <c r="E3" s="24">
        <v>20160119</v>
      </c>
      <c r="F3" s="24">
        <v>20160119</v>
      </c>
      <c r="G3" s="24">
        <v>20160119</v>
      </c>
      <c r="H3" s="24">
        <v>20160119</v>
      </c>
      <c r="I3" s="24">
        <v>20160119</v>
      </c>
      <c r="J3" s="24">
        <v>20160119</v>
      </c>
      <c r="K3" s="24">
        <v>20160119</v>
      </c>
      <c r="L3" s="24">
        <v>20160119</v>
      </c>
      <c r="M3" s="24">
        <v>20160119</v>
      </c>
      <c r="N3" s="24">
        <v>20160119</v>
      </c>
      <c r="O3" s="24">
        <v>20160119</v>
      </c>
      <c r="P3" s="24">
        <v>20160119</v>
      </c>
      <c r="Q3" s="25"/>
      <c r="R3" s="32"/>
      <c r="S3" s="32"/>
    </row>
    <row r="4" spans="2:19" x14ac:dyDescent="0.25">
      <c r="B4" s="23">
        <v>1</v>
      </c>
      <c r="C4" s="23" t="s">
        <v>41</v>
      </c>
      <c r="D4" s="31">
        <v>1</v>
      </c>
      <c r="E4" s="31">
        <v>0.5</v>
      </c>
      <c r="F4" s="31">
        <v>1</v>
      </c>
      <c r="G4" s="31">
        <v>1</v>
      </c>
      <c r="H4" s="31">
        <v>1</v>
      </c>
      <c r="I4" s="31">
        <v>1</v>
      </c>
      <c r="J4" s="31">
        <v>1</v>
      </c>
      <c r="K4" s="31">
        <v>1</v>
      </c>
      <c r="L4" s="31">
        <v>1</v>
      </c>
      <c r="M4" s="31">
        <v>1</v>
      </c>
      <c r="N4" s="31">
        <v>0.5</v>
      </c>
      <c r="O4" s="31">
        <v>0.5</v>
      </c>
      <c r="P4" s="31">
        <v>0.5</v>
      </c>
      <c r="Q4" s="27">
        <f>AVERAGE(D4:P4)</f>
        <v>0.84615384615384615</v>
      </c>
      <c r="R4" s="32"/>
      <c r="S4" s="32"/>
    </row>
    <row r="5" spans="2:19" x14ac:dyDescent="0.25">
      <c r="B5" s="23">
        <v>2</v>
      </c>
      <c r="C5" s="23" t="s">
        <v>42</v>
      </c>
      <c r="D5" s="31">
        <v>1</v>
      </c>
      <c r="E5" s="31">
        <v>1</v>
      </c>
      <c r="F5" s="31">
        <v>1</v>
      </c>
      <c r="G5" s="31">
        <v>1</v>
      </c>
      <c r="H5" s="31">
        <v>1</v>
      </c>
      <c r="I5" s="31">
        <v>1</v>
      </c>
      <c r="J5" s="31">
        <v>1</v>
      </c>
      <c r="K5" s="31">
        <v>1</v>
      </c>
      <c r="L5" s="31">
        <v>1</v>
      </c>
      <c r="M5" s="31">
        <v>1</v>
      </c>
      <c r="N5" s="31">
        <v>0</v>
      </c>
      <c r="O5" s="31">
        <v>0</v>
      </c>
      <c r="P5" s="31">
        <v>0</v>
      </c>
      <c r="Q5" s="27">
        <f>AVERAGE(D5:P5)</f>
        <v>0.76923076923076927</v>
      </c>
      <c r="R5" s="32"/>
      <c r="S5" s="32"/>
    </row>
    <row r="6" spans="2:19" x14ac:dyDescent="0.25">
      <c r="B6" s="23">
        <v>3</v>
      </c>
      <c r="C6" s="23" t="s">
        <v>30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27" t="e">
        <f>AVERAGE(D6:P6)</f>
        <v>#DIV/0!</v>
      </c>
      <c r="R6" s="32"/>
      <c r="S6" s="32"/>
    </row>
    <row r="7" spans="2:19" x14ac:dyDescent="0.25">
      <c r="R7" s="32"/>
      <c r="S7" s="32"/>
    </row>
    <row r="8" spans="2:19" x14ac:dyDescent="0.25">
      <c r="C8" s="36"/>
    </row>
    <row r="26" ht="21" customHeight="1" x14ac:dyDescent="0.25"/>
  </sheetData>
  <conditionalFormatting sqref="B3:B6">
    <cfRule type="cellIs" dxfId="11" priority="2" operator="notEqual">
      <formula>INDIRECT("Dummy_for_Comparison1!"&amp;ADDRESS(ROW(),COLUMN()))</formula>
    </cfRule>
  </conditionalFormatting>
  <conditionalFormatting sqref="D3:P3">
    <cfRule type="cellIs" dxfId="10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Y26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R7" sqref="R7"/>
    </sheetView>
  </sheetViews>
  <sheetFormatPr baseColWidth="10" defaultColWidth="9.140625" defaultRowHeight="15" x14ac:dyDescent="0.25"/>
  <cols>
    <col min="1" max="1" width="3.42578125" style="2"/>
    <col min="2" max="2" width="4.42578125" style="2"/>
    <col min="3" max="3" width="32.140625" style="2"/>
    <col min="4" max="16" width="9.140625" style="2"/>
    <col min="17" max="17" width="19.140625" style="2"/>
    <col min="18" max="18" width="11.5703125" style="2"/>
    <col min="19" max="19" width="15.7109375" style="2"/>
    <col min="20" max="987" width="11.5703125" style="2"/>
    <col min="988" max="1025" width="11.5703125"/>
  </cols>
  <sheetData>
    <row r="1" spans="2:19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2:19" ht="15" customHeight="1" x14ac:dyDescent="0.25">
      <c r="B2"/>
      <c r="C2"/>
      <c r="D2" s="21" t="s">
        <v>1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17</v>
      </c>
      <c r="L2" s="21" t="s">
        <v>18</v>
      </c>
      <c r="M2" s="21" t="s">
        <v>19</v>
      </c>
      <c r="N2" s="21" t="s">
        <v>20</v>
      </c>
      <c r="O2" s="21" t="s">
        <v>21</v>
      </c>
      <c r="P2" s="21" t="s">
        <v>22</v>
      </c>
      <c r="Q2" s="21" t="s">
        <v>23</v>
      </c>
      <c r="R2" s="32"/>
      <c r="S2" s="32"/>
    </row>
    <row r="3" spans="2:19" x14ac:dyDescent="0.25">
      <c r="B3" s="23"/>
      <c r="C3" s="23" t="s">
        <v>43</v>
      </c>
      <c r="D3" s="24">
        <v>20160119</v>
      </c>
      <c r="E3" s="24">
        <v>20160119</v>
      </c>
      <c r="F3" s="24">
        <v>20160119</v>
      </c>
      <c r="G3" s="24">
        <v>20160119</v>
      </c>
      <c r="H3" s="24">
        <v>20160119</v>
      </c>
      <c r="I3" s="24">
        <v>20160119</v>
      </c>
      <c r="J3" s="24">
        <v>20160119</v>
      </c>
      <c r="K3" s="24">
        <v>20160119</v>
      </c>
      <c r="L3" s="24">
        <v>20160119</v>
      </c>
      <c r="M3" s="24">
        <v>20160119</v>
      </c>
      <c r="N3" s="24">
        <v>20160119</v>
      </c>
      <c r="O3" s="24">
        <v>20160119</v>
      </c>
      <c r="P3" s="24">
        <v>20160119</v>
      </c>
      <c r="Q3" s="25"/>
      <c r="R3" s="32"/>
      <c r="S3" s="32"/>
    </row>
    <row r="4" spans="2:19" x14ac:dyDescent="0.25">
      <c r="B4" s="23">
        <v>1</v>
      </c>
      <c r="C4" s="23" t="s">
        <v>42</v>
      </c>
      <c r="D4" s="31">
        <v>0.67</v>
      </c>
      <c r="E4" s="31">
        <v>1</v>
      </c>
      <c r="F4" s="31">
        <v>1</v>
      </c>
      <c r="G4" s="31">
        <v>1</v>
      </c>
      <c r="H4" s="31">
        <v>1</v>
      </c>
      <c r="I4" s="31">
        <v>1</v>
      </c>
      <c r="J4" s="31">
        <v>1</v>
      </c>
      <c r="K4" s="31">
        <v>1</v>
      </c>
      <c r="L4" s="31">
        <v>1</v>
      </c>
      <c r="M4" s="31">
        <v>1</v>
      </c>
      <c r="N4" s="31">
        <v>0</v>
      </c>
      <c r="O4" s="31">
        <v>0.33</v>
      </c>
      <c r="P4" s="31">
        <v>0.33</v>
      </c>
      <c r="Q4" s="27">
        <f>AVERAGE(D4:P4)</f>
        <v>0.79461538461538461</v>
      </c>
      <c r="R4" s="32"/>
      <c r="S4" s="32"/>
    </row>
    <row r="5" spans="2:19" x14ac:dyDescent="0.25">
      <c r="B5" s="23">
        <v>2</v>
      </c>
      <c r="C5" s="23" t="s">
        <v>44</v>
      </c>
      <c r="D5" s="31">
        <v>1</v>
      </c>
      <c r="E5" s="31">
        <v>1</v>
      </c>
      <c r="F5" s="31">
        <v>1</v>
      </c>
      <c r="G5" s="31">
        <v>1</v>
      </c>
      <c r="H5" s="31">
        <v>1</v>
      </c>
      <c r="I5" s="31">
        <v>1</v>
      </c>
      <c r="J5" s="31">
        <v>1</v>
      </c>
      <c r="K5" s="31">
        <v>1</v>
      </c>
      <c r="L5" s="31">
        <v>1</v>
      </c>
      <c r="M5" s="31">
        <v>1</v>
      </c>
      <c r="N5" s="31">
        <v>1</v>
      </c>
      <c r="O5" s="31">
        <v>1</v>
      </c>
      <c r="P5" s="31">
        <v>1</v>
      </c>
      <c r="Q5" s="27">
        <f>AVERAGE(D5:P5)</f>
        <v>1</v>
      </c>
      <c r="R5" s="32"/>
      <c r="S5" s="32"/>
    </row>
    <row r="6" spans="2:19" x14ac:dyDescent="0.25">
      <c r="B6" s="23">
        <v>3</v>
      </c>
      <c r="C6" s="23" t="s">
        <v>45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27" t="e">
        <f>AVERAGE(D6:P6)</f>
        <v>#DIV/0!</v>
      </c>
      <c r="R6" s="32"/>
      <c r="S6" s="32"/>
    </row>
    <row r="26" ht="21" customHeight="1" x14ac:dyDescent="0.25"/>
  </sheetData>
  <conditionalFormatting sqref="B3:B6">
    <cfRule type="cellIs" dxfId="9" priority="2" operator="notEqual">
      <formula>INDIRECT("Dummy_for_Comparison1!"&amp;ADDRESS(ROW(),COLUMN()))</formula>
    </cfRule>
  </conditionalFormatting>
  <conditionalFormatting sqref="D3:P3">
    <cfRule type="cellIs" dxfId="8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82"/>
  <sheetViews>
    <sheetView topLeftCell="A69" zoomScaleNormal="100" workbookViewId="0">
      <selection activeCell="A92" sqref="A92"/>
    </sheetView>
  </sheetViews>
  <sheetFormatPr baseColWidth="10" defaultColWidth="9.140625" defaultRowHeight="15" x14ac:dyDescent="0.25"/>
  <cols>
    <col min="1" max="1" width="32.8554687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3" spans="1:9" ht="21" customHeight="1" x14ac:dyDescent="0.35">
      <c r="G13" s="1" t="s">
        <v>46</v>
      </c>
      <c r="H13" s="1"/>
      <c r="I13" s="1"/>
    </row>
    <row r="14" spans="1:9" ht="21" x14ac:dyDescent="0.25">
      <c r="A14" s="37" t="s">
        <v>47</v>
      </c>
      <c r="B14" s="15" t="s">
        <v>2</v>
      </c>
      <c r="C14" s="15" t="s">
        <v>3</v>
      </c>
      <c r="D14" s="15" t="s">
        <v>48</v>
      </c>
      <c r="F14" s="38"/>
      <c r="G14" s="39" t="s">
        <v>2</v>
      </c>
      <c r="H14" s="40" t="s">
        <v>3</v>
      </c>
      <c r="I14" s="41" t="s">
        <v>48</v>
      </c>
    </row>
    <row r="15" spans="1:9" x14ac:dyDescent="0.25">
      <c r="A15" s="42" t="s">
        <v>49</v>
      </c>
      <c r="B15" s="43">
        <v>202000</v>
      </c>
      <c r="C15" s="43">
        <f>SUM(C16:C17)</f>
        <v>130775.29999999999</v>
      </c>
      <c r="D15" s="44">
        <f>(C15 * 100)/B15</f>
        <v>64.740247524752462</v>
      </c>
      <c r="F15" s="45"/>
      <c r="G15" s="46">
        <v>2424000</v>
      </c>
      <c r="H15" s="43">
        <v>130775.3</v>
      </c>
      <c r="I15" s="47">
        <f>(H15 * 100)/G15</f>
        <v>5.3950206270627064</v>
      </c>
    </row>
    <row r="16" spans="1:9" x14ac:dyDescent="0.25">
      <c r="A16" s="6" t="s">
        <v>50</v>
      </c>
      <c r="B16" s="46">
        <f>B15/2</f>
        <v>101000</v>
      </c>
      <c r="C16" s="48">
        <v>54818.400000000001</v>
      </c>
      <c r="D16" s="49">
        <f>(C16 * 100)/B16</f>
        <v>54.275643564356436</v>
      </c>
      <c r="F16" s="45"/>
      <c r="G16" s="50"/>
      <c r="H16" s="50"/>
      <c r="I16" s="51"/>
    </row>
    <row r="17" spans="1:9" x14ac:dyDescent="0.25">
      <c r="A17" s="6" t="s">
        <v>51</v>
      </c>
      <c r="B17" s="46">
        <f>B15/2</f>
        <v>101000</v>
      </c>
      <c r="C17" s="48">
        <v>75956.899999999994</v>
      </c>
      <c r="D17" s="52">
        <f>(C17 * 100)/B17</f>
        <v>75.204851485148509</v>
      </c>
      <c r="F17" s="45"/>
      <c r="G17" s="50"/>
      <c r="H17" s="50"/>
      <c r="I17" s="51"/>
    </row>
    <row r="33" spans="1:9" ht="21" customHeight="1" x14ac:dyDescent="0.35">
      <c r="A33" s="53">
        <v>42349</v>
      </c>
      <c r="B33" s="15" t="s">
        <v>2</v>
      </c>
      <c r="C33" s="15" t="s">
        <v>3</v>
      </c>
      <c r="D33" s="15" t="s">
        <v>48</v>
      </c>
      <c r="G33" s="1" t="s">
        <v>46</v>
      </c>
      <c r="H33" s="1"/>
      <c r="I33" s="1"/>
    </row>
    <row r="34" spans="1:9" x14ac:dyDescent="0.25">
      <c r="A34" s="42" t="s">
        <v>49</v>
      </c>
      <c r="B34" s="43">
        <v>202000</v>
      </c>
      <c r="C34" s="43">
        <f>SUM(C35:C36)</f>
        <v>32780</v>
      </c>
      <c r="D34" s="44">
        <f>(C34 * 100)/B34</f>
        <v>16.227722772277229</v>
      </c>
      <c r="G34" s="39" t="s">
        <v>2</v>
      </c>
      <c r="H34" s="40" t="s">
        <v>3</v>
      </c>
      <c r="I34" s="41" t="s">
        <v>48</v>
      </c>
    </row>
    <row r="35" spans="1:9" x14ac:dyDescent="0.25">
      <c r="A35" s="6" t="s">
        <v>50</v>
      </c>
      <c r="B35" s="46">
        <f>B34/2</f>
        <v>101000</v>
      </c>
      <c r="C35" s="48">
        <v>10775</v>
      </c>
      <c r="D35" s="49">
        <f>(C35 * 100)/B35</f>
        <v>10.668316831683168</v>
      </c>
      <c r="G35" s="46">
        <v>2424000</v>
      </c>
      <c r="H35" s="43">
        <v>2220588.2000000002</v>
      </c>
      <c r="I35" s="47">
        <f>(H35 * 100)/G35</f>
        <v>91.608424092409251</v>
      </c>
    </row>
    <row r="36" spans="1:9" x14ac:dyDescent="0.25">
      <c r="A36" s="6" t="s">
        <v>51</v>
      </c>
      <c r="B36" s="46">
        <f>B34/2</f>
        <v>101000</v>
      </c>
      <c r="C36" s="48">
        <v>22005</v>
      </c>
      <c r="D36" s="52">
        <f>(C36 * 100)/B36</f>
        <v>21.787128712871286</v>
      </c>
    </row>
    <row r="58" spans="1:9" ht="21" customHeight="1" x14ac:dyDescent="0.35">
      <c r="A58" s="37" t="s">
        <v>52</v>
      </c>
      <c r="B58" s="15" t="s">
        <v>2</v>
      </c>
      <c r="C58" s="15" t="s">
        <v>3</v>
      </c>
      <c r="D58" s="15" t="s">
        <v>48</v>
      </c>
      <c r="G58" s="1" t="s">
        <v>46</v>
      </c>
      <c r="H58" s="1"/>
      <c r="I58" s="1"/>
    </row>
    <row r="59" spans="1:9" x14ac:dyDescent="0.25">
      <c r="A59" s="42" t="s">
        <v>49</v>
      </c>
      <c r="B59" s="43">
        <v>202000</v>
      </c>
      <c r="C59" s="43">
        <f>SUM(C60:C61)</f>
        <v>286031.69999999995</v>
      </c>
      <c r="D59" s="44">
        <f>(C59 * 100)/B59</f>
        <v>141.59985148514849</v>
      </c>
      <c r="G59" s="39" t="s">
        <v>2</v>
      </c>
      <c r="H59" s="40" t="s">
        <v>3</v>
      </c>
      <c r="I59" s="41" t="s">
        <v>48</v>
      </c>
    </row>
    <row r="60" spans="1:9" x14ac:dyDescent="0.25">
      <c r="A60" s="6" t="s">
        <v>50</v>
      </c>
      <c r="B60" s="46">
        <f>B59/2</f>
        <v>101000</v>
      </c>
      <c r="C60" s="48">
        <v>206889.8</v>
      </c>
      <c r="D60" s="49">
        <f>(C60 * 100)/B60</f>
        <v>204.84138613861387</v>
      </c>
      <c r="G60" s="46">
        <v>2424000</v>
      </c>
      <c r="H60" s="43">
        <v>2473839.9</v>
      </c>
      <c r="I60" s="47">
        <f>(H60 * 100)/G60</f>
        <v>102.05610148514852</v>
      </c>
    </row>
    <row r="61" spans="1:9" x14ac:dyDescent="0.25">
      <c r="A61" s="6" t="s">
        <v>51</v>
      </c>
      <c r="B61" s="46">
        <f>B59/2</f>
        <v>101000</v>
      </c>
      <c r="C61" s="48">
        <v>79141.899999999994</v>
      </c>
      <c r="D61" s="52">
        <f>(C61 * 100)/B61</f>
        <v>78.358316831683155</v>
      </c>
    </row>
    <row r="79" spans="1:9" ht="21" customHeight="1" x14ac:dyDescent="0.35">
      <c r="A79" s="53"/>
      <c r="B79" s="15" t="s">
        <v>2</v>
      </c>
      <c r="C79" s="15" t="s">
        <v>3</v>
      </c>
      <c r="D79" s="15" t="s">
        <v>48</v>
      </c>
      <c r="G79" s="1" t="s">
        <v>46</v>
      </c>
      <c r="H79" s="1"/>
      <c r="I79" s="1"/>
    </row>
    <row r="80" spans="1:9" x14ac:dyDescent="0.25">
      <c r="A80" s="42" t="s">
        <v>49</v>
      </c>
      <c r="B80" s="43">
        <v>202000</v>
      </c>
      <c r="C80" s="43">
        <f>SUM(C81:C82)</f>
        <v>32780</v>
      </c>
      <c r="D80" s="44">
        <f>(C80 * 100)/B80</f>
        <v>16.227722772277229</v>
      </c>
      <c r="G80" s="54" t="s">
        <v>2</v>
      </c>
      <c r="H80" s="54" t="s">
        <v>3</v>
      </c>
      <c r="I80" s="54" t="s">
        <v>48</v>
      </c>
    </row>
    <row r="81" spans="1:9" x14ac:dyDescent="0.25">
      <c r="A81" s="6" t="s">
        <v>50</v>
      </c>
      <c r="B81" s="46">
        <f>B80/2</f>
        <v>101000</v>
      </c>
      <c r="C81" s="48">
        <v>10775</v>
      </c>
      <c r="D81" s="49">
        <f>(C81 * 100)/B81</f>
        <v>10.668316831683168</v>
      </c>
      <c r="G81" s="46">
        <v>2424000</v>
      </c>
      <c r="H81" s="46">
        <v>2473839.9</v>
      </c>
      <c r="I81" s="55">
        <f>(H81 * 100)/G81</f>
        <v>102.05610148514852</v>
      </c>
    </row>
    <row r="82" spans="1:9" x14ac:dyDescent="0.25">
      <c r="A82" s="6" t="s">
        <v>51</v>
      </c>
      <c r="B82" s="46">
        <f>B80/2</f>
        <v>101000</v>
      </c>
      <c r="C82" s="48">
        <v>22005</v>
      </c>
      <c r="D82" s="52">
        <f>(C82 * 100)/B82</f>
        <v>21.787128712871286</v>
      </c>
    </row>
  </sheetData>
  <mergeCells count="4">
    <mergeCell ref="G13:I13"/>
    <mergeCell ref="G33:I33"/>
    <mergeCell ref="G58:I58"/>
    <mergeCell ref="G79:I7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H7"/>
  <sheetViews>
    <sheetView tabSelected="1" topLeftCell="I1" zoomScaleNormal="100" workbookViewId="0">
      <selection activeCell="R5" sqref="R5"/>
    </sheetView>
  </sheetViews>
  <sheetFormatPr baseColWidth="10" defaultColWidth="9.140625" defaultRowHeight="15" x14ac:dyDescent="0.25"/>
  <cols>
    <col min="1" max="1" width="3" style="2"/>
    <col min="2" max="2" width="4" style="2"/>
    <col min="3" max="12" width="9.85546875" style="2"/>
    <col min="13" max="14" width="11.5703125" style="2"/>
    <col min="15" max="15" width="9.85546875" style="2" bestFit="1" customWidth="1"/>
    <col min="16" max="42" width="9.85546875" style="2" customWidth="1"/>
    <col min="43" max="1048" width="11.5703125" style="2"/>
    <col min="1049" max="1053" width="11.5703125"/>
  </cols>
  <sheetData>
    <row r="1" spans="3:44" x14ac:dyDescent="0.25">
      <c r="C1"/>
      <c r="D1"/>
      <c r="E1"/>
      <c r="F1" t="s">
        <v>53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3:44" x14ac:dyDescent="0.2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3:44" x14ac:dyDescent="0.25">
      <c r="C3" s="21" t="s">
        <v>1</v>
      </c>
      <c r="D3" s="21" t="s">
        <v>11</v>
      </c>
      <c r="E3" s="21" t="s">
        <v>12</v>
      </c>
      <c r="F3" s="21" t="s">
        <v>13</v>
      </c>
      <c r="G3" s="21" t="s">
        <v>14</v>
      </c>
      <c r="H3" s="21" t="s">
        <v>15</v>
      </c>
      <c r="I3" s="21" t="s">
        <v>16</v>
      </c>
      <c r="J3" s="21" t="s">
        <v>17</v>
      </c>
      <c r="K3" s="21" t="s">
        <v>18</v>
      </c>
      <c r="L3" s="21" t="s">
        <v>19</v>
      </c>
      <c r="M3" s="21" t="s">
        <v>20</v>
      </c>
      <c r="N3" s="21" t="s">
        <v>21</v>
      </c>
      <c r="O3" s="21" t="s">
        <v>22</v>
      </c>
      <c r="P3" s="21" t="s">
        <v>56</v>
      </c>
      <c r="Q3" s="21" t="s">
        <v>57</v>
      </c>
      <c r="R3" s="21" t="s">
        <v>58</v>
      </c>
      <c r="S3" s="21" t="s">
        <v>59</v>
      </c>
      <c r="T3" s="21" t="s">
        <v>60</v>
      </c>
      <c r="U3" s="21" t="s">
        <v>63</v>
      </c>
      <c r="V3" s="21" t="s">
        <v>62</v>
      </c>
      <c r="W3" s="21" t="s">
        <v>64</v>
      </c>
      <c r="X3" s="21" t="s">
        <v>61</v>
      </c>
      <c r="Y3" s="21" t="s">
        <v>65</v>
      </c>
      <c r="Z3" s="21" t="s">
        <v>66</v>
      </c>
      <c r="AA3" s="21" t="s">
        <v>67</v>
      </c>
      <c r="AB3" s="21" t="s">
        <v>68</v>
      </c>
      <c r="AC3" s="21" t="s">
        <v>69</v>
      </c>
      <c r="AD3" s="21" t="s">
        <v>70</v>
      </c>
      <c r="AE3" s="21" t="s">
        <v>71</v>
      </c>
      <c r="AF3" s="21" t="s">
        <v>72</v>
      </c>
      <c r="AG3" s="21" t="s">
        <v>73</v>
      </c>
      <c r="AH3" s="21" t="s">
        <v>74</v>
      </c>
      <c r="AI3" s="21" t="s">
        <v>75</v>
      </c>
      <c r="AJ3" s="21" t="s">
        <v>76</v>
      </c>
      <c r="AK3" s="21" t="s">
        <v>77</v>
      </c>
      <c r="AL3" s="21" t="s">
        <v>78</v>
      </c>
      <c r="AM3" s="21" t="s">
        <v>79</v>
      </c>
      <c r="AN3" s="21"/>
      <c r="AO3" s="21"/>
      <c r="AP3" s="21"/>
      <c r="AQ3" s="21"/>
      <c r="AR3" s="2" t="s">
        <v>54</v>
      </c>
    </row>
    <row r="4" spans="3:44" x14ac:dyDescent="0.25">
      <c r="C4" s="56">
        <v>42388</v>
      </c>
      <c r="D4" s="56">
        <v>42388</v>
      </c>
      <c r="E4" s="56">
        <v>42388</v>
      </c>
      <c r="F4" s="56">
        <v>42388</v>
      </c>
      <c r="G4" s="56">
        <v>42388</v>
      </c>
      <c r="H4" s="56">
        <v>42388</v>
      </c>
      <c r="I4" s="56">
        <v>42388</v>
      </c>
      <c r="J4" s="56">
        <v>42388</v>
      </c>
      <c r="K4" s="56">
        <v>42388</v>
      </c>
      <c r="L4" s="56">
        <v>42388</v>
      </c>
      <c r="M4" s="56">
        <v>42388</v>
      </c>
      <c r="N4" s="56">
        <v>42388</v>
      </c>
      <c r="O4" s="56">
        <v>42388</v>
      </c>
      <c r="P4" s="56">
        <v>42396</v>
      </c>
      <c r="Q4" s="56">
        <v>42396</v>
      </c>
      <c r="R4" s="56">
        <v>42396</v>
      </c>
      <c r="S4" s="56">
        <v>42396</v>
      </c>
      <c r="T4" s="56">
        <v>42396</v>
      </c>
      <c r="U4" s="56">
        <v>42396</v>
      </c>
      <c r="V4" s="56">
        <v>42396</v>
      </c>
      <c r="W4" s="56">
        <v>42396</v>
      </c>
      <c r="X4" s="56">
        <v>42396</v>
      </c>
      <c r="Y4" s="56">
        <v>42396</v>
      </c>
      <c r="Z4" s="56">
        <v>42396</v>
      </c>
      <c r="AA4" s="56">
        <v>42396</v>
      </c>
      <c r="AB4" s="56">
        <v>42396</v>
      </c>
      <c r="AC4" s="56">
        <v>42396</v>
      </c>
      <c r="AD4" s="56">
        <v>42396</v>
      </c>
      <c r="AE4" s="56">
        <v>42396</v>
      </c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>
        <v>42396</v>
      </c>
      <c r="AR4"/>
    </row>
    <row r="5" spans="3:44" x14ac:dyDescent="0.25">
      <c r="C5" s="31">
        <v>1</v>
      </c>
      <c r="D5" s="31">
        <v>1</v>
      </c>
      <c r="E5" s="31">
        <v>0.97</v>
      </c>
      <c r="F5" s="31">
        <v>0.97</v>
      </c>
      <c r="G5" s="31">
        <v>0.97</v>
      </c>
      <c r="H5" s="31">
        <v>1</v>
      </c>
      <c r="I5" s="31">
        <v>1</v>
      </c>
      <c r="J5" s="31">
        <v>1</v>
      </c>
      <c r="K5" s="31">
        <v>1</v>
      </c>
      <c r="L5" s="31">
        <v>1</v>
      </c>
      <c r="M5" s="31" t="s">
        <v>55</v>
      </c>
      <c r="N5" s="31">
        <v>1</v>
      </c>
      <c r="O5" s="31">
        <v>1</v>
      </c>
      <c r="P5" s="31"/>
      <c r="Q5" s="31">
        <v>0.97140000000000004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28">
        <f>AVERAGE(C5:AQ5)</f>
        <v>0.99087692307692299</v>
      </c>
    </row>
    <row r="6" spans="3:44" x14ac:dyDescent="0.25"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</row>
    <row r="7" spans="3:44" x14ac:dyDescent="0.25"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</row>
  </sheetData>
  <conditionalFormatting sqref="C4:L4">
    <cfRule type="cellIs" dxfId="7" priority="5" operator="notEqual">
      <formula>INDIRECT("Dummy_for_Comparison1!"&amp;ADDRESS(ROW(),COLUMN()))</formula>
    </cfRule>
  </conditionalFormatting>
  <conditionalFormatting sqref="M4">
    <cfRule type="cellIs" dxfId="6" priority="6" operator="notEqual">
      <formula>INDIRECT("Dummy_for_Comparison1!"&amp;ADDRESS(ROW(),COLUMN()))</formula>
    </cfRule>
  </conditionalFormatting>
  <conditionalFormatting sqref="N4">
    <cfRule type="cellIs" dxfId="5" priority="7" operator="notEqual">
      <formula>INDIRECT("Dummy_for_Comparison1!"&amp;ADDRESS(ROW(),COLUMN()))</formula>
    </cfRule>
  </conditionalFormatting>
  <conditionalFormatting sqref="O4:AP4">
    <cfRule type="cellIs" dxfId="3" priority="3" operator="notEqual">
      <formula>INDIRECT("Dummy_for_Comparison1!"&amp;ADDRESS(ROW(),COLUMN()))</formula>
    </cfRule>
  </conditionalFormatting>
  <conditionalFormatting sqref="AQ4">
    <cfRule type="cellIs" dxfId="2" priority="2" operator="notEqual">
      <formula>INDIRECT("Dummy_for_Comparison1!"&amp;ADDRESS(ROW(),COLUMN()))</formula>
    </cfRule>
  </conditionalFormatting>
  <conditionalFormatting sqref="AA4:AP4">
    <cfRule type="cellIs" dxfId="1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13</cp:revision>
  <dcterms:created xsi:type="dcterms:W3CDTF">2011-07-18T21:22:38Z</dcterms:created>
  <dcterms:modified xsi:type="dcterms:W3CDTF">2016-01-27T19:57:46Z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