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drawings/drawing3.xml" ContentType="application/vnd.openxmlformats-officedocument.drawing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4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5.xml" ContentType="application/vnd.openxmlformats-officedocument.drawing+xml"/>
  <Override PartName="/xl/charts/chart99.xml" ContentType="application/vnd.openxmlformats-officedocument.drawingml.chart+xml"/>
  <Override PartName="/xl/drawings/drawing6.xml" ContentType="application/vnd.openxmlformats-officedocument.drawing+xml"/>
  <Override PartName="/xl/charts/chart100.xml" ContentType="application/vnd.openxmlformats-officedocument.drawingml.chart+xml"/>
  <Override PartName="/xl/drawings/drawing7.xml" ContentType="application/vnd.openxmlformats-officedocument.drawing+xml"/>
  <Override PartName="/xl/charts/chart10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882" activeTab="1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 iterateDelta="1E-4"/>
</workbook>
</file>

<file path=xl/calcChain.xml><?xml version="1.0" encoding="utf-8"?>
<calcChain xmlns="http://schemas.openxmlformats.org/spreadsheetml/2006/main">
  <c r="D473" i="2" l="1"/>
  <c r="D459" i="2"/>
  <c r="D431" i="2"/>
  <c r="D404" i="2"/>
  <c r="D390" i="2"/>
  <c r="D376" i="2"/>
  <c r="D362" i="2"/>
  <c r="D306" i="2"/>
  <c r="D265" i="2"/>
  <c r="D252" i="2"/>
  <c r="D501" i="2" l="1"/>
  <c r="D499" i="2"/>
  <c r="D498" i="2"/>
  <c r="D497" i="2"/>
  <c r="D496" i="2"/>
  <c r="D487" i="2"/>
  <c r="D485" i="2"/>
  <c r="D483" i="2"/>
  <c r="D482" i="2"/>
  <c r="D472" i="2"/>
  <c r="D471" i="2"/>
  <c r="D469" i="2"/>
  <c r="D468" i="2"/>
  <c r="D457" i="2"/>
  <c r="D455" i="2"/>
  <c r="D454" i="2"/>
  <c r="D445" i="2"/>
  <c r="D444" i="2"/>
  <c r="D443" i="2"/>
  <c r="D440" i="2"/>
  <c r="D429" i="2"/>
  <c r="D426" i="2"/>
  <c r="D417" i="2"/>
  <c r="D416" i="2"/>
  <c r="D415" i="2"/>
  <c r="D413" i="2"/>
  <c r="D412" i="2"/>
  <c r="D402" i="2"/>
  <c r="D401" i="2"/>
  <c r="D400" i="2"/>
  <c r="D399" i="2"/>
  <c r="D388" i="2"/>
  <c r="D385" i="2"/>
  <c r="D374" i="2"/>
  <c r="D372" i="2"/>
  <c r="D371" i="2"/>
  <c r="D360" i="2"/>
  <c r="D358" i="2"/>
  <c r="D357" i="2"/>
  <c r="D349" i="2"/>
  <c r="D348" i="2"/>
  <c r="D347" i="2"/>
  <c r="D345" i="2"/>
  <c r="D344" i="2"/>
  <c r="D334" i="2"/>
  <c r="D333" i="2"/>
  <c r="D332" i="2"/>
  <c r="D330" i="2"/>
  <c r="D329" i="2"/>
  <c r="D319" i="2"/>
  <c r="D317" i="2"/>
  <c r="D315" i="2"/>
  <c r="D314" i="2"/>
  <c r="D304" i="2"/>
  <c r="D302" i="2"/>
  <c r="D301" i="2"/>
  <c r="D293" i="2"/>
  <c r="D291" i="2"/>
  <c r="D289" i="2"/>
  <c r="D288" i="2"/>
  <c r="D279" i="2"/>
  <c r="D278" i="2"/>
  <c r="D277" i="2"/>
  <c r="D275" i="2"/>
  <c r="D274" i="2"/>
  <c r="D264" i="2"/>
  <c r="D263" i="2"/>
  <c r="D261" i="2"/>
  <c r="D260" i="2"/>
  <c r="D250" i="2"/>
  <c r="D249" i="2"/>
  <c r="D248" i="2"/>
  <c r="D247" i="2"/>
  <c r="D237" i="2"/>
  <c r="D235" i="2"/>
  <c r="D234" i="2"/>
  <c r="D233" i="2"/>
  <c r="D232" i="2"/>
  <c r="D224" i="2" l="1"/>
  <c r="D223" i="2"/>
  <c r="E223" i="2" s="1"/>
  <c r="D222" i="2"/>
  <c r="E222" i="2" s="1"/>
  <c r="D220" i="2"/>
  <c r="D219" i="2"/>
  <c r="D211" i="2"/>
  <c r="E211" i="2" s="1"/>
  <c r="D209" i="2"/>
  <c r="D207" i="2"/>
  <c r="D206" i="2"/>
  <c r="D183" i="2"/>
  <c r="E183" i="2" s="1"/>
  <c r="D198" i="2"/>
  <c r="D196" i="2"/>
  <c r="D195" i="2"/>
  <c r="D194" i="2"/>
  <c r="E194" i="2"/>
  <c r="D193" i="2"/>
  <c r="E193" i="2" s="1"/>
  <c r="D181" i="2"/>
  <c r="D179" i="2"/>
  <c r="E179" i="2" s="1"/>
  <c r="D178" i="2"/>
  <c r="D658" i="2"/>
  <c r="D656" i="2"/>
  <c r="E656" i="2" s="1"/>
  <c r="D654" i="2"/>
  <c r="E654" i="2" s="1"/>
  <c r="D653" i="2"/>
  <c r="E653" i="2" s="1"/>
  <c r="B23" i="7"/>
  <c r="D687" i="2"/>
  <c r="E687" i="2" s="1"/>
  <c r="E686" i="2"/>
  <c r="D685" i="2"/>
  <c r="E685" i="2" s="1"/>
  <c r="D684" i="2"/>
  <c r="E684" i="2" s="1"/>
  <c r="D683" i="2"/>
  <c r="E683" i="2" s="1"/>
  <c r="D682" i="2"/>
  <c r="E682" i="2" s="1"/>
  <c r="D672" i="2"/>
  <c r="E672" i="2" s="1"/>
  <c r="E671" i="2"/>
  <c r="E670" i="2"/>
  <c r="D670" i="2"/>
  <c r="D669" i="2"/>
  <c r="E669" i="2" s="1"/>
  <c r="D668" i="2"/>
  <c r="E668" i="2" s="1"/>
  <c r="D667" i="2"/>
  <c r="E667" i="2" s="1"/>
  <c r="E658" i="2"/>
  <c r="E657" i="2"/>
  <c r="E655" i="2"/>
  <c r="D645" i="2"/>
  <c r="E645" i="2" s="1"/>
  <c r="E644" i="2"/>
  <c r="E643" i="2"/>
  <c r="D643" i="2"/>
  <c r="D642" i="2"/>
  <c r="E642" i="2" s="1"/>
  <c r="E641" i="2"/>
  <c r="D641" i="2"/>
  <c r="D640" i="2"/>
  <c r="E640" i="2" s="1"/>
  <c r="D631" i="2"/>
  <c r="E631" i="2" s="1"/>
  <c r="E630" i="2"/>
  <c r="E629" i="2"/>
  <c r="D629" i="2"/>
  <c r="D628" i="2"/>
  <c r="E628" i="2" s="1"/>
  <c r="E627" i="2"/>
  <c r="D627" i="2"/>
  <c r="D626" i="2"/>
  <c r="E626" i="2" s="1"/>
  <c r="D618" i="2"/>
  <c r="E618" i="2" s="1"/>
  <c r="E617" i="2"/>
  <c r="E616" i="2"/>
  <c r="D616" i="2"/>
  <c r="D615" i="2"/>
  <c r="E615" i="2" s="1"/>
  <c r="E614" i="2"/>
  <c r="D614" i="2"/>
  <c r="D613" i="2"/>
  <c r="E613" i="2" s="1"/>
  <c r="D603" i="2"/>
  <c r="E603" i="2" s="1"/>
  <c r="E602" i="2"/>
  <c r="E601" i="2"/>
  <c r="D601" i="2"/>
  <c r="D600" i="2"/>
  <c r="E600" i="2" s="1"/>
  <c r="E599" i="2"/>
  <c r="D599" i="2"/>
  <c r="D598" i="2"/>
  <c r="E598" i="2" s="1"/>
  <c r="D588" i="2"/>
  <c r="E588" i="2" s="1"/>
  <c r="E587" i="2"/>
  <c r="E586" i="2"/>
  <c r="D586" i="2"/>
  <c r="D585" i="2"/>
  <c r="E585" i="2" s="1"/>
  <c r="E584" i="2"/>
  <c r="D584" i="2"/>
  <c r="D583" i="2"/>
  <c r="E583" i="2" s="1"/>
  <c r="D573" i="2"/>
  <c r="E573" i="2" s="1"/>
  <c r="E572" i="2"/>
  <c r="E571" i="2"/>
  <c r="D571" i="2"/>
  <c r="D570" i="2"/>
  <c r="E570" i="2" s="1"/>
  <c r="E569" i="2"/>
  <c r="D569" i="2"/>
  <c r="D568" i="2"/>
  <c r="E568" i="2" s="1"/>
  <c r="D559" i="2"/>
  <c r="E559" i="2" s="1"/>
  <c r="E558" i="2"/>
  <c r="E557" i="2"/>
  <c r="D557" i="2"/>
  <c r="D556" i="2"/>
  <c r="E556" i="2" s="1"/>
  <c r="E555" i="2"/>
  <c r="D555" i="2"/>
  <c r="D554" i="2"/>
  <c r="E554" i="2" s="1"/>
  <c r="D545" i="2"/>
  <c r="E545" i="2" s="1"/>
  <c r="E544" i="2"/>
  <c r="E543" i="2"/>
  <c r="D543" i="2"/>
  <c r="D542" i="2"/>
  <c r="E542" i="2" s="1"/>
  <c r="E541" i="2"/>
  <c r="D541" i="2"/>
  <c r="D540" i="2"/>
  <c r="E540" i="2" s="1"/>
  <c r="D531" i="2"/>
  <c r="E531" i="2" s="1"/>
  <c r="E530" i="2"/>
  <c r="E529" i="2"/>
  <c r="D529" i="2"/>
  <c r="D528" i="2"/>
  <c r="E528" i="2" s="1"/>
  <c r="E527" i="2"/>
  <c r="D527" i="2"/>
  <c r="D526" i="2"/>
  <c r="E526" i="2" s="1"/>
  <c r="D516" i="2"/>
  <c r="E516" i="2" s="1"/>
  <c r="E515" i="2"/>
  <c r="E514" i="2"/>
  <c r="D514" i="2"/>
  <c r="D513" i="2"/>
  <c r="E513" i="2" s="1"/>
  <c r="E512" i="2"/>
  <c r="D512" i="2"/>
  <c r="D511" i="2"/>
  <c r="E511" i="2" s="1"/>
  <c r="E501" i="2"/>
  <c r="E500" i="2"/>
  <c r="E499" i="2"/>
  <c r="E498" i="2"/>
  <c r="E497" i="2"/>
  <c r="E496" i="2"/>
  <c r="E487" i="2"/>
  <c r="E486" i="2"/>
  <c r="E485" i="2"/>
  <c r="E484" i="2"/>
  <c r="E483" i="2"/>
  <c r="E482" i="2"/>
  <c r="E473" i="2"/>
  <c r="E472" i="2"/>
  <c r="E471" i="2"/>
  <c r="E470" i="2"/>
  <c r="E469" i="2"/>
  <c r="E468" i="2"/>
  <c r="E459" i="2"/>
  <c r="E458" i="2"/>
  <c r="E457" i="2"/>
  <c r="E456" i="2"/>
  <c r="E455" i="2"/>
  <c r="E454" i="2"/>
  <c r="E445" i="2"/>
  <c r="E444" i="2"/>
  <c r="E443" i="2"/>
  <c r="E442" i="2"/>
  <c r="D441" i="2"/>
  <c r="E441" i="2" s="1"/>
  <c r="E440" i="2"/>
  <c r="E431" i="2"/>
  <c r="E430" i="2"/>
  <c r="E429" i="2"/>
  <c r="E428" i="2"/>
  <c r="E427" i="2"/>
  <c r="D427" i="2"/>
  <c r="E426" i="2"/>
  <c r="E417" i="2"/>
  <c r="E416" i="2"/>
  <c r="E415" i="2"/>
  <c r="E414" i="2"/>
  <c r="E413" i="2"/>
  <c r="E412" i="2"/>
  <c r="E404" i="2"/>
  <c r="E403" i="2"/>
  <c r="E402" i="2"/>
  <c r="E401" i="2"/>
  <c r="E400" i="2"/>
  <c r="E399" i="2"/>
  <c r="E390" i="2"/>
  <c r="E389" i="2"/>
  <c r="E388" i="2"/>
  <c r="E387" i="2"/>
  <c r="E386" i="2"/>
  <c r="D386" i="2"/>
  <c r="E385" i="2"/>
  <c r="E376" i="2"/>
  <c r="E375" i="2"/>
  <c r="E374" i="2"/>
  <c r="E373" i="2"/>
  <c r="E372" i="2"/>
  <c r="E371" i="2"/>
  <c r="E362" i="2"/>
  <c r="E361" i="2"/>
  <c r="E360" i="2"/>
  <c r="E359" i="2"/>
  <c r="E358" i="2"/>
  <c r="E357" i="2"/>
  <c r="E349" i="2"/>
  <c r="E348" i="2"/>
  <c r="E347" i="2"/>
  <c r="E346" i="2"/>
  <c r="E345" i="2"/>
  <c r="E344" i="2"/>
  <c r="E334" i="2"/>
  <c r="E333" i="2"/>
  <c r="E332" i="2"/>
  <c r="E331" i="2"/>
  <c r="E330" i="2"/>
  <c r="E329" i="2"/>
  <c r="E319" i="2"/>
  <c r="E318" i="2"/>
  <c r="E317" i="2"/>
  <c r="E316" i="2"/>
  <c r="E315" i="2"/>
  <c r="E314" i="2"/>
  <c r="E306" i="2"/>
  <c r="E305" i="2"/>
  <c r="E304" i="2"/>
  <c r="E303" i="2"/>
  <c r="E302" i="2"/>
  <c r="E301" i="2"/>
  <c r="E293" i="2"/>
  <c r="E292" i="2"/>
  <c r="E291" i="2"/>
  <c r="E290" i="2"/>
  <c r="E289" i="2"/>
  <c r="E288" i="2"/>
  <c r="E279" i="2"/>
  <c r="E278" i="2"/>
  <c r="E277" i="2"/>
  <c r="E276" i="2"/>
  <c r="E275" i="2"/>
  <c r="E274" i="2"/>
  <c r="E265" i="2"/>
  <c r="E264" i="2"/>
  <c r="E263" i="2"/>
  <c r="E262" i="2"/>
  <c r="E261" i="2"/>
  <c r="E260" i="2"/>
  <c r="E252" i="2"/>
  <c r="E251" i="2"/>
  <c r="E250" i="2"/>
  <c r="E249" i="2"/>
  <c r="E248" i="2"/>
  <c r="E247" i="2"/>
  <c r="E237" i="2"/>
  <c r="E236" i="2"/>
  <c r="E235" i="2"/>
  <c r="E234" i="2"/>
  <c r="E233" i="2"/>
  <c r="E232" i="2"/>
  <c r="E224" i="2"/>
  <c r="E221" i="2"/>
  <c r="E220" i="2"/>
  <c r="E219" i="2"/>
  <c r="E210" i="2"/>
  <c r="E209" i="2"/>
  <c r="E208" i="2"/>
  <c r="E207" i="2"/>
  <c r="E206" i="2"/>
  <c r="E198" i="2"/>
  <c r="E197" i="2"/>
  <c r="E196" i="2"/>
  <c r="E195" i="2"/>
  <c r="E182" i="2"/>
  <c r="E181" i="2"/>
  <c r="E180" i="2"/>
  <c r="E178" i="2"/>
  <c r="E677" i="1"/>
  <c r="E676" i="1"/>
  <c r="E675" i="1"/>
  <c r="E674" i="1"/>
  <c r="E673" i="1"/>
  <c r="E672" i="1"/>
  <c r="E663" i="1"/>
  <c r="E662" i="1"/>
  <c r="E661" i="1"/>
  <c r="E660" i="1"/>
  <c r="E659" i="1"/>
  <c r="E658" i="1"/>
  <c r="E648" i="1"/>
  <c r="E647" i="1"/>
  <c r="E646" i="1"/>
  <c r="E645" i="1"/>
  <c r="E644" i="1"/>
  <c r="E643" i="1"/>
  <c r="E636" i="1"/>
  <c r="E635" i="1"/>
  <c r="E634" i="1"/>
  <c r="E633" i="1"/>
  <c r="E632" i="1"/>
  <c r="E631" i="1"/>
  <c r="E621" i="1"/>
  <c r="E620" i="1"/>
  <c r="E619" i="1"/>
  <c r="E618" i="1"/>
  <c r="E617" i="1"/>
  <c r="E616" i="1"/>
  <c r="E608" i="1"/>
  <c r="E607" i="1"/>
  <c r="E606" i="1"/>
  <c r="E605" i="1"/>
  <c r="E604" i="1"/>
  <c r="E603" i="1"/>
  <c r="E594" i="1"/>
  <c r="E593" i="1"/>
  <c r="E592" i="1"/>
  <c r="E591" i="1"/>
  <c r="E590" i="1"/>
  <c r="E589" i="1"/>
  <c r="E580" i="1"/>
  <c r="E579" i="1"/>
  <c r="E578" i="1"/>
  <c r="E577" i="1"/>
  <c r="E576" i="1"/>
  <c r="E575" i="1"/>
  <c r="E566" i="1"/>
  <c r="E565" i="1"/>
  <c r="E564" i="1"/>
  <c r="E563" i="1"/>
  <c r="E562" i="1"/>
  <c r="E561" i="1"/>
  <c r="E552" i="1"/>
  <c r="E551" i="1"/>
  <c r="E550" i="1"/>
  <c r="E549" i="1"/>
  <c r="E548" i="1"/>
  <c r="E547" i="1"/>
  <c r="E537" i="1"/>
  <c r="E536" i="1"/>
  <c r="E535" i="1"/>
  <c r="E534" i="1"/>
  <c r="E533" i="1"/>
  <c r="E532" i="1"/>
  <c r="E523" i="1"/>
  <c r="E522" i="1"/>
  <c r="E521" i="1"/>
  <c r="E520" i="1"/>
  <c r="E519" i="1"/>
  <c r="E518" i="1"/>
  <c r="E509" i="1"/>
  <c r="E508" i="1"/>
  <c r="E507" i="1"/>
  <c r="E506" i="1"/>
  <c r="E505" i="1"/>
  <c r="E504" i="1"/>
  <c r="E495" i="1"/>
  <c r="E494" i="1"/>
  <c r="E493" i="1"/>
  <c r="E492" i="1"/>
  <c r="E491" i="1"/>
  <c r="E490" i="1"/>
  <c r="E481" i="1"/>
  <c r="E480" i="1"/>
  <c r="E479" i="1"/>
  <c r="E478" i="1"/>
  <c r="E477" i="1"/>
  <c r="E476" i="1"/>
  <c r="E467" i="1"/>
  <c r="E466" i="1"/>
  <c r="E465" i="1"/>
  <c r="E464" i="1"/>
  <c r="E463" i="1"/>
  <c r="E462" i="1"/>
  <c r="E453" i="1"/>
  <c r="E452" i="1"/>
  <c r="E451" i="1"/>
  <c r="E450" i="1"/>
  <c r="E449" i="1"/>
  <c r="E448" i="1"/>
  <c r="E440" i="1"/>
  <c r="E439" i="1"/>
  <c r="E438" i="1"/>
  <c r="E437" i="1"/>
  <c r="E436" i="1"/>
  <c r="E435" i="1"/>
  <c r="E425" i="1"/>
  <c r="E424" i="1"/>
  <c r="E423" i="1"/>
  <c r="E422" i="1"/>
  <c r="E421" i="1"/>
  <c r="E420" i="1"/>
  <c r="E412" i="1"/>
  <c r="E411" i="1"/>
  <c r="E410" i="1"/>
  <c r="E409" i="1"/>
  <c r="E408" i="1"/>
  <c r="E407" i="1"/>
  <c r="E398" i="1"/>
  <c r="E397" i="1"/>
  <c r="E396" i="1"/>
  <c r="E395" i="1"/>
  <c r="E394" i="1"/>
  <c r="E393" i="1"/>
  <c r="E384" i="1"/>
  <c r="E383" i="1"/>
  <c r="E382" i="1"/>
  <c r="E381" i="1"/>
  <c r="E380" i="1"/>
  <c r="E379" i="1"/>
  <c r="E370" i="1"/>
  <c r="E369" i="1"/>
  <c r="E368" i="1"/>
  <c r="E367" i="1"/>
  <c r="E366" i="1"/>
  <c r="E365" i="1"/>
  <c r="E357" i="1"/>
  <c r="E356" i="1"/>
  <c r="E355" i="1"/>
  <c r="E354" i="1"/>
  <c r="E353" i="1"/>
  <c r="E352" i="1"/>
  <c r="E343" i="1"/>
  <c r="E342" i="1"/>
  <c r="E341" i="1"/>
  <c r="E340" i="1"/>
  <c r="E339" i="1"/>
  <c r="E338" i="1"/>
  <c r="E330" i="1"/>
  <c r="E329" i="1"/>
  <c r="E328" i="1"/>
  <c r="E327" i="1"/>
  <c r="E326" i="1"/>
  <c r="E325" i="1"/>
  <c r="E315" i="1"/>
  <c r="E314" i="1"/>
  <c r="E313" i="1"/>
  <c r="E312" i="1"/>
  <c r="E311" i="1"/>
  <c r="E310" i="1"/>
  <c r="E301" i="1"/>
  <c r="E300" i="1"/>
  <c r="E299" i="1"/>
  <c r="E298" i="1"/>
  <c r="E297" i="1"/>
  <c r="E296" i="1"/>
  <c r="E287" i="1"/>
  <c r="E286" i="1"/>
  <c r="E285" i="1"/>
  <c r="E284" i="1"/>
  <c r="E283" i="1"/>
  <c r="E282" i="1"/>
  <c r="E272" i="1"/>
  <c r="E271" i="1"/>
  <c r="E270" i="1"/>
  <c r="E269" i="1"/>
  <c r="E268" i="1"/>
  <c r="E267" i="1"/>
  <c r="E258" i="1"/>
  <c r="E257" i="1"/>
  <c r="E256" i="1"/>
  <c r="E255" i="1"/>
  <c r="E254" i="1"/>
  <c r="E253" i="1"/>
  <c r="E243" i="1"/>
  <c r="E242" i="1"/>
  <c r="E241" i="1"/>
  <c r="E240" i="1"/>
  <c r="E239" i="1"/>
  <c r="E238" i="1"/>
  <c r="E227" i="1"/>
  <c r="E226" i="1"/>
  <c r="E225" i="1"/>
  <c r="E224" i="1"/>
  <c r="E223" i="1"/>
  <c r="E222" i="1"/>
  <c r="E212" i="1"/>
  <c r="E211" i="1"/>
  <c r="E210" i="1"/>
  <c r="E209" i="1"/>
  <c r="E208" i="1"/>
  <c r="E207" i="1"/>
  <c r="E198" i="1"/>
  <c r="E197" i="1"/>
  <c r="E196" i="1"/>
  <c r="E195" i="1"/>
  <c r="E194" i="1"/>
  <c r="E193" i="1"/>
  <c r="E182" i="1"/>
  <c r="E181" i="1"/>
  <c r="E180" i="1"/>
  <c r="E179" i="1"/>
  <c r="E178" i="1"/>
  <c r="E177" i="1"/>
  <c r="E168" i="1"/>
  <c r="E167" i="1"/>
  <c r="E166" i="1"/>
  <c r="E165" i="1"/>
  <c r="E164" i="1"/>
  <c r="E163" i="1"/>
  <c r="AR5" i="8" l="1"/>
  <c r="B24" i="7"/>
  <c r="D24" i="7" s="1"/>
  <c r="I23" i="7"/>
  <c r="C22" i="7"/>
  <c r="D22" i="7" s="1"/>
  <c r="B4" i="7"/>
  <c r="D4" i="7" s="1"/>
  <c r="B3" i="7"/>
  <c r="D3" i="7" s="1"/>
  <c r="I3" i="7"/>
  <c r="C2" i="7"/>
  <c r="D2" i="7" s="1"/>
  <c r="AO6" i="6"/>
  <c r="AO5" i="6"/>
  <c r="AO4" i="6"/>
  <c r="AO6" i="5"/>
  <c r="AO5" i="5"/>
  <c r="AO4" i="5"/>
  <c r="AP14" i="4"/>
  <c r="AP13" i="4"/>
  <c r="AP12" i="4"/>
  <c r="AP8" i="4"/>
  <c r="AP7" i="4"/>
  <c r="AP6" i="4"/>
  <c r="AP5" i="4"/>
  <c r="AP4" i="4"/>
  <c r="AO15" i="3"/>
  <c r="AO14" i="3"/>
  <c r="AO13" i="3"/>
  <c r="AO9" i="3"/>
  <c r="AO8" i="3"/>
  <c r="AO7" i="3"/>
  <c r="AO6" i="3"/>
  <c r="AO5" i="3"/>
  <c r="AO4" i="3"/>
  <c r="D170" i="2"/>
  <c r="E170" i="2" s="1"/>
  <c r="E169" i="2"/>
  <c r="D168" i="2"/>
  <c r="E168" i="2" s="1"/>
  <c r="D167" i="2"/>
  <c r="E167" i="2" s="1"/>
  <c r="D166" i="2"/>
  <c r="E166" i="2" s="1"/>
  <c r="D165" i="2"/>
  <c r="E165" i="2" s="1"/>
  <c r="D157" i="2"/>
  <c r="E157" i="2" s="1"/>
  <c r="E156" i="2"/>
  <c r="D155" i="2"/>
  <c r="E155" i="2" s="1"/>
  <c r="E154" i="2"/>
  <c r="E153" i="2"/>
  <c r="D153" i="2"/>
  <c r="E152" i="2"/>
  <c r="D152" i="2"/>
  <c r="E145" i="2"/>
  <c r="D145" i="2"/>
  <c r="E144" i="2"/>
  <c r="D143" i="2"/>
  <c r="E143" i="2" s="1"/>
  <c r="D142" i="2"/>
  <c r="E142" i="2" s="1"/>
  <c r="D141" i="2"/>
  <c r="E141" i="2" s="1"/>
  <c r="D140" i="2"/>
  <c r="E140" i="2" s="1"/>
  <c r="D132" i="2"/>
  <c r="E132" i="2" s="1"/>
  <c r="E131" i="2"/>
  <c r="D130" i="2"/>
  <c r="E130" i="2" s="1"/>
  <c r="E129" i="2"/>
  <c r="D128" i="2"/>
  <c r="E128" i="2" s="1"/>
  <c r="D127" i="2"/>
  <c r="E127" i="2" s="1"/>
  <c r="D119" i="2"/>
  <c r="E119" i="2" s="1"/>
  <c r="E118" i="2"/>
  <c r="E117" i="2"/>
  <c r="D117" i="2"/>
  <c r="E116" i="2"/>
  <c r="D116" i="2"/>
  <c r="E115" i="2"/>
  <c r="D115" i="2"/>
  <c r="E114" i="2"/>
  <c r="D114" i="2"/>
  <c r="E102" i="2"/>
  <c r="D102" i="2"/>
  <c r="E101" i="2"/>
  <c r="D100" i="2"/>
  <c r="E100" i="2" s="1"/>
  <c r="E99" i="2"/>
  <c r="D98" i="2"/>
  <c r="E98" i="2" s="1"/>
  <c r="D97" i="2"/>
  <c r="E97" i="2" s="1"/>
  <c r="D89" i="2"/>
  <c r="E89" i="2" s="1"/>
  <c r="E88" i="2"/>
  <c r="D87" i="2"/>
  <c r="E87" i="2" s="1"/>
  <c r="D86" i="2"/>
  <c r="E86" i="2" s="1"/>
  <c r="D85" i="2"/>
  <c r="E85" i="2" s="1"/>
  <c r="D84" i="2"/>
  <c r="E84" i="2" s="1"/>
  <c r="D76" i="2"/>
  <c r="E76" i="2" s="1"/>
  <c r="E75" i="2"/>
  <c r="E74" i="2"/>
  <c r="D74" i="2"/>
  <c r="E73" i="2"/>
  <c r="D73" i="2"/>
  <c r="E72" i="2"/>
  <c r="D72" i="2"/>
  <c r="E71" i="2"/>
  <c r="D71" i="2"/>
  <c r="E62" i="2"/>
  <c r="D62" i="2"/>
  <c r="E61" i="2"/>
  <c r="D60" i="2"/>
  <c r="E60" i="2" s="1"/>
  <c r="E59" i="2"/>
  <c r="D58" i="2"/>
  <c r="E58" i="2" s="1"/>
  <c r="D57" i="2"/>
  <c r="E57" i="2" s="1"/>
  <c r="D48" i="2"/>
  <c r="E48" i="2" s="1"/>
  <c r="E47" i="2"/>
  <c r="D46" i="2"/>
  <c r="E46" i="2" s="1"/>
  <c r="E45" i="2"/>
  <c r="E44" i="2"/>
  <c r="D44" i="2"/>
  <c r="E43" i="2"/>
  <c r="D43" i="2"/>
  <c r="E35" i="2"/>
  <c r="D35" i="2"/>
  <c r="E34" i="2"/>
  <c r="D33" i="2"/>
  <c r="E33" i="2" s="1"/>
  <c r="E32" i="2"/>
  <c r="D31" i="2"/>
  <c r="E31" i="2" s="1"/>
  <c r="D30" i="2"/>
  <c r="E30" i="2" s="1"/>
  <c r="D23" i="2"/>
  <c r="E23" i="2" s="1"/>
  <c r="E22" i="2"/>
  <c r="D21" i="2"/>
  <c r="E21" i="2" s="1"/>
  <c r="E20" i="2"/>
  <c r="E19" i="2"/>
  <c r="D19" i="2"/>
  <c r="E18" i="2"/>
  <c r="D18" i="2"/>
  <c r="E10" i="2"/>
  <c r="D10" i="2"/>
  <c r="E9" i="2"/>
  <c r="D8" i="2"/>
  <c r="E8" i="2" s="1"/>
  <c r="E7" i="2"/>
  <c r="D6" i="2"/>
  <c r="E6" i="2" s="1"/>
  <c r="D5" i="2"/>
  <c r="E5" i="2" s="1"/>
  <c r="E153" i="1"/>
  <c r="E152" i="1"/>
  <c r="E151" i="1"/>
  <c r="E150" i="1"/>
  <c r="E149" i="1"/>
  <c r="E148" i="1"/>
  <c r="E141" i="1"/>
  <c r="E140" i="1"/>
  <c r="E139" i="1"/>
  <c r="E138" i="1"/>
  <c r="E137" i="1"/>
  <c r="E136" i="1"/>
  <c r="E129" i="1"/>
  <c r="E128" i="1"/>
  <c r="E127" i="1"/>
  <c r="E126" i="1"/>
  <c r="E125" i="1"/>
  <c r="E124" i="1"/>
  <c r="E114" i="1"/>
  <c r="E113" i="1"/>
  <c r="E112" i="1"/>
  <c r="E111" i="1"/>
  <c r="E110" i="1"/>
  <c r="E109" i="1"/>
  <c r="E103" i="1"/>
  <c r="E102" i="1"/>
  <c r="E101" i="1"/>
  <c r="E100" i="1"/>
  <c r="E99" i="1"/>
  <c r="E98" i="1"/>
  <c r="E91" i="1"/>
  <c r="E90" i="1"/>
  <c r="E89" i="1"/>
  <c r="E88" i="1"/>
  <c r="E87" i="1"/>
  <c r="E86" i="1"/>
  <c r="E79" i="1"/>
  <c r="E78" i="1"/>
  <c r="E77" i="1"/>
  <c r="E76" i="1"/>
  <c r="E75" i="1"/>
  <c r="E74" i="1"/>
  <c r="E67" i="1"/>
  <c r="E66" i="1"/>
  <c r="E65" i="1"/>
  <c r="E64" i="1"/>
  <c r="E63" i="1"/>
  <c r="E62" i="1"/>
  <c r="E56" i="1"/>
  <c r="E55" i="1"/>
  <c r="E54" i="1"/>
  <c r="E53" i="1"/>
  <c r="E52" i="1"/>
  <c r="E51" i="1"/>
  <c r="E45" i="1"/>
  <c r="E44" i="1"/>
  <c r="E43" i="1"/>
  <c r="E42" i="1"/>
  <c r="E41" i="1"/>
  <c r="E40" i="1"/>
  <c r="E33" i="1"/>
  <c r="E32" i="1"/>
  <c r="E31" i="1"/>
  <c r="E30" i="1"/>
  <c r="E29" i="1"/>
  <c r="E28" i="1"/>
  <c r="E22" i="1"/>
  <c r="E21" i="1"/>
  <c r="E20" i="1"/>
  <c r="E19" i="1"/>
  <c r="E18" i="1"/>
  <c r="E17" i="1"/>
  <c r="E11" i="1"/>
  <c r="E10" i="1"/>
  <c r="E9" i="1"/>
  <c r="E8" i="1"/>
  <c r="E7" i="1"/>
  <c r="E6" i="1"/>
  <c r="D23" i="7" l="1"/>
  <c r="B25" i="7"/>
  <c r="D25" i="7" s="1"/>
</calcChain>
</file>

<file path=xl/sharedStrings.xml><?xml version="1.0" encoding="utf-8"?>
<sst xmlns="http://schemas.openxmlformats.org/spreadsheetml/2006/main" count="1322" uniqueCount="93">
  <si>
    <t>Versión 1.0</t>
  </si>
  <si>
    <t>P1351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</si>
  <si>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</si>
  <si>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</si>
  <si>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</si>
  <si>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</si>
  <si>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</si>
  <si>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</si>
  <si>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</si>
  <si>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</si>
  <si>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</si>
  <si>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P1378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</si>
  <si>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</si>
  <si>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</si>
  <si>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</si>
  <si>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</si>
  <si>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</si>
  <si>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</si>
  <si>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</si>
  <si>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</si>
  <si>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</si>
  <si>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</si>
  <si>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</si>
  <si>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Nivel de Apego</t>
  </si>
  <si>
    <t>Procesos</t>
  </si>
  <si>
    <t>Prospectación</t>
  </si>
  <si>
    <t>Garantía</t>
  </si>
  <si>
    <t>Organizacional</t>
  </si>
  <si>
    <t>Metricas</t>
  </si>
  <si>
    <t>Calidad</t>
  </si>
  <si>
    <t>Cambios</t>
  </si>
  <si>
    <t>Reporte monitoreo</t>
  </si>
  <si>
    <t>Plan de Proyecto</t>
  </si>
  <si>
    <t>Estimación</t>
  </si>
  <si>
    <t>Tickets de Servicio</t>
  </si>
  <si>
    <t>Carta de aceptación</t>
  </si>
  <si>
    <t>Reporte de Monitoreo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</si>
  <si>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</si>
  <si>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</si>
  <si>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</si>
  <si>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</si>
  <si>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</si>
  <si>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</si>
  <si>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</si>
  <si>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</si>
  <si>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</si>
  <si>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</si>
  <si>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</si>
  <si>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</si>
  <si>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Marisol</t>
  </si>
  <si>
    <t>Indice de Satisfacción</t>
  </si>
  <si>
    <t>Resultados</t>
  </si>
  <si>
    <t>N/A</t>
  </si>
  <si>
    <t>P1406</t>
  </si>
  <si>
    <t>P1401</t>
  </si>
  <si>
    <t>P1411</t>
  </si>
  <si>
    <t>P1410</t>
  </si>
  <si>
    <t>P1421</t>
  </si>
  <si>
    <t>P1429</t>
  </si>
  <si>
    <t>P1424</t>
  </si>
  <si>
    <t>P1419</t>
  </si>
  <si>
    <t>P1422</t>
  </si>
  <si>
    <t>P1415</t>
  </si>
  <si>
    <t>P1416</t>
  </si>
  <si>
    <t>P1417</t>
  </si>
  <si>
    <t>P1420</t>
  </si>
  <si>
    <t>P1426</t>
  </si>
  <si>
    <t>P1437</t>
  </si>
  <si>
    <t>P1448</t>
  </si>
  <si>
    <t>P1441</t>
  </si>
  <si>
    <t>P1445</t>
  </si>
  <si>
    <t>P1447</t>
  </si>
  <si>
    <t>P1452</t>
  </si>
  <si>
    <t>P1456</t>
  </si>
  <si>
    <t>P1457</t>
  </si>
  <si>
    <t>P1430</t>
  </si>
  <si>
    <t>P1431</t>
  </si>
  <si>
    <t>P1423</t>
  </si>
  <si>
    <t>P1432</t>
  </si>
  <si>
    <t>P1433</t>
  </si>
  <si>
    <t>P1438</t>
  </si>
  <si>
    <t>P1434</t>
  </si>
  <si>
    <t>P1435</t>
  </si>
  <si>
    <t>P1414</t>
  </si>
  <si>
    <t>P1439</t>
  </si>
  <si>
    <t>P1444</t>
  </si>
  <si>
    <t>P1454</t>
  </si>
  <si>
    <t>P1436</t>
  </si>
  <si>
    <t>P1458</t>
  </si>
  <si>
    <t>P1463</t>
  </si>
  <si>
    <t>Alma</t>
  </si>
  <si>
    <t>Adriana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</si>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</sst>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\$* #,##0.00_-;&quot;-$&quot;* #,##0.00_-;_-\$* \-??_-;_-@_-"/>
    <numFmt numFmtId="165" formatCode="dd/mm/yy"/>
    <numFmt numFmtId="166" formatCode="\$#,##0.00;[Red]&quot;-$&quot;#,##0.00"/>
  </numFmts>
  <fonts count="6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3333"/>
        <bgColor rgb="FFC0504D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auto="1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 style="thin">
        <color auto="1"/>
      </right>
      <top style="thin">
        <color rgb="FF604A7B"/>
      </top>
      <bottom style="thin">
        <color rgb="FF604A7B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56">
    <xf numFmtId="0" fontId="0" fillId="0" borderId="0" xfId="0"/>
    <xf numFmtId="0" fontId="0" fillId="2" borderId="0" xfId="0" applyFill="1"/>
    <xf numFmtId="0" fontId="0" fillId="3" borderId="0" xfId="0" applyFont="1" applyFill="1"/>
    <xf numFmtId="14" fontId="1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9" fontId="2" fillId="6" borderId="1" xfId="2" applyFont="1" applyFill="1" applyBorder="1" applyAlignment="1" applyProtection="1"/>
    <xf numFmtId="0" fontId="0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9" fontId="2" fillId="6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0" xfId="0" applyBorder="1"/>
    <xf numFmtId="164" fontId="0" fillId="5" borderId="6" xfId="1" applyFont="1" applyFill="1" applyBorder="1" applyAlignment="1" applyProtection="1">
      <alignment horizontal="center"/>
    </xf>
    <xf numFmtId="9" fontId="0" fillId="6" borderId="7" xfId="2" applyFont="1" applyFill="1" applyBorder="1" applyAlignment="1" applyProtection="1">
      <alignment horizontal="center"/>
    </xf>
    <xf numFmtId="9" fontId="2" fillId="6" borderId="7" xfId="2" applyFont="1" applyFill="1" applyBorder="1" applyAlignment="1" applyProtection="1">
      <alignment horizontal="center"/>
    </xf>
    <xf numFmtId="0" fontId="0" fillId="4" borderId="1" xfId="0" applyFont="1" applyFill="1" applyBorder="1" applyAlignment="1">
      <alignment horizontal="center"/>
    </xf>
    <xf numFmtId="0" fontId="3" fillId="5" borderId="8" xfId="0" applyFont="1" applyFill="1" applyBorder="1"/>
    <xf numFmtId="0" fontId="3" fillId="5" borderId="1" xfId="0" applyFont="1" applyFill="1" applyBorder="1"/>
    <xf numFmtId="0" fontId="3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10" fontId="0" fillId="6" borderId="1" xfId="0" applyNumberFormat="1" applyFill="1" applyBorder="1" applyAlignment="1">
      <alignment horizontal="center" vertical="center"/>
    </xf>
    <xf numFmtId="9" fontId="0" fillId="6" borderId="1" xfId="2" applyFont="1" applyFill="1" applyBorder="1" applyAlignment="1" applyProtection="1">
      <alignment horizontal="center"/>
    </xf>
    <xf numFmtId="10" fontId="0" fillId="2" borderId="0" xfId="0" applyNumberFormat="1" applyFill="1"/>
    <xf numFmtId="165" fontId="0" fillId="4" borderId="1" xfId="0" applyNumberFormat="1" applyFont="1" applyFill="1" applyBorder="1" applyAlignment="1">
      <alignment horizontal="center"/>
    </xf>
    <xf numFmtId="9" fontId="0" fillId="5" borderId="1" xfId="2" applyFont="1" applyFill="1" applyBorder="1" applyAlignment="1" applyProtection="1">
      <alignment horizont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3" fillId="5" borderId="1" xfId="0" applyNumberFormat="1" applyFont="1" applyFill="1" applyBorder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16" fontId="0" fillId="5" borderId="2" xfId="0" applyNumberFormat="1" applyFont="1" applyFill="1" applyBorder="1" applyAlignment="1">
      <alignment horizontal="left" vertical="center"/>
    </xf>
    <xf numFmtId="164" fontId="0" fillId="5" borderId="4" xfId="1" applyFont="1" applyFill="1" applyBorder="1" applyAlignment="1" applyProtection="1">
      <alignment horizontal="center"/>
    </xf>
    <xf numFmtId="4" fontId="2" fillId="6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5" borderId="1" xfId="1" applyFont="1" applyFill="1" applyBorder="1" applyAlignment="1" applyProtection="1">
      <alignment horizontal="center"/>
    </xf>
    <xf numFmtId="4" fontId="2" fillId="6" borderId="6" xfId="2" applyNumberFormat="1" applyFont="1" applyFill="1" applyBorder="1" applyAlignment="1" applyProtection="1">
      <alignment horizontal="center"/>
    </xf>
    <xf numFmtId="166" fontId="4" fillId="6" borderId="1" xfId="0" applyNumberFormat="1" applyFont="1" applyFill="1" applyBorder="1"/>
    <xf numFmtId="4" fontId="2" fillId="6" borderId="12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6" borderId="13" xfId="2" applyNumberFormat="1" applyFont="1" applyFill="1" applyBorder="1" applyAlignment="1" applyProtection="1">
      <alignment horizontal="center"/>
    </xf>
    <xf numFmtId="15" fontId="3" fillId="5" borderId="1" xfId="0" applyNumberFormat="1" applyFont="1" applyFill="1" applyBorder="1"/>
    <xf numFmtId="0" fontId="0" fillId="0" borderId="3" xfId="0" applyBorder="1"/>
    <xf numFmtId="17" fontId="1" fillId="4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20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79646"/>
      <rgbColor rgb="FFFF6600"/>
      <rgbColor rgb="FF604A7B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76576"/>
        <c:axId val="80378112"/>
      </c:barChart>
      <c:catAx>
        <c:axId val="803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80378112"/>
        <c:crosses val="autoZero"/>
        <c:auto val="1"/>
        <c:lblAlgn val="ctr"/>
        <c:lblOffset val="100"/>
        <c:noMultiLvlLbl val="0"/>
      </c:catAx>
      <c:valAx>
        <c:axId val="8037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esfuerzo'!$C$295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esfuerzo'!$B$296:$B$301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esfuerzo'!$C$296:$C$301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esfuerzo'!$D$295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esfuerzo'!$B$296:$B$301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esfuerzo'!$D$296:$D$301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8960"/>
        <c:axId val="102410496"/>
      </c:barChart>
      <c:catAx>
        <c:axId val="10240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410496"/>
        <c:crosses val="autoZero"/>
        <c:auto val="1"/>
        <c:lblAlgn val="ctr"/>
        <c:lblOffset val="100"/>
        <c:noMultiLvlLbl val="0"/>
      </c:catAx>
      <c:valAx>
        <c:axId val="10241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40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Funcional!$AO$4:$AO$6</c:f>
              <c:numCache>
                <c:formatCode>0%</c:formatCode>
                <c:ptCount val="3"/>
                <c:pt idx="0">
                  <c:v>0.79461538461538461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790016"/>
        <c:axId val="98816384"/>
      </c:barChart>
      <c:catAx>
        <c:axId val="98790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816384"/>
        <c:crosses val="autoZero"/>
        <c:auto val="1"/>
        <c:lblAlgn val="ctr"/>
        <c:lblOffset val="100"/>
        <c:noMultiLvlLbl val="1"/>
      </c:catAx>
      <c:valAx>
        <c:axId val="98816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9001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'Indice de Satisfacción'!$AR$3</c:f>
              <c:strCache>
                <c:ptCount val="1"/>
                <c:pt idx="0">
                  <c:v>Resultados</c:v>
                </c:pt>
              </c:strCache>
            </c:strRef>
          </c:cat>
          <c:val>
            <c:numRef>
              <c:f>'Indice de Satisfacción'!$AR$5</c:f>
              <c:numCache>
                <c:formatCode>0.00%</c:formatCode>
                <c:ptCount val="1"/>
                <c:pt idx="0">
                  <c:v>0.99087692307692299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898688"/>
        <c:axId val="98900224"/>
      </c:barChart>
      <c:catAx>
        <c:axId val="98898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900224"/>
        <c:crosses val="autoZero"/>
        <c:auto val="1"/>
        <c:lblAlgn val="ctr"/>
        <c:lblOffset val="100"/>
        <c:noMultiLvlLbl val="1"/>
      </c:catAx>
      <c:valAx>
        <c:axId val="989002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89868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esfuerzo'!$C$309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esfuerzo'!$B$310:$B$315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esfuerzo'!$C$310:$C$315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esfuerzo'!$D$309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esfuerzo'!$B$310:$B$315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esfuerzo'!$D$310:$D$315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9392"/>
        <c:axId val="102175104"/>
      </c:barChart>
      <c:catAx>
        <c:axId val="10213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175104"/>
        <c:crosses val="autoZero"/>
        <c:auto val="1"/>
        <c:lblAlgn val="ctr"/>
        <c:lblOffset val="100"/>
        <c:noMultiLvlLbl val="0"/>
      </c:catAx>
      <c:valAx>
        <c:axId val="1021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3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esfuerzo'!$C$324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esfuerzo'!$B$325:$B$330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esfuerzo'!$C$325:$C$330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esfuerzo'!$D$324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esfuerzo'!$B$325:$B$330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esfuerzo'!$D$325:$D$330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5</c:v>
                </c:pt>
                <c:pt idx="4">
                  <c:v>92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36864"/>
        <c:axId val="102838656"/>
      </c:barChart>
      <c:catAx>
        <c:axId val="10283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38656"/>
        <c:crosses val="autoZero"/>
        <c:auto val="1"/>
        <c:lblAlgn val="ctr"/>
        <c:lblOffset val="100"/>
        <c:noMultiLvlLbl val="0"/>
      </c:catAx>
      <c:valAx>
        <c:axId val="10283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3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esfuerzo'!$C$337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esfuerzo'!$B$338:$B$343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esfuerzo'!$C$338:$C$343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esfuerzo'!$D$337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esfuerzo'!$B$338:$B$343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esfuerzo'!$D$338:$D$343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11</c:v>
                </c:pt>
                <c:pt idx="4">
                  <c:v>324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7344"/>
        <c:axId val="103418880"/>
      </c:barChart>
      <c:catAx>
        <c:axId val="10341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18880"/>
        <c:crosses val="autoZero"/>
        <c:auto val="1"/>
        <c:lblAlgn val="ctr"/>
        <c:lblOffset val="100"/>
        <c:noMultiLvlLbl val="0"/>
      </c:catAx>
      <c:valAx>
        <c:axId val="10341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41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esfuerzo'!$C$351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esfuerzo'!$B$352:$B$357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esfuerzo'!$C$352:$C$357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esfuerzo'!$D$351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esfuerzo'!$B$352:$B$357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esfuerzo'!$D$352:$D$357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95616"/>
        <c:axId val="108927616"/>
      </c:barChart>
      <c:catAx>
        <c:axId val="10889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27616"/>
        <c:crosses val="autoZero"/>
        <c:auto val="1"/>
        <c:lblAlgn val="ctr"/>
        <c:lblOffset val="100"/>
        <c:noMultiLvlLbl val="0"/>
      </c:catAx>
      <c:valAx>
        <c:axId val="10892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95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esfuerzo'!$C$364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esfuerzo'!$B$365:$B$370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esfuerzo'!$C$365:$C$370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esfuerzo'!$D$364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esfuerzo'!$B$365:$B$370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esfuerzo'!$D$365:$D$370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08704"/>
        <c:axId val="108911232"/>
      </c:barChart>
      <c:catAx>
        <c:axId val="10360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11232"/>
        <c:crosses val="autoZero"/>
        <c:auto val="1"/>
        <c:lblAlgn val="ctr"/>
        <c:lblOffset val="100"/>
        <c:noMultiLvlLbl val="0"/>
      </c:catAx>
      <c:valAx>
        <c:axId val="10891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55648"/>
        <c:axId val="102557184"/>
      </c:barChart>
      <c:catAx>
        <c:axId val="1025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557184"/>
        <c:crosses val="autoZero"/>
        <c:auto val="1"/>
        <c:lblAlgn val="ctr"/>
        <c:lblOffset val="100"/>
        <c:noMultiLvlLbl val="0"/>
      </c:catAx>
      <c:valAx>
        <c:axId val="102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5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esfuerzo'!$C$392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esfuerzo'!$B$393:$B$398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esfuerzo'!$C$393:$C$398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60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esfuerzo'!$D$392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esfuerzo'!$B$393:$B$398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esfuerzo'!$D$393:$D$398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45</c:v>
                </c:pt>
                <c:pt idx="3">
                  <c:v>7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26528"/>
        <c:axId val="108938368"/>
      </c:barChart>
      <c:catAx>
        <c:axId val="103126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938368"/>
        <c:crosses val="autoZero"/>
        <c:auto val="1"/>
        <c:lblAlgn val="ctr"/>
        <c:lblOffset val="100"/>
        <c:noMultiLvlLbl val="0"/>
      </c:catAx>
      <c:valAx>
        <c:axId val="1089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12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esfuerzo'!$C$406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esfuerzo'!$B$407:$B$412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esfuerzo'!$C$407:$C$412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esfuerzo'!$D$406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esfuerzo'!$B$407:$B$412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esfuerzo'!$D$407:$D$412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86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58816"/>
        <c:axId val="113860608"/>
      </c:barChart>
      <c:catAx>
        <c:axId val="11385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60608"/>
        <c:crosses val="autoZero"/>
        <c:auto val="1"/>
        <c:lblAlgn val="ctr"/>
        <c:lblOffset val="100"/>
        <c:noMultiLvlLbl val="0"/>
      </c:catAx>
      <c:valAx>
        <c:axId val="11386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5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esfuerzo'!$C$420:$C$425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esfuerzo'!$D$420:$D$425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07648"/>
        <c:axId val="113767168"/>
      </c:barChart>
      <c:catAx>
        <c:axId val="11370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67168"/>
        <c:crosses val="autoZero"/>
        <c:auto val="1"/>
        <c:lblAlgn val="ctr"/>
        <c:lblOffset val="100"/>
        <c:noMultiLvlLbl val="0"/>
      </c:catAx>
      <c:valAx>
        <c:axId val="1137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0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esfuerzo'!$C$176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esfuerzo'!$B$177:$B$182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esfuerzo'!$C$177:$C$182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360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esfuerzo'!$D$176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esfuerzo'!$B$177:$B$182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esfuerzo'!$D$177:$D$182</c:f>
              <c:numCache>
                <c:formatCode>General</c:formatCode>
                <c:ptCount val="6"/>
                <c:pt idx="0">
                  <c:v>60</c:v>
                </c:pt>
                <c:pt idx="1">
                  <c:v>6</c:v>
                </c:pt>
                <c:pt idx="2">
                  <c:v>440</c:v>
                </c:pt>
                <c:pt idx="3">
                  <c:v>18</c:v>
                </c:pt>
                <c:pt idx="5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326016"/>
        <c:axId val="80332672"/>
      </c:barChart>
      <c:catAx>
        <c:axId val="8032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80332672"/>
        <c:crosses val="autoZero"/>
        <c:auto val="1"/>
        <c:lblAlgn val="ctr"/>
        <c:lblOffset val="100"/>
        <c:noMultiLvlLbl val="0"/>
      </c:catAx>
      <c:valAx>
        <c:axId val="8033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esfuerzo'!$C$434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esfuerzo'!$C$435:$C$440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esfuerzo'!$D$434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esfuerzo'!$D$435:$D$440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53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997312"/>
        <c:axId val="113998848"/>
      </c:barChart>
      <c:catAx>
        <c:axId val="11399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998848"/>
        <c:crosses val="autoZero"/>
        <c:auto val="1"/>
        <c:lblAlgn val="ctr"/>
        <c:lblOffset val="100"/>
        <c:noMultiLvlLbl val="0"/>
      </c:catAx>
      <c:valAx>
        <c:axId val="1139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9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esfuerzo'!$C$447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esfuerzo'!$B$448:$B$453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esfuerzo'!$C$448:$C$453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esfuerzo'!$D$447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esfuerzo'!$B$448:$B$453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esfuerzo'!$D$448:$D$453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18432"/>
        <c:axId val="114419968"/>
      </c:barChart>
      <c:catAx>
        <c:axId val="11441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419968"/>
        <c:crosses val="autoZero"/>
        <c:auto val="1"/>
        <c:lblAlgn val="ctr"/>
        <c:lblOffset val="100"/>
        <c:noMultiLvlLbl val="0"/>
      </c:catAx>
      <c:valAx>
        <c:axId val="11441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41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esfuerzo'!$C$461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esfuerzo'!$B$462:$B$467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esfuerzo'!$C$462:$C$467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esfuerzo'!$D$461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esfuerzo'!$B$462:$B$467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esfuerzo'!$D$462:$D$467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105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81184"/>
        <c:axId val="114382720"/>
      </c:barChart>
      <c:catAx>
        <c:axId val="1143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82720"/>
        <c:crosses val="autoZero"/>
        <c:auto val="1"/>
        <c:lblAlgn val="ctr"/>
        <c:lblOffset val="100"/>
        <c:noMultiLvlLbl val="0"/>
      </c:catAx>
      <c:valAx>
        <c:axId val="11438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esfuerzo'!$C$475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esfuerzo'!$B$476:$B$481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esfuerzo'!$C$476:$C$481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esfuerzo'!$D$475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esfuerzo'!$B$476:$B$481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esfuerzo'!$D$476:$D$481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60320"/>
        <c:axId val="114361856"/>
      </c:barChart>
      <c:catAx>
        <c:axId val="11436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361856"/>
        <c:crosses val="autoZero"/>
        <c:auto val="1"/>
        <c:lblAlgn val="ctr"/>
        <c:lblOffset val="100"/>
        <c:noMultiLvlLbl val="0"/>
      </c:catAx>
      <c:valAx>
        <c:axId val="11436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36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esfuerzo'!$C$489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esfuerzo'!$B$490:$B$495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esfuerzo'!$C$490:$C$495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300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esfuerzo'!$D$489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esfuerzo'!$B$490:$B$495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esfuerzo'!$D$490:$D$495</c:f>
              <c:numCache>
                <c:formatCode>General</c:formatCode>
                <c:ptCount val="6"/>
                <c:pt idx="0">
                  <c:v>98</c:v>
                </c:pt>
                <c:pt idx="1">
                  <c:v>10</c:v>
                </c:pt>
                <c:pt idx="2">
                  <c:v>212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6608"/>
        <c:axId val="114286592"/>
      </c:barChart>
      <c:catAx>
        <c:axId val="11427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4286592"/>
        <c:crosses val="autoZero"/>
        <c:auto val="1"/>
        <c:lblAlgn val="ctr"/>
        <c:lblOffset val="100"/>
        <c:noMultiLvlLbl val="0"/>
      </c:catAx>
      <c:valAx>
        <c:axId val="1142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2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605</c:v>
                </c:pt>
                <c:pt idx="1">
                  <c:v>4</c:v>
                </c:pt>
                <c:pt idx="2">
                  <c:v>79</c:v>
                </c:pt>
                <c:pt idx="3">
                  <c:v>12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31072"/>
        <c:axId val="102636160"/>
      </c:barChart>
      <c:catAx>
        <c:axId val="1009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636160"/>
        <c:crosses val="autoZero"/>
        <c:auto val="1"/>
        <c:lblAlgn val="ctr"/>
        <c:lblOffset val="100"/>
        <c:noMultiLvlLbl val="0"/>
      </c:catAx>
      <c:valAx>
        <c:axId val="10263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3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0%</c:formatCode>
                <c:ptCount val="6"/>
                <c:pt idx="0">
                  <c:v>-10.862745098039216</c:v>
                </c:pt>
                <c:pt idx="1">
                  <c:v>0.88571428571428568</c:v>
                </c:pt>
                <c:pt idx="2">
                  <c:v>0.56111111111111112</c:v>
                </c:pt>
                <c:pt idx="3">
                  <c:v>0.47826086956521741</c:v>
                </c:pt>
                <c:pt idx="4">
                  <c:v>1</c:v>
                </c:pt>
                <c:pt idx="5">
                  <c:v>0.87323943661971826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65728"/>
        <c:axId val="119421184"/>
      </c:barChart>
      <c:catAx>
        <c:axId val="1166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421184"/>
        <c:crosses val="autoZero"/>
        <c:auto val="1"/>
        <c:lblAlgn val="ctr"/>
        <c:lblOffset val="100"/>
        <c:noMultiLvlLbl val="0"/>
      </c:catAx>
      <c:valAx>
        <c:axId val="1194211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66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esfuerzo'!$C$135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esfuerzo'!$B$136:$B$141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esfuerzo'!$C$136:$C$141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esfuerzo'!$D$135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esfuerzo'!$B$136:$B$141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esfuerzo'!$D$136:$D$141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494720"/>
        <c:axId val="120505088"/>
      </c:barChart>
      <c:catAx>
        <c:axId val="1204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05088"/>
        <c:crosses val="autoZero"/>
        <c:auto val="1"/>
        <c:lblAlgn val="ctr"/>
        <c:lblOffset val="100"/>
        <c:noMultiLvlLbl val="0"/>
      </c:catAx>
      <c:valAx>
        <c:axId val="12050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esfuerzo'!$C$123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esfuerzo'!$C$124:$C$129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esfuerzo'!$D$123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esfuerzo'!$D$124:$D$129</c:f>
              <c:numCache>
                <c:formatCode>General</c:formatCode>
                <c:ptCount val="6"/>
                <c:pt idx="0">
                  <c:v>1</c:v>
                </c:pt>
                <c:pt idx="1">
                  <c:v>208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81952"/>
        <c:axId val="65184896"/>
      </c:barChart>
      <c:catAx>
        <c:axId val="6518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65184896"/>
        <c:crosses val="autoZero"/>
        <c:auto val="1"/>
        <c:lblAlgn val="ctr"/>
        <c:lblOffset val="100"/>
        <c:noMultiLvlLbl val="0"/>
      </c:catAx>
      <c:valAx>
        <c:axId val="6518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8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esfuerzo'!$E$123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esfuerzo'!$E$124:$E$129</c:f>
              <c:numCache>
                <c:formatCode>0%</c:formatCode>
                <c:ptCount val="6"/>
                <c:pt idx="0">
                  <c:v>0.98039215686274506</c:v>
                </c:pt>
                <c:pt idx="1">
                  <c:v>-4.9428571428571431</c:v>
                </c:pt>
                <c:pt idx="2">
                  <c:v>0.82499999999999996</c:v>
                </c:pt>
                <c:pt idx="3">
                  <c:v>0.73913043478260865</c:v>
                </c:pt>
                <c:pt idx="4">
                  <c:v>1</c:v>
                </c:pt>
                <c:pt idx="5">
                  <c:v>0.87323943661971826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63648"/>
        <c:axId val="120370688"/>
      </c:barChart>
      <c:catAx>
        <c:axId val="12036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70688"/>
        <c:crosses val="autoZero"/>
        <c:auto val="1"/>
        <c:lblAlgn val="ctr"/>
        <c:lblOffset val="100"/>
        <c:noMultiLvlLbl val="0"/>
      </c:catAx>
      <c:valAx>
        <c:axId val="120370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36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esfuerzo'!$C$192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esfuerzo'!$B$193:$B$198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esfuerzo'!$C$193:$C$198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esfuerzo'!$D$192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esfuerzo'!$B$193:$B$198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esfuerzo'!$D$193:$D$198</c:f>
              <c:numCache>
                <c:formatCode>General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39936"/>
        <c:axId val="87672320"/>
      </c:barChart>
      <c:catAx>
        <c:axId val="876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87672320"/>
        <c:crosses val="autoZero"/>
        <c:auto val="1"/>
        <c:lblAlgn val="ctr"/>
        <c:lblOffset val="100"/>
        <c:noMultiLvlLbl val="0"/>
      </c:catAx>
      <c:valAx>
        <c:axId val="8767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3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esfuerzo'!$C$108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esfuerzo'!$C$109:$C$114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esfuerzo'!$D$108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esfuerzo'!$D$109:$D$114</c:f>
              <c:numCache>
                <c:formatCode>General</c:formatCode>
                <c:ptCount val="6"/>
                <c:pt idx="0">
                  <c:v>153</c:v>
                </c:pt>
                <c:pt idx="1">
                  <c:v>57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80800"/>
        <c:axId val="116083712"/>
      </c:barChart>
      <c:catAx>
        <c:axId val="1147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83712"/>
        <c:crosses val="autoZero"/>
        <c:auto val="1"/>
        <c:lblAlgn val="ctr"/>
        <c:lblOffset val="100"/>
        <c:noMultiLvlLbl val="0"/>
      </c:catAx>
      <c:valAx>
        <c:axId val="1160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esfuerzo'!$C$97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esfuerzo'!$B$98:$B$103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esfuerzo'!$C$98:$C$103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300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esfuerzo'!$D$97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esfuerzo'!$B$98:$B$103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esfuerzo'!$D$98:$D$103</c:f>
              <c:numCache>
                <c:formatCode>General</c:formatCode>
                <c:ptCount val="6"/>
                <c:pt idx="0">
                  <c:v>110</c:v>
                </c:pt>
                <c:pt idx="1">
                  <c:v>117</c:v>
                </c:pt>
                <c:pt idx="2">
                  <c:v>410</c:v>
                </c:pt>
                <c:pt idx="3">
                  <c:v>3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76704"/>
        <c:axId val="119979008"/>
      </c:barChart>
      <c:catAx>
        <c:axId val="11997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79008"/>
        <c:crosses val="autoZero"/>
        <c:auto val="1"/>
        <c:lblAlgn val="ctr"/>
        <c:lblOffset val="100"/>
        <c:noMultiLvlLbl val="0"/>
      </c:catAx>
      <c:valAx>
        <c:axId val="119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7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esfuerzo'!$E$97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esfuerzo'!$B$98:$B$103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esfuerzo'!$E$98:$E$103</c:f>
              <c:numCache>
                <c:formatCode>0%</c:formatCode>
                <c:ptCount val="6"/>
                <c:pt idx="0">
                  <c:v>-1.1568627450980393</c:v>
                </c:pt>
                <c:pt idx="1">
                  <c:v>-2.342857142857143</c:v>
                </c:pt>
                <c:pt idx="2">
                  <c:v>-0.36666666666666664</c:v>
                </c:pt>
                <c:pt idx="3">
                  <c:v>0.86956521739130432</c:v>
                </c:pt>
                <c:pt idx="4">
                  <c:v>1</c:v>
                </c:pt>
                <c:pt idx="5">
                  <c:v>0.78873239436619713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51808"/>
        <c:axId val="116153344"/>
      </c:barChart>
      <c:catAx>
        <c:axId val="11615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53344"/>
        <c:crosses val="autoZero"/>
        <c:auto val="1"/>
        <c:lblAlgn val="ctr"/>
        <c:lblOffset val="100"/>
        <c:noMultiLvlLbl val="0"/>
      </c:catAx>
      <c:valAx>
        <c:axId val="116153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61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esfuerzo'!$C$85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esfuerzo'!$B$86:$B$91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esfuerzo'!$C$86:$C$91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esfuerzo'!$D$85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esfuerzo'!$B$86:$B$91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esfuerzo'!$D$86:$D$91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73920"/>
        <c:axId val="118275456"/>
      </c:barChart>
      <c:catAx>
        <c:axId val="11827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75456"/>
        <c:crosses val="autoZero"/>
        <c:auto val="1"/>
        <c:lblAlgn val="ctr"/>
        <c:lblOffset val="100"/>
        <c:noMultiLvlLbl val="0"/>
      </c:catAx>
      <c:valAx>
        <c:axId val="11827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27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esfuerzo'!$C$73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esfuerzo'!$B$74:$B$79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esfuerzo'!$C$74:$C$79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120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esfuerzo'!$D$73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esfuerzo'!$B$74:$B$79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esfuerzo'!$D$74:$D$79</c:f>
              <c:numCache>
                <c:formatCode>General</c:formatCode>
                <c:ptCount val="6"/>
                <c:pt idx="0">
                  <c:v>112</c:v>
                </c:pt>
                <c:pt idx="1">
                  <c:v>76</c:v>
                </c:pt>
                <c:pt idx="2">
                  <c:v>89</c:v>
                </c:pt>
                <c:pt idx="3">
                  <c:v>22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38528"/>
        <c:axId val="116157824"/>
      </c:barChart>
      <c:catAx>
        <c:axId val="652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157824"/>
        <c:crosses val="autoZero"/>
        <c:auto val="1"/>
        <c:lblAlgn val="ctr"/>
        <c:lblOffset val="100"/>
        <c:noMultiLvlLbl val="0"/>
      </c:catAx>
      <c:valAx>
        <c:axId val="1161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esfuerzo'!$E$73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esfuerzo'!$B$74:$B$79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esfuerzo'!$E$74:$E$79</c:f>
              <c:numCache>
                <c:formatCode>0%</c:formatCode>
                <c:ptCount val="6"/>
                <c:pt idx="0">
                  <c:v>-1.196078431372549</c:v>
                </c:pt>
                <c:pt idx="1">
                  <c:v>-1.1714285714285715</c:v>
                </c:pt>
                <c:pt idx="2">
                  <c:v>0.25833333333333336</c:v>
                </c:pt>
                <c:pt idx="3">
                  <c:v>4.3478260869565216E-2</c:v>
                </c:pt>
                <c:pt idx="4">
                  <c:v>1</c:v>
                </c:pt>
                <c:pt idx="5">
                  <c:v>0.90845070422535212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34752"/>
        <c:axId val="120640640"/>
      </c:barChart>
      <c:catAx>
        <c:axId val="1206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640640"/>
        <c:crosses val="autoZero"/>
        <c:auto val="1"/>
        <c:lblAlgn val="ctr"/>
        <c:lblOffset val="100"/>
        <c:noMultiLvlLbl val="0"/>
      </c:catAx>
      <c:valAx>
        <c:axId val="120640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06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esfuerzo'!$B$62:$B$67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esfuerzo'!$C$62:$C$67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90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esfuerzo'!$B$62:$B$67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esfuerzo'!$D$62:$D$67</c:f>
              <c:numCache>
                <c:formatCode>General</c:formatCode>
                <c:ptCount val="6"/>
                <c:pt idx="0">
                  <c:v>465</c:v>
                </c:pt>
                <c:pt idx="1">
                  <c:v>6</c:v>
                </c:pt>
                <c:pt idx="2">
                  <c:v>135</c:v>
                </c:pt>
                <c:pt idx="3">
                  <c:v>14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89056"/>
        <c:axId val="121390592"/>
      </c:barChart>
      <c:catAx>
        <c:axId val="12138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390592"/>
        <c:crosses val="autoZero"/>
        <c:auto val="1"/>
        <c:lblAlgn val="ctr"/>
        <c:lblOffset val="100"/>
        <c:noMultiLvlLbl val="0"/>
      </c:catAx>
      <c:valAx>
        <c:axId val="12139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esfuerzo'!$B$62:$B$67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esfuerzo'!$E$62:$E$67</c:f>
              <c:numCache>
                <c:formatCode>0%</c:formatCode>
                <c:ptCount val="6"/>
                <c:pt idx="0">
                  <c:v>-8.117647058823529</c:v>
                </c:pt>
                <c:pt idx="1">
                  <c:v>0.82857142857142863</c:v>
                </c:pt>
                <c:pt idx="2">
                  <c:v>-0.5</c:v>
                </c:pt>
                <c:pt idx="3">
                  <c:v>0.39130434782608697</c:v>
                </c:pt>
                <c:pt idx="4">
                  <c:v>1</c:v>
                </c:pt>
                <c:pt idx="5">
                  <c:v>0.75352112676056338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088256"/>
        <c:axId val="121106432"/>
      </c:barChart>
      <c:catAx>
        <c:axId val="12108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1106432"/>
        <c:crosses val="autoZero"/>
        <c:auto val="1"/>
        <c:lblAlgn val="ctr"/>
        <c:lblOffset val="100"/>
        <c:noMultiLvlLbl val="0"/>
      </c:catAx>
      <c:valAx>
        <c:axId val="1211064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108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155</c:v>
                </c:pt>
                <c:pt idx="1">
                  <c:v>32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294720"/>
        <c:axId val="65297792"/>
      </c:barChart>
      <c:catAx>
        <c:axId val="6529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65297792"/>
        <c:crosses val="autoZero"/>
        <c:auto val="1"/>
        <c:lblAlgn val="ctr"/>
        <c:lblOffset val="100"/>
        <c:noMultiLvlLbl val="0"/>
      </c:catAx>
      <c:valAx>
        <c:axId val="6529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9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esfuerzo'!$C$39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esfuerzo'!$B$40:$B$45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esfuerzo'!$C$40:$C$45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esfuerzo'!$B$40:$B$45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esfuerzo'!$D$40:$D$45</c:f>
              <c:numCache>
                <c:formatCode>General</c:formatCode>
                <c:ptCount val="6"/>
                <c:pt idx="0">
                  <c:v>53</c:v>
                </c:pt>
                <c:pt idx="1">
                  <c:v>44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300288"/>
        <c:axId val="120301824"/>
      </c:barChart>
      <c:catAx>
        <c:axId val="1203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301824"/>
        <c:crosses val="autoZero"/>
        <c:auto val="1"/>
        <c:lblAlgn val="ctr"/>
        <c:lblOffset val="100"/>
        <c:noMultiLvlLbl val="0"/>
      </c:catAx>
      <c:valAx>
        <c:axId val="1203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esfuerzo'!$C$206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esfuerzo'!$B$207:$B$212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esfuerzo'!$C$207:$C$212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esfuerzo'!$D$206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esfuerzo'!$B$207:$B$212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esfuerzo'!$D$207:$D$212</c:f>
              <c:numCache>
                <c:formatCode>General</c:formatCode>
                <c:ptCount val="6"/>
                <c:pt idx="0">
                  <c:v>835</c:v>
                </c:pt>
                <c:pt idx="1">
                  <c:v>120</c:v>
                </c:pt>
                <c:pt idx="2">
                  <c:v>0</c:v>
                </c:pt>
                <c:pt idx="3">
                  <c:v>11</c:v>
                </c:pt>
                <c:pt idx="4">
                  <c:v>180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91296"/>
        <c:axId val="99593216"/>
      </c:barChart>
      <c:catAx>
        <c:axId val="9959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593216"/>
        <c:crosses val="autoZero"/>
        <c:auto val="1"/>
        <c:lblAlgn val="ctr"/>
        <c:lblOffset val="100"/>
        <c:noMultiLvlLbl val="0"/>
      </c:catAx>
      <c:valAx>
        <c:axId val="995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9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esfuerzo'!$E$39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esfuerzo'!$B$40:$B$45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esfuerzo'!$E$40:$E$45</c:f>
              <c:numCache>
                <c:formatCode>0%</c:formatCode>
                <c:ptCount val="6"/>
                <c:pt idx="0">
                  <c:v>-3.9215686274509803E-2</c:v>
                </c:pt>
                <c:pt idx="1">
                  <c:v>-0.25714285714285712</c:v>
                </c:pt>
                <c:pt idx="2">
                  <c:v>0</c:v>
                </c:pt>
                <c:pt idx="3">
                  <c:v>0.13043478260869565</c:v>
                </c:pt>
                <c:pt idx="4">
                  <c:v>1</c:v>
                </c:pt>
                <c:pt idx="5">
                  <c:v>0.86619718309859151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81184"/>
        <c:axId val="121987072"/>
      </c:barChart>
      <c:catAx>
        <c:axId val="1219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87072"/>
        <c:crosses val="autoZero"/>
        <c:auto val="1"/>
        <c:lblAlgn val="ctr"/>
        <c:lblOffset val="100"/>
        <c:noMultiLvlLbl val="0"/>
      </c:catAx>
      <c:valAx>
        <c:axId val="1219870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19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esfuerzo'!$B$28:$B$33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esfuerzo'!$C$28:$C$33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esfuerzo'!$B$28:$B$33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esfuerzo'!$D$28:$D$33</c:f>
              <c:numCache>
                <c:formatCode>General</c:formatCode>
                <c:ptCount val="6"/>
                <c:pt idx="0">
                  <c:v>54</c:v>
                </c:pt>
                <c:pt idx="1">
                  <c:v>34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12320"/>
        <c:axId val="119913856"/>
      </c:barChart>
      <c:catAx>
        <c:axId val="1199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913856"/>
        <c:crosses val="autoZero"/>
        <c:auto val="1"/>
        <c:lblAlgn val="ctr"/>
        <c:lblOffset val="100"/>
        <c:noMultiLvlLbl val="0"/>
      </c:catAx>
      <c:valAx>
        <c:axId val="1199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9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esfuerzo'!$C$16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esfuerzo'!$B$17:$B$22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esfuerzo'!$C$17:$C$22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esfuerzo'!$B$17:$B$22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esfuerzo'!$D$17:$D$22</c:f>
              <c:numCache>
                <c:formatCode>General</c:formatCode>
                <c:ptCount val="6"/>
                <c:pt idx="0">
                  <c:v>24</c:v>
                </c:pt>
                <c:pt idx="1">
                  <c:v>44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6640"/>
        <c:axId val="80197120"/>
      </c:barChart>
      <c:catAx>
        <c:axId val="801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80197120"/>
        <c:crosses val="autoZero"/>
        <c:auto val="1"/>
        <c:lblAlgn val="ctr"/>
        <c:lblOffset val="100"/>
        <c:noMultiLvlLbl val="0"/>
      </c:catAx>
      <c:valAx>
        <c:axId val="8019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esfuerzo'!$C$6:$C$11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esfuerzo'!$D$6:$D$11</c:f>
              <c:numCache>
                <c:formatCode>General</c:formatCode>
                <c:ptCount val="6"/>
                <c:pt idx="0">
                  <c:v>472</c:v>
                </c:pt>
                <c:pt idx="1">
                  <c:v>19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792192"/>
        <c:axId val="121774848"/>
      </c:barChart>
      <c:catAx>
        <c:axId val="12079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1774848"/>
        <c:crosses val="autoZero"/>
        <c:auto val="1"/>
        <c:lblAlgn val="ctr"/>
        <c:lblOffset val="100"/>
        <c:noMultiLvlLbl val="0"/>
      </c:catAx>
      <c:valAx>
        <c:axId val="1217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9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esfuerzo'!$E$6:$E$11</c:f>
              <c:numCache>
                <c:formatCode>0%</c:formatCode>
                <c:ptCount val="6"/>
                <c:pt idx="0">
                  <c:v>-8.2549019607843146</c:v>
                </c:pt>
                <c:pt idx="1">
                  <c:v>0.45714285714285713</c:v>
                </c:pt>
                <c:pt idx="2">
                  <c:v>1</c:v>
                </c:pt>
                <c:pt idx="3">
                  <c:v>0.56521739130434778</c:v>
                </c:pt>
                <c:pt idx="4">
                  <c:v>1</c:v>
                </c:pt>
                <c:pt idx="5">
                  <c:v>0.94366197183098588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94816"/>
        <c:axId val="124196352"/>
      </c:barChart>
      <c:catAx>
        <c:axId val="12419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96352"/>
        <c:crosses val="autoZero"/>
        <c:auto val="1"/>
        <c:lblAlgn val="ctr"/>
        <c:lblOffset val="100"/>
        <c:noMultiLvlLbl val="0"/>
      </c:catAx>
      <c:valAx>
        <c:axId val="12419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19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costos'!$C$5:$C$10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costos'!$D$5:$D$10</c:f>
              <c:numCache>
                <c:formatCode>_-\$* #,##0.00_-;"-$"* #,##0.00_-;_-\$* \-??_-;_-@_-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0.24299999999999999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792064"/>
        <c:axId val="40793600"/>
      </c:barChart>
      <c:catAx>
        <c:axId val="407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793600"/>
        <c:crosses val="autoZero"/>
        <c:auto val="1"/>
        <c:lblAlgn val="ctr"/>
        <c:lblOffset val="100"/>
        <c:noMultiLvlLbl val="1"/>
      </c:catAx>
      <c:valAx>
        <c:axId val="40793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792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costos'!$B$5:$B$10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costos'!$E$5:$E$10</c:f>
              <c:numCache>
                <c:formatCode>0%</c:formatCode>
                <c:ptCount val="6"/>
                <c:pt idx="0">
                  <c:v>-4.1364084191670401</c:v>
                </c:pt>
                <c:pt idx="1">
                  <c:v>-0.16590909090909092</c:v>
                </c:pt>
                <c:pt idx="2">
                  <c:v>1</c:v>
                </c:pt>
                <c:pt idx="3">
                  <c:v>0.64654545454545453</c:v>
                </c:pt>
                <c:pt idx="4">
                  <c:v>1</c:v>
                </c:pt>
                <c:pt idx="5">
                  <c:v>0.98920000000000008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26368"/>
        <c:axId val="40827904"/>
      </c:barChart>
      <c:catAx>
        <c:axId val="40826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827904"/>
        <c:crosses val="autoZero"/>
        <c:auto val="1"/>
        <c:lblAlgn val="ctr"/>
        <c:lblOffset val="100"/>
        <c:noMultiLvlLbl val="1"/>
      </c:catAx>
      <c:valAx>
        <c:axId val="408279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8263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costos'!$C$18:$C$23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costos'!$D$18:$D$23</c:f>
              <c:numCache>
                <c:formatCode>_-\$* #,##0.00_-;"-$"* #,##0.00_-;_-\$* \-??_-;_-@_-</c:formatCode>
                <c:ptCount val="6"/>
                <c:pt idx="0">
                  <c:v>5.8320000000000007</c:v>
                </c:pt>
                <c:pt idx="1">
                  <c:v>10.692</c:v>
                </c:pt>
                <c:pt idx="2">
                  <c:v>0</c:v>
                </c:pt>
                <c:pt idx="3">
                  <c:v>3.4020000000000001</c:v>
                </c:pt>
                <c:pt idx="4">
                  <c:v>0</c:v>
                </c:pt>
                <c:pt idx="5">
                  <c:v>3.8879999999999999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04288"/>
        <c:axId val="55805824"/>
      </c:barChart>
      <c:catAx>
        <c:axId val="5580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805824"/>
        <c:crosses val="autoZero"/>
        <c:auto val="1"/>
        <c:lblAlgn val="ctr"/>
        <c:lblOffset val="100"/>
        <c:noMultiLvlLbl val="1"/>
      </c:catAx>
      <c:valAx>
        <c:axId val="55805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804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costos'!$B$18:$B$23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costos'!$E$18:$E$23</c:f>
              <c:numCache>
                <c:formatCode>0%</c:formatCode>
                <c:ptCount val="6"/>
                <c:pt idx="0">
                  <c:v>0.73882669055082839</c:v>
                </c:pt>
                <c:pt idx="1">
                  <c:v>-1.7000000000000002</c:v>
                </c:pt>
                <c:pt idx="2">
                  <c:v>1</c:v>
                </c:pt>
                <c:pt idx="3">
                  <c:v>0.38145454545454544</c:v>
                </c:pt>
                <c:pt idx="4">
                  <c:v>1</c:v>
                </c:pt>
                <c:pt idx="5">
                  <c:v>0.82720000000000005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01504"/>
        <c:axId val="76103040"/>
      </c:barChart>
      <c:catAx>
        <c:axId val="76101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103040"/>
        <c:crosses val="autoZero"/>
        <c:auto val="1"/>
        <c:lblAlgn val="ctr"/>
        <c:lblOffset val="100"/>
        <c:noMultiLvlLbl val="1"/>
      </c:catAx>
      <c:valAx>
        <c:axId val="76103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101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costos'!$C$30:$C$35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costos'!$D$30:$D$35</c:f>
              <c:numCache>
                <c:formatCode>_-\$* #,##0.00_-;"-$"* #,##0.00_-;_-\$* \-??_-;_-@_-</c:formatCode>
                <c:ptCount val="6"/>
                <c:pt idx="0">
                  <c:v>13.122</c:v>
                </c:pt>
                <c:pt idx="1">
                  <c:v>8.2620000000000005</c:v>
                </c:pt>
                <c:pt idx="2">
                  <c:v>0</c:v>
                </c:pt>
                <c:pt idx="3">
                  <c:v>4.3739999999999997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45472"/>
        <c:axId val="55955456"/>
      </c:barChart>
      <c:catAx>
        <c:axId val="55945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955456"/>
        <c:crosses val="autoZero"/>
        <c:auto val="1"/>
        <c:lblAlgn val="ctr"/>
        <c:lblOffset val="100"/>
        <c:noMultiLvlLbl val="1"/>
      </c:catAx>
      <c:valAx>
        <c:axId val="55955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945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esfuerzo'!$C$221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esfuerzo'!$B$222:$B$227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esfuerzo'!$C$222:$C$227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esfuerzo'!$D$221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esfuerzo'!$B$222:$B$227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esfuerzo'!$D$222:$D$227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05088"/>
        <c:axId val="62128128"/>
      </c:barChart>
      <c:catAx>
        <c:axId val="4210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2128128"/>
        <c:crosses val="autoZero"/>
        <c:auto val="1"/>
        <c:lblAlgn val="ctr"/>
        <c:lblOffset val="100"/>
        <c:noMultiLvlLbl val="0"/>
      </c:catAx>
      <c:valAx>
        <c:axId val="621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0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costos'!$B$30:$B$35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costos'!$E$30:$E$35</c:f>
              <c:numCache>
                <c:formatCode>0%</c:formatCode>
                <c:ptCount val="6"/>
                <c:pt idx="0">
                  <c:v>0.41236005373936402</c:v>
                </c:pt>
                <c:pt idx="1">
                  <c:v>-1.0863636363636364</c:v>
                </c:pt>
                <c:pt idx="2">
                  <c:v>1</c:v>
                </c:pt>
                <c:pt idx="3">
                  <c:v>0.20472727272727279</c:v>
                </c:pt>
                <c:pt idx="4">
                  <c:v>1</c:v>
                </c:pt>
                <c:pt idx="5">
                  <c:v>0.94059999999999999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483264"/>
        <c:axId val="57484800"/>
      </c:barChart>
      <c:catAx>
        <c:axId val="57483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484800"/>
        <c:crosses val="autoZero"/>
        <c:auto val="1"/>
        <c:lblAlgn val="ctr"/>
        <c:lblOffset val="100"/>
        <c:noMultiLvlLbl val="1"/>
      </c:catAx>
      <c:valAx>
        <c:axId val="57484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483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costos'!$C$43:$C$48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costos'!$D$43:$D$48</c:f>
              <c:numCache>
                <c:formatCode>_-\$* #,##0.00_-;"-$"* #,##0.00_-;_-\$* \-??_-;_-@_-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4.8599999999999994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513088"/>
        <c:axId val="57514624"/>
      </c:barChart>
      <c:catAx>
        <c:axId val="57513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514624"/>
        <c:crosses val="autoZero"/>
        <c:auto val="1"/>
        <c:lblAlgn val="ctr"/>
        <c:lblOffset val="100"/>
        <c:noMultiLvlLbl val="1"/>
      </c:catAx>
      <c:valAx>
        <c:axId val="57514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513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costos'!$B$43:$B$48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costos'!$E$43:$E$48</c:f>
              <c:numCache>
                <c:formatCode>0%</c:formatCode>
                <c:ptCount val="6"/>
                <c:pt idx="0">
                  <c:v>0.42324227496641287</c:v>
                </c:pt>
                <c:pt idx="1">
                  <c:v>-1.7000000000000002</c:v>
                </c:pt>
                <c:pt idx="2">
                  <c:v>1</c:v>
                </c:pt>
                <c:pt idx="3">
                  <c:v>0.11636363636363646</c:v>
                </c:pt>
                <c:pt idx="4">
                  <c:v>1</c:v>
                </c:pt>
                <c:pt idx="5">
                  <c:v>0.89740000000000009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271424"/>
        <c:axId val="81285504"/>
      </c:barChart>
      <c:catAx>
        <c:axId val="81271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285504"/>
        <c:crosses val="autoZero"/>
        <c:auto val="1"/>
        <c:lblAlgn val="ctr"/>
        <c:lblOffset val="100"/>
        <c:noMultiLvlLbl val="1"/>
      </c:catAx>
      <c:valAx>
        <c:axId val="81285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2714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costos'!$C$57:$C$62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costos'!$D$57:$D$62</c:f>
              <c:numCache>
                <c:formatCode>_-\$* #,##0.00_-;"-$"* #,##0.00_-;_-\$* \-??_-;_-@_-</c:formatCode>
                <c:ptCount val="6"/>
                <c:pt idx="0">
                  <c:v>37.664999999999999</c:v>
                </c:pt>
                <c:pt idx="1">
                  <c:v>7.7759999999999998</c:v>
                </c:pt>
                <c:pt idx="2">
                  <c:v>0</c:v>
                </c:pt>
                <c:pt idx="3">
                  <c:v>5.1029999999999998</c:v>
                </c:pt>
                <c:pt idx="4">
                  <c:v>0</c:v>
                </c:pt>
                <c:pt idx="5">
                  <c:v>1.2149999999999999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319040"/>
        <c:axId val="81320576"/>
      </c:barChart>
      <c:catAx>
        <c:axId val="81319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20576"/>
        <c:crosses val="autoZero"/>
        <c:auto val="1"/>
        <c:lblAlgn val="ctr"/>
        <c:lblOffset val="100"/>
        <c:noMultiLvlLbl val="1"/>
      </c:catAx>
      <c:valAx>
        <c:axId val="81320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319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costos'!$B$57:$B$62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costos'!$E$57:$E$62</c:f>
              <c:numCache>
                <c:formatCode>0%</c:formatCode>
                <c:ptCount val="6"/>
                <c:pt idx="0">
                  <c:v>-0.68674429019256611</c:v>
                </c:pt>
                <c:pt idx="1">
                  <c:v>-0.96363636363636362</c:v>
                </c:pt>
                <c:pt idx="2">
                  <c:v>1</c:v>
                </c:pt>
                <c:pt idx="3">
                  <c:v>7.2181818181818222E-2</c:v>
                </c:pt>
                <c:pt idx="4">
                  <c:v>1</c:v>
                </c:pt>
                <c:pt idx="5">
                  <c:v>0.94599999999999995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096832"/>
        <c:axId val="57110912"/>
      </c:barChart>
      <c:catAx>
        <c:axId val="57096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10912"/>
        <c:crosses val="autoZero"/>
        <c:auto val="1"/>
        <c:lblAlgn val="ctr"/>
        <c:lblOffset val="100"/>
        <c:noMultiLvlLbl val="1"/>
      </c:catAx>
      <c:valAx>
        <c:axId val="57110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0968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costos'!$C$71:$C$76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costos'!$D$71:$D$76</c:f>
              <c:numCache>
                <c:formatCode>_-\$* #,##0.00_-;"-$"* #,##0.00_-;_-\$* \-??_-;_-@_-</c:formatCode>
                <c:ptCount val="6"/>
                <c:pt idx="0">
                  <c:v>112.995</c:v>
                </c:pt>
                <c:pt idx="1">
                  <c:v>1.4580000000000002</c:v>
                </c:pt>
                <c:pt idx="2">
                  <c:v>32.805</c:v>
                </c:pt>
                <c:pt idx="3">
                  <c:v>3.4020000000000001</c:v>
                </c:pt>
                <c:pt idx="4">
                  <c:v>0</c:v>
                </c:pt>
                <c:pt idx="5">
                  <c:v>4.2525000000000004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40736"/>
        <c:axId val="57142272"/>
      </c:barChart>
      <c:catAx>
        <c:axId val="5714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42272"/>
        <c:crosses val="autoZero"/>
        <c:auto val="1"/>
        <c:lblAlgn val="ctr"/>
        <c:lblOffset val="100"/>
        <c:noMultiLvlLbl val="1"/>
      </c:catAx>
      <c:valAx>
        <c:axId val="57142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407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costos'!$B$71:$B$76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costos'!$E$71:$E$76</c:f>
              <c:numCache>
                <c:formatCode>0%</c:formatCode>
                <c:ptCount val="6"/>
                <c:pt idx="0">
                  <c:v>-4.0602328705776989</c:v>
                </c:pt>
                <c:pt idx="1">
                  <c:v>0.63181818181818172</c:v>
                </c:pt>
                <c:pt idx="2">
                  <c:v>-0.69097938144329907</c:v>
                </c:pt>
                <c:pt idx="3">
                  <c:v>0.38145454545454544</c:v>
                </c:pt>
                <c:pt idx="4">
                  <c:v>1</c:v>
                </c:pt>
                <c:pt idx="5">
                  <c:v>0.81099999999999994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9136"/>
        <c:axId val="57185024"/>
      </c:barChart>
      <c:catAx>
        <c:axId val="57179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85024"/>
        <c:crosses val="autoZero"/>
        <c:auto val="1"/>
        <c:lblAlgn val="ctr"/>
        <c:lblOffset val="100"/>
        <c:noMultiLvlLbl val="1"/>
      </c:catAx>
      <c:valAx>
        <c:axId val="57185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791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costos'!$C$84:$C$89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costos'!$D$84:$D$89</c:f>
              <c:numCache>
                <c:formatCode>_-\$* #,##0.00_-;"-$"* #,##0.00_-;_-\$* \-??_-;_-@_-</c:formatCode>
                <c:ptCount val="6"/>
                <c:pt idx="0">
                  <c:v>27.216000000000001</c:v>
                </c:pt>
                <c:pt idx="1">
                  <c:v>18.468</c:v>
                </c:pt>
                <c:pt idx="2">
                  <c:v>21.627000000000002</c:v>
                </c:pt>
                <c:pt idx="3">
                  <c:v>5.3460000000000001</c:v>
                </c:pt>
                <c:pt idx="4">
                  <c:v>0</c:v>
                </c:pt>
                <c:pt idx="5">
                  <c:v>1.5795000000000001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14848"/>
        <c:axId val="57216384"/>
      </c:barChart>
      <c:catAx>
        <c:axId val="57214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216384"/>
        <c:crosses val="autoZero"/>
        <c:auto val="1"/>
        <c:lblAlgn val="ctr"/>
        <c:lblOffset val="100"/>
        <c:noMultiLvlLbl val="1"/>
      </c:catAx>
      <c:valAx>
        <c:axId val="57216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2148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costos'!$B$84:$B$89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costos'!$E$84:$E$89</c:f>
              <c:numCache>
                <c:formatCode>0%</c:formatCode>
                <c:ptCount val="6"/>
                <c:pt idx="0">
                  <c:v>-0.21880877742946722</c:v>
                </c:pt>
                <c:pt idx="1">
                  <c:v>-3.6636363636363636</c:v>
                </c:pt>
                <c:pt idx="2">
                  <c:v>-0.1147938144329899</c:v>
                </c:pt>
                <c:pt idx="3">
                  <c:v>2.7999999999999983E-2</c:v>
                </c:pt>
                <c:pt idx="4">
                  <c:v>1</c:v>
                </c:pt>
                <c:pt idx="5">
                  <c:v>0.92980000000000007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45056"/>
        <c:axId val="57250944"/>
      </c:barChart>
      <c:catAx>
        <c:axId val="5724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250944"/>
        <c:crosses val="autoZero"/>
        <c:auto val="1"/>
        <c:lblAlgn val="ctr"/>
        <c:lblOffset val="100"/>
        <c:noMultiLvlLbl val="1"/>
      </c:catAx>
      <c:valAx>
        <c:axId val="57250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2450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costos'!$C$97:$C$102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costos'!$D$97:$D$102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1.2149999999999999</c:v>
                </c:pt>
                <c:pt idx="2">
                  <c:v>0</c:v>
                </c:pt>
                <c:pt idx="3">
                  <c:v>7.7759999999999998</c:v>
                </c:pt>
                <c:pt idx="4">
                  <c:v>0</c:v>
                </c:pt>
                <c:pt idx="5">
                  <c:v>4.7385000000000002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73376"/>
        <c:axId val="87187456"/>
      </c:barChart>
      <c:catAx>
        <c:axId val="8717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87456"/>
        <c:crosses val="autoZero"/>
        <c:auto val="1"/>
        <c:lblAlgn val="ctr"/>
        <c:lblOffset val="100"/>
        <c:noMultiLvlLbl val="1"/>
      </c:catAx>
      <c:valAx>
        <c:axId val="87187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73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esfuerzo'!$C$237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esfuerzo'!$B$238:$B$243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esfuerzo'!$C$238:$C$243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120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esfuerzo'!$D$237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esfuerzo'!$B$238:$B$243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esfuerzo'!$D$238:$D$243</c:f>
              <c:numCache>
                <c:formatCode>General</c:formatCode>
                <c:ptCount val="6"/>
                <c:pt idx="0">
                  <c:v>64</c:v>
                </c:pt>
                <c:pt idx="1">
                  <c:v>19</c:v>
                </c:pt>
                <c:pt idx="2">
                  <c:v>9</c:v>
                </c:pt>
                <c:pt idx="3">
                  <c:v>11</c:v>
                </c:pt>
                <c:pt idx="4">
                  <c:v>0</c:v>
                </c:pt>
                <c:pt idx="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77696"/>
        <c:axId val="42880384"/>
      </c:barChart>
      <c:catAx>
        <c:axId val="4287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880384"/>
        <c:crosses val="autoZero"/>
        <c:auto val="1"/>
        <c:lblAlgn val="ctr"/>
        <c:lblOffset val="100"/>
        <c:noMultiLvlLbl val="0"/>
      </c:catAx>
      <c:valAx>
        <c:axId val="428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7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costos'!$B$97:$B$102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costos'!$E$97:$E$102</c:f>
              <c:numCache>
                <c:formatCode>0%</c:formatCode>
                <c:ptCount val="6"/>
                <c:pt idx="0">
                  <c:v>0.94558889386475597</c:v>
                </c:pt>
                <c:pt idx="1">
                  <c:v>0.69318181818181823</c:v>
                </c:pt>
                <c:pt idx="2">
                  <c:v>1</c:v>
                </c:pt>
                <c:pt idx="3">
                  <c:v>-0.41381818181818181</c:v>
                </c:pt>
                <c:pt idx="4">
                  <c:v>1</c:v>
                </c:pt>
                <c:pt idx="5">
                  <c:v>0.78939999999999988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20224"/>
        <c:axId val="87221760"/>
      </c:barChart>
      <c:catAx>
        <c:axId val="87220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21760"/>
        <c:crosses val="autoZero"/>
        <c:auto val="1"/>
        <c:lblAlgn val="ctr"/>
        <c:lblOffset val="100"/>
        <c:noMultiLvlLbl val="1"/>
      </c:catAx>
      <c:valAx>
        <c:axId val="87221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20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costos'!$C$113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costos'!$C$114:$C$119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costos'!$D$113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costos'!$D$114:$D$119</c:f>
              <c:numCache>
                <c:formatCode>_-\$* #,##0.00_-;"-$"* #,##0.00_-;_-\$* \-??_-;_-@_-</c:formatCode>
                <c:ptCount val="6"/>
                <c:pt idx="0">
                  <c:v>26.73</c:v>
                </c:pt>
                <c:pt idx="1">
                  <c:v>28.431000000000001</c:v>
                </c:pt>
                <c:pt idx="2">
                  <c:v>99.63</c:v>
                </c:pt>
                <c:pt idx="3">
                  <c:v>0.72900000000000009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47488"/>
        <c:axId val="87253376"/>
      </c:barChart>
      <c:catAx>
        <c:axId val="87247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53376"/>
        <c:crosses val="autoZero"/>
        <c:auto val="1"/>
        <c:lblAlgn val="ctr"/>
        <c:lblOffset val="100"/>
        <c:noMultiLvlLbl val="1"/>
      </c:catAx>
      <c:valAx>
        <c:axId val="87253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47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costos'!$E$113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costos'!$B$114:$B$119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costos'!$E$114:$E$119</c:f>
              <c:numCache>
                <c:formatCode>0%</c:formatCode>
                <c:ptCount val="6"/>
                <c:pt idx="0">
                  <c:v>-0.19704433497536958</c:v>
                </c:pt>
                <c:pt idx="1">
                  <c:v>-6.1795454545454547</c:v>
                </c:pt>
                <c:pt idx="2">
                  <c:v>-4.1355670103092779</c:v>
                </c:pt>
                <c:pt idx="3">
                  <c:v>0.86745454545454548</c:v>
                </c:pt>
                <c:pt idx="4">
                  <c:v>1</c:v>
                </c:pt>
                <c:pt idx="5">
                  <c:v>0.83799999999999997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86144"/>
        <c:axId val="87287680"/>
      </c:barChart>
      <c:catAx>
        <c:axId val="8728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87680"/>
        <c:crosses val="autoZero"/>
        <c:auto val="1"/>
        <c:lblAlgn val="ctr"/>
        <c:lblOffset val="100"/>
        <c:noMultiLvlLbl val="1"/>
      </c:catAx>
      <c:valAx>
        <c:axId val="87287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861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costos'!$C$127:$C$132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costos'!$D$127:$D$132</c:f>
              <c:numCache>
                <c:formatCode>_-\$* #,##0.00_-;"-$"* #,##0.00_-;_-\$* \-??_-;_-@_-</c:formatCode>
                <c:ptCount val="6"/>
                <c:pt idx="0">
                  <c:v>37.178999999999995</c:v>
                </c:pt>
                <c:pt idx="1">
                  <c:v>13.850999999999999</c:v>
                </c:pt>
                <c:pt idx="2">
                  <c:v>0</c:v>
                </c:pt>
                <c:pt idx="3">
                  <c:v>8.9909999999999997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91232"/>
        <c:axId val="87397120"/>
      </c:barChart>
      <c:catAx>
        <c:axId val="87391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397120"/>
        <c:crosses val="autoZero"/>
        <c:auto val="1"/>
        <c:lblAlgn val="ctr"/>
        <c:lblOffset val="100"/>
        <c:noMultiLvlLbl val="1"/>
      </c:catAx>
      <c:valAx>
        <c:axId val="87397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3912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costos'!$B$127:$B$132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costos'!$E$127:$E$132</c:f>
              <c:numCache>
                <c:formatCode>0%</c:formatCode>
                <c:ptCount val="6"/>
                <c:pt idx="0">
                  <c:v>-0.6649798477384683</c:v>
                </c:pt>
                <c:pt idx="1">
                  <c:v>-2.4977272727272721</c:v>
                </c:pt>
                <c:pt idx="2">
                  <c:v>1</c:v>
                </c:pt>
                <c:pt idx="3">
                  <c:v>-0.6347272727272727</c:v>
                </c:pt>
                <c:pt idx="4">
                  <c:v>1</c:v>
                </c:pt>
                <c:pt idx="5">
                  <c:v>0.91899999999999993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21696"/>
        <c:axId val="87423232"/>
      </c:barChart>
      <c:catAx>
        <c:axId val="87421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23232"/>
        <c:crosses val="autoZero"/>
        <c:auto val="1"/>
        <c:lblAlgn val="ctr"/>
        <c:lblOffset val="100"/>
        <c:noMultiLvlLbl val="1"/>
      </c:catAx>
      <c:valAx>
        <c:axId val="874232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21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costos'!$C$140:$C$145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costos'!$D$140:$D$145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50.544000000000004</c:v>
                </c:pt>
                <c:pt idx="2">
                  <c:v>3.4020000000000001</c:v>
                </c:pt>
                <c:pt idx="3">
                  <c:v>1.4580000000000002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65984"/>
        <c:axId val="87467520"/>
      </c:barChart>
      <c:catAx>
        <c:axId val="87465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67520"/>
        <c:crosses val="autoZero"/>
        <c:auto val="1"/>
        <c:lblAlgn val="ctr"/>
        <c:lblOffset val="100"/>
        <c:noMultiLvlLbl val="1"/>
      </c:catAx>
      <c:valAx>
        <c:axId val="87467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65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costos'!$B$140:$B$145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costos'!$E$140:$E$145</c:f>
              <c:numCache>
                <c:formatCode>0%</c:formatCode>
                <c:ptCount val="6"/>
                <c:pt idx="0">
                  <c:v>0.98911777877295126</c:v>
                </c:pt>
                <c:pt idx="1">
                  <c:v>-11.763636363636364</c:v>
                </c:pt>
                <c:pt idx="2">
                  <c:v>0.82463917525773189</c:v>
                </c:pt>
                <c:pt idx="3">
                  <c:v>0.73490909090909085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88384"/>
        <c:axId val="87489920"/>
      </c:barChart>
      <c:catAx>
        <c:axId val="8748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89920"/>
        <c:crosses val="autoZero"/>
        <c:auto val="1"/>
        <c:lblAlgn val="ctr"/>
        <c:lblOffset val="100"/>
        <c:noMultiLvlLbl val="1"/>
      </c:catAx>
      <c:valAx>
        <c:axId val="8748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488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costos'!$C$152:$C$157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costos'!$D$152:$D$157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0.72900000000000009</c:v>
                </c:pt>
                <c:pt idx="2">
                  <c:v>0</c:v>
                </c:pt>
                <c:pt idx="3">
                  <c:v>4.1310000000000002</c:v>
                </c:pt>
                <c:pt idx="4">
                  <c:v>0</c:v>
                </c:pt>
                <c:pt idx="5">
                  <c:v>2.0655000000000001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72928"/>
        <c:axId val="81774464"/>
      </c:barChart>
      <c:catAx>
        <c:axId val="8177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774464"/>
        <c:crosses val="autoZero"/>
        <c:auto val="1"/>
        <c:lblAlgn val="ctr"/>
        <c:lblOffset val="100"/>
        <c:noMultiLvlLbl val="1"/>
      </c:catAx>
      <c:valAx>
        <c:axId val="81774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772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costos'!$B$152:$B$157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costos'!$E$152:$E$157</c:f>
              <c:numCache>
                <c:formatCode>0%</c:formatCode>
                <c:ptCount val="6"/>
                <c:pt idx="0">
                  <c:v>0.89117778772951184</c:v>
                </c:pt>
                <c:pt idx="1">
                  <c:v>0.81590909090909092</c:v>
                </c:pt>
                <c:pt idx="2">
                  <c:v>1</c:v>
                </c:pt>
                <c:pt idx="3">
                  <c:v>0.24890909090909086</c:v>
                </c:pt>
                <c:pt idx="4">
                  <c:v>1</c:v>
                </c:pt>
                <c:pt idx="5">
                  <c:v>0.90820000000000001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94944"/>
        <c:axId val="81796480"/>
      </c:barChart>
      <c:catAx>
        <c:axId val="81794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796480"/>
        <c:crosses val="autoZero"/>
        <c:auto val="1"/>
        <c:lblAlgn val="ctr"/>
        <c:lblOffset val="100"/>
        <c:noMultiLvlLbl val="1"/>
      </c:catAx>
      <c:valAx>
        <c:axId val="81796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7949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costos'!$C$165:$C$170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costos'!$D$165:$D$170</c:f>
              <c:numCache>
                <c:formatCode>_-\$* #,##0.00_-;"-$"* #,##0.00_-;_-\$* \-??_-;_-@_-</c:formatCode>
                <c:ptCount val="6"/>
                <c:pt idx="0">
                  <c:v>147.01500000000001</c:v>
                </c:pt>
                <c:pt idx="1">
                  <c:v>0.97199999999999998</c:v>
                </c:pt>
                <c:pt idx="2">
                  <c:v>19.196999999999999</c:v>
                </c:pt>
                <c:pt idx="3">
                  <c:v>2.9160000000000004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34368"/>
        <c:axId val="81835904"/>
      </c:barChart>
      <c:catAx>
        <c:axId val="8183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835904"/>
        <c:crosses val="autoZero"/>
        <c:auto val="1"/>
        <c:lblAlgn val="ctr"/>
        <c:lblOffset val="100"/>
        <c:noMultiLvlLbl val="1"/>
      </c:catAx>
      <c:valAx>
        <c:axId val="818359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8343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esfuerzo'!$C$252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esfuerzo'!$B$253:$B$258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esfuerzo'!$C$253:$C$258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120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esfuerzo'!$D$252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esfuerzo'!$B$253:$B$258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esfuerzo'!$D$253:$D$258</c:f>
              <c:numCache>
                <c:formatCode>General</c:formatCode>
                <c:ptCount val="6"/>
                <c:pt idx="0">
                  <c:v>30</c:v>
                </c:pt>
                <c:pt idx="1">
                  <c:v>19</c:v>
                </c:pt>
                <c:pt idx="2">
                  <c:v>0</c:v>
                </c:pt>
                <c:pt idx="3">
                  <c:v>7</c:v>
                </c:pt>
                <c:pt idx="4">
                  <c:v>139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44224"/>
        <c:axId val="43046784"/>
      </c:barChart>
      <c:catAx>
        <c:axId val="4304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3046784"/>
        <c:crosses val="autoZero"/>
        <c:auto val="1"/>
        <c:lblAlgn val="ctr"/>
        <c:lblOffset val="100"/>
        <c:noMultiLvlLbl val="0"/>
      </c:catAx>
      <c:valAx>
        <c:axId val="4304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costos'!$B$165:$B$170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costos'!$E$165:$E$170</c:f>
              <c:numCache>
                <c:formatCode>0%</c:formatCode>
                <c:ptCount val="6"/>
                <c:pt idx="0">
                  <c:v>-5.5837438423645329</c:v>
                </c:pt>
                <c:pt idx="1">
                  <c:v>0.75454545454545452</c:v>
                </c:pt>
                <c:pt idx="2">
                  <c:v>1.0463917525773166E-2</c:v>
                </c:pt>
                <c:pt idx="3">
                  <c:v>0.46981818181818175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76864"/>
        <c:axId val="81878400"/>
      </c:barChart>
      <c:catAx>
        <c:axId val="818768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878400"/>
        <c:crosses val="autoZero"/>
        <c:auto val="1"/>
        <c:lblAlgn val="ctr"/>
        <c:lblOffset val="100"/>
        <c:noMultiLvlLbl val="1"/>
      </c:catAx>
      <c:valAx>
        <c:axId val="818784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876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costos'!$C$177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costos'!$B$178:$B$183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costos'!$C$178:$C$183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costos'!$D$177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costos'!$B$178:$B$183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costos'!$D$178:$D$183</c:f>
              <c:numCache>
                <c:formatCode>_-\$* #,##0.00_-;"-$"* #,##0.00_-;_-\$* \-??_-;_-@_-</c:formatCode>
                <c:ptCount val="6"/>
                <c:pt idx="0">
                  <c:v>8.0190000000000001</c:v>
                </c:pt>
                <c:pt idx="1">
                  <c:v>6.3180000000000005</c:v>
                </c:pt>
                <c:pt idx="2">
                  <c:v>0</c:v>
                </c:pt>
                <c:pt idx="3">
                  <c:v>3.645</c:v>
                </c:pt>
                <c:pt idx="4">
                  <c:v>0</c:v>
                </c:pt>
                <c:pt idx="5">
                  <c:v>2.4299999999999997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24704"/>
        <c:axId val="135213056"/>
      </c:barChart>
      <c:catAx>
        <c:axId val="134824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13056"/>
        <c:crosses val="autoZero"/>
        <c:auto val="1"/>
        <c:lblAlgn val="ctr"/>
        <c:lblOffset val="100"/>
        <c:noMultiLvlLbl val="0"/>
      </c:catAx>
      <c:valAx>
        <c:axId val="13521305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482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costos'!$C$192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costos'!$B$193:$B$198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costos'!$C$193:$C$198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costos'!$D$192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costos'!$B$193:$B$198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costos'!$D$193:$D$198</c:f>
              <c:numCache>
                <c:formatCode>_-\$* #,##0.00_-;"-$"* #,##0.00_-;_-\$* \-??_-;_-@_-</c:formatCode>
                <c:ptCount val="6"/>
                <c:pt idx="0">
                  <c:v>14.58</c:v>
                </c:pt>
                <c:pt idx="1">
                  <c:v>1.4580000000000002</c:v>
                </c:pt>
                <c:pt idx="2">
                  <c:v>106.92</c:v>
                </c:pt>
                <c:pt idx="3">
                  <c:v>4.3739999999999997</c:v>
                </c:pt>
                <c:pt idx="4">
                  <c:v>0</c:v>
                </c:pt>
                <c:pt idx="5">
                  <c:v>2.7945000000000002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54912"/>
        <c:axId val="122277248"/>
      </c:barChart>
      <c:catAx>
        <c:axId val="12205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2277248"/>
        <c:crosses val="autoZero"/>
        <c:auto val="1"/>
        <c:lblAlgn val="ctr"/>
        <c:lblOffset val="100"/>
        <c:noMultiLvlLbl val="0"/>
      </c:catAx>
      <c:valAx>
        <c:axId val="1222772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205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costos'!$C$205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costos'!$B$206:$B$211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costos'!$C$206:$C$211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costos'!$D$205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costos'!$B$206:$B$211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costos'!$D$206:$D$211</c:f>
              <c:numCache>
                <c:formatCode>_-\$* #,##0.00_-;"-$"* #,##0.00_-;_-\$* \-??_-;_-@_-</c:formatCode>
                <c:ptCount val="6"/>
                <c:pt idx="0">
                  <c:v>3.645</c:v>
                </c:pt>
                <c:pt idx="1">
                  <c:v>1.2149999999999999</c:v>
                </c:pt>
                <c:pt idx="2">
                  <c:v>0</c:v>
                </c:pt>
                <c:pt idx="3">
                  <c:v>1.7010000000000001</c:v>
                </c:pt>
                <c:pt idx="4">
                  <c:v>0</c:v>
                </c:pt>
                <c:pt idx="5">
                  <c:v>3.0375000000000001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7408"/>
        <c:axId val="125778944"/>
      </c:barChart>
      <c:catAx>
        <c:axId val="12577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78944"/>
        <c:crosses val="autoZero"/>
        <c:auto val="1"/>
        <c:lblAlgn val="ctr"/>
        <c:lblOffset val="100"/>
        <c:noMultiLvlLbl val="0"/>
      </c:catAx>
      <c:valAx>
        <c:axId val="12577894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577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costos'!$C$218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costos'!$B$219:$B$224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costos'!$C$219:$C$224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costos'!$D$218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costos'!$B$219:$B$224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costos'!$D$219:$D$224</c:f>
              <c:numCache>
                <c:formatCode>_-\$* #,##0.00_-;"-$"* #,##0.00_-;_-\$* \-??_-;_-@_-</c:formatCode>
                <c:ptCount val="6"/>
                <c:pt idx="0">
                  <c:v>202.905</c:v>
                </c:pt>
                <c:pt idx="1">
                  <c:v>29.16</c:v>
                </c:pt>
                <c:pt idx="2">
                  <c:v>0</c:v>
                </c:pt>
                <c:pt idx="3">
                  <c:v>2.673</c:v>
                </c:pt>
                <c:pt idx="4">
                  <c:v>43.74</c:v>
                </c:pt>
                <c:pt idx="5">
                  <c:v>1.0934999999999999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03808"/>
        <c:axId val="125381248"/>
      </c:barChart>
      <c:catAx>
        <c:axId val="1249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81248"/>
        <c:crosses val="autoZero"/>
        <c:auto val="1"/>
        <c:lblAlgn val="ctr"/>
        <c:lblOffset val="100"/>
        <c:noMultiLvlLbl val="0"/>
      </c:catAx>
      <c:valAx>
        <c:axId val="1253812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490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costos'!$C$231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costos'!$C$232:$C$237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costos'!$D$231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costos'!$D$232:$D$237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1.944</c:v>
                </c:pt>
                <c:pt idx="2">
                  <c:v>0</c:v>
                </c:pt>
                <c:pt idx="3">
                  <c:v>0.97199999999999998</c:v>
                </c:pt>
                <c:pt idx="4">
                  <c:v>0</c:v>
                </c:pt>
                <c:pt idx="5">
                  <c:v>3.1590000000000003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61856"/>
        <c:axId val="123563392"/>
      </c:barChart>
      <c:catAx>
        <c:axId val="12356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563392"/>
        <c:crosses val="autoZero"/>
        <c:auto val="1"/>
        <c:lblAlgn val="ctr"/>
        <c:lblOffset val="100"/>
        <c:noMultiLvlLbl val="0"/>
      </c:catAx>
      <c:valAx>
        <c:axId val="12356339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356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costos'!$C$246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costos'!$C$247:$C$252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costos'!$D$246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costos'!$D$247:$D$252</c:f>
              <c:numCache>
                <c:formatCode>_-\$* #,##0.00_-;"-$"* #,##0.00_-;_-\$* \-??_-;_-@_-</c:formatCode>
                <c:ptCount val="6"/>
                <c:pt idx="0">
                  <c:v>15.552</c:v>
                </c:pt>
                <c:pt idx="1">
                  <c:v>4.617</c:v>
                </c:pt>
                <c:pt idx="2">
                  <c:v>2.1869999999999998</c:v>
                </c:pt>
                <c:pt idx="3">
                  <c:v>2.673</c:v>
                </c:pt>
                <c:pt idx="4">
                  <c:v>0</c:v>
                </c:pt>
                <c:pt idx="5">
                  <c:v>5.9535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52128"/>
        <c:axId val="125941248"/>
      </c:barChart>
      <c:catAx>
        <c:axId val="12555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941248"/>
        <c:crosses val="autoZero"/>
        <c:auto val="1"/>
        <c:lblAlgn val="ctr"/>
        <c:lblOffset val="100"/>
        <c:noMultiLvlLbl val="0"/>
      </c:catAx>
      <c:valAx>
        <c:axId val="1259412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555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costos'!$C$259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costos'!$B$260:$B$265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costos'!$C$260:$C$265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costos'!$D$259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costos'!$B$260:$B$265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costos'!$D$260:$D$265</c:f>
              <c:numCache>
                <c:formatCode>_-\$* #,##0.00_-;"-$"* #,##0.00_-;_-\$* \-??_-;_-@_-</c:formatCode>
                <c:ptCount val="6"/>
                <c:pt idx="0">
                  <c:v>7.29</c:v>
                </c:pt>
                <c:pt idx="1">
                  <c:v>4.617</c:v>
                </c:pt>
                <c:pt idx="2">
                  <c:v>0</c:v>
                </c:pt>
                <c:pt idx="3">
                  <c:v>1.7010000000000001</c:v>
                </c:pt>
                <c:pt idx="4">
                  <c:v>33.777000000000001</c:v>
                </c:pt>
                <c:pt idx="5">
                  <c:v>1.8225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27744"/>
        <c:axId val="150129280"/>
      </c:barChart>
      <c:catAx>
        <c:axId val="15012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29280"/>
        <c:crosses val="autoZero"/>
        <c:auto val="1"/>
        <c:lblAlgn val="ctr"/>
        <c:lblOffset val="100"/>
        <c:noMultiLvlLbl val="0"/>
      </c:catAx>
      <c:valAx>
        <c:axId val="15012928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012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costos'!$C$273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costos'!$C$274:$C$279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costos'!$D$273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costos'!$D$274:$D$279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3.645</c:v>
                </c:pt>
                <c:pt idx="2">
                  <c:v>0</c:v>
                </c:pt>
                <c:pt idx="3">
                  <c:v>1.2149999999999999</c:v>
                </c:pt>
                <c:pt idx="4">
                  <c:v>30.618000000000002</c:v>
                </c:pt>
                <c:pt idx="5">
                  <c:v>0.60749999999999993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9184"/>
        <c:axId val="148370560"/>
      </c:barChart>
      <c:catAx>
        <c:axId val="1353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370560"/>
        <c:crosses val="autoZero"/>
        <c:auto val="1"/>
        <c:lblAlgn val="ctr"/>
        <c:lblOffset val="100"/>
        <c:noMultiLvlLbl val="0"/>
      </c:catAx>
      <c:valAx>
        <c:axId val="14837056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53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costos'!$C$287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costos'!$B$288:$B$293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costos'!$C$288:$C$293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costos'!$D$287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costos'!$B$288:$B$293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costos'!$D$288:$D$293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0.97199999999999998</c:v>
                </c:pt>
                <c:pt idx="2">
                  <c:v>0</c:v>
                </c:pt>
                <c:pt idx="3">
                  <c:v>1.4580000000000002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79424"/>
        <c:axId val="150049152"/>
      </c:barChart>
      <c:catAx>
        <c:axId val="14987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049152"/>
        <c:crosses val="autoZero"/>
        <c:auto val="1"/>
        <c:lblAlgn val="ctr"/>
        <c:lblOffset val="100"/>
        <c:noMultiLvlLbl val="0"/>
      </c:catAx>
      <c:valAx>
        <c:axId val="15004915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4987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esfuerzo'!$C$266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esfuerzo'!$B$267:$B$272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esfuerzo'!$C$267:$C$272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60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esfuerzo'!$D$266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esfuerzo'!$B$267:$B$272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esfuerzo'!$D$267:$D$272</c:f>
              <c:numCache>
                <c:formatCode>General</c:formatCode>
                <c:ptCount val="6"/>
                <c:pt idx="0">
                  <c:v>2</c:v>
                </c:pt>
                <c:pt idx="1">
                  <c:v>15</c:v>
                </c:pt>
                <c:pt idx="2">
                  <c:v>0</c:v>
                </c:pt>
                <c:pt idx="3">
                  <c:v>5</c:v>
                </c:pt>
                <c:pt idx="4">
                  <c:v>126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86240"/>
        <c:axId val="101102720"/>
      </c:barChart>
      <c:catAx>
        <c:axId val="10098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02720"/>
        <c:crosses val="autoZero"/>
        <c:auto val="1"/>
        <c:lblAlgn val="ctr"/>
        <c:lblOffset val="100"/>
        <c:noMultiLvlLbl val="0"/>
      </c:catAx>
      <c:valAx>
        <c:axId val="1011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costos'!$C$300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costos'!$B$301:$B$306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costos'!$C$301:$C$306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costos'!$D$300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costos'!$B$301:$B$306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costos'!$D$301:$D$306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2.673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2.5514999999999999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57600"/>
        <c:axId val="151267584"/>
      </c:barChart>
      <c:catAx>
        <c:axId val="15085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267584"/>
        <c:crosses val="autoZero"/>
        <c:auto val="1"/>
        <c:lblAlgn val="ctr"/>
        <c:lblOffset val="100"/>
        <c:noMultiLvlLbl val="0"/>
      </c:catAx>
      <c:valAx>
        <c:axId val="15126758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08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costos'!$C$313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costos'!$B$314:$B$319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costos'!$C$314:$C$319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costos'!$D$313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costos'!$B$314:$B$319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costos'!$D$314:$D$319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1.2149999999999999</c:v>
                </c:pt>
                <c:pt idx="2">
                  <c:v>0</c:v>
                </c:pt>
                <c:pt idx="3">
                  <c:v>0.72900000000000009</c:v>
                </c:pt>
                <c:pt idx="4">
                  <c:v>0</c:v>
                </c:pt>
                <c:pt idx="5">
                  <c:v>1.2149999999999999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46464"/>
        <c:axId val="150856448"/>
      </c:barChart>
      <c:catAx>
        <c:axId val="1508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856448"/>
        <c:crosses val="autoZero"/>
        <c:auto val="1"/>
        <c:lblAlgn val="ctr"/>
        <c:lblOffset val="100"/>
        <c:noMultiLvlLbl val="0"/>
      </c:catAx>
      <c:valAx>
        <c:axId val="1508564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08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costos'!$C$328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costos'!$B$329:$B$334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costos'!$C$329:$C$334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costos'!$D$328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costos'!$B$329:$B$334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costos'!$D$329:$D$334</c:f>
              <c:numCache>
                <c:formatCode>_-\$* #,##0.00_-;"-$"* #,##0.00_-;_-\$* \-??_-;_-@_-</c:formatCode>
                <c:ptCount val="6"/>
                <c:pt idx="0">
                  <c:v>0.97199999999999998</c:v>
                </c:pt>
                <c:pt idx="1">
                  <c:v>1.4580000000000002</c:v>
                </c:pt>
                <c:pt idx="2">
                  <c:v>0</c:v>
                </c:pt>
                <c:pt idx="3">
                  <c:v>1.2149999999999999</c:v>
                </c:pt>
                <c:pt idx="4">
                  <c:v>22.356000000000002</c:v>
                </c:pt>
                <c:pt idx="5">
                  <c:v>0.36450000000000005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24736"/>
        <c:axId val="152383872"/>
      </c:barChart>
      <c:catAx>
        <c:axId val="15232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383872"/>
        <c:crosses val="autoZero"/>
        <c:auto val="1"/>
        <c:lblAlgn val="ctr"/>
        <c:lblOffset val="100"/>
        <c:noMultiLvlLbl val="0"/>
      </c:catAx>
      <c:valAx>
        <c:axId val="15238387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232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costos'!$C$343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costos'!$B$344:$B$349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costos'!$C$344:$C$349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costos'!$D$343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costos'!$B$344:$B$349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costos'!$D$344:$D$349</c:f>
              <c:numCache>
                <c:formatCode>_-\$* #,##0.00_-;"-$"* #,##0.00_-;_-\$* \-??_-;_-@_-</c:formatCode>
                <c:ptCount val="6"/>
                <c:pt idx="0">
                  <c:v>0.97199999999999998</c:v>
                </c:pt>
                <c:pt idx="1">
                  <c:v>1.7010000000000001</c:v>
                </c:pt>
                <c:pt idx="2">
                  <c:v>0</c:v>
                </c:pt>
                <c:pt idx="3">
                  <c:v>2.673</c:v>
                </c:pt>
                <c:pt idx="4">
                  <c:v>78.731999999999999</c:v>
                </c:pt>
                <c:pt idx="5">
                  <c:v>0.48599999999999999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31168"/>
        <c:axId val="152638976"/>
      </c:barChart>
      <c:catAx>
        <c:axId val="1526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38976"/>
        <c:crosses val="autoZero"/>
        <c:auto val="1"/>
        <c:lblAlgn val="ctr"/>
        <c:lblOffset val="100"/>
        <c:noMultiLvlLbl val="0"/>
      </c:catAx>
      <c:valAx>
        <c:axId val="15263897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26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costos'!$C$356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costos'!$B$357:$B$362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costos'!$C$357:$C$362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costos'!$D$356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costos'!$B$357:$B$362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costos'!$D$357:$D$362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1.4580000000000002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16320"/>
        <c:axId val="152218240"/>
      </c:barChart>
      <c:catAx>
        <c:axId val="15221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18240"/>
        <c:crosses val="autoZero"/>
        <c:auto val="1"/>
        <c:lblAlgn val="ctr"/>
        <c:lblOffset val="100"/>
        <c:noMultiLvlLbl val="0"/>
      </c:catAx>
      <c:valAx>
        <c:axId val="15221824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221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costos'!$C$370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costos'!$B$371:$B$376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costos'!$C$371:$C$376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costos'!$D$370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costos'!$B$371:$B$376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costos'!$D$371:$D$376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0.24299999999999999</c:v>
                </c:pt>
                <c:pt idx="2">
                  <c:v>0</c:v>
                </c:pt>
                <c:pt idx="3">
                  <c:v>3.645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313856"/>
        <c:axId val="152519040"/>
      </c:barChart>
      <c:catAx>
        <c:axId val="1523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519040"/>
        <c:crosses val="autoZero"/>
        <c:auto val="1"/>
        <c:lblAlgn val="ctr"/>
        <c:lblOffset val="100"/>
        <c:noMultiLvlLbl val="0"/>
      </c:catAx>
      <c:valAx>
        <c:axId val="15251904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231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costos'!$C$384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costos'!$B$385:$B$390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costos'!$C$385:$C$390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costos'!$D$384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costos'!$B$385:$B$390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costos'!$D$385:$D$390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0.97199999999999998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2.0655000000000001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79552"/>
        <c:axId val="152899968"/>
      </c:barChart>
      <c:catAx>
        <c:axId val="152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99968"/>
        <c:crosses val="autoZero"/>
        <c:auto val="1"/>
        <c:lblAlgn val="ctr"/>
        <c:lblOffset val="100"/>
        <c:noMultiLvlLbl val="0"/>
      </c:catAx>
      <c:valAx>
        <c:axId val="15289996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267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costos'!$C$398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costos'!$B$399:$B$404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costos'!$C$399:$C$404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costos'!$D$398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costos'!$B$399:$B$404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costos'!$D$399:$D$404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3.4020000000000001</c:v>
                </c:pt>
                <c:pt idx="2">
                  <c:v>10.935</c:v>
                </c:pt>
                <c:pt idx="3">
                  <c:v>1.7010000000000001</c:v>
                </c:pt>
                <c:pt idx="4">
                  <c:v>0</c:v>
                </c:pt>
                <c:pt idx="5">
                  <c:v>1.944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35456"/>
        <c:axId val="153637248"/>
      </c:barChart>
      <c:catAx>
        <c:axId val="1536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37248"/>
        <c:crosses val="autoZero"/>
        <c:auto val="1"/>
        <c:lblAlgn val="ctr"/>
        <c:lblOffset val="100"/>
        <c:noMultiLvlLbl val="0"/>
      </c:catAx>
      <c:valAx>
        <c:axId val="1536372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36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costos'!$C$411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costos'!$B$412:$B$417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costos'!$C$412:$C$417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costos'!$D$411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costos'!$B$412:$B$417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costos'!$D$412:$D$417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1.2149999999999999</c:v>
                </c:pt>
                <c:pt idx="2">
                  <c:v>0</c:v>
                </c:pt>
                <c:pt idx="3">
                  <c:v>0.97199999999999998</c:v>
                </c:pt>
                <c:pt idx="4">
                  <c:v>20.898</c:v>
                </c:pt>
                <c:pt idx="5">
                  <c:v>0.48599999999999999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36064"/>
        <c:axId val="153387008"/>
      </c:barChart>
      <c:catAx>
        <c:axId val="15333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7008"/>
        <c:crosses val="autoZero"/>
        <c:auto val="1"/>
        <c:lblAlgn val="ctr"/>
        <c:lblOffset val="100"/>
        <c:noMultiLvlLbl val="0"/>
      </c:catAx>
      <c:valAx>
        <c:axId val="15338700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333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costos'!$C$425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costos'!$B$426:$B$431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costos'!$C$426:$C$431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costos'!$D$425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costos'!$B$426:$B$431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costos'!$D$426:$D$431</c:f>
              <c:numCache>
                <c:formatCode>_-\$* #,##0.00_-;"-$"* #,##0.00_-;_-\$* \-??_-;_-@_-</c:formatCode>
                <c:ptCount val="6"/>
                <c:pt idx="0">
                  <c:v>0.97199999999999998</c:v>
                </c:pt>
                <c:pt idx="1">
                  <c:v>0.97199999999999998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15.066000000000001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35168"/>
        <c:axId val="153736704"/>
      </c:barChart>
      <c:catAx>
        <c:axId val="15373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36704"/>
        <c:crosses val="autoZero"/>
        <c:auto val="1"/>
        <c:lblAlgn val="ctr"/>
        <c:lblOffset val="100"/>
        <c:noMultiLvlLbl val="0"/>
      </c:catAx>
      <c:valAx>
        <c:axId val="15373670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37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esfuerzo'!$C$281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esfuerzo'!$B$282:$B$287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esfuerzo'!$C$282:$C$287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esfuerzo'!$D$281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esfuerzo'!$B$282:$B$287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esfuerzo'!$D$282:$D$287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48672"/>
        <c:axId val="102350208"/>
      </c:barChart>
      <c:catAx>
        <c:axId val="10234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2350208"/>
        <c:crosses val="autoZero"/>
        <c:auto val="1"/>
        <c:lblAlgn val="ctr"/>
        <c:lblOffset val="100"/>
        <c:noMultiLvlLbl val="0"/>
      </c:catAx>
      <c:valAx>
        <c:axId val="1023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34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costos'!$C$439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costos'!$B$440:$B$445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costos'!$C$440:$C$445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costos'!$D$439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costos'!$B$440:$B$445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costos'!$D$440:$D$445</c:f>
              <c:numCache>
                <c:formatCode>_-\$* #,##0.00_-;"-$"* #,##0.00_-;_-\$* \-??_-;_-@_-</c:formatCode>
                <c:ptCount val="6"/>
                <c:pt idx="0">
                  <c:v>0.97199999999999998</c:v>
                </c:pt>
                <c:pt idx="1">
                  <c:v>0.97199999999999998</c:v>
                </c:pt>
                <c:pt idx="2">
                  <c:v>0</c:v>
                </c:pt>
                <c:pt idx="3">
                  <c:v>0</c:v>
                </c:pt>
                <c:pt idx="4">
                  <c:v>12.879</c:v>
                </c:pt>
                <c:pt idx="5">
                  <c:v>0.48599999999999999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60640"/>
        <c:axId val="153387776"/>
      </c:barChart>
      <c:catAx>
        <c:axId val="153360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87776"/>
        <c:crosses val="autoZero"/>
        <c:auto val="1"/>
        <c:lblAlgn val="ctr"/>
        <c:lblOffset val="100"/>
        <c:noMultiLvlLbl val="0"/>
      </c:catAx>
      <c:valAx>
        <c:axId val="15338777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336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costos'!$C$453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costos'!$C$454:$C$459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costos'!$D$453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costos'!$D$454:$D$459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1.2149999999999999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15424"/>
        <c:axId val="152885888"/>
      </c:barChart>
      <c:catAx>
        <c:axId val="12221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2885888"/>
        <c:crosses val="autoZero"/>
        <c:auto val="1"/>
        <c:lblAlgn val="ctr"/>
        <c:lblOffset val="100"/>
        <c:noMultiLvlLbl val="0"/>
      </c:catAx>
      <c:valAx>
        <c:axId val="15288588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221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costos'!$C$467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costos'!$B$468:$B$473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costos'!$C$468:$C$473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costos'!$D$467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costos'!$B$468:$B$473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costos'!$D$468:$D$473</c:f>
              <c:numCache>
                <c:formatCode>_-\$* #,##0.00_-;"-$"* #,##0.00_-;_-\$* \-??_-;_-@_-</c:formatCode>
                <c:ptCount val="6"/>
                <c:pt idx="0">
                  <c:v>0.97199999999999998</c:v>
                </c:pt>
                <c:pt idx="1">
                  <c:v>1.4580000000000002</c:v>
                </c:pt>
                <c:pt idx="2">
                  <c:v>0</c:v>
                </c:pt>
                <c:pt idx="3">
                  <c:v>0.72900000000000009</c:v>
                </c:pt>
                <c:pt idx="4">
                  <c:v>25.515000000000001</c:v>
                </c:pt>
                <c:pt idx="5">
                  <c:v>1.5795000000000001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14656"/>
        <c:axId val="150496000"/>
      </c:barChart>
      <c:catAx>
        <c:axId val="12221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96000"/>
        <c:crosses val="autoZero"/>
        <c:auto val="1"/>
        <c:lblAlgn val="ctr"/>
        <c:lblOffset val="100"/>
        <c:noMultiLvlLbl val="0"/>
      </c:catAx>
      <c:valAx>
        <c:axId val="15049600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2221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costos'!$C$481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costos'!$B$482:$B$487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costos'!$C$482:$C$487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costos'!$D$481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costos'!$B$482:$B$487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costos'!$D$482:$D$487</c:f>
              <c:numCache>
                <c:formatCode>_-\$* #,##0.00_-;"-$"* #,##0.00_-;_-\$* \-??_-;_-@_-</c:formatCode>
                <c:ptCount val="6"/>
                <c:pt idx="0">
                  <c:v>0.97199999999999998</c:v>
                </c:pt>
                <c:pt idx="1">
                  <c:v>1.4580000000000002</c:v>
                </c:pt>
                <c:pt idx="2">
                  <c:v>0</c:v>
                </c:pt>
                <c:pt idx="3">
                  <c:v>1.4580000000000002</c:v>
                </c:pt>
                <c:pt idx="4">
                  <c:v>0</c:v>
                </c:pt>
                <c:pt idx="5">
                  <c:v>0.36450000000000005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85248"/>
        <c:axId val="150495232"/>
      </c:barChart>
      <c:catAx>
        <c:axId val="15048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0495232"/>
        <c:crosses val="autoZero"/>
        <c:auto val="1"/>
        <c:lblAlgn val="ctr"/>
        <c:lblOffset val="100"/>
        <c:noMultiLvlLbl val="0"/>
      </c:catAx>
      <c:valAx>
        <c:axId val="150495232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048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costos'!$C$495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costos'!$B$496:$B$501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costos'!$C$496:$C$501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costos'!$D$495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costos'!$B$496:$B$501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costos'!$D$496:$D$501</c:f>
              <c:numCache>
                <c:formatCode>_-\$* #,##0.00_-;"-$"* #,##0.00_-;_-\$* \-??_-;_-@_-</c:formatCode>
                <c:ptCount val="6"/>
                <c:pt idx="0">
                  <c:v>23.814</c:v>
                </c:pt>
                <c:pt idx="1">
                  <c:v>2.4299999999999997</c:v>
                </c:pt>
                <c:pt idx="2">
                  <c:v>51.515999999999998</c:v>
                </c:pt>
                <c:pt idx="3">
                  <c:v>0</c:v>
                </c:pt>
                <c:pt idx="4">
                  <c:v>0</c:v>
                </c:pt>
                <c:pt idx="5">
                  <c:v>0.36450000000000005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533440"/>
        <c:axId val="151534976"/>
      </c:barChart>
      <c:catAx>
        <c:axId val="15153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534976"/>
        <c:crosses val="autoZero"/>
        <c:auto val="1"/>
        <c:lblAlgn val="ctr"/>
        <c:lblOffset val="100"/>
        <c:noMultiLvlLbl val="0"/>
      </c:catAx>
      <c:valAx>
        <c:axId val="15153497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5153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Procesos'!$C$4:$C$10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Procesos'!$AO$4:$AO$9</c:f>
              <c:numCache>
                <c:formatCode>0%</c:formatCode>
                <c:ptCount val="6"/>
                <c:pt idx="0">
                  <c:v>0</c:v>
                </c:pt>
                <c:pt idx="1">
                  <c:v>0.98900769230769225</c:v>
                </c:pt>
                <c:pt idx="2">
                  <c:v>1</c:v>
                </c:pt>
                <c:pt idx="3">
                  <c:v>1</c:v>
                </c:pt>
                <c:pt idx="4">
                  <c:v>0.66667500000000002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317376"/>
        <c:axId val="89318912"/>
      </c:barChart>
      <c:catAx>
        <c:axId val="89317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18912"/>
        <c:crosses val="autoZero"/>
        <c:auto val="1"/>
        <c:lblAlgn val="ctr"/>
        <c:lblOffset val="100"/>
        <c:noMultiLvlLbl val="1"/>
      </c:catAx>
      <c:valAx>
        <c:axId val="89318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1737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Procesos'!$AO$13:$AO$15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272256"/>
        <c:axId val="42273792"/>
      </c:barChart>
      <c:catAx>
        <c:axId val="4227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73792"/>
        <c:crosses val="autoZero"/>
        <c:auto val="1"/>
        <c:lblAlgn val="ctr"/>
        <c:lblOffset val="100"/>
        <c:noMultiLvlLbl val="1"/>
      </c:catAx>
      <c:valAx>
        <c:axId val="42273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722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Productos'!$Q$4:$Q$8</c:f>
              <c:numCache>
                <c:formatCode>0.00%</c:formatCode>
                <c:ptCount val="5"/>
                <c:pt idx="0">
                  <c:v>0.94120000000000004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932544"/>
        <c:axId val="89934080"/>
      </c:barChart>
      <c:catAx>
        <c:axId val="89932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34080"/>
        <c:crosses val="autoZero"/>
        <c:auto val="1"/>
        <c:lblAlgn val="ctr"/>
        <c:lblOffset val="100"/>
        <c:noMultiLvlLbl val="1"/>
      </c:catAx>
      <c:valAx>
        <c:axId val="899340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3254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Productos'!$AP$12:$AP$14</c:f>
              <c:numCache>
                <c:formatCode>0%</c:formatCode>
                <c:ptCount val="3"/>
                <c:pt idx="0">
                  <c:v>1</c:v>
                </c:pt>
                <c:pt idx="1">
                  <c:v>0.85709999999999997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9958656"/>
        <c:axId val="89964544"/>
      </c:barChart>
      <c:catAx>
        <c:axId val="89958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64544"/>
        <c:crosses val="autoZero"/>
        <c:auto val="1"/>
        <c:lblAlgn val="ctr"/>
        <c:lblOffset val="100"/>
        <c:noMultiLvlLbl val="1"/>
      </c:catAx>
      <c:valAx>
        <c:axId val="899645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5865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Física!$AO$4:$AO$6</c:f>
              <c:numCache>
                <c:formatCode>0%</c:formatCode>
                <c:ptCount val="3"/>
                <c:pt idx="0">
                  <c:v>0.84615384615384615</c:v>
                </c:pt>
                <c:pt idx="1">
                  <c:v>0.76923076923076927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689792"/>
        <c:axId val="98691328"/>
      </c:barChart>
      <c:catAx>
        <c:axId val="98689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691328"/>
        <c:crosses val="autoZero"/>
        <c:auto val="1"/>
        <c:lblAlgn val="ctr"/>
        <c:lblOffset val="100"/>
        <c:noMultiLvlLbl val="1"/>
      </c:catAx>
      <c:valAx>
        <c:axId val="986913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68979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47" Type="http://schemas.openxmlformats.org/officeDocument/2006/relationships/chart" Target="../charts/chart91.xml"/><Relationship Id="rId50" Type="http://schemas.openxmlformats.org/officeDocument/2006/relationships/chart" Target="../charts/chart94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Relationship Id="rId46" Type="http://schemas.openxmlformats.org/officeDocument/2006/relationships/chart" Target="../charts/chart90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45" Type="http://schemas.openxmlformats.org/officeDocument/2006/relationships/chart" Target="../charts/chart89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49" Type="http://schemas.openxmlformats.org/officeDocument/2006/relationships/chart" Target="../charts/chart93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48" Type="http://schemas.openxmlformats.org/officeDocument/2006/relationships/chart" Target="../charts/chart92.xml"/><Relationship Id="rId8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6.xml"/><Relationship Id="rId1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8.xml"/><Relationship Id="rId1" Type="http://schemas.openxmlformats.org/officeDocument/2006/relationships/chart" Target="../charts/chart9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159</xdr:row>
      <xdr:rowOff>180975</xdr:rowOff>
    </xdr:from>
    <xdr:to>
      <xdr:col>11</xdr:col>
      <xdr:colOff>114300</xdr:colOff>
      <xdr:row>168</xdr:row>
      <xdr:rowOff>128587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466724</xdr:colOff>
      <xdr:row>173</xdr:row>
      <xdr:rowOff>152399</xdr:rowOff>
    </xdr:from>
    <xdr:to>
      <xdr:col>11</xdr:col>
      <xdr:colOff>438149</xdr:colOff>
      <xdr:row>183</xdr:row>
      <xdr:rowOff>28575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189</xdr:row>
      <xdr:rowOff>161925</xdr:rowOff>
    </xdr:from>
    <xdr:to>
      <xdr:col>11</xdr:col>
      <xdr:colOff>276225</xdr:colOff>
      <xdr:row>199</xdr:row>
      <xdr:rowOff>33337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438150</xdr:colOff>
      <xdr:row>203</xdr:row>
      <xdr:rowOff>190499</xdr:rowOff>
    </xdr:from>
    <xdr:to>
      <xdr:col>11</xdr:col>
      <xdr:colOff>600075</xdr:colOff>
      <xdr:row>214</xdr:row>
      <xdr:rowOff>185736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247650</xdr:colOff>
      <xdr:row>219</xdr:row>
      <xdr:rowOff>9525</xdr:rowOff>
    </xdr:from>
    <xdr:to>
      <xdr:col>10</xdr:col>
      <xdr:colOff>647700</xdr:colOff>
      <xdr:row>227</xdr:row>
      <xdr:rowOff>166687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234</xdr:row>
      <xdr:rowOff>114300</xdr:rowOff>
    </xdr:from>
    <xdr:to>
      <xdr:col>11</xdr:col>
      <xdr:colOff>428625</xdr:colOff>
      <xdr:row>244</xdr:row>
      <xdr:rowOff>23812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476250</xdr:colOff>
      <xdr:row>249</xdr:row>
      <xdr:rowOff>57150</xdr:rowOff>
    </xdr:from>
    <xdr:to>
      <xdr:col>11</xdr:col>
      <xdr:colOff>561975</xdr:colOff>
      <xdr:row>259</xdr:row>
      <xdr:rowOff>157162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219075</xdr:colOff>
      <xdr:row>263</xdr:row>
      <xdr:rowOff>47624</xdr:rowOff>
    </xdr:from>
    <xdr:to>
      <xdr:col>11</xdr:col>
      <xdr:colOff>476250</xdr:colOff>
      <xdr:row>273</xdr:row>
      <xdr:rowOff>176211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190500</xdr:colOff>
      <xdr:row>277</xdr:row>
      <xdr:rowOff>180975</xdr:rowOff>
    </xdr:from>
    <xdr:to>
      <xdr:col>11</xdr:col>
      <xdr:colOff>323850</xdr:colOff>
      <xdr:row>288</xdr:row>
      <xdr:rowOff>33337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381000</xdr:colOff>
      <xdr:row>290</xdr:row>
      <xdr:rowOff>161924</xdr:rowOff>
    </xdr:from>
    <xdr:to>
      <xdr:col>11</xdr:col>
      <xdr:colOff>361950</xdr:colOff>
      <xdr:row>301</xdr:row>
      <xdr:rowOff>138111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371475</xdr:colOff>
      <xdr:row>306</xdr:row>
      <xdr:rowOff>161924</xdr:rowOff>
    </xdr:from>
    <xdr:to>
      <xdr:col>11</xdr:col>
      <xdr:colOff>552450</xdr:colOff>
      <xdr:row>317</xdr:row>
      <xdr:rowOff>42861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320</xdr:row>
      <xdr:rowOff>114299</xdr:rowOff>
    </xdr:from>
    <xdr:to>
      <xdr:col>11</xdr:col>
      <xdr:colOff>704850</xdr:colOff>
      <xdr:row>331</xdr:row>
      <xdr:rowOff>14286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323850</xdr:colOff>
      <xdr:row>334</xdr:row>
      <xdr:rowOff>28575</xdr:rowOff>
    </xdr:from>
    <xdr:to>
      <xdr:col>11</xdr:col>
      <xdr:colOff>466725</xdr:colOff>
      <xdr:row>344</xdr:row>
      <xdr:rowOff>185737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361950</xdr:colOff>
      <xdr:row>346</xdr:row>
      <xdr:rowOff>123824</xdr:rowOff>
    </xdr:from>
    <xdr:to>
      <xdr:col>11</xdr:col>
      <xdr:colOff>571500</xdr:colOff>
      <xdr:row>357</xdr:row>
      <xdr:rowOff>80961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257175</xdr:colOff>
      <xdr:row>360</xdr:row>
      <xdr:rowOff>142875</xdr:rowOff>
    </xdr:from>
    <xdr:to>
      <xdr:col>11</xdr:col>
      <xdr:colOff>495300</xdr:colOff>
      <xdr:row>371</xdr:row>
      <xdr:rowOff>90487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190500</xdr:colOff>
      <xdr:row>374</xdr:row>
      <xdr:rowOff>133349</xdr:rowOff>
    </xdr:from>
    <xdr:to>
      <xdr:col>11</xdr:col>
      <xdr:colOff>523875</xdr:colOff>
      <xdr:row>386</xdr:row>
      <xdr:rowOff>33336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285750</xdr:colOff>
      <xdr:row>389</xdr:row>
      <xdr:rowOff>9525</xdr:rowOff>
    </xdr:from>
    <xdr:to>
      <xdr:col>11</xdr:col>
      <xdr:colOff>609600</xdr:colOff>
      <xdr:row>399</xdr:row>
      <xdr:rowOff>185737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447675</xdr:colOff>
      <xdr:row>402</xdr:row>
      <xdr:rowOff>76200</xdr:rowOff>
    </xdr:from>
    <xdr:to>
      <xdr:col>12</xdr:col>
      <xdr:colOff>57150</xdr:colOff>
      <xdr:row>413</xdr:row>
      <xdr:rowOff>119062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361950</xdr:colOff>
      <xdr:row>415</xdr:row>
      <xdr:rowOff>180975</xdr:rowOff>
    </xdr:from>
    <xdr:to>
      <xdr:col>11</xdr:col>
      <xdr:colOff>571500</xdr:colOff>
      <xdr:row>425</xdr:row>
      <xdr:rowOff>128587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238125</xdr:colOff>
      <xdr:row>431</xdr:row>
      <xdr:rowOff>38100</xdr:rowOff>
    </xdr:from>
    <xdr:to>
      <xdr:col>11</xdr:col>
      <xdr:colOff>514350</xdr:colOff>
      <xdr:row>442</xdr:row>
      <xdr:rowOff>23812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276225</xdr:colOff>
      <xdr:row>443</xdr:row>
      <xdr:rowOff>142875</xdr:rowOff>
    </xdr:from>
    <xdr:to>
      <xdr:col>11</xdr:col>
      <xdr:colOff>561975</xdr:colOff>
      <xdr:row>455</xdr:row>
      <xdr:rowOff>14287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304800</xdr:colOff>
      <xdr:row>457</xdr:row>
      <xdr:rowOff>28575</xdr:rowOff>
    </xdr:from>
    <xdr:to>
      <xdr:col>11</xdr:col>
      <xdr:colOff>514350</xdr:colOff>
      <xdr:row>468</xdr:row>
      <xdr:rowOff>147637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257175</xdr:colOff>
      <xdr:row>472</xdr:row>
      <xdr:rowOff>28575</xdr:rowOff>
    </xdr:from>
    <xdr:to>
      <xdr:col>11</xdr:col>
      <xdr:colOff>514350</xdr:colOff>
      <xdr:row>482</xdr:row>
      <xdr:rowOff>166687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285750</xdr:colOff>
      <xdr:row>485</xdr:row>
      <xdr:rowOff>19049</xdr:rowOff>
    </xdr:from>
    <xdr:to>
      <xdr:col>11</xdr:col>
      <xdr:colOff>590550</xdr:colOff>
      <xdr:row>496</xdr:row>
      <xdr:rowOff>147636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495300</xdr:colOff>
      <xdr:row>144</xdr:row>
      <xdr:rowOff>161925</xdr:rowOff>
    </xdr:from>
    <xdr:to>
      <xdr:col>11</xdr:col>
      <xdr:colOff>609600</xdr:colOff>
      <xdr:row>153</xdr:row>
      <xdr:rowOff>185736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152400</xdr:colOff>
      <xdr:row>143</xdr:row>
      <xdr:rowOff>180975</xdr:rowOff>
    </xdr:from>
    <xdr:to>
      <xdr:col>17</xdr:col>
      <xdr:colOff>428625</xdr:colOff>
      <xdr:row>154</xdr:row>
      <xdr:rowOff>33337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342900</xdr:colOff>
      <xdr:row>132</xdr:row>
      <xdr:rowOff>104775</xdr:rowOff>
    </xdr:from>
    <xdr:to>
      <xdr:col>11</xdr:col>
      <xdr:colOff>400050</xdr:colOff>
      <xdr:row>143</xdr:row>
      <xdr:rowOff>14287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200025</xdr:colOff>
      <xdr:row>120</xdr:row>
      <xdr:rowOff>171449</xdr:rowOff>
    </xdr:from>
    <xdr:to>
      <xdr:col>11</xdr:col>
      <xdr:colOff>123825</xdr:colOff>
      <xdr:row>130</xdr:row>
      <xdr:rowOff>185736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352426</xdr:colOff>
      <xdr:row>120</xdr:row>
      <xdr:rowOff>171450</xdr:rowOff>
    </xdr:from>
    <xdr:to>
      <xdr:col>16</xdr:col>
      <xdr:colOff>666751</xdr:colOff>
      <xdr:row>129</xdr:row>
      <xdr:rowOff>138112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476249</xdr:colOff>
      <xdr:row>105</xdr:row>
      <xdr:rowOff>123825</xdr:rowOff>
    </xdr:from>
    <xdr:to>
      <xdr:col>11</xdr:col>
      <xdr:colOff>219074</xdr:colOff>
      <xdr:row>116</xdr:row>
      <xdr:rowOff>52386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428624</xdr:colOff>
      <xdr:row>94</xdr:row>
      <xdr:rowOff>142874</xdr:rowOff>
    </xdr:from>
    <xdr:to>
      <xdr:col>11</xdr:col>
      <xdr:colOff>190499</xdr:colOff>
      <xdr:row>104</xdr:row>
      <xdr:rowOff>104775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495300</xdr:colOff>
      <xdr:row>94</xdr:row>
      <xdr:rowOff>133350</xdr:rowOff>
    </xdr:from>
    <xdr:to>
      <xdr:col>16</xdr:col>
      <xdr:colOff>666750</xdr:colOff>
      <xdr:row>104</xdr:row>
      <xdr:rowOff>80962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504825</xdr:colOff>
      <xdr:row>83</xdr:row>
      <xdr:rowOff>133349</xdr:rowOff>
    </xdr:from>
    <xdr:to>
      <xdr:col>11</xdr:col>
      <xdr:colOff>314325</xdr:colOff>
      <xdr:row>92</xdr:row>
      <xdr:rowOff>52386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390525</xdr:colOff>
      <xdr:row>70</xdr:row>
      <xdr:rowOff>66674</xdr:rowOff>
    </xdr:from>
    <xdr:to>
      <xdr:col>11</xdr:col>
      <xdr:colOff>571500</xdr:colOff>
      <xdr:row>79</xdr:row>
      <xdr:rowOff>176211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123825</xdr:colOff>
      <xdr:row>70</xdr:row>
      <xdr:rowOff>142874</xdr:rowOff>
    </xdr:from>
    <xdr:to>
      <xdr:col>18</xdr:col>
      <xdr:colOff>66675</xdr:colOff>
      <xdr:row>80</xdr:row>
      <xdr:rowOff>42861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304800</xdr:colOff>
      <xdr:row>59</xdr:row>
      <xdr:rowOff>9524</xdr:rowOff>
    </xdr:from>
    <xdr:to>
      <xdr:col>10</xdr:col>
      <xdr:colOff>676275</xdr:colOff>
      <xdr:row>68</xdr:row>
      <xdr:rowOff>157161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209550</xdr:colOff>
      <xdr:row>58</xdr:row>
      <xdr:rowOff>152400</xdr:rowOff>
    </xdr:from>
    <xdr:to>
      <xdr:col>16</xdr:col>
      <xdr:colOff>723900</xdr:colOff>
      <xdr:row>68</xdr:row>
      <xdr:rowOff>61912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409575</xdr:colOff>
      <xdr:row>47</xdr:row>
      <xdr:rowOff>142874</xdr:rowOff>
    </xdr:from>
    <xdr:to>
      <xdr:col>11</xdr:col>
      <xdr:colOff>66675</xdr:colOff>
      <xdr:row>58</xdr:row>
      <xdr:rowOff>4761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485775</xdr:colOff>
      <xdr:row>36</xdr:row>
      <xdr:rowOff>114300</xdr:rowOff>
    </xdr:from>
    <xdr:to>
      <xdr:col>11</xdr:col>
      <xdr:colOff>352425</xdr:colOff>
      <xdr:row>46</xdr:row>
      <xdr:rowOff>23812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695324</xdr:colOff>
      <xdr:row>36</xdr:row>
      <xdr:rowOff>85725</xdr:rowOff>
    </xdr:from>
    <xdr:to>
      <xdr:col>17</xdr:col>
      <xdr:colOff>152399</xdr:colOff>
      <xdr:row>47</xdr:row>
      <xdr:rowOff>14287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381000</xdr:colOff>
      <xdr:row>25</xdr:row>
      <xdr:rowOff>66675</xdr:rowOff>
    </xdr:from>
    <xdr:to>
      <xdr:col>11</xdr:col>
      <xdr:colOff>438150</xdr:colOff>
      <xdr:row>35</xdr:row>
      <xdr:rowOff>109537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552450</xdr:colOff>
      <xdr:row>14</xdr:row>
      <xdr:rowOff>28575</xdr:rowOff>
    </xdr:from>
    <xdr:to>
      <xdr:col>11</xdr:col>
      <xdr:colOff>657225</xdr:colOff>
      <xdr:row>23</xdr:row>
      <xdr:rowOff>90487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514350</xdr:colOff>
      <xdr:row>3</xdr:row>
      <xdr:rowOff>95249</xdr:rowOff>
    </xdr:from>
    <xdr:to>
      <xdr:col>12</xdr:col>
      <xdr:colOff>161925</xdr:colOff>
      <xdr:row>13</xdr:row>
      <xdr:rowOff>52386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12</xdr:col>
      <xdr:colOff>619125</xdr:colOff>
      <xdr:row>3</xdr:row>
      <xdr:rowOff>114299</xdr:rowOff>
    </xdr:from>
    <xdr:to>
      <xdr:col>18</xdr:col>
      <xdr:colOff>276225</xdr:colOff>
      <xdr:row>13</xdr:row>
      <xdr:rowOff>14286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309240</xdr:colOff>
      <xdr:row>0</xdr:row>
      <xdr:rowOff>175680</xdr:rowOff>
    </xdr:from>
    <xdr:to>
      <xdr:col>11</xdr:col>
      <xdr:colOff>149400</xdr:colOff>
      <xdr:row>10</xdr:row>
      <xdr:rowOff>180360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330480</xdr:colOff>
      <xdr:row>0</xdr:row>
      <xdr:rowOff>16920</xdr:rowOff>
    </xdr:from>
    <xdr:to>
      <xdr:col>16</xdr:col>
      <xdr:colOff>730800</xdr:colOff>
      <xdr:row>10</xdr:row>
      <xdr:rowOff>159120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351360</xdr:colOff>
      <xdr:row>14</xdr:row>
      <xdr:rowOff>42840</xdr:rowOff>
    </xdr:from>
    <xdr:to>
      <xdr:col>11</xdr:col>
      <xdr:colOff>339840</xdr:colOff>
      <xdr:row>25</xdr:row>
      <xdr:rowOff>47160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616320</xdr:colOff>
      <xdr:row>14</xdr:row>
      <xdr:rowOff>148680</xdr:rowOff>
    </xdr:from>
    <xdr:to>
      <xdr:col>17</xdr:col>
      <xdr:colOff>128160</xdr:colOff>
      <xdr:row>25</xdr:row>
      <xdr:rowOff>15120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340920</xdr:colOff>
      <xdr:row>26</xdr:row>
      <xdr:rowOff>37080</xdr:rowOff>
    </xdr:from>
    <xdr:to>
      <xdr:col>11</xdr:col>
      <xdr:colOff>117720</xdr:colOff>
      <xdr:row>36</xdr:row>
      <xdr:rowOff>73440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351720</xdr:colOff>
      <xdr:row>25</xdr:row>
      <xdr:rowOff>185040</xdr:rowOff>
    </xdr:from>
    <xdr:to>
      <xdr:col>16</xdr:col>
      <xdr:colOff>667440</xdr:colOff>
      <xdr:row>36</xdr:row>
      <xdr:rowOff>114480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224280</xdr:colOff>
      <xdr:row>38</xdr:row>
      <xdr:rowOff>94680</xdr:rowOff>
    </xdr:from>
    <xdr:to>
      <xdr:col>11</xdr:col>
      <xdr:colOff>149040</xdr:colOff>
      <xdr:row>49</xdr:row>
      <xdr:rowOff>108000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500040</xdr:colOff>
      <xdr:row>38</xdr:row>
      <xdr:rowOff>20880</xdr:rowOff>
    </xdr:from>
    <xdr:to>
      <xdr:col>17</xdr:col>
      <xdr:colOff>181080</xdr:colOff>
      <xdr:row>49</xdr:row>
      <xdr:rowOff>119520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288000</xdr:colOff>
      <xdr:row>51</xdr:row>
      <xdr:rowOff>162720</xdr:rowOff>
    </xdr:from>
    <xdr:to>
      <xdr:col>11</xdr:col>
      <xdr:colOff>276480</xdr:colOff>
      <xdr:row>63</xdr:row>
      <xdr:rowOff>34920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500040</xdr:colOff>
      <xdr:row>51</xdr:row>
      <xdr:rowOff>141480</xdr:rowOff>
    </xdr:from>
    <xdr:to>
      <xdr:col>17</xdr:col>
      <xdr:colOff>234000</xdr:colOff>
      <xdr:row>63</xdr:row>
      <xdr:rowOff>34920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309240</xdr:colOff>
      <xdr:row>66</xdr:row>
      <xdr:rowOff>131040</xdr:rowOff>
    </xdr:from>
    <xdr:to>
      <xdr:col>11</xdr:col>
      <xdr:colOff>286920</xdr:colOff>
      <xdr:row>77</xdr:row>
      <xdr:rowOff>71640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574200</xdr:colOff>
      <xdr:row>66</xdr:row>
      <xdr:rowOff>141480</xdr:rowOff>
    </xdr:from>
    <xdr:to>
      <xdr:col>17</xdr:col>
      <xdr:colOff>244800</xdr:colOff>
      <xdr:row>77</xdr:row>
      <xdr:rowOff>29160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340920</xdr:colOff>
      <xdr:row>79</xdr:row>
      <xdr:rowOff>177840</xdr:rowOff>
    </xdr:from>
    <xdr:to>
      <xdr:col>11</xdr:col>
      <xdr:colOff>456120</xdr:colOff>
      <xdr:row>91</xdr:row>
      <xdr:rowOff>76320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637560</xdr:colOff>
      <xdr:row>80</xdr:row>
      <xdr:rowOff>103680</xdr:rowOff>
    </xdr:from>
    <xdr:to>
      <xdr:col>17</xdr:col>
      <xdr:colOff>297360</xdr:colOff>
      <xdr:row>91</xdr:row>
      <xdr:rowOff>55080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266760</xdr:colOff>
      <xdr:row>93</xdr:row>
      <xdr:rowOff>24120</xdr:rowOff>
    </xdr:from>
    <xdr:to>
      <xdr:col>11</xdr:col>
      <xdr:colOff>630</xdr:colOff>
      <xdr:row>103</xdr:row>
      <xdr:rowOff>97560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320040</xdr:colOff>
      <xdr:row>92</xdr:row>
      <xdr:rowOff>151200</xdr:rowOff>
    </xdr:from>
    <xdr:to>
      <xdr:col>16</xdr:col>
      <xdr:colOff>635760</xdr:colOff>
      <xdr:row>103</xdr:row>
      <xdr:rowOff>87120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457200</xdr:colOff>
      <xdr:row>110</xdr:row>
      <xdr:rowOff>182520</xdr:rowOff>
    </xdr:from>
    <xdr:to>
      <xdr:col>11</xdr:col>
      <xdr:colOff>286920</xdr:colOff>
      <xdr:row>121</xdr:row>
      <xdr:rowOff>7200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468360</xdr:colOff>
      <xdr:row>110</xdr:row>
      <xdr:rowOff>182520</xdr:rowOff>
    </xdr:from>
    <xdr:to>
      <xdr:col>17</xdr:col>
      <xdr:colOff>1056</xdr:colOff>
      <xdr:row>121</xdr:row>
      <xdr:rowOff>60120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256320</xdr:colOff>
      <xdr:row>123</xdr:row>
      <xdr:rowOff>70920</xdr:rowOff>
    </xdr:from>
    <xdr:to>
      <xdr:col>11</xdr:col>
      <xdr:colOff>382320</xdr:colOff>
      <xdr:row>134</xdr:row>
      <xdr:rowOff>64440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521280</xdr:colOff>
      <xdr:row>123</xdr:row>
      <xdr:rowOff>155520</xdr:rowOff>
    </xdr:from>
    <xdr:to>
      <xdr:col>17</xdr:col>
      <xdr:colOff>106920</xdr:colOff>
      <xdr:row>134</xdr:row>
      <xdr:rowOff>1080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245520</xdr:colOff>
      <xdr:row>136</xdr:row>
      <xdr:rowOff>170640</xdr:rowOff>
    </xdr:from>
    <xdr:to>
      <xdr:col>11</xdr:col>
      <xdr:colOff>244440</xdr:colOff>
      <xdr:row>147</xdr:row>
      <xdr:rowOff>69120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351720</xdr:colOff>
      <xdr:row>137</xdr:row>
      <xdr:rowOff>11880</xdr:rowOff>
    </xdr:from>
    <xdr:to>
      <xdr:col>17</xdr:col>
      <xdr:colOff>696</xdr:colOff>
      <xdr:row>147</xdr:row>
      <xdr:rowOff>153720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298440</xdr:colOff>
      <xdr:row>149</xdr:row>
      <xdr:rowOff>80280</xdr:rowOff>
    </xdr:from>
    <xdr:to>
      <xdr:col>11</xdr:col>
      <xdr:colOff>265680</xdr:colOff>
      <xdr:row>159</xdr:row>
      <xdr:rowOff>174600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394200</xdr:colOff>
      <xdr:row>149</xdr:row>
      <xdr:rowOff>80280</xdr:rowOff>
    </xdr:from>
    <xdr:to>
      <xdr:col>16</xdr:col>
      <xdr:colOff>767220</xdr:colOff>
      <xdr:row>159</xdr:row>
      <xdr:rowOff>79560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330120</xdr:colOff>
      <xdr:row>162</xdr:row>
      <xdr:rowOff>69480</xdr:rowOff>
    </xdr:from>
    <xdr:to>
      <xdr:col>11</xdr:col>
      <xdr:colOff>329040</xdr:colOff>
      <xdr:row>172</xdr:row>
      <xdr:rowOff>144720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</xdr:col>
      <xdr:colOff>383400</xdr:colOff>
      <xdr:row>162</xdr:row>
      <xdr:rowOff>122760</xdr:rowOff>
    </xdr:from>
    <xdr:to>
      <xdr:col>16</xdr:col>
      <xdr:colOff>762480</xdr:colOff>
      <xdr:row>172</xdr:row>
      <xdr:rowOff>91440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219075</xdr:colOff>
      <xdr:row>175</xdr:row>
      <xdr:rowOff>66675</xdr:rowOff>
    </xdr:from>
    <xdr:to>
      <xdr:col>10</xdr:col>
      <xdr:colOff>561975</xdr:colOff>
      <xdr:row>183</xdr:row>
      <xdr:rowOff>71437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180975</xdr:colOff>
      <xdr:row>190</xdr:row>
      <xdr:rowOff>190499</xdr:rowOff>
    </xdr:from>
    <xdr:to>
      <xdr:col>11</xdr:col>
      <xdr:colOff>76200</xdr:colOff>
      <xdr:row>198</xdr:row>
      <xdr:rowOff>180974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342900</xdr:colOff>
      <xdr:row>203</xdr:row>
      <xdr:rowOff>85725</xdr:rowOff>
    </xdr:from>
    <xdr:to>
      <xdr:col>11</xdr:col>
      <xdr:colOff>200025</xdr:colOff>
      <xdr:row>211</xdr:row>
      <xdr:rowOff>166687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609600</xdr:colOff>
      <xdr:row>216</xdr:row>
      <xdr:rowOff>180975</xdr:rowOff>
    </xdr:from>
    <xdr:to>
      <xdr:col>11</xdr:col>
      <xdr:colOff>38100</xdr:colOff>
      <xdr:row>225</xdr:row>
      <xdr:rowOff>14287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200025</xdr:colOff>
      <xdr:row>229</xdr:row>
      <xdr:rowOff>190499</xdr:rowOff>
    </xdr:from>
    <xdr:to>
      <xdr:col>11</xdr:col>
      <xdr:colOff>219075</xdr:colOff>
      <xdr:row>238</xdr:row>
      <xdr:rowOff>9524</xdr:rowOff>
    </xdr:to>
    <xdr:graphicFrame macro="">
      <xdr:nvGraphicFramePr>
        <xdr:cNvPr id="3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114300</xdr:colOff>
      <xdr:row>244</xdr:row>
      <xdr:rowOff>85725</xdr:rowOff>
    </xdr:from>
    <xdr:to>
      <xdr:col>11</xdr:col>
      <xdr:colOff>238125</xdr:colOff>
      <xdr:row>252</xdr:row>
      <xdr:rowOff>90487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409575</xdr:colOff>
      <xdr:row>257</xdr:row>
      <xdr:rowOff>47624</xdr:rowOff>
    </xdr:from>
    <xdr:to>
      <xdr:col>11</xdr:col>
      <xdr:colOff>762000</xdr:colOff>
      <xdr:row>265</xdr:row>
      <xdr:rowOff>119061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276225</xdr:colOff>
      <xdr:row>271</xdr:row>
      <xdr:rowOff>9525</xdr:rowOff>
    </xdr:from>
    <xdr:to>
      <xdr:col>11</xdr:col>
      <xdr:colOff>57150</xdr:colOff>
      <xdr:row>278</xdr:row>
      <xdr:rowOff>185737</xdr:rowOff>
    </xdr:to>
    <xdr:graphicFrame macro="">
      <xdr:nvGraphicFramePr>
        <xdr:cNvPr id="3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209550</xdr:colOff>
      <xdr:row>285</xdr:row>
      <xdr:rowOff>180975</xdr:rowOff>
    </xdr:from>
    <xdr:to>
      <xdr:col>11</xdr:col>
      <xdr:colOff>200025</xdr:colOff>
      <xdr:row>294</xdr:row>
      <xdr:rowOff>14287</xdr:rowOff>
    </xdr:to>
    <xdr:graphicFrame macro="">
      <xdr:nvGraphicFramePr>
        <xdr:cNvPr id="3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285750</xdr:colOff>
      <xdr:row>298</xdr:row>
      <xdr:rowOff>95250</xdr:rowOff>
    </xdr:from>
    <xdr:to>
      <xdr:col>11</xdr:col>
      <xdr:colOff>295275</xdr:colOff>
      <xdr:row>306</xdr:row>
      <xdr:rowOff>42862</xdr:rowOff>
    </xdr:to>
    <xdr:graphicFrame macro="">
      <xdr:nvGraphicFramePr>
        <xdr:cNvPr id="3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180975</xdr:colOff>
      <xdr:row>311</xdr:row>
      <xdr:rowOff>133349</xdr:rowOff>
    </xdr:from>
    <xdr:to>
      <xdr:col>11</xdr:col>
      <xdr:colOff>85725</xdr:colOff>
      <xdr:row>319</xdr:row>
      <xdr:rowOff>128586</xdr:rowOff>
    </xdr:to>
    <xdr:graphicFrame macro="">
      <xdr:nvGraphicFramePr>
        <xdr:cNvPr id="3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390525</xdr:colOff>
      <xdr:row>326</xdr:row>
      <xdr:rowOff>123825</xdr:rowOff>
    </xdr:from>
    <xdr:to>
      <xdr:col>10</xdr:col>
      <xdr:colOff>561975</xdr:colOff>
      <xdr:row>334</xdr:row>
      <xdr:rowOff>33337</xdr:rowOff>
    </xdr:to>
    <xdr:graphicFrame macro="">
      <xdr:nvGraphicFramePr>
        <xdr:cNvPr id="4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304800</xdr:colOff>
      <xdr:row>341</xdr:row>
      <xdr:rowOff>85725</xdr:rowOff>
    </xdr:from>
    <xdr:to>
      <xdr:col>11</xdr:col>
      <xdr:colOff>304800</xdr:colOff>
      <xdr:row>349</xdr:row>
      <xdr:rowOff>33337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419100</xdr:colOff>
      <xdr:row>354</xdr:row>
      <xdr:rowOff>114299</xdr:rowOff>
    </xdr:from>
    <xdr:to>
      <xdr:col>11</xdr:col>
      <xdr:colOff>400050</xdr:colOff>
      <xdr:row>362</xdr:row>
      <xdr:rowOff>128586</xdr:rowOff>
    </xdr:to>
    <xdr:graphicFrame macro="">
      <xdr:nvGraphicFramePr>
        <xdr:cNvPr id="4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447675</xdr:colOff>
      <xdr:row>369</xdr:row>
      <xdr:rowOff>0</xdr:rowOff>
    </xdr:from>
    <xdr:to>
      <xdr:col>11</xdr:col>
      <xdr:colOff>371475</xdr:colOff>
      <xdr:row>376</xdr:row>
      <xdr:rowOff>119062</xdr:rowOff>
    </xdr:to>
    <xdr:graphicFrame macro="">
      <xdr:nvGraphicFramePr>
        <xdr:cNvPr id="4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190500</xdr:colOff>
      <xdr:row>383</xdr:row>
      <xdr:rowOff>85724</xdr:rowOff>
    </xdr:from>
    <xdr:to>
      <xdr:col>10</xdr:col>
      <xdr:colOff>647700</xdr:colOff>
      <xdr:row>391</xdr:row>
      <xdr:rowOff>61911</xdr:rowOff>
    </xdr:to>
    <xdr:graphicFrame macro="">
      <xdr:nvGraphicFramePr>
        <xdr:cNvPr id="4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495300</xdr:colOff>
      <xdr:row>395</xdr:row>
      <xdr:rowOff>152400</xdr:rowOff>
    </xdr:from>
    <xdr:to>
      <xdr:col>11</xdr:col>
      <xdr:colOff>495300</xdr:colOff>
      <xdr:row>403</xdr:row>
      <xdr:rowOff>138112</xdr:rowOff>
    </xdr:to>
    <xdr:graphicFrame macro="">
      <xdr:nvGraphicFramePr>
        <xdr:cNvPr id="4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400050</xdr:colOff>
      <xdr:row>409</xdr:row>
      <xdr:rowOff>76200</xdr:rowOff>
    </xdr:from>
    <xdr:to>
      <xdr:col>11</xdr:col>
      <xdr:colOff>247650</xdr:colOff>
      <xdr:row>417</xdr:row>
      <xdr:rowOff>100012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180975</xdr:colOff>
      <xdr:row>423</xdr:row>
      <xdr:rowOff>114300</xdr:rowOff>
    </xdr:from>
    <xdr:to>
      <xdr:col>10</xdr:col>
      <xdr:colOff>704850</xdr:colOff>
      <xdr:row>432</xdr:row>
      <xdr:rowOff>4762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523875</xdr:colOff>
      <xdr:row>437</xdr:row>
      <xdr:rowOff>76199</xdr:rowOff>
    </xdr:from>
    <xdr:to>
      <xdr:col>11</xdr:col>
      <xdr:colOff>123825</xdr:colOff>
      <xdr:row>445</xdr:row>
      <xdr:rowOff>128586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371475</xdr:colOff>
      <xdr:row>451</xdr:row>
      <xdr:rowOff>133349</xdr:rowOff>
    </xdr:from>
    <xdr:to>
      <xdr:col>11</xdr:col>
      <xdr:colOff>104775</xdr:colOff>
      <xdr:row>459</xdr:row>
      <xdr:rowOff>128586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342900</xdr:colOff>
      <xdr:row>465</xdr:row>
      <xdr:rowOff>9525</xdr:rowOff>
    </xdr:from>
    <xdr:to>
      <xdr:col>11</xdr:col>
      <xdr:colOff>85725</xdr:colOff>
      <xdr:row>473</xdr:row>
      <xdr:rowOff>52387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342900</xdr:colOff>
      <xdr:row>478</xdr:row>
      <xdr:rowOff>38099</xdr:rowOff>
    </xdr:from>
    <xdr:to>
      <xdr:col>11</xdr:col>
      <xdr:colOff>428625</xdr:colOff>
      <xdr:row>486</xdr:row>
      <xdr:rowOff>128586</xdr:rowOff>
    </xdr:to>
    <xdr:graphicFrame macro="">
      <xdr:nvGraphicFramePr>
        <xdr:cNvPr id="5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228600</xdr:colOff>
      <xdr:row>493</xdr:row>
      <xdr:rowOff>38099</xdr:rowOff>
    </xdr:from>
    <xdr:to>
      <xdr:col>11</xdr:col>
      <xdr:colOff>381000</xdr:colOff>
      <xdr:row>501</xdr:row>
      <xdr:rowOff>71436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482400</xdr:colOff>
      <xdr:row>16</xdr:row>
      <xdr:rowOff>31680</xdr:rowOff>
    </xdr:from>
    <xdr:to>
      <xdr:col>8</xdr:col>
      <xdr:colOff>424800</xdr:colOff>
      <xdr:row>34</xdr:row>
      <xdr:rowOff>24480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390600</xdr:colOff>
      <xdr:row>16</xdr:row>
      <xdr:rowOff>58680</xdr:rowOff>
    </xdr:from>
    <xdr:to>
      <xdr:col>16</xdr:col>
      <xdr:colOff>460080</xdr:colOff>
      <xdr:row>34</xdr:row>
      <xdr:rowOff>51480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922320</xdr:colOff>
      <xdr:row>18</xdr:row>
      <xdr:rowOff>57600</xdr:rowOff>
    </xdr:from>
    <xdr:to>
      <xdr:col>11</xdr:col>
      <xdr:colOff>3555</xdr:colOff>
      <xdr:row>36</xdr:row>
      <xdr:rowOff>50400</xdr:rowOff>
    </xdr:to>
    <xdr:graphicFrame macro="">
      <xdr:nvGraphicFramePr>
        <xdr:cNvPr id="2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389520</xdr:colOff>
      <xdr:row>18</xdr:row>
      <xdr:rowOff>146520</xdr:rowOff>
    </xdr:from>
    <xdr:to>
      <xdr:col>19</xdr:col>
      <xdr:colOff>52680</xdr:colOff>
      <xdr:row>36</xdr:row>
      <xdr:rowOff>139320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370440</xdr:colOff>
      <xdr:row>7</xdr:row>
      <xdr:rowOff>90720</xdr:rowOff>
    </xdr:from>
    <xdr:to>
      <xdr:col>11</xdr:col>
      <xdr:colOff>439920</xdr:colOff>
      <xdr:row>25</xdr:row>
      <xdr:rowOff>174960</xdr:rowOff>
    </xdr:to>
    <xdr:graphicFrame macro="">
      <xdr:nvGraphicFramePr>
        <xdr:cNvPr id="3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586440</xdr:colOff>
      <xdr:row>7</xdr:row>
      <xdr:rowOff>52560</xdr:rowOff>
    </xdr:from>
    <xdr:to>
      <xdr:col>11</xdr:col>
      <xdr:colOff>608295</xdr:colOff>
      <xdr:row>25</xdr:row>
      <xdr:rowOff>136800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145800</xdr:colOff>
      <xdr:row>9</xdr:row>
      <xdr:rowOff>132480</xdr:rowOff>
    </xdr:from>
    <xdr:to>
      <xdr:col>12</xdr:col>
      <xdr:colOff>646920</xdr:colOff>
      <xdr:row>28</xdr:row>
      <xdr:rowOff>41400</xdr:rowOff>
    </xdr:to>
    <xdr:graphicFrame macro="">
      <xdr:nvGraphicFramePr>
        <xdr:cNvPr id="3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7"/>
  <sheetViews>
    <sheetView topLeftCell="A153" zoomScaleNormal="100" workbookViewId="0">
      <selection activeCell="A16" sqref="A16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1"/>
      <c r="B1" s="1" t="s">
        <v>0</v>
      </c>
      <c r="K1" s="1"/>
    </row>
    <row r="4" spans="1:11" x14ac:dyDescent="0.25">
      <c r="B4" s="2" t="s">
        <v>1</v>
      </c>
    </row>
    <row r="5" spans="1:11" ht="21" x14ac:dyDescent="0.25">
      <c r="B5" s="3">
        <v>42388</v>
      </c>
      <c r="C5" s="4" t="s">
        <v>2</v>
      </c>
      <c r="D5" s="4" t="s">
        <v>3</v>
      </c>
      <c r="E5" s="4" t="s">
        <v>4</v>
      </c>
    </row>
    <row r="6" spans="1:11" x14ac:dyDescent="0.25">
      <c r="B6" s="5" t="s">
        <v>5</v>
      </c>
      <c r="C6" s="6">
        <v>51</v>
      </c>
      <c r="D6" s="6">
        <v>472</v>
      </c>
      <c r="E6" s="7">
        <f t="shared" ref="E6:E11" si="0">(C6-D6)/C6</f>
        <v>-8.2549019607843146</v>
      </c>
    </row>
    <row r="7" spans="1:11" x14ac:dyDescent="0.25">
      <c r="B7" s="8" t="s">
        <v>6</v>
      </c>
      <c r="C7" s="9">
        <v>35</v>
      </c>
      <c r="D7" s="9">
        <v>19</v>
      </c>
      <c r="E7" s="10">
        <f t="shared" si="0"/>
        <v>0.45714285714285713</v>
      </c>
    </row>
    <row r="8" spans="1:11" x14ac:dyDescent="0.25">
      <c r="B8" s="8" t="s">
        <v>7</v>
      </c>
      <c r="C8" s="9">
        <v>240</v>
      </c>
      <c r="D8" s="9">
        <v>0</v>
      </c>
      <c r="E8" s="10">
        <f t="shared" si="0"/>
        <v>1</v>
      </c>
    </row>
    <row r="9" spans="1:11" x14ac:dyDescent="0.25">
      <c r="B9" s="8" t="s">
        <v>8</v>
      </c>
      <c r="C9" s="9">
        <v>23</v>
      </c>
      <c r="D9" s="9">
        <v>10</v>
      </c>
      <c r="E9" s="10">
        <f t="shared" si="0"/>
        <v>0.56521739130434778</v>
      </c>
    </row>
    <row r="10" spans="1:11" x14ac:dyDescent="0.25">
      <c r="B10" s="8" t="s">
        <v>9</v>
      </c>
      <c r="C10" s="9">
        <v>90</v>
      </c>
      <c r="D10" s="9">
        <v>0</v>
      </c>
      <c r="E10" s="10">
        <f t="shared" si="0"/>
        <v>1</v>
      </c>
    </row>
    <row r="11" spans="1:11" x14ac:dyDescent="0.25">
      <c r="B11" s="8" t="s">
        <v>10</v>
      </c>
      <c r="C11" s="9">
        <v>142</v>
      </c>
      <c r="D11" s="9">
        <v>8</v>
      </c>
      <c r="E11" s="10">
        <f t="shared" si="0"/>
        <v>0.94366197183098588</v>
      </c>
    </row>
    <row r="12" spans="1:11" x14ac:dyDescent="0.25">
      <c r="D12" s="11"/>
    </row>
    <row r="15" spans="1:11" x14ac:dyDescent="0.25">
      <c r="B15" t="s">
        <v>11</v>
      </c>
    </row>
    <row r="16" spans="1:11" ht="21" x14ac:dyDescent="0.25">
      <c r="B16" s="3">
        <v>42388</v>
      </c>
      <c r="C16" s="4" t="s">
        <v>2</v>
      </c>
      <c r="D16" s="4" t="s">
        <v>3</v>
      </c>
      <c r="E16" s="4" t="s">
        <v>4</v>
      </c>
    </row>
    <row r="17" spans="2:5" x14ac:dyDescent="0.25">
      <c r="B17" s="5" t="s">
        <v>5</v>
      </c>
      <c r="C17" s="6">
        <v>51</v>
      </c>
      <c r="D17" s="6">
        <v>24</v>
      </c>
      <c r="E17" s="7">
        <f t="shared" ref="E17:E22" si="1">(C17-D17)/C17</f>
        <v>0.52941176470588236</v>
      </c>
    </row>
    <row r="18" spans="2:5" x14ac:dyDescent="0.25">
      <c r="B18" s="8" t="s">
        <v>6</v>
      </c>
      <c r="C18" s="9">
        <v>35</v>
      </c>
      <c r="D18" s="9">
        <v>44</v>
      </c>
      <c r="E18" s="10">
        <f t="shared" si="1"/>
        <v>-0.25714285714285712</v>
      </c>
    </row>
    <row r="19" spans="2:5" x14ac:dyDescent="0.25">
      <c r="B19" s="8" t="s">
        <v>7</v>
      </c>
      <c r="C19" s="9">
        <v>0</v>
      </c>
      <c r="D19" s="9">
        <v>0</v>
      </c>
      <c r="E19" s="10" t="e">
        <f t="shared" si="1"/>
        <v>#DIV/0!</v>
      </c>
    </row>
    <row r="20" spans="2:5" x14ac:dyDescent="0.25">
      <c r="B20" s="8" t="s">
        <v>8</v>
      </c>
      <c r="C20" s="9">
        <v>23</v>
      </c>
      <c r="D20" s="9">
        <v>14</v>
      </c>
      <c r="E20" s="10">
        <f t="shared" si="1"/>
        <v>0.39130434782608697</v>
      </c>
    </row>
    <row r="21" spans="2:5" x14ac:dyDescent="0.25">
      <c r="B21" s="8" t="s">
        <v>9</v>
      </c>
      <c r="C21" s="9">
        <v>90</v>
      </c>
      <c r="D21" s="9">
        <v>0</v>
      </c>
      <c r="E21" s="10">
        <f t="shared" si="1"/>
        <v>1</v>
      </c>
    </row>
    <row r="22" spans="2:5" x14ac:dyDescent="0.25">
      <c r="B22" s="8" t="s">
        <v>10</v>
      </c>
      <c r="C22" s="9">
        <v>142</v>
      </c>
      <c r="D22" s="12">
        <v>32</v>
      </c>
      <c r="E22" s="10">
        <f t="shared" si="1"/>
        <v>0.77464788732394363</v>
      </c>
    </row>
    <row r="23" spans="2:5" x14ac:dyDescent="0.25">
      <c r="D23" s="13"/>
    </row>
    <row r="26" spans="2:5" x14ac:dyDescent="0.25">
      <c r="B26" t="s">
        <v>12</v>
      </c>
    </row>
    <row r="27" spans="2:5" ht="21" x14ac:dyDescent="0.25">
      <c r="B27" s="3">
        <v>42388</v>
      </c>
      <c r="C27" s="4" t="s">
        <v>2</v>
      </c>
      <c r="D27" s="4" t="s">
        <v>3</v>
      </c>
      <c r="E27" s="4" t="s">
        <v>4</v>
      </c>
    </row>
    <row r="28" spans="2:5" x14ac:dyDescent="0.25">
      <c r="B28" s="5" t="s">
        <v>5</v>
      </c>
      <c r="C28" s="6">
        <v>51</v>
      </c>
      <c r="D28" s="6">
        <v>54</v>
      </c>
      <c r="E28" s="7">
        <f t="shared" ref="E28:E33" si="2">(C28-D28)/C28</f>
        <v>-5.8823529411764705E-2</v>
      </c>
    </row>
    <row r="29" spans="2:5" x14ac:dyDescent="0.25">
      <c r="B29" s="8" t="s">
        <v>6</v>
      </c>
      <c r="C29" s="9">
        <v>35</v>
      </c>
      <c r="D29" s="9">
        <v>34</v>
      </c>
      <c r="E29" s="10">
        <f t="shared" si="2"/>
        <v>2.8571428571428571E-2</v>
      </c>
    </row>
    <row r="30" spans="2:5" x14ac:dyDescent="0.25">
      <c r="B30" s="8" t="s">
        <v>7</v>
      </c>
      <c r="C30" s="9">
        <v>0</v>
      </c>
      <c r="D30" s="9">
        <v>0</v>
      </c>
      <c r="E30" s="10" t="e">
        <f t="shared" si="2"/>
        <v>#DIV/0!</v>
      </c>
    </row>
    <row r="31" spans="2:5" x14ac:dyDescent="0.25">
      <c r="B31" s="8" t="s">
        <v>8</v>
      </c>
      <c r="C31" s="9">
        <v>23</v>
      </c>
      <c r="D31" s="9">
        <v>18</v>
      </c>
      <c r="E31" s="10">
        <f t="shared" si="2"/>
        <v>0.21739130434782608</v>
      </c>
    </row>
    <row r="32" spans="2:5" x14ac:dyDescent="0.25">
      <c r="B32" s="8" t="s">
        <v>9</v>
      </c>
      <c r="C32" s="9">
        <v>90</v>
      </c>
      <c r="D32" s="9">
        <v>0</v>
      </c>
      <c r="E32" s="10">
        <f t="shared" si="2"/>
        <v>1</v>
      </c>
    </row>
    <row r="33" spans="2:5" x14ac:dyDescent="0.25">
      <c r="B33" s="8" t="s">
        <v>10</v>
      </c>
      <c r="C33" s="9">
        <v>142</v>
      </c>
      <c r="D33" s="9">
        <v>11</v>
      </c>
      <c r="E33" s="10">
        <f t="shared" si="2"/>
        <v>0.92253521126760563</v>
      </c>
    </row>
    <row r="38" spans="2:5" x14ac:dyDescent="0.25">
      <c r="B38" t="s">
        <v>13</v>
      </c>
    </row>
    <row r="39" spans="2:5" ht="21" x14ac:dyDescent="0.25">
      <c r="B39" s="3">
        <v>42388</v>
      </c>
      <c r="C39" s="4" t="s">
        <v>2</v>
      </c>
      <c r="D39" s="4" t="s">
        <v>3</v>
      </c>
      <c r="E39" s="4" t="s">
        <v>4</v>
      </c>
    </row>
    <row r="40" spans="2:5" x14ac:dyDescent="0.25">
      <c r="B40" s="5" t="s">
        <v>5</v>
      </c>
      <c r="C40" s="6">
        <v>51</v>
      </c>
      <c r="D40" s="6">
        <v>53</v>
      </c>
      <c r="E40" s="7">
        <f t="shared" ref="E40:E45" si="3">(C40-D40)/C40</f>
        <v>-3.9215686274509803E-2</v>
      </c>
    </row>
    <row r="41" spans="2:5" x14ac:dyDescent="0.25">
      <c r="B41" s="8" t="s">
        <v>6</v>
      </c>
      <c r="C41" s="9">
        <v>35</v>
      </c>
      <c r="D41" s="9">
        <v>44</v>
      </c>
      <c r="E41" s="10">
        <f t="shared" si="3"/>
        <v>-0.25714285714285712</v>
      </c>
    </row>
    <row r="42" spans="2:5" x14ac:dyDescent="0.25">
      <c r="B42" s="8" t="s">
        <v>7</v>
      </c>
      <c r="C42" s="9">
        <v>0</v>
      </c>
      <c r="D42" s="9">
        <v>0</v>
      </c>
      <c r="E42" s="10" t="e">
        <f t="shared" si="3"/>
        <v>#DIV/0!</v>
      </c>
    </row>
    <row r="43" spans="2:5" x14ac:dyDescent="0.25">
      <c r="B43" s="8" t="s">
        <v>8</v>
      </c>
      <c r="C43" s="9">
        <v>23</v>
      </c>
      <c r="D43" s="9">
        <v>20</v>
      </c>
      <c r="E43" s="10">
        <f t="shared" si="3"/>
        <v>0.13043478260869565</v>
      </c>
    </row>
    <row r="44" spans="2:5" x14ac:dyDescent="0.25">
      <c r="B44" s="8" t="s">
        <v>9</v>
      </c>
      <c r="C44" s="9">
        <v>90</v>
      </c>
      <c r="D44" s="9">
        <v>0</v>
      </c>
      <c r="E44" s="10">
        <f t="shared" si="3"/>
        <v>1</v>
      </c>
    </row>
    <row r="45" spans="2:5" x14ac:dyDescent="0.25">
      <c r="B45" s="8" t="s">
        <v>10</v>
      </c>
      <c r="C45" s="9">
        <v>142</v>
      </c>
      <c r="D45" s="9">
        <v>19</v>
      </c>
      <c r="E45" s="10">
        <f t="shared" si="3"/>
        <v>0.86619718309859151</v>
      </c>
    </row>
    <row r="49" spans="2:5" x14ac:dyDescent="0.25">
      <c r="B49" s="2" t="s">
        <v>14</v>
      </c>
    </row>
    <row r="50" spans="2:5" ht="21" x14ac:dyDescent="0.25">
      <c r="B50" s="3">
        <v>42388</v>
      </c>
      <c r="C50" s="4" t="s">
        <v>2</v>
      </c>
      <c r="D50" s="4" t="s">
        <v>3</v>
      </c>
      <c r="E50" s="4" t="s">
        <v>4</v>
      </c>
    </row>
    <row r="51" spans="2:5" x14ac:dyDescent="0.25">
      <c r="B51" s="5" t="s">
        <v>5</v>
      </c>
      <c r="C51" s="6">
        <v>51</v>
      </c>
      <c r="D51" s="6">
        <v>155</v>
      </c>
      <c r="E51" s="7">
        <f t="shared" ref="E51:E56" si="4">(C51-D51)/C51</f>
        <v>-2.0392156862745097</v>
      </c>
    </row>
    <row r="52" spans="2:5" x14ac:dyDescent="0.25">
      <c r="B52" s="8" t="s">
        <v>6</v>
      </c>
      <c r="C52" s="9">
        <v>35</v>
      </c>
      <c r="D52" s="9">
        <v>32</v>
      </c>
      <c r="E52" s="10">
        <f t="shared" si="4"/>
        <v>8.5714285714285715E-2</v>
      </c>
    </row>
    <row r="53" spans="2:5" x14ac:dyDescent="0.25">
      <c r="B53" s="8" t="s">
        <v>7</v>
      </c>
      <c r="C53" s="9">
        <v>0</v>
      </c>
      <c r="D53" s="9">
        <v>0</v>
      </c>
      <c r="E53" s="10" t="e">
        <f t="shared" si="4"/>
        <v>#DIV/0!</v>
      </c>
    </row>
    <row r="54" spans="2:5" x14ac:dyDescent="0.25">
      <c r="B54" s="8" t="s">
        <v>8</v>
      </c>
      <c r="C54" s="9">
        <v>23</v>
      </c>
      <c r="D54" s="9">
        <v>21</v>
      </c>
      <c r="E54" s="10">
        <f t="shared" si="4"/>
        <v>8.6956521739130432E-2</v>
      </c>
    </row>
    <row r="55" spans="2:5" x14ac:dyDescent="0.25">
      <c r="B55" s="8" t="s">
        <v>9</v>
      </c>
      <c r="C55" s="9">
        <v>90</v>
      </c>
      <c r="D55" s="9">
        <v>0</v>
      </c>
      <c r="E55" s="10">
        <f t="shared" si="4"/>
        <v>1</v>
      </c>
    </row>
    <row r="56" spans="2:5" x14ac:dyDescent="0.25">
      <c r="B56" s="8" t="s">
        <v>10</v>
      </c>
      <c r="C56" s="9">
        <v>142</v>
      </c>
      <c r="D56" s="9">
        <v>10</v>
      </c>
      <c r="E56" s="10">
        <f t="shared" si="4"/>
        <v>0.92957746478873238</v>
      </c>
    </row>
    <row r="60" spans="2:5" x14ac:dyDescent="0.25">
      <c r="B60" s="2" t="s">
        <v>15</v>
      </c>
    </row>
    <row r="61" spans="2:5" ht="21" x14ac:dyDescent="0.25">
      <c r="B61" s="3">
        <v>42388</v>
      </c>
      <c r="C61" s="4" t="s">
        <v>2</v>
      </c>
      <c r="D61" s="4" t="s">
        <v>3</v>
      </c>
      <c r="E61" s="4" t="s">
        <v>4</v>
      </c>
    </row>
    <row r="62" spans="2:5" x14ac:dyDescent="0.25">
      <c r="B62" s="5" t="s">
        <v>5</v>
      </c>
      <c r="C62" s="6">
        <v>51</v>
      </c>
      <c r="D62" s="6">
        <v>465</v>
      </c>
      <c r="E62" s="7">
        <f t="shared" ref="E62:E67" si="5">(C62-D62)/C62</f>
        <v>-8.117647058823529</v>
      </c>
    </row>
    <row r="63" spans="2:5" x14ac:dyDescent="0.25">
      <c r="B63" s="8" t="s">
        <v>6</v>
      </c>
      <c r="C63" s="9">
        <v>35</v>
      </c>
      <c r="D63" s="9">
        <v>6</v>
      </c>
      <c r="E63" s="10">
        <f t="shared" si="5"/>
        <v>0.82857142857142863</v>
      </c>
    </row>
    <row r="64" spans="2:5" x14ac:dyDescent="0.25">
      <c r="B64" s="8" t="s">
        <v>7</v>
      </c>
      <c r="C64" s="9">
        <v>90</v>
      </c>
      <c r="D64" s="9">
        <v>135</v>
      </c>
      <c r="E64" s="10">
        <f t="shared" si="5"/>
        <v>-0.5</v>
      </c>
    </row>
    <row r="65" spans="2:5" x14ac:dyDescent="0.25">
      <c r="B65" s="8" t="s">
        <v>8</v>
      </c>
      <c r="C65" s="9">
        <v>23</v>
      </c>
      <c r="D65" s="9">
        <v>14</v>
      </c>
      <c r="E65" s="10">
        <f t="shared" si="5"/>
        <v>0.39130434782608697</v>
      </c>
    </row>
    <row r="66" spans="2:5" x14ac:dyDescent="0.25">
      <c r="B66" s="8" t="s">
        <v>9</v>
      </c>
      <c r="C66" s="9">
        <v>90</v>
      </c>
      <c r="D66" s="9">
        <v>0</v>
      </c>
      <c r="E66" s="10">
        <f t="shared" si="5"/>
        <v>1</v>
      </c>
    </row>
    <row r="67" spans="2:5" x14ac:dyDescent="0.25">
      <c r="B67" s="8" t="s">
        <v>10</v>
      </c>
      <c r="C67" s="9">
        <v>142</v>
      </c>
      <c r="D67" s="9">
        <v>35</v>
      </c>
      <c r="E67" s="10">
        <f t="shared" si="5"/>
        <v>0.75352112676056338</v>
      </c>
    </row>
    <row r="72" spans="2:5" x14ac:dyDescent="0.25">
      <c r="B72" s="2" t="s">
        <v>16</v>
      </c>
    </row>
    <row r="73" spans="2:5" ht="21" x14ac:dyDescent="0.25">
      <c r="B73" s="3">
        <v>42388</v>
      </c>
      <c r="C73" s="4" t="s">
        <v>2</v>
      </c>
      <c r="D73" s="4" t="s">
        <v>3</v>
      </c>
      <c r="E73" s="4" t="s">
        <v>4</v>
      </c>
    </row>
    <row r="74" spans="2:5" x14ac:dyDescent="0.25">
      <c r="B74" s="5" t="s">
        <v>5</v>
      </c>
      <c r="C74" s="6">
        <v>51</v>
      </c>
      <c r="D74" s="6">
        <v>112</v>
      </c>
      <c r="E74" s="7">
        <f t="shared" ref="E74:E79" si="6">(C74-D74)/C74</f>
        <v>-1.196078431372549</v>
      </c>
    </row>
    <row r="75" spans="2:5" x14ac:dyDescent="0.25">
      <c r="B75" s="8" t="s">
        <v>6</v>
      </c>
      <c r="C75" s="9">
        <v>35</v>
      </c>
      <c r="D75" s="9">
        <v>76</v>
      </c>
      <c r="E75" s="10">
        <f t="shared" si="6"/>
        <v>-1.1714285714285715</v>
      </c>
    </row>
    <row r="76" spans="2:5" x14ac:dyDescent="0.25">
      <c r="B76" s="8" t="s">
        <v>7</v>
      </c>
      <c r="C76" s="9">
        <v>120</v>
      </c>
      <c r="D76" s="9">
        <v>89</v>
      </c>
      <c r="E76" s="10">
        <f t="shared" si="6"/>
        <v>0.25833333333333336</v>
      </c>
    </row>
    <row r="77" spans="2:5" x14ac:dyDescent="0.25">
      <c r="B77" s="8" t="s">
        <v>8</v>
      </c>
      <c r="C77" s="9">
        <v>23</v>
      </c>
      <c r="D77" s="9">
        <v>22</v>
      </c>
      <c r="E77" s="10">
        <f t="shared" si="6"/>
        <v>4.3478260869565216E-2</v>
      </c>
    </row>
    <row r="78" spans="2:5" x14ac:dyDescent="0.25">
      <c r="B78" s="8" t="s">
        <v>9</v>
      </c>
      <c r="C78" s="9">
        <v>90</v>
      </c>
      <c r="D78" s="9">
        <v>0</v>
      </c>
      <c r="E78" s="10">
        <f t="shared" si="6"/>
        <v>1</v>
      </c>
    </row>
    <row r="79" spans="2:5" x14ac:dyDescent="0.25">
      <c r="B79" s="8" t="s">
        <v>10</v>
      </c>
      <c r="C79" s="9">
        <v>142</v>
      </c>
      <c r="D79" s="9">
        <v>13</v>
      </c>
      <c r="E79" s="10">
        <f t="shared" si="6"/>
        <v>0.90845070422535212</v>
      </c>
    </row>
    <row r="84" spans="2:5" x14ac:dyDescent="0.25">
      <c r="B84" t="s">
        <v>17</v>
      </c>
    </row>
    <row r="85" spans="2:5" ht="21" x14ac:dyDescent="0.25">
      <c r="B85" s="3">
        <v>42388</v>
      </c>
      <c r="C85" s="4" t="s">
        <v>2</v>
      </c>
      <c r="D85" s="4" t="s">
        <v>3</v>
      </c>
      <c r="E85" s="4" t="s">
        <v>4</v>
      </c>
    </row>
    <row r="86" spans="2:5" x14ac:dyDescent="0.25">
      <c r="B86" s="5" t="s">
        <v>5</v>
      </c>
      <c r="C86" s="6">
        <v>51</v>
      </c>
      <c r="D86" s="6">
        <v>5</v>
      </c>
      <c r="E86" s="7">
        <f t="shared" ref="E86:E91" si="7">(C86-D86)/C86</f>
        <v>0.90196078431372551</v>
      </c>
    </row>
    <row r="87" spans="2:5" x14ac:dyDescent="0.25">
      <c r="B87" s="8" t="s">
        <v>6</v>
      </c>
      <c r="C87" s="9">
        <v>35</v>
      </c>
      <c r="D87" s="9">
        <v>5</v>
      </c>
      <c r="E87" s="10">
        <f t="shared" si="7"/>
        <v>0.8571428571428571</v>
      </c>
    </row>
    <row r="88" spans="2:5" x14ac:dyDescent="0.25">
      <c r="B88" s="8" t="s">
        <v>7</v>
      </c>
      <c r="C88" s="9">
        <v>0</v>
      </c>
      <c r="D88" s="9">
        <v>0</v>
      </c>
      <c r="E88" s="10" t="e">
        <f t="shared" si="7"/>
        <v>#DIV/0!</v>
      </c>
    </row>
    <row r="89" spans="2:5" x14ac:dyDescent="0.25">
      <c r="B89" s="8" t="s">
        <v>8</v>
      </c>
      <c r="C89" s="9">
        <v>23</v>
      </c>
      <c r="D89" s="9">
        <v>32</v>
      </c>
      <c r="E89" s="10">
        <f t="shared" si="7"/>
        <v>-0.39130434782608697</v>
      </c>
    </row>
    <row r="90" spans="2:5" x14ac:dyDescent="0.25">
      <c r="B90" s="8" t="s">
        <v>9</v>
      </c>
      <c r="C90" s="9">
        <v>90</v>
      </c>
      <c r="D90" s="9">
        <v>0</v>
      </c>
      <c r="E90" s="10">
        <f t="shared" si="7"/>
        <v>1</v>
      </c>
    </row>
    <row r="91" spans="2:5" x14ac:dyDescent="0.25">
      <c r="B91" s="8" t="s">
        <v>10</v>
      </c>
      <c r="C91" s="9">
        <v>142</v>
      </c>
      <c r="D91" s="9">
        <v>39</v>
      </c>
      <c r="E91" s="10">
        <f t="shared" si="7"/>
        <v>0.72535211267605637</v>
      </c>
    </row>
    <row r="96" spans="2:5" x14ac:dyDescent="0.25">
      <c r="B96" s="2" t="s">
        <v>18</v>
      </c>
    </row>
    <row r="97" spans="2:5" ht="21" x14ac:dyDescent="0.25">
      <c r="B97" s="3">
        <v>42388</v>
      </c>
      <c r="C97" s="4" t="s">
        <v>2</v>
      </c>
      <c r="D97" s="4" t="s">
        <v>3</v>
      </c>
      <c r="E97" s="4" t="s">
        <v>4</v>
      </c>
    </row>
    <row r="98" spans="2:5" x14ac:dyDescent="0.25">
      <c r="B98" s="5" t="s">
        <v>5</v>
      </c>
      <c r="C98" s="6">
        <v>51</v>
      </c>
      <c r="D98" s="6">
        <v>110</v>
      </c>
      <c r="E98" s="7">
        <f t="shared" ref="E98:E103" si="8">(C98-D98)/C98</f>
        <v>-1.1568627450980393</v>
      </c>
    </row>
    <row r="99" spans="2:5" x14ac:dyDescent="0.25">
      <c r="B99" s="8" t="s">
        <v>6</v>
      </c>
      <c r="C99" s="9">
        <v>35</v>
      </c>
      <c r="D99" s="9">
        <v>117</v>
      </c>
      <c r="E99" s="10">
        <f t="shared" si="8"/>
        <v>-2.342857142857143</v>
      </c>
    </row>
    <row r="100" spans="2:5" x14ac:dyDescent="0.25">
      <c r="B100" s="8" t="s">
        <v>7</v>
      </c>
      <c r="C100" s="9">
        <v>300</v>
      </c>
      <c r="D100" s="9">
        <v>410</v>
      </c>
      <c r="E100" s="10">
        <f t="shared" si="8"/>
        <v>-0.36666666666666664</v>
      </c>
    </row>
    <row r="101" spans="2:5" x14ac:dyDescent="0.25">
      <c r="B101" s="8" t="s">
        <v>8</v>
      </c>
      <c r="C101" s="9">
        <v>23</v>
      </c>
      <c r="D101" s="9">
        <v>3</v>
      </c>
      <c r="E101" s="10">
        <f t="shared" si="8"/>
        <v>0.86956521739130432</v>
      </c>
    </row>
    <row r="102" spans="2:5" x14ac:dyDescent="0.25">
      <c r="B102" s="8" t="s">
        <v>9</v>
      </c>
      <c r="C102" s="9">
        <v>90</v>
      </c>
      <c r="D102" s="9">
        <v>0</v>
      </c>
      <c r="E102" s="10">
        <f t="shared" si="8"/>
        <v>1</v>
      </c>
    </row>
    <row r="103" spans="2:5" x14ac:dyDescent="0.25">
      <c r="B103" s="8" t="s">
        <v>10</v>
      </c>
      <c r="C103" s="9">
        <v>142</v>
      </c>
      <c r="D103" s="9">
        <v>30</v>
      </c>
      <c r="E103" s="10">
        <f t="shared" si="8"/>
        <v>0.78873239436619713</v>
      </c>
    </row>
    <row r="107" spans="2:5" x14ac:dyDescent="0.25">
      <c r="B107" s="2" t="s">
        <v>19</v>
      </c>
    </row>
    <row r="108" spans="2:5" ht="21" x14ac:dyDescent="0.25">
      <c r="B108" s="3">
        <v>42388</v>
      </c>
      <c r="C108" s="4" t="s">
        <v>2</v>
      </c>
      <c r="D108" s="4" t="s">
        <v>3</v>
      </c>
      <c r="E108" s="4" t="s">
        <v>4</v>
      </c>
    </row>
    <row r="109" spans="2:5" x14ac:dyDescent="0.25">
      <c r="B109" s="5" t="s">
        <v>5</v>
      </c>
      <c r="C109" s="6">
        <v>51</v>
      </c>
      <c r="D109" s="6">
        <v>153</v>
      </c>
      <c r="E109" s="7">
        <f t="shared" ref="E109:E114" si="9">(C109-D109)/C109</f>
        <v>-2</v>
      </c>
    </row>
    <row r="110" spans="2:5" x14ac:dyDescent="0.25">
      <c r="B110" s="8" t="s">
        <v>6</v>
      </c>
      <c r="C110" s="9">
        <v>35</v>
      </c>
      <c r="D110" s="9">
        <v>57</v>
      </c>
      <c r="E110" s="10">
        <f t="shared" si="9"/>
        <v>-0.62857142857142856</v>
      </c>
    </row>
    <row r="111" spans="2:5" x14ac:dyDescent="0.25">
      <c r="B111" s="8" t="s">
        <v>7</v>
      </c>
      <c r="C111" s="9">
        <v>0</v>
      </c>
      <c r="D111" s="9">
        <v>0</v>
      </c>
      <c r="E111" s="10" t="e">
        <f t="shared" si="9"/>
        <v>#DIV/0!</v>
      </c>
    </row>
    <row r="112" spans="2:5" x14ac:dyDescent="0.25">
      <c r="B112" s="8" t="s">
        <v>8</v>
      </c>
      <c r="C112" s="9">
        <v>23</v>
      </c>
      <c r="D112" s="9">
        <v>37</v>
      </c>
      <c r="E112" s="10">
        <f t="shared" si="9"/>
        <v>-0.60869565217391308</v>
      </c>
    </row>
    <row r="113" spans="2:5" x14ac:dyDescent="0.25">
      <c r="B113" s="8" t="s">
        <v>9</v>
      </c>
      <c r="C113" s="9">
        <v>90</v>
      </c>
      <c r="D113" s="9">
        <v>0</v>
      </c>
      <c r="E113" s="10">
        <f t="shared" si="9"/>
        <v>1</v>
      </c>
    </row>
    <row r="114" spans="2:5" x14ac:dyDescent="0.25">
      <c r="B114" s="8" t="s">
        <v>10</v>
      </c>
      <c r="C114" s="9">
        <v>142</v>
      </c>
      <c r="D114" s="9">
        <v>15</v>
      </c>
      <c r="E114" s="10">
        <f t="shared" si="9"/>
        <v>0.89436619718309862</v>
      </c>
    </row>
    <row r="122" spans="2:5" x14ac:dyDescent="0.25">
      <c r="B122" s="2" t="s">
        <v>20</v>
      </c>
    </row>
    <row r="123" spans="2:5" ht="21" x14ac:dyDescent="0.25">
      <c r="B123" s="3">
        <v>42388</v>
      </c>
      <c r="C123" s="4" t="s">
        <v>2</v>
      </c>
      <c r="D123" s="4" t="s">
        <v>3</v>
      </c>
      <c r="E123" s="4" t="s">
        <v>4</v>
      </c>
    </row>
    <row r="124" spans="2:5" x14ac:dyDescent="0.25">
      <c r="B124" s="5" t="s">
        <v>5</v>
      </c>
      <c r="C124" s="6">
        <v>51</v>
      </c>
      <c r="D124" s="6">
        <v>1</v>
      </c>
      <c r="E124" s="7">
        <f t="shared" ref="E124:E129" si="10">(C124-D124)/C124</f>
        <v>0.98039215686274506</v>
      </c>
    </row>
    <row r="125" spans="2:5" x14ac:dyDescent="0.25">
      <c r="B125" s="8" t="s">
        <v>6</v>
      </c>
      <c r="C125" s="9">
        <v>35</v>
      </c>
      <c r="D125" s="9">
        <v>208</v>
      </c>
      <c r="E125" s="10">
        <f t="shared" si="10"/>
        <v>-4.9428571428571431</v>
      </c>
    </row>
    <row r="126" spans="2:5" x14ac:dyDescent="0.25">
      <c r="B126" s="8" t="s">
        <v>7</v>
      </c>
      <c r="C126" s="9">
        <v>80</v>
      </c>
      <c r="D126" s="9">
        <v>14</v>
      </c>
      <c r="E126" s="10">
        <f t="shared" si="10"/>
        <v>0.82499999999999996</v>
      </c>
    </row>
    <row r="127" spans="2:5" x14ac:dyDescent="0.25">
      <c r="B127" s="8" t="s">
        <v>8</v>
      </c>
      <c r="C127" s="9">
        <v>23</v>
      </c>
      <c r="D127" s="9">
        <v>6</v>
      </c>
      <c r="E127" s="10">
        <f t="shared" si="10"/>
        <v>0.73913043478260865</v>
      </c>
    </row>
    <row r="128" spans="2:5" x14ac:dyDescent="0.25">
      <c r="B128" s="8" t="s">
        <v>9</v>
      </c>
      <c r="C128" s="9">
        <v>90</v>
      </c>
      <c r="D128" s="9">
        <v>0</v>
      </c>
      <c r="E128" s="10">
        <f t="shared" si="10"/>
        <v>1</v>
      </c>
    </row>
    <row r="129" spans="2:5" x14ac:dyDescent="0.25">
      <c r="B129" s="8" t="s">
        <v>10</v>
      </c>
      <c r="C129" s="9">
        <v>142</v>
      </c>
      <c r="D129" s="9">
        <v>18</v>
      </c>
      <c r="E129" s="10">
        <f t="shared" si="10"/>
        <v>0.87323943661971826</v>
      </c>
    </row>
    <row r="134" spans="2:5" x14ac:dyDescent="0.25">
      <c r="B134" t="s">
        <v>21</v>
      </c>
    </row>
    <row r="135" spans="2:5" ht="21" x14ac:dyDescent="0.25">
      <c r="B135" s="3">
        <v>42388</v>
      </c>
      <c r="C135" s="4" t="s">
        <v>2</v>
      </c>
      <c r="D135" s="4" t="s">
        <v>3</v>
      </c>
      <c r="E135" s="4" t="s">
        <v>4</v>
      </c>
    </row>
    <row r="136" spans="2:5" x14ac:dyDescent="0.25">
      <c r="B136" s="5" t="s">
        <v>5</v>
      </c>
      <c r="C136" s="6">
        <v>51</v>
      </c>
      <c r="D136" s="6">
        <v>10</v>
      </c>
      <c r="E136" s="7">
        <f t="shared" ref="E136:E141" si="11">(C136-D136)/C136</f>
        <v>0.80392156862745101</v>
      </c>
    </row>
    <row r="137" spans="2:5" x14ac:dyDescent="0.25">
      <c r="B137" s="8" t="s">
        <v>6</v>
      </c>
      <c r="C137" s="9">
        <v>35</v>
      </c>
      <c r="D137" s="9">
        <v>3</v>
      </c>
      <c r="E137" s="10">
        <f t="shared" si="11"/>
        <v>0.91428571428571426</v>
      </c>
    </row>
    <row r="138" spans="2:5" x14ac:dyDescent="0.25">
      <c r="B138" s="8" t="s">
        <v>7</v>
      </c>
      <c r="C138" s="9">
        <v>0</v>
      </c>
      <c r="D138" s="9">
        <v>0</v>
      </c>
      <c r="E138" s="10" t="e">
        <f t="shared" si="11"/>
        <v>#DIV/0!</v>
      </c>
    </row>
    <row r="139" spans="2:5" x14ac:dyDescent="0.25">
      <c r="B139" s="8" t="s">
        <v>8</v>
      </c>
      <c r="C139" s="9">
        <v>23</v>
      </c>
      <c r="D139" s="9">
        <v>17</v>
      </c>
      <c r="E139" s="10">
        <f t="shared" si="11"/>
        <v>0.2608695652173913</v>
      </c>
    </row>
    <row r="140" spans="2:5" x14ac:dyDescent="0.25">
      <c r="B140" s="8" t="s">
        <v>9</v>
      </c>
      <c r="C140" s="9">
        <v>90</v>
      </c>
      <c r="D140" s="9">
        <v>0</v>
      </c>
      <c r="E140" s="10">
        <f t="shared" si="11"/>
        <v>1</v>
      </c>
    </row>
    <row r="141" spans="2:5" x14ac:dyDescent="0.25">
      <c r="B141" s="8" t="s">
        <v>10</v>
      </c>
      <c r="C141" s="9">
        <v>142</v>
      </c>
      <c r="D141" s="9">
        <v>17</v>
      </c>
      <c r="E141" s="10">
        <f t="shared" si="11"/>
        <v>0.88028169014084512</v>
      </c>
    </row>
    <row r="146" spans="2:5" x14ac:dyDescent="0.25">
      <c r="B146" s="2" t="s">
        <v>22</v>
      </c>
    </row>
    <row r="147" spans="2:5" ht="21" x14ac:dyDescent="0.25">
      <c r="B147" s="3">
        <v>42388</v>
      </c>
      <c r="C147" s="4" t="s">
        <v>2</v>
      </c>
      <c r="D147" s="4" t="s">
        <v>3</v>
      </c>
      <c r="E147" s="4" t="s">
        <v>4</v>
      </c>
    </row>
    <row r="148" spans="2:5" x14ac:dyDescent="0.25">
      <c r="B148" s="5" t="s">
        <v>5</v>
      </c>
      <c r="C148" s="6">
        <v>51</v>
      </c>
      <c r="D148" s="6">
        <v>605</v>
      </c>
      <c r="E148" s="7">
        <f t="shared" ref="E148:E153" si="12">(C148-D148)/C148</f>
        <v>-10.862745098039216</v>
      </c>
    </row>
    <row r="149" spans="2:5" x14ac:dyDescent="0.25">
      <c r="B149" s="8" t="s">
        <v>6</v>
      </c>
      <c r="C149" s="9">
        <v>35</v>
      </c>
      <c r="D149" s="9">
        <v>4</v>
      </c>
      <c r="E149" s="10">
        <f t="shared" si="12"/>
        <v>0.88571428571428568</v>
      </c>
    </row>
    <row r="150" spans="2:5" x14ac:dyDescent="0.25">
      <c r="B150" s="8" t="s">
        <v>7</v>
      </c>
      <c r="C150" s="9">
        <v>180</v>
      </c>
      <c r="D150" s="9">
        <v>79</v>
      </c>
      <c r="E150" s="10">
        <f t="shared" si="12"/>
        <v>0.56111111111111112</v>
      </c>
    </row>
    <row r="151" spans="2:5" x14ac:dyDescent="0.25">
      <c r="B151" s="8" t="s">
        <v>8</v>
      </c>
      <c r="C151" s="9">
        <v>23</v>
      </c>
      <c r="D151" s="9">
        <v>12</v>
      </c>
      <c r="E151" s="10">
        <f t="shared" si="12"/>
        <v>0.47826086956521741</v>
      </c>
    </row>
    <row r="152" spans="2:5" x14ac:dyDescent="0.25">
      <c r="B152" s="8" t="s">
        <v>9</v>
      </c>
      <c r="C152" s="9">
        <v>90</v>
      </c>
      <c r="D152" s="9">
        <v>0</v>
      </c>
      <c r="E152" s="10">
        <f t="shared" si="12"/>
        <v>1</v>
      </c>
    </row>
    <row r="153" spans="2:5" x14ac:dyDescent="0.25">
      <c r="B153" s="8" t="s">
        <v>10</v>
      </c>
      <c r="C153" s="9">
        <v>142</v>
      </c>
      <c r="D153" s="9">
        <v>18</v>
      </c>
      <c r="E153" s="10">
        <f t="shared" si="12"/>
        <v>0.87323943661971826</v>
      </c>
    </row>
    <row r="161" spans="2:5" x14ac:dyDescent="0.25">
      <c r="B161" t="s">
        <v>53</v>
      </c>
    </row>
    <row r="162" spans="2:5" ht="21" x14ac:dyDescent="0.25">
      <c r="B162" s="3">
        <v>42404</v>
      </c>
      <c r="C162" s="4" t="s">
        <v>2</v>
      </c>
      <c r="D162" s="4" t="s">
        <v>3</v>
      </c>
      <c r="E162" s="4" t="s">
        <v>4</v>
      </c>
    </row>
    <row r="163" spans="2:5" x14ac:dyDescent="0.25">
      <c r="B163" s="5" t="s">
        <v>5</v>
      </c>
      <c r="C163" s="6">
        <v>51</v>
      </c>
      <c r="D163" s="6">
        <v>33</v>
      </c>
      <c r="E163" s="7">
        <f t="shared" ref="E163:E168" si="13">(C163-D163)/C163</f>
        <v>0.35294117647058826</v>
      </c>
    </row>
    <row r="164" spans="2:5" x14ac:dyDescent="0.25">
      <c r="B164" s="8" t="s">
        <v>6</v>
      </c>
      <c r="C164" s="9">
        <v>35</v>
      </c>
      <c r="D164" s="9">
        <v>26</v>
      </c>
      <c r="E164" s="10">
        <f t="shared" si="13"/>
        <v>0.25714285714285712</v>
      </c>
    </row>
    <row r="165" spans="2:5" x14ac:dyDescent="0.25">
      <c r="B165" s="8" t="s">
        <v>7</v>
      </c>
      <c r="C165" s="9">
        <v>0</v>
      </c>
      <c r="D165" s="9">
        <v>0</v>
      </c>
      <c r="E165" s="10" t="e">
        <f t="shared" si="13"/>
        <v>#DIV/0!</v>
      </c>
    </row>
    <row r="166" spans="2:5" x14ac:dyDescent="0.25">
      <c r="B166" s="8" t="s">
        <v>8</v>
      </c>
      <c r="C166" s="9">
        <v>23</v>
      </c>
      <c r="D166" s="9">
        <v>15</v>
      </c>
      <c r="E166" s="10">
        <f t="shared" si="13"/>
        <v>0.34782608695652173</v>
      </c>
    </row>
    <row r="167" spans="2:5" x14ac:dyDescent="0.25">
      <c r="B167" s="8" t="s">
        <v>9</v>
      </c>
      <c r="C167" s="9">
        <v>0</v>
      </c>
      <c r="D167" s="9">
        <v>0</v>
      </c>
      <c r="E167" s="10" t="e">
        <f t="shared" si="13"/>
        <v>#DIV/0!</v>
      </c>
    </row>
    <row r="168" spans="2:5" x14ac:dyDescent="0.25">
      <c r="B168" s="8" t="s">
        <v>10</v>
      </c>
      <c r="C168" s="9">
        <v>142</v>
      </c>
      <c r="D168" s="9">
        <v>20</v>
      </c>
      <c r="E168" s="10">
        <f t="shared" si="13"/>
        <v>0.85915492957746475</v>
      </c>
    </row>
    <row r="175" spans="2:5" x14ac:dyDescent="0.25">
      <c r="B175" t="s">
        <v>54</v>
      </c>
    </row>
    <row r="176" spans="2:5" ht="21" x14ac:dyDescent="0.25">
      <c r="B176" s="3">
        <v>42404</v>
      </c>
      <c r="C176" s="4" t="s">
        <v>2</v>
      </c>
      <c r="D176" s="4" t="s">
        <v>3</v>
      </c>
      <c r="E176" s="4" t="s">
        <v>4</v>
      </c>
    </row>
    <row r="177" spans="2:5" x14ac:dyDescent="0.25">
      <c r="B177" s="5" t="s">
        <v>5</v>
      </c>
      <c r="C177" s="6">
        <v>51</v>
      </c>
      <c r="D177" s="6">
        <v>60</v>
      </c>
      <c r="E177" s="7">
        <f t="shared" ref="E177:E182" si="14">(C177-D177)/C177</f>
        <v>-0.17647058823529413</v>
      </c>
    </row>
    <row r="178" spans="2:5" x14ac:dyDescent="0.25">
      <c r="B178" s="8" t="s">
        <v>6</v>
      </c>
      <c r="C178" s="9">
        <v>35</v>
      </c>
      <c r="D178" s="9">
        <v>6</v>
      </c>
      <c r="E178" s="10">
        <f t="shared" si="14"/>
        <v>0.82857142857142863</v>
      </c>
    </row>
    <row r="179" spans="2:5" x14ac:dyDescent="0.25">
      <c r="B179" s="8" t="s">
        <v>7</v>
      </c>
      <c r="C179" s="9">
        <v>360</v>
      </c>
      <c r="D179" s="9">
        <v>440</v>
      </c>
      <c r="E179" s="10">
        <f t="shared" si="14"/>
        <v>-0.22222222222222221</v>
      </c>
    </row>
    <row r="180" spans="2:5" x14ac:dyDescent="0.25">
      <c r="B180" s="8" t="s">
        <v>8</v>
      </c>
      <c r="C180" s="9">
        <v>23</v>
      </c>
      <c r="D180" s="9">
        <v>18</v>
      </c>
      <c r="E180" s="10">
        <f t="shared" si="14"/>
        <v>0.21739130434782608</v>
      </c>
    </row>
    <row r="181" spans="2:5" x14ac:dyDescent="0.25">
      <c r="B181" s="8" t="s">
        <v>9</v>
      </c>
      <c r="C181" s="9">
        <v>0</v>
      </c>
      <c r="D181" s="9"/>
      <c r="E181" s="10" t="e">
        <f t="shared" si="14"/>
        <v>#DIV/0!</v>
      </c>
    </row>
    <row r="182" spans="2:5" x14ac:dyDescent="0.25">
      <c r="B182" s="8" t="s">
        <v>10</v>
      </c>
      <c r="C182" s="9">
        <v>142</v>
      </c>
      <c r="D182" s="9">
        <v>23</v>
      </c>
      <c r="E182" s="10">
        <f t="shared" si="14"/>
        <v>0.8380281690140845</v>
      </c>
    </row>
    <row r="191" spans="2:5" x14ac:dyDescent="0.25">
      <c r="B191" t="s">
        <v>55</v>
      </c>
    </row>
    <row r="192" spans="2:5" ht="21" x14ac:dyDescent="0.25">
      <c r="B192" s="3">
        <v>42404</v>
      </c>
      <c r="C192" s="4" t="s">
        <v>2</v>
      </c>
      <c r="D192" s="4" t="s">
        <v>3</v>
      </c>
      <c r="E192" s="4" t="s">
        <v>4</v>
      </c>
    </row>
    <row r="193" spans="2:5" x14ac:dyDescent="0.25">
      <c r="B193" s="5" t="s">
        <v>5</v>
      </c>
      <c r="C193" s="6">
        <v>51</v>
      </c>
      <c r="D193" s="6">
        <v>15</v>
      </c>
      <c r="E193" s="7">
        <f t="shared" ref="E193:E198" si="15">(C193-D193)/C193</f>
        <v>0.70588235294117652</v>
      </c>
    </row>
    <row r="194" spans="2:5" x14ac:dyDescent="0.25">
      <c r="B194" s="8" t="s">
        <v>6</v>
      </c>
      <c r="C194" s="9">
        <v>35</v>
      </c>
      <c r="D194" s="9">
        <v>5</v>
      </c>
      <c r="E194" s="10">
        <f t="shared" si="15"/>
        <v>0.8571428571428571</v>
      </c>
    </row>
    <row r="195" spans="2:5" x14ac:dyDescent="0.25">
      <c r="B195" s="8" t="s">
        <v>7</v>
      </c>
      <c r="C195" s="9">
        <v>0</v>
      </c>
      <c r="D195" s="9">
        <v>0</v>
      </c>
      <c r="E195" s="10" t="e">
        <f t="shared" si="15"/>
        <v>#DIV/0!</v>
      </c>
    </row>
    <row r="196" spans="2:5" x14ac:dyDescent="0.25">
      <c r="B196" s="8" t="s">
        <v>8</v>
      </c>
      <c r="C196" s="9">
        <v>23</v>
      </c>
      <c r="D196" s="9">
        <v>7</v>
      </c>
      <c r="E196" s="10">
        <f t="shared" si="15"/>
        <v>0.69565217391304346</v>
      </c>
    </row>
    <row r="197" spans="2:5" x14ac:dyDescent="0.25">
      <c r="B197" s="8" t="s">
        <v>9</v>
      </c>
      <c r="C197" s="9">
        <v>0</v>
      </c>
      <c r="D197" s="9">
        <v>0</v>
      </c>
      <c r="E197" s="10" t="e">
        <f t="shared" si="15"/>
        <v>#DIV/0!</v>
      </c>
    </row>
    <row r="198" spans="2:5" x14ac:dyDescent="0.25">
      <c r="B198" s="8" t="s">
        <v>10</v>
      </c>
      <c r="C198" s="9">
        <v>142</v>
      </c>
      <c r="D198" s="9">
        <v>25</v>
      </c>
      <c r="E198" s="10">
        <f t="shared" si="15"/>
        <v>0.823943661971831</v>
      </c>
    </row>
    <row r="205" spans="2:5" x14ac:dyDescent="0.25">
      <c r="B205" t="s">
        <v>56</v>
      </c>
    </row>
    <row r="206" spans="2:5" ht="21" x14ac:dyDescent="0.25">
      <c r="B206" s="3">
        <v>42404</v>
      </c>
      <c r="C206" s="4" t="s">
        <v>2</v>
      </c>
      <c r="D206" s="4" t="s">
        <v>3</v>
      </c>
      <c r="E206" s="4" t="s">
        <v>4</v>
      </c>
    </row>
    <row r="207" spans="2:5" x14ac:dyDescent="0.25">
      <c r="B207" s="5" t="s">
        <v>5</v>
      </c>
      <c r="C207" s="6">
        <v>51</v>
      </c>
      <c r="D207" s="6">
        <v>835</v>
      </c>
      <c r="E207" s="7">
        <f t="shared" ref="E207:E212" si="16">(C207-D207)/C207</f>
        <v>-15.372549019607844</v>
      </c>
    </row>
    <row r="208" spans="2:5" x14ac:dyDescent="0.25">
      <c r="B208" s="8" t="s">
        <v>6</v>
      </c>
      <c r="C208" s="9">
        <v>35</v>
      </c>
      <c r="D208" s="9">
        <v>120</v>
      </c>
      <c r="E208" s="10">
        <f t="shared" si="16"/>
        <v>-2.4285714285714284</v>
      </c>
    </row>
    <row r="209" spans="2:5" x14ac:dyDescent="0.25">
      <c r="B209" s="8" t="s">
        <v>7</v>
      </c>
      <c r="C209" s="9">
        <v>0</v>
      </c>
      <c r="D209" s="9">
        <v>0</v>
      </c>
      <c r="E209" s="10" t="e">
        <f t="shared" si="16"/>
        <v>#DIV/0!</v>
      </c>
    </row>
    <row r="210" spans="2:5" x14ac:dyDescent="0.25">
      <c r="B210" s="8" t="s">
        <v>8</v>
      </c>
      <c r="C210" s="9">
        <v>23</v>
      </c>
      <c r="D210" s="9">
        <v>11</v>
      </c>
      <c r="E210" s="10">
        <f t="shared" si="16"/>
        <v>0.52173913043478259</v>
      </c>
    </row>
    <row r="211" spans="2:5" x14ac:dyDescent="0.25">
      <c r="B211" s="8" t="s">
        <v>9</v>
      </c>
      <c r="C211" s="9">
        <v>240</v>
      </c>
      <c r="D211" s="9">
        <v>180</v>
      </c>
      <c r="E211" s="10">
        <f t="shared" si="16"/>
        <v>0.25</v>
      </c>
    </row>
    <row r="212" spans="2:5" x14ac:dyDescent="0.25">
      <c r="B212" s="8" t="s">
        <v>10</v>
      </c>
      <c r="C212" s="9">
        <v>142</v>
      </c>
      <c r="D212" s="9">
        <v>9</v>
      </c>
      <c r="E212" s="10">
        <f t="shared" si="16"/>
        <v>0.93661971830985913</v>
      </c>
    </row>
    <row r="220" spans="2:5" x14ac:dyDescent="0.25">
      <c r="B220" t="s">
        <v>57</v>
      </c>
    </row>
    <row r="221" spans="2:5" ht="21" x14ac:dyDescent="0.25">
      <c r="B221" s="3">
        <v>42404</v>
      </c>
      <c r="C221" s="4" t="s">
        <v>2</v>
      </c>
      <c r="D221" s="4" t="s">
        <v>3</v>
      </c>
      <c r="E221" s="4" t="s">
        <v>4</v>
      </c>
    </row>
    <row r="222" spans="2:5" x14ac:dyDescent="0.25">
      <c r="B222" s="5" t="s">
        <v>5</v>
      </c>
      <c r="C222" s="6">
        <v>51</v>
      </c>
      <c r="D222" s="6">
        <v>0</v>
      </c>
      <c r="E222" s="7">
        <f t="shared" ref="E222:E227" si="17">(C222-D222)/C222</f>
        <v>1</v>
      </c>
    </row>
    <row r="223" spans="2:5" x14ac:dyDescent="0.25">
      <c r="B223" s="8" t="s">
        <v>6</v>
      </c>
      <c r="C223" s="9">
        <v>35</v>
      </c>
      <c r="D223" s="9">
        <v>8</v>
      </c>
      <c r="E223" s="10">
        <f t="shared" si="17"/>
        <v>0.77142857142857146</v>
      </c>
    </row>
    <row r="224" spans="2:5" x14ac:dyDescent="0.25">
      <c r="B224" s="8" t="s">
        <v>7</v>
      </c>
      <c r="C224" s="9">
        <v>0</v>
      </c>
      <c r="D224" s="9">
        <v>0</v>
      </c>
      <c r="E224" s="10" t="e">
        <f t="shared" si="17"/>
        <v>#DIV/0!</v>
      </c>
    </row>
    <row r="225" spans="2:5" x14ac:dyDescent="0.25">
      <c r="B225" s="8" t="s">
        <v>8</v>
      </c>
      <c r="C225" s="9">
        <v>23</v>
      </c>
      <c r="D225" s="9">
        <v>4</v>
      </c>
      <c r="E225" s="10">
        <f t="shared" si="17"/>
        <v>0.82608695652173914</v>
      </c>
    </row>
    <row r="226" spans="2:5" x14ac:dyDescent="0.25">
      <c r="B226" s="8" t="s">
        <v>9</v>
      </c>
      <c r="C226" s="9">
        <v>0</v>
      </c>
      <c r="D226" s="9">
        <v>0</v>
      </c>
      <c r="E226" s="10" t="e">
        <f t="shared" si="17"/>
        <v>#DIV/0!</v>
      </c>
    </row>
    <row r="227" spans="2:5" x14ac:dyDescent="0.25">
      <c r="B227" s="8" t="s">
        <v>10</v>
      </c>
      <c r="C227" s="9">
        <v>142</v>
      </c>
      <c r="D227" s="9">
        <v>26</v>
      </c>
      <c r="E227" s="10">
        <f t="shared" si="17"/>
        <v>0.81690140845070425</v>
      </c>
    </row>
    <row r="236" spans="2:5" x14ac:dyDescent="0.25">
      <c r="B236" t="s">
        <v>60</v>
      </c>
    </row>
    <row r="237" spans="2:5" ht="21" x14ac:dyDescent="0.25">
      <c r="B237" s="3">
        <v>42404</v>
      </c>
      <c r="C237" s="4" t="s">
        <v>2</v>
      </c>
      <c r="D237" s="4" t="s">
        <v>3</v>
      </c>
      <c r="E237" s="4" t="s">
        <v>4</v>
      </c>
    </row>
    <row r="238" spans="2:5" x14ac:dyDescent="0.25">
      <c r="B238" s="5" t="s">
        <v>5</v>
      </c>
      <c r="C238" s="6">
        <v>51</v>
      </c>
      <c r="D238" s="6">
        <v>64</v>
      </c>
      <c r="E238" s="7">
        <f t="shared" ref="E238:E243" si="18">(C238-D238)/C238</f>
        <v>-0.25490196078431371</v>
      </c>
    </row>
    <row r="239" spans="2:5" x14ac:dyDescent="0.25">
      <c r="B239" s="8" t="s">
        <v>6</v>
      </c>
      <c r="C239" s="9">
        <v>35</v>
      </c>
      <c r="D239" s="9">
        <v>19</v>
      </c>
      <c r="E239" s="10">
        <f t="shared" si="18"/>
        <v>0.45714285714285713</v>
      </c>
    </row>
    <row r="240" spans="2:5" x14ac:dyDescent="0.25">
      <c r="B240" s="8" t="s">
        <v>7</v>
      </c>
      <c r="C240" s="9">
        <v>120</v>
      </c>
      <c r="D240" s="9">
        <v>9</v>
      </c>
      <c r="E240" s="10">
        <f t="shared" si="18"/>
        <v>0.92500000000000004</v>
      </c>
    </row>
    <row r="241" spans="2:5" x14ac:dyDescent="0.25">
      <c r="B241" s="8" t="s">
        <v>8</v>
      </c>
      <c r="C241" s="9">
        <v>23</v>
      </c>
      <c r="D241" s="9">
        <v>11</v>
      </c>
      <c r="E241" s="10">
        <f t="shared" si="18"/>
        <v>0.52173913043478259</v>
      </c>
    </row>
    <row r="242" spans="2:5" x14ac:dyDescent="0.25">
      <c r="B242" s="8" t="s">
        <v>9</v>
      </c>
      <c r="C242" s="9">
        <v>0</v>
      </c>
      <c r="D242" s="9">
        <v>0</v>
      </c>
      <c r="E242" s="10" t="e">
        <f t="shared" si="18"/>
        <v>#DIV/0!</v>
      </c>
    </row>
    <row r="243" spans="2:5" x14ac:dyDescent="0.25">
      <c r="B243" s="8" t="s">
        <v>10</v>
      </c>
      <c r="C243" s="9">
        <v>142</v>
      </c>
      <c r="D243" s="9">
        <v>49</v>
      </c>
      <c r="E243" s="10">
        <f t="shared" si="18"/>
        <v>0.65492957746478875</v>
      </c>
    </row>
    <row r="251" spans="2:5" x14ac:dyDescent="0.25">
      <c r="B251" t="s">
        <v>59</v>
      </c>
    </row>
    <row r="252" spans="2:5" ht="21" x14ac:dyDescent="0.25">
      <c r="B252" s="3">
        <v>42404</v>
      </c>
      <c r="C252" s="4" t="s">
        <v>2</v>
      </c>
      <c r="D252" s="4" t="s">
        <v>3</v>
      </c>
      <c r="E252" s="4" t="s">
        <v>4</v>
      </c>
    </row>
    <row r="253" spans="2:5" x14ac:dyDescent="0.25">
      <c r="B253" s="5" t="s">
        <v>5</v>
      </c>
      <c r="C253" s="6">
        <v>51</v>
      </c>
      <c r="D253" s="6">
        <v>30</v>
      </c>
      <c r="E253" s="7">
        <f t="shared" ref="E253:E258" si="19">(C253-D253)/C253</f>
        <v>0.41176470588235292</v>
      </c>
    </row>
    <row r="254" spans="2:5" x14ac:dyDescent="0.25">
      <c r="B254" s="8" t="s">
        <v>6</v>
      </c>
      <c r="C254" s="9">
        <v>35</v>
      </c>
      <c r="D254" s="9">
        <v>19</v>
      </c>
      <c r="E254" s="10">
        <f t="shared" si="19"/>
        <v>0.45714285714285713</v>
      </c>
    </row>
    <row r="255" spans="2:5" x14ac:dyDescent="0.25">
      <c r="B255" s="8" t="s">
        <v>7</v>
      </c>
      <c r="C255" s="9">
        <v>0</v>
      </c>
      <c r="D255" s="9">
        <v>0</v>
      </c>
      <c r="E255" s="10" t="e">
        <f t="shared" si="19"/>
        <v>#DIV/0!</v>
      </c>
    </row>
    <row r="256" spans="2:5" x14ac:dyDescent="0.25">
      <c r="B256" s="8" t="s">
        <v>8</v>
      </c>
      <c r="C256" s="9">
        <v>23</v>
      </c>
      <c r="D256" s="9">
        <v>7</v>
      </c>
      <c r="E256" s="10">
        <f t="shared" si="19"/>
        <v>0.69565217391304346</v>
      </c>
    </row>
    <row r="257" spans="2:5" x14ac:dyDescent="0.25">
      <c r="B257" s="8" t="s">
        <v>9</v>
      </c>
      <c r="C257" s="9">
        <v>120</v>
      </c>
      <c r="D257" s="9">
        <v>139</v>
      </c>
      <c r="E257" s="10">
        <f t="shared" si="19"/>
        <v>-0.15833333333333333</v>
      </c>
    </row>
    <row r="258" spans="2:5" x14ac:dyDescent="0.25">
      <c r="B258" s="8" t="s">
        <v>10</v>
      </c>
      <c r="C258" s="9">
        <v>142</v>
      </c>
      <c r="D258" s="9">
        <v>15</v>
      </c>
      <c r="E258" s="10">
        <f t="shared" si="19"/>
        <v>0.89436619718309862</v>
      </c>
    </row>
    <row r="265" spans="2:5" x14ac:dyDescent="0.25">
      <c r="B265" t="s">
        <v>61</v>
      </c>
    </row>
    <row r="266" spans="2:5" ht="21" x14ac:dyDescent="0.25">
      <c r="B266" s="3">
        <v>42404</v>
      </c>
      <c r="C266" s="4" t="s">
        <v>2</v>
      </c>
      <c r="D266" s="4" t="s">
        <v>3</v>
      </c>
      <c r="E266" s="4" t="s">
        <v>4</v>
      </c>
    </row>
    <row r="267" spans="2:5" x14ac:dyDescent="0.25">
      <c r="B267" s="5" t="s">
        <v>5</v>
      </c>
      <c r="C267" s="6">
        <v>51</v>
      </c>
      <c r="D267" s="6">
        <v>2</v>
      </c>
      <c r="E267" s="7">
        <f t="shared" ref="E267:E272" si="20">(C267-D267)/C267</f>
        <v>0.96078431372549022</v>
      </c>
    </row>
    <row r="268" spans="2:5" x14ac:dyDescent="0.25">
      <c r="B268" s="8" t="s">
        <v>6</v>
      </c>
      <c r="C268" s="9">
        <v>35</v>
      </c>
      <c r="D268" s="9">
        <v>15</v>
      </c>
      <c r="E268" s="10">
        <f t="shared" si="20"/>
        <v>0.5714285714285714</v>
      </c>
    </row>
    <row r="269" spans="2:5" x14ac:dyDescent="0.25">
      <c r="B269" s="8" t="s">
        <v>7</v>
      </c>
      <c r="C269" s="9">
        <v>0</v>
      </c>
      <c r="D269" s="9">
        <v>0</v>
      </c>
      <c r="E269" s="10" t="e">
        <f t="shared" si="20"/>
        <v>#DIV/0!</v>
      </c>
    </row>
    <row r="270" spans="2:5" x14ac:dyDescent="0.25">
      <c r="B270" s="8" t="s">
        <v>8</v>
      </c>
      <c r="C270" s="9">
        <v>23</v>
      </c>
      <c r="D270" s="9">
        <v>5</v>
      </c>
      <c r="E270" s="10">
        <f t="shared" si="20"/>
        <v>0.78260869565217395</v>
      </c>
    </row>
    <row r="271" spans="2:5" x14ac:dyDescent="0.25">
      <c r="B271" s="8" t="s">
        <v>9</v>
      </c>
      <c r="C271" s="9">
        <v>60</v>
      </c>
      <c r="D271" s="9">
        <v>126</v>
      </c>
      <c r="E271" s="10">
        <f t="shared" si="20"/>
        <v>-1.1000000000000001</v>
      </c>
    </row>
    <row r="272" spans="2:5" x14ac:dyDescent="0.25">
      <c r="B272" s="8" t="s">
        <v>10</v>
      </c>
      <c r="C272" s="9">
        <v>142</v>
      </c>
      <c r="D272" s="9">
        <v>5</v>
      </c>
      <c r="E272" s="10">
        <f t="shared" si="20"/>
        <v>0.96478873239436624</v>
      </c>
    </row>
    <row r="280" spans="2:5" x14ac:dyDescent="0.25">
      <c r="B280" t="s">
        <v>58</v>
      </c>
    </row>
    <row r="281" spans="2:5" ht="21" x14ac:dyDescent="0.25">
      <c r="B281" s="3">
        <v>42404</v>
      </c>
      <c r="C281" s="4" t="s">
        <v>2</v>
      </c>
      <c r="D281" s="4" t="s">
        <v>3</v>
      </c>
      <c r="E281" s="4" t="s">
        <v>4</v>
      </c>
    </row>
    <row r="282" spans="2:5" x14ac:dyDescent="0.25">
      <c r="B282" s="5" t="s">
        <v>5</v>
      </c>
      <c r="C282" s="6">
        <v>51</v>
      </c>
      <c r="D282" s="6">
        <v>0</v>
      </c>
      <c r="E282" s="7">
        <f t="shared" ref="E282:E287" si="21">(C282-D282)/C282</f>
        <v>1</v>
      </c>
    </row>
    <row r="283" spans="2:5" x14ac:dyDescent="0.25">
      <c r="B283" s="8" t="s">
        <v>6</v>
      </c>
      <c r="C283" s="9">
        <v>35</v>
      </c>
      <c r="D283" s="9">
        <v>4</v>
      </c>
      <c r="E283" s="10">
        <f t="shared" si="21"/>
        <v>0.88571428571428568</v>
      </c>
    </row>
    <row r="284" spans="2:5" x14ac:dyDescent="0.25">
      <c r="B284" s="8" t="s">
        <v>7</v>
      </c>
      <c r="C284" s="9">
        <v>0</v>
      </c>
      <c r="D284" s="9">
        <v>0</v>
      </c>
      <c r="E284" s="10" t="e">
        <f t="shared" si="21"/>
        <v>#DIV/0!</v>
      </c>
    </row>
    <row r="285" spans="2:5" x14ac:dyDescent="0.25">
      <c r="B285" s="8" t="s">
        <v>8</v>
      </c>
      <c r="C285" s="9">
        <v>23</v>
      </c>
      <c r="D285" s="9">
        <v>6</v>
      </c>
      <c r="E285" s="10">
        <f t="shared" si="21"/>
        <v>0.73913043478260865</v>
      </c>
    </row>
    <row r="286" spans="2:5" x14ac:dyDescent="0.25">
      <c r="B286" s="8" t="s">
        <v>9</v>
      </c>
      <c r="C286" s="9">
        <v>0</v>
      </c>
      <c r="D286" s="9">
        <v>0</v>
      </c>
      <c r="E286" s="10" t="e">
        <f t="shared" si="21"/>
        <v>#DIV/0!</v>
      </c>
    </row>
    <row r="287" spans="2:5" x14ac:dyDescent="0.25">
      <c r="B287" s="8" t="s">
        <v>10</v>
      </c>
      <c r="C287" s="9">
        <v>142</v>
      </c>
      <c r="D287" s="9">
        <v>11</v>
      </c>
      <c r="E287" s="10">
        <f t="shared" si="21"/>
        <v>0.92253521126760563</v>
      </c>
    </row>
    <row r="294" spans="2:5" x14ac:dyDescent="0.25">
      <c r="B294" t="s">
        <v>62</v>
      </c>
    </row>
    <row r="295" spans="2:5" ht="21" x14ac:dyDescent="0.25">
      <c r="B295" s="3">
        <v>42404</v>
      </c>
      <c r="C295" s="4" t="s">
        <v>2</v>
      </c>
      <c r="D295" s="4" t="s">
        <v>3</v>
      </c>
      <c r="E295" s="4" t="s">
        <v>4</v>
      </c>
    </row>
    <row r="296" spans="2:5" x14ac:dyDescent="0.25">
      <c r="B296" s="5" t="s">
        <v>5</v>
      </c>
      <c r="C296" s="6">
        <v>51</v>
      </c>
      <c r="D296" s="6">
        <v>6</v>
      </c>
      <c r="E296" s="7">
        <f t="shared" ref="E296:E301" si="22">(C296-D296)/C296</f>
        <v>0.88235294117647056</v>
      </c>
    </row>
    <row r="297" spans="2:5" x14ac:dyDescent="0.25">
      <c r="B297" s="8" t="s">
        <v>6</v>
      </c>
      <c r="C297" s="9">
        <v>35</v>
      </c>
      <c r="D297" s="9">
        <v>11</v>
      </c>
      <c r="E297" s="10">
        <f t="shared" si="22"/>
        <v>0.68571428571428572</v>
      </c>
    </row>
    <row r="298" spans="2:5" x14ac:dyDescent="0.25">
      <c r="B298" s="8" t="s">
        <v>7</v>
      </c>
      <c r="C298" s="9">
        <v>0</v>
      </c>
      <c r="D298" s="9">
        <v>0</v>
      </c>
      <c r="E298" s="10" t="e">
        <f t="shared" si="22"/>
        <v>#DIV/0!</v>
      </c>
    </row>
    <row r="299" spans="2:5" x14ac:dyDescent="0.25">
      <c r="B299" s="8" t="s">
        <v>8</v>
      </c>
      <c r="C299" s="9">
        <v>23</v>
      </c>
      <c r="D299" s="9">
        <v>5</v>
      </c>
      <c r="E299" s="10">
        <f t="shared" si="22"/>
        <v>0.78260869565217395</v>
      </c>
    </row>
    <row r="300" spans="2:5" x14ac:dyDescent="0.25">
      <c r="B300" s="8" t="s">
        <v>9</v>
      </c>
      <c r="C300" s="9">
        <v>0</v>
      </c>
      <c r="D300" s="9">
        <v>0</v>
      </c>
      <c r="E300" s="10" t="e">
        <f t="shared" si="22"/>
        <v>#DIV/0!</v>
      </c>
    </row>
    <row r="301" spans="2:5" x14ac:dyDescent="0.25">
      <c r="B301" s="8" t="s">
        <v>10</v>
      </c>
      <c r="C301" s="9">
        <v>142</v>
      </c>
      <c r="D301" s="9">
        <v>21</v>
      </c>
      <c r="E301" s="10">
        <f t="shared" si="22"/>
        <v>0.852112676056338</v>
      </c>
    </row>
    <row r="308" spans="2:5" x14ac:dyDescent="0.25">
      <c r="B308" t="s">
        <v>63</v>
      </c>
    </row>
    <row r="309" spans="2:5" ht="21" x14ac:dyDescent="0.25">
      <c r="B309" s="3">
        <v>42404</v>
      </c>
      <c r="C309" s="4" t="s">
        <v>2</v>
      </c>
      <c r="D309" s="4" t="s">
        <v>3</v>
      </c>
      <c r="E309" s="4" t="s">
        <v>4</v>
      </c>
    </row>
    <row r="310" spans="2:5" x14ac:dyDescent="0.25">
      <c r="B310" s="5" t="s">
        <v>5</v>
      </c>
      <c r="C310" s="6">
        <v>51</v>
      </c>
      <c r="D310" s="6">
        <v>10</v>
      </c>
      <c r="E310" s="7">
        <f t="shared" ref="E310:E315" si="23">(C310-D310)/C310</f>
        <v>0.80392156862745101</v>
      </c>
    </row>
    <row r="311" spans="2:5" x14ac:dyDescent="0.25">
      <c r="B311" s="8" t="s">
        <v>6</v>
      </c>
      <c r="C311" s="9">
        <v>35</v>
      </c>
      <c r="D311" s="9">
        <v>5</v>
      </c>
      <c r="E311" s="10">
        <f t="shared" si="23"/>
        <v>0.8571428571428571</v>
      </c>
    </row>
    <row r="312" spans="2:5" x14ac:dyDescent="0.25">
      <c r="B312" s="8" t="s">
        <v>7</v>
      </c>
      <c r="C312" s="9">
        <v>0</v>
      </c>
      <c r="D312" s="9">
        <v>0</v>
      </c>
      <c r="E312" s="10" t="e">
        <f t="shared" si="23"/>
        <v>#DIV/0!</v>
      </c>
    </row>
    <row r="313" spans="2:5" x14ac:dyDescent="0.25">
      <c r="B313" s="8" t="s">
        <v>8</v>
      </c>
      <c r="C313" s="9">
        <v>23</v>
      </c>
      <c r="D313" s="9">
        <v>3</v>
      </c>
      <c r="E313" s="10">
        <f t="shared" si="23"/>
        <v>0.86956521739130432</v>
      </c>
    </row>
    <row r="314" spans="2:5" x14ac:dyDescent="0.25">
      <c r="B314" s="8" t="s">
        <v>9</v>
      </c>
      <c r="C314" s="9">
        <v>0</v>
      </c>
      <c r="D314" s="9">
        <v>0</v>
      </c>
      <c r="E314" s="10" t="e">
        <f t="shared" si="23"/>
        <v>#DIV/0!</v>
      </c>
    </row>
    <row r="315" spans="2:5" x14ac:dyDescent="0.25">
      <c r="B315" s="8" t="s">
        <v>10</v>
      </c>
      <c r="C315" s="9">
        <v>142</v>
      </c>
      <c r="D315" s="9">
        <v>10</v>
      </c>
      <c r="E315" s="10">
        <f t="shared" si="23"/>
        <v>0.92957746478873238</v>
      </c>
    </row>
    <row r="323" spans="2:5" x14ac:dyDescent="0.25">
      <c r="B323" t="s">
        <v>64</v>
      </c>
    </row>
    <row r="324" spans="2:5" ht="21" x14ac:dyDescent="0.25">
      <c r="B324" s="3">
        <v>42404</v>
      </c>
      <c r="C324" s="4" t="s">
        <v>2</v>
      </c>
      <c r="D324" s="4" t="s">
        <v>3</v>
      </c>
      <c r="E324" s="4" t="s">
        <v>4</v>
      </c>
    </row>
    <row r="325" spans="2:5" x14ac:dyDescent="0.25">
      <c r="B325" s="5" t="s">
        <v>5</v>
      </c>
      <c r="C325" s="6">
        <v>51</v>
      </c>
      <c r="D325" s="6">
        <v>4</v>
      </c>
      <c r="E325" s="7">
        <f t="shared" ref="E325:E330" si="24">(C325-D325)/C325</f>
        <v>0.92156862745098034</v>
      </c>
    </row>
    <row r="326" spans="2:5" x14ac:dyDescent="0.25">
      <c r="B326" s="8" t="s">
        <v>6</v>
      </c>
      <c r="C326" s="9">
        <v>35</v>
      </c>
      <c r="D326" s="9">
        <v>6</v>
      </c>
      <c r="E326" s="10">
        <f t="shared" si="24"/>
        <v>0.82857142857142863</v>
      </c>
    </row>
    <row r="327" spans="2:5" x14ac:dyDescent="0.25">
      <c r="B327" s="8" t="s">
        <v>7</v>
      </c>
      <c r="C327" s="9">
        <v>0</v>
      </c>
      <c r="D327" s="9">
        <v>0</v>
      </c>
      <c r="E327" s="10" t="e">
        <f t="shared" si="24"/>
        <v>#DIV/0!</v>
      </c>
    </row>
    <row r="328" spans="2:5" x14ac:dyDescent="0.25">
      <c r="B328" s="8" t="s">
        <v>8</v>
      </c>
      <c r="C328" s="9">
        <v>23</v>
      </c>
      <c r="D328" s="9">
        <v>5</v>
      </c>
      <c r="E328" s="10">
        <f t="shared" si="24"/>
        <v>0.78260869565217395</v>
      </c>
    </row>
    <row r="329" spans="2:5" x14ac:dyDescent="0.25">
      <c r="B329" s="8" t="s">
        <v>9</v>
      </c>
      <c r="C329" s="9">
        <v>240</v>
      </c>
      <c r="D329" s="9">
        <v>92</v>
      </c>
      <c r="E329" s="10">
        <f t="shared" si="24"/>
        <v>0.6166666666666667</v>
      </c>
    </row>
    <row r="330" spans="2:5" x14ac:dyDescent="0.25">
      <c r="B330" s="8" t="s">
        <v>10</v>
      </c>
      <c r="C330" s="9">
        <v>142</v>
      </c>
      <c r="D330" s="9">
        <v>3</v>
      </c>
      <c r="E330" s="10">
        <f t="shared" si="24"/>
        <v>0.97887323943661975</v>
      </c>
    </row>
    <row r="336" spans="2:5" x14ac:dyDescent="0.25">
      <c r="B336" t="s">
        <v>65</v>
      </c>
    </row>
    <row r="337" spans="2:5" ht="21" x14ac:dyDescent="0.25">
      <c r="B337" s="3">
        <v>42404</v>
      </c>
      <c r="C337" s="4" t="s">
        <v>2</v>
      </c>
      <c r="D337" s="4" t="s">
        <v>3</v>
      </c>
      <c r="E337" s="4" t="s">
        <v>4</v>
      </c>
    </row>
    <row r="338" spans="2:5" x14ac:dyDescent="0.25">
      <c r="B338" s="5" t="s">
        <v>5</v>
      </c>
      <c r="C338" s="6">
        <v>51</v>
      </c>
      <c r="D338" s="6">
        <v>4</v>
      </c>
      <c r="E338" s="7">
        <f t="shared" ref="E338:E343" si="25">(C338-D338)/C338</f>
        <v>0.92156862745098034</v>
      </c>
    </row>
    <row r="339" spans="2:5" x14ac:dyDescent="0.25">
      <c r="B339" s="8" t="s">
        <v>6</v>
      </c>
      <c r="C339" s="9">
        <v>35</v>
      </c>
      <c r="D339" s="9">
        <v>7</v>
      </c>
      <c r="E339" s="10">
        <f t="shared" si="25"/>
        <v>0.8</v>
      </c>
    </row>
    <row r="340" spans="2:5" x14ac:dyDescent="0.25">
      <c r="B340" s="8" t="s">
        <v>7</v>
      </c>
      <c r="C340" s="9">
        <v>0</v>
      </c>
      <c r="D340" s="9">
        <v>0</v>
      </c>
      <c r="E340" s="10" t="e">
        <f t="shared" si="25"/>
        <v>#DIV/0!</v>
      </c>
    </row>
    <row r="341" spans="2:5" x14ac:dyDescent="0.25">
      <c r="B341" s="8" t="s">
        <v>8</v>
      </c>
      <c r="C341" s="9">
        <v>23</v>
      </c>
      <c r="D341" s="9">
        <v>11</v>
      </c>
      <c r="E341" s="10">
        <f t="shared" si="25"/>
        <v>0.52173913043478259</v>
      </c>
    </row>
    <row r="342" spans="2:5" x14ac:dyDescent="0.25">
      <c r="B342" s="8" t="s">
        <v>9</v>
      </c>
      <c r="C342" s="9">
        <v>240</v>
      </c>
      <c r="D342" s="9">
        <v>324</v>
      </c>
      <c r="E342" s="10">
        <f t="shared" si="25"/>
        <v>-0.35</v>
      </c>
    </row>
    <row r="343" spans="2:5" x14ac:dyDescent="0.25">
      <c r="B343" s="8" t="s">
        <v>10</v>
      </c>
      <c r="C343" s="9">
        <v>142</v>
      </c>
      <c r="D343" s="9">
        <v>4</v>
      </c>
      <c r="E343" s="10">
        <f t="shared" si="25"/>
        <v>0.971830985915493</v>
      </c>
    </row>
    <row r="350" spans="2:5" x14ac:dyDescent="0.25">
      <c r="B350" t="s">
        <v>66</v>
      </c>
    </row>
    <row r="351" spans="2:5" ht="21" x14ac:dyDescent="0.25">
      <c r="B351" s="3">
        <v>42404</v>
      </c>
      <c r="C351" s="4" t="s">
        <v>2</v>
      </c>
      <c r="D351" s="4" t="s">
        <v>3</v>
      </c>
      <c r="E351" s="4" t="s">
        <v>4</v>
      </c>
    </row>
    <row r="352" spans="2:5" x14ac:dyDescent="0.25">
      <c r="B352" s="5" t="s">
        <v>5</v>
      </c>
      <c r="C352" s="6">
        <v>51</v>
      </c>
      <c r="D352" s="6">
        <v>2</v>
      </c>
      <c r="E352" s="7">
        <f t="shared" ref="E352:E357" si="26">(C352-D352)/C352</f>
        <v>0.96078431372549022</v>
      </c>
    </row>
    <row r="353" spans="2:5" x14ac:dyDescent="0.25">
      <c r="B353" s="8" t="s">
        <v>6</v>
      </c>
      <c r="C353" s="9">
        <v>35</v>
      </c>
      <c r="D353" s="9">
        <v>6</v>
      </c>
      <c r="E353" s="10">
        <f t="shared" si="26"/>
        <v>0.82857142857142863</v>
      </c>
    </row>
    <row r="354" spans="2:5" x14ac:dyDescent="0.25">
      <c r="B354" s="8" t="s">
        <v>7</v>
      </c>
      <c r="C354" s="9">
        <v>0</v>
      </c>
      <c r="D354" s="9">
        <v>0</v>
      </c>
      <c r="E354" s="10" t="e">
        <f t="shared" si="26"/>
        <v>#DIV/0!</v>
      </c>
    </row>
    <row r="355" spans="2:5" x14ac:dyDescent="0.25">
      <c r="B355" s="8" t="s">
        <v>8</v>
      </c>
      <c r="C355" s="9">
        <v>23</v>
      </c>
      <c r="D355" s="9">
        <v>0</v>
      </c>
      <c r="E355" s="10">
        <f t="shared" si="26"/>
        <v>1</v>
      </c>
    </row>
    <row r="356" spans="2:5" x14ac:dyDescent="0.25">
      <c r="B356" s="8" t="s">
        <v>9</v>
      </c>
      <c r="C356" s="9">
        <v>0</v>
      </c>
      <c r="D356" s="9">
        <v>0</v>
      </c>
      <c r="E356" s="10" t="e">
        <f t="shared" si="26"/>
        <v>#DIV/0!</v>
      </c>
    </row>
    <row r="357" spans="2:5" x14ac:dyDescent="0.25">
      <c r="B357" s="8" t="s">
        <v>10</v>
      </c>
      <c r="C357" s="9">
        <v>142</v>
      </c>
      <c r="D357" s="9">
        <v>19</v>
      </c>
      <c r="E357" s="10">
        <f t="shared" si="26"/>
        <v>0.86619718309859151</v>
      </c>
    </row>
    <row r="363" spans="2:5" x14ac:dyDescent="0.25">
      <c r="B363" t="s">
        <v>67</v>
      </c>
    </row>
    <row r="364" spans="2:5" ht="21" x14ac:dyDescent="0.25">
      <c r="B364" s="3">
        <v>42404</v>
      </c>
      <c r="C364" s="4" t="s">
        <v>2</v>
      </c>
      <c r="D364" s="4" t="s">
        <v>3</v>
      </c>
      <c r="E364" s="4" t="s">
        <v>4</v>
      </c>
    </row>
    <row r="365" spans="2:5" x14ac:dyDescent="0.25">
      <c r="B365" s="5" t="s">
        <v>5</v>
      </c>
      <c r="C365" s="6">
        <v>51</v>
      </c>
      <c r="D365" s="6">
        <v>6</v>
      </c>
      <c r="E365" s="7">
        <f t="shared" ref="E365:E370" si="27">(C365-D365)/C365</f>
        <v>0.88235294117647056</v>
      </c>
    </row>
    <row r="366" spans="2:5" x14ac:dyDescent="0.25">
      <c r="B366" s="8" t="s">
        <v>6</v>
      </c>
      <c r="C366" s="9">
        <v>35</v>
      </c>
      <c r="D366" s="9">
        <v>1</v>
      </c>
      <c r="E366" s="10">
        <f t="shared" si="27"/>
        <v>0.97142857142857142</v>
      </c>
    </row>
    <row r="367" spans="2:5" x14ac:dyDescent="0.25">
      <c r="B367" s="8" t="s">
        <v>7</v>
      </c>
      <c r="C367" s="9">
        <v>0</v>
      </c>
      <c r="D367" s="9">
        <v>0</v>
      </c>
      <c r="E367" s="10" t="e">
        <f t="shared" si="27"/>
        <v>#DIV/0!</v>
      </c>
    </row>
    <row r="368" spans="2:5" x14ac:dyDescent="0.25">
      <c r="B368" s="8" t="s">
        <v>8</v>
      </c>
      <c r="C368" s="9">
        <v>23</v>
      </c>
      <c r="D368" s="9">
        <v>15</v>
      </c>
      <c r="E368" s="10">
        <f t="shared" si="27"/>
        <v>0.34782608695652173</v>
      </c>
    </row>
    <row r="369" spans="2:5" x14ac:dyDescent="0.25">
      <c r="B369" s="8" t="s">
        <v>9</v>
      </c>
      <c r="C369" s="9">
        <v>0</v>
      </c>
      <c r="D369" s="9">
        <v>0</v>
      </c>
      <c r="E369" s="10" t="e">
        <f t="shared" si="27"/>
        <v>#DIV/0!</v>
      </c>
    </row>
    <row r="370" spans="2:5" x14ac:dyDescent="0.25">
      <c r="B370" s="8" t="s">
        <v>10</v>
      </c>
      <c r="C370" s="9">
        <v>142</v>
      </c>
      <c r="D370" s="9">
        <v>30</v>
      </c>
      <c r="E370" s="10">
        <f t="shared" si="27"/>
        <v>0.78873239436619713</v>
      </c>
    </row>
    <row r="377" spans="2:5" x14ac:dyDescent="0.25">
      <c r="B377" t="s">
        <v>68</v>
      </c>
    </row>
    <row r="378" spans="2:5" ht="21" x14ac:dyDescent="0.25">
      <c r="B378" s="3">
        <v>42404</v>
      </c>
      <c r="C378" s="4" t="s">
        <v>2</v>
      </c>
      <c r="D378" s="4" t="s">
        <v>3</v>
      </c>
      <c r="E378" s="4" t="s">
        <v>4</v>
      </c>
    </row>
    <row r="379" spans="2:5" x14ac:dyDescent="0.25">
      <c r="B379" s="5" t="s">
        <v>5</v>
      </c>
      <c r="C379" s="6">
        <v>51</v>
      </c>
      <c r="D379" s="6">
        <v>1</v>
      </c>
      <c r="E379" s="7">
        <f t="shared" ref="E379:E384" si="28">(C379-D379)/C379</f>
        <v>0.98039215686274506</v>
      </c>
    </row>
    <row r="380" spans="2:5" x14ac:dyDescent="0.25">
      <c r="B380" s="8" t="s">
        <v>6</v>
      </c>
      <c r="C380" s="9">
        <v>35</v>
      </c>
      <c r="D380" s="9">
        <v>4</v>
      </c>
      <c r="E380" s="10">
        <f t="shared" si="28"/>
        <v>0.88571428571428568</v>
      </c>
    </row>
    <row r="381" spans="2:5" x14ac:dyDescent="0.25">
      <c r="B381" s="8" t="s">
        <v>7</v>
      </c>
      <c r="C381" s="9">
        <v>0</v>
      </c>
      <c r="D381" s="9">
        <v>0</v>
      </c>
      <c r="E381" s="10" t="e">
        <f t="shared" si="28"/>
        <v>#DIV/0!</v>
      </c>
    </row>
    <row r="382" spans="2:5" x14ac:dyDescent="0.25">
      <c r="B382" s="8" t="s">
        <v>8</v>
      </c>
      <c r="C382" s="9">
        <v>23</v>
      </c>
      <c r="D382" s="9">
        <v>0</v>
      </c>
      <c r="E382" s="10">
        <f t="shared" si="28"/>
        <v>1</v>
      </c>
    </row>
    <row r="383" spans="2:5" x14ac:dyDescent="0.25">
      <c r="B383" s="8" t="s">
        <v>9</v>
      </c>
      <c r="C383" s="9">
        <v>0</v>
      </c>
      <c r="D383" s="9">
        <v>0</v>
      </c>
      <c r="E383" s="10" t="e">
        <f t="shared" si="28"/>
        <v>#DIV/0!</v>
      </c>
    </row>
    <row r="384" spans="2:5" x14ac:dyDescent="0.25">
      <c r="B384" s="8" t="s">
        <v>10</v>
      </c>
      <c r="C384" s="9">
        <v>142</v>
      </c>
      <c r="D384" s="9">
        <v>17</v>
      </c>
      <c r="E384" s="10">
        <f t="shared" si="28"/>
        <v>0.88028169014084512</v>
      </c>
    </row>
    <row r="391" spans="2:5" x14ac:dyDescent="0.25">
      <c r="B391" t="s">
        <v>69</v>
      </c>
    </row>
    <row r="392" spans="2:5" ht="21" x14ac:dyDescent="0.25">
      <c r="B392" s="3">
        <v>42404</v>
      </c>
      <c r="C392" s="4" t="s">
        <v>2</v>
      </c>
      <c r="D392" s="4" t="s">
        <v>3</v>
      </c>
      <c r="E392" s="4" t="s">
        <v>4</v>
      </c>
    </row>
    <row r="393" spans="2:5" x14ac:dyDescent="0.25">
      <c r="B393" s="5" t="s">
        <v>5</v>
      </c>
      <c r="C393" s="6">
        <v>51</v>
      </c>
      <c r="D393" s="6">
        <v>6</v>
      </c>
      <c r="E393" s="7">
        <f t="shared" ref="E393:E398" si="29">(C393-D393)/C393</f>
        <v>0.88235294117647056</v>
      </c>
    </row>
    <row r="394" spans="2:5" x14ac:dyDescent="0.25">
      <c r="B394" s="8" t="s">
        <v>6</v>
      </c>
      <c r="C394" s="9">
        <v>35</v>
      </c>
      <c r="D394" s="9">
        <v>14</v>
      </c>
      <c r="E394" s="10">
        <f t="shared" si="29"/>
        <v>0.6</v>
      </c>
    </row>
    <row r="395" spans="2:5" x14ac:dyDescent="0.25">
      <c r="B395" s="8" t="s">
        <v>7</v>
      </c>
      <c r="C395" s="9">
        <v>60</v>
      </c>
      <c r="D395" s="9">
        <v>45</v>
      </c>
      <c r="E395" s="10">
        <f t="shared" si="29"/>
        <v>0.25</v>
      </c>
    </row>
    <row r="396" spans="2:5" x14ac:dyDescent="0.25">
      <c r="B396" s="8" t="s">
        <v>8</v>
      </c>
      <c r="C396" s="9">
        <v>23</v>
      </c>
      <c r="D396" s="9">
        <v>7</v>
      </c>
      <c r="E396" s="10">
        <f t="shared" si="29"/>
        <v>0.69565217391304346</v>
      </c>
    </row>
    <row r="397" spans="2:5" x14ac:dyDescent="0.25">
      <c r="B397" s="8" t="s">
        <v>9</v>
      </c>
      <c r="C397" s="9">
        <v>0</v>
      </c>
      <c r="D397" s="9">
        <v>0</v>
      </c>
      <c r="E397" s="10" t="e">
        <f t="shared" si="29"/>
        <v>#DIV/0!</v>
      </c>
    </row>
    <row r="398" spans="2:5" x14ac:dyDescent="0.25">
      <c r="B398" s="8" t="s">
        <v>10</v>
      </c>
      <c r="C398" s="9">
        <v>142</v>
      </c>
      <c r="D398" s="9">
        <v>16</v>
      </c>
      <c r="E398" s="10">
        <f t="shared" si="29"/>
        <v>0.88732394366197187</v>
      </c>
    </row>
    <row r="405" spans="2:5" x14ac:dyDescent="0.25">
      <c r="B405" t="s">
        <v>70</v>
      </c>
    </row>
    <row r="406" spans="2:5" ht="21" x14ac:dyDescent="0.25">
      <c r="B406" s="3">
        <v>42404</v>
      </c>
      <c r="C406" s="4" t="s">
        <v>2</v>
      </c>
      <c r="D406" s="4" t="s">
        <v>3</v>
      </c>
      <c r="E406" s="4" t="s">
        <v>4</v>
      </c>
    </row>
    <row r="407" spans="2:5" x14ac:dyDescent="0.25">
      <c r="B407" s="5" t="s">
        <v>5</v>
      </c>
      <c r="C407" s="6">
        <v>51</v>
      </c>
      <c r="D407" s="6">
        <v>10</v>
      </c>
      <c r="E407" s="7">
        <f t="shared" ref="E407:E412" si="30">(C407-D407)/C407</f>
        <v>0.80392156862745101</v>
      </c>
    </row>
    <row r="408" spans="2:5" x14ac:dyDescent="0.25">
      <c r="B408" s="8" t="s">
        <v>6</v>
      </c>
      <c r="C408" s="9">
        <v>35</v>
      </c>
      <c r="D408" s="9">
        <v>5</v>
      </c>
      <c r="E408" s="10">
        <f t="shared" si="30"/>
        <v>0.8571428571428571</v>
      </c>
    </row>
    <row r="409" spans="2:5" x14ac:dyDescent="0.25">
      <c r="B409" s="8" t="s">
        <v>7</v>
      </c>
      <c r="C409" s="9">
        <v>0</v>
      </c>
      <c r="D409" s="9">
        <v>0</v>
      </c>
      <c r="E409" s="10" t="e">
        <f t="shared" si="30"/>
        <v>#DIV/0!</v>
      </c>
    </row>
    <row r="410" spans="2:5" x14ac:dyDescent="0.25">
      <c r="B410" s="8" t="s">
        <v>8</v>
      </c>
      <c r="C410" s="9">
        <v>23</v>
      </c>
      <c r="D410" s="9">
        <v>4</v>
      </c>
      <c r="E410" s="10">
        <f t="shared" si="30"/>
        <v>0.82608695652173914</v>
      </c>
    </row>
    <row r="411" spans="2:5" x14ac:dyDescent="0.25">
      <c r="B411" s="8" t="s">
        <v>9</v>
      </c>
      <c r="C411" s="9">
        <v>240</v>
      </c>
      <c r="D411" s="9">
        <v>86</v>
      </c>
      <c r="E411" s="10">
        <f t="shared" si="30"/>
        <v>0.64166666666666672</v>
      </c>
    </row>
    <row r="412" spans="2:5" x14ac:dyDescent="0.25">
      <c r="B412" s="8" t="s">
        <v>10</v>
      </c>
      <c r="C412" s="9">
        <v>142</v>
      </c>
      <c r="D412" s="9">
        <v>4</v>
      </c>
      <c r="E412" s="10">
        <f t="shared" si="30"/>
        <v>0.971830985915493</v>
      </c>
    </row>
    <row r="418" spans="2:5" x14ac:dyDescent="0.25">
      <c r="B418" t="s">
        <v>71</v>
      </c>
    </row>
    <row r="419" spans="2:5" ht="21" x14ac:dyDescent="0.25">
      <c r="B419" s="3">
        <v>42404</v>
      </c>
      <c r="C419" s="4" t="s">
        <v>2</v>
      </c>
      <c r="D419" s="4" t="s">
        <v>3</v>
      </c>
      <c r="E419" s="4" t="s">
        <v>4</v>
      </c>
    </row>
    <row r="420" spans="2:5" x14ac:dyDescent="0.25">
      <c r="B420" s="5" t="s">
        <v>5</v>
      </c>
      <c r="C420" s="6">
        <v>51</v>
      </c>
      <c r="D420" s="6">
        <v>4</v>
      </c>
      <c r="E420" s="7">
        <f t="shared" ref="E420:E425" si="31">(C420-D420)/C420</f>
        <v>0.92156862745098034</v>
      </c>
    </row>
    <row r="421" spans="2:5" x14ac:dyDescent="0.25">
      <c r="B421" s="8" t="s">
        <v>6</v>
      </c>
      <c r="C421" s="9">
        <v>35</v>
      </c>
      <c r="D421" s="9">
        <v>4</v>
      </c>
      <c r="E421" s="10">
        <f t="shared" si="31"/>
        <v>0.88571428571428568</v>
      </c>
    </row>
    <row r="422" spans="2:5" x14ac:dyDescent="0.25">
      <c r="B422" s="8" t="s">
        <v>7</v>
      </c>
      <c r="C422" s="9">
        <v>0</v>
      </c>
      <c r="D422" s="9">
        <v>0</v>
      </c>
      <c r="E422" s="10" t="e">
        <f t="shared" si="31"/>
        <v>#DIV/0!</v>
      </c>
    </row>
    <row r="423" spans="2:5" x14ac:dyDescent="0.25">
      <c r="B423" s="8" t="s">
        <v>8</v>
      </c>
      <c r="C423" s="9">
        <v>23</v>
      </c>
      <c r="D423" s="9">
        <v>5</v>
      </c>
      <c r="E423" s="10">
        <f t="shared" si="31"/>
        <v>0.78260869565217395</v>
      </c>
    </row>
    <row r="424" spans="2:5" x14ac:dyDescent="0.25">
      <c r="B424" s="8" t="s">
        <v>9</v>
      </c>
      <c r="C424" s="9">
        <v>0</v>
      </c>
      <c r="D424" s="9">
        <v>0</v>
      </c>
      <c r="E424" s="10" t="e">
        <f t="shared" si="31"/>
        <v>#DIV/0!</v>
      </c>
    </row>
    <row r="425" spans="2:5" x14ac:dyDescent="0.25">
      <c r="B425" s="8" t="s">
        <v>10</v>
      </c>
      <c r="C425" s="9">
        <v>142</v>
      </c>
      <c r="D425" s="9">
        <v>24</v>
      </c>
      <c r="E425" s="10">
        <f t="shared" si="31"/>
        <v>0.83098591549295775</v>
      </c>
    </row>
    <row r="433" spans="2:5" x14ac:dyDescent="0.25">
      <c r="B433" t="s">
        <v>72</v>
      </c>
    </row>
    <row r="434" spans="2:5" ht="21" x14ac:dyDescent="0.25">
      <c r="B434" s="3">
        <v>42404</v>
      </c>
      <c r="C434" s="4" t="s">
        <v>2</v>
      </c>
      <c r="D434" s="4" t="s">
        <v>3</v>
      </c>
      <c r="E434" s="4" t="s">
        <v>4</v>
      </c>
    </row>
    <row r="435" spans="2:5" x14ac:dyDescent="0.25">
      <c r="B435" s="5" t="s">
        <v>5</v>
      </c>
      <c r="C435" s="6">
        <v>51</v>
      </c>
      <c r="D435" s="6">
        <v>4</v>
      </c>
      <c r="E435" s="7">
        <f t="shared" ref="E435:E440" si="32">(C435-D435)/C435</f>
        <v>0.92156862745098034</v>
      </c>
    </row>
    <row r="436" spans="2:5" x14ac:dyDescent="0.25">
      <c r="B436" s="8" t="s">
        <v>6</v>
      </c>
      <c r="C436" s="9">
        <v>35</v>
      </c>
      <c r="D436" s="9">
        <v>4</v>
      </c>
      <c r="E436" s="10">
        <f t="shared" si="32"/>
        <v>0.88571428571428568</v>
      </c>
    </row>
    <row r="437" spans="2:5" x14ac:dyDescent="0.25">
      <c r="B437" s="8" t="s">
        <v>7</v>
      </c>
      <c r="C437" s="9">
        <v>0</v>
      </c>
      <c r="D437" s="9">
        <v>0</v>
      </c>
      <c r="E437" s="10" t="e">
        <f t="shared" si="32"/>
        <v>#DIV/0!</v>
      </c>
    </row>
    <row r="438" spans="2:5" x14ac:dyDescent="0.25">
      <c r="B438" s="8" t="s">
        <v>8</v>
      </c>
      <c r="C438" s="9">
        <v>23</v>
      </c>
      <c r="D438" s="9">
        <v>0</v>
      </c>
      <c r="E438" s="10">
        <f t="shared" si="32"/>
        <v>1</v>
      </c>
    </row>
    <row r="439" spans="2:5" x14ac:dyDescent="0.25">
      <c r="B439" s="8" t="s">
        <v>9</v>
      </c>
      <c r="C439" s="9">
        <v>240</v>
      </c>
      <c r="D439" s="9">
        <v>53</v>
      </c>
      <c r="E439" s="10">
        <f t="shared" si="32"/>
        <v>0.77916666666666667</v>
      </c>
    </row>
    <row r="440" spans="2:5" x14ac:dyDescent="0.25">
      <c r="B440" s="8" t="s">
        <v>10</v>
      </c>
      <c r="C440" s="9">
        <v>142</v>
      </c>
      <c r="D440" s="9">
        <v>4</v>
      </c>
      <c r="E440" s="10">
        <f t="shared" si="32"/>
        <v>0.971830985915493</v>
      </c>
    </row>
    <row r="446" spans="2:5" x14ac:dyDescent="0.25">
      <c r="B446" t="s">
        <v>73</v>
      </c>
    </row>
    <row r="447" spans="2:5" ht="21" x14ac:dyDescent="0.25">
      <c r="B447" s="3">
        <v>42404</v>
      </c>
      <c r="C447" s="4" t="s">
        <v>2</v>
      </c>
      <c r="D447" s="4" t="s">
        <v>3</v>
      </c>
      <c r="E447" s="4" t="s">
        <v>4</v>
      </c>
    </row>
    <row r="448" spans="2:5" x14ac:dyDescent="0.25">
      <c r="B448" s="5" t="s">
        <v>5</v>
      </c>
      <c r="C448" s="6">
        <v>51</v>
      </c>
      <c r="D448" s="6">
        <v>5</v>
      </c>
      <c r="E448" s="7">
        <f t="shared" ref="E448:E453" si="33">(C448-D448)/C448</f>
        <v>0.90196078431372551</v>
      </c>
    </row>
    <row r="449" spans="2:5" x14ac:dyDescent="0.25">
      <c r="B449" s="8" t="s">
        <v>6</v>
      </c>
      <c r="C449" s="9">
        <v>35</v>
      </c>
      <c r="D449" s="9">
        <v>5</v>
      </c>
      <c r="E449" s="10">
        <f t="shared" si="33"/>
        <v>0.8571428571428571</v>
      </c>
    </row>
    <row r="450" spans="2:5" x14ac:dyDescent="0.25">
      <c r="B450" s="8" t="s">
        <v>7</v>
      </c>
      <c r="C450" s="9">
        <v>0</v>
      </c>
      <c r="D450" s="9">
        <v>0</v>
      </c>
      <c r="E450" s="10" t="e">
        <f t="shared" si="33"/>
        <v>#DIV/0!</v>
      </c>
    </row>
    <row r="451" spans="2:5" x14ac:dyDescent="0.25">
      <c r="B451" s="8" t="s">
        <v>8</v>
      </c>
      <c r="C451" s="9">
        <v>23</v>
      </c>
      <c r="D451" s="9">
        <v>5</v>
      </c>
      <c r="E451" s="10">
        <f t="shared" si="33"/>
        <v>0.78260869565217395</v>
      </c>
    </row>
    <row r="452" spans="2:5" x14ac:dyDescent="0.25">
      <c r="B452" s="8" t="s">
        <v>9</v>
      </c>
      <c r="C452" s="9">
        <v>0</v>
      </c>
      <c r="D452" s="9">
        <v>0</v>
      </c>
      <c r="E452" s="10" t="e">
        <f t="shared" si="33"/>
        <v>#DIV/0!</v>
      </c>
    </row>
    <row r="453" spans="2:5" x14ac:dyDescent="0.25">
      <c r="B453" s="8" t="s">
        <v>10</v>
      </c>
      <c r="C453" s="9">
        <v>142</v>
      </c>
      <c r="D453" s="9">
        <v>18</v>
      </c>
      <c r="E453" s="10">
        <f t="shared" si="33"/>
        <v>0.87323943661971826</v>
      </c>
    </row>
    <row r="460" spans="2:5" x14ac:dyDescent="0.25">
      <c r="B460" t="s">
        <v>74</v>
      </c>
    </row>
    <row r="461" spans="2:5" ht="21" x14ac:dyDescent="0.25">
      <c r="B461" s="3">
        <v>42404</v>
      </c>
      <c r="C461" s="4" t="s">
        <v>2</v>
      </c>
      <c r="D461" s="4" t="s">
        <v>3</v>
      </c>
      <c r="E461" s="4" t="s">
        <v>4</v>
      </c>
    </row>
    <row r="462" spans="2:5" x14ac:dyDescent="0.25">
      <c r="B462" s="5" t="s">
        <v>5</v>
      </c>
      <c r="C462" s="6">
        <v>51</v>
      </c>
      <c r="D462" s="6">
        <v>4</v>
      </c>
      <c r="E462" s="7">
        <f t="shared" ref="E462:E467" si="34">(C462-D462)/C462</f>
        <v>0.92156862745098034</v>
      </c>
    </row>
    <row r="463" spans="2:5" x14ac:dyDescent="0.25">
      <c r="B463" s="8" t="s">
        <v>6</v>
      </c>
      <c r="C463" s="9">
        <v>35</v>
      </c>
      <c r="D463" s="9">
        <v>6</v>
      </c>
      <c r="E463" s="10">
        <f t="shared" si="34"/>
        <v>0.82857142857142863</v>
      </c>
    </row>
    <row r="464" spans="2:5" x14ac:dyDescent="0.25">
      <c r="B464" s="8" t="s">
        <v>7</v>
      </c>
      <c r="C464" s="9">
        <v>0</v>
      </c>
      <c r="D464" s="9">
        <v>0</v>
      </c>
      <c r="E464" s="10" t="e">
        <f t="shared" si="34"/>
        <v>#DIV/0!</v>
      </c>
    </row>
    <row r="465" spans="2:5" x14ac:dyDescent="0.25">
      <c r="B465" s="8" t="s">
        <v>8</v>
      </c>
      <c r="C465" s="9">
        <v>23</v>
      </c>
      <c r="D465" s="9">
        <v>3</v>
      </c>
      <c r="E465" s="10">
        <f t="shared" si="34"/>
        <v>0.86956521739130432</v>
      </c>
    </row>
    <row r="466" spans="2:5" x14ac:dyDescent="0.25">
      <c r="B466" s="8" t="s">
        <v>9</v>
      </c>
      <c r="C466" s="9">
        <v>240</v>
      </c>
      <c r="D466" s="9">
        <v>105</v>
      </c>
      <c r="E466" s="10">
        <f t="shared" si="34"/>
        <v>0.5625</v>
      </c>
    </row>
    <row r="467" spans="2:5" x14ac:dyDescent="0.25">
      <c r="B467" s="8" t="s">
        <v>10</v>
      </c>
      <c r="C467" s="9">
        <v>142</v>
      </c>
      <c r="D467" s="9">
        <v>13</v>
      </c>
      <c r="E467" s="10">
        <f t="shared" si="34"/>
        <v>0.90845070422535212</v>
      </c>
    </row>
    <row r="474" spans="2:5" x14ac:dyDescent="0.25">
      <c r="B474" t="s">
        <v>75</v>
      </c>
    </row>
    <row r="475" spans="2:5" ht="21" x14ac:dyDescent="0.25">
      <c r="B475" s="3">
        <v>42404</v>
      </c>
      <c r="C475" s="4" t="s">
        <v>2</v>
      </c>
      <c r="D475" s="4" t="s">
        <v>3</v>
      </c>
      <c r="E475" s="4" t="s">
        <v>4</v>
      </c>
    </row>
    <row r="476" spans="2:5" x14ac:dyDescent="0.25">
      <c r="B476" s="5" t="s">
        <v>5</v>
      </c>
      <c r="C476" s="6">
        <v>51</v>
      </c>
      <c r="D476" s="6">
        <v>4</v>
      </c>
      <c r="E476" s="7">
        <f t="shared" ref="E476:E481" si="35">(C476-D476)/C476</f>
        <v>0.92156862745098034</v>
      </c>
    </row>
    <row r="477" spans="2:5" x14ac:dyDescent="0.25">
      <c r="B477" s="8" t="s">
        <v>6</v>
      </c>
      <c r="C477" s="9">
        <v>35</v>
      </c>
      <c r="D477" s="9">
        <v>6</v>
      </c>
      <c r="E477" s="10">
        <f t="shared" si="35"/>
        <v>0.82857142857142863</v>
      </c>
    </row>
    <row r="478" spans="2:5" x14ac:dyDescent="0.25">
      <c r="B478" s="8" t="s">
        <v>7</v>
      </c>
      <c r="C478" s="9">
        <v>0</v>
      </c>
      <c r="D478" s="9">
        <v>0</v>
      </c>
      <c r="E478" s="10" t="e">
        <f t="shared" si="35"/>
        <v>#DIV/0!</v>
      </c>
    </row>
    <row r="479" spans="2:5" x14ac:dyDescent="0.25">
      <c r="B479" s="8" t="s">
        <v>8</v>
      </c>
      <c r="C479" s="9">
        <v>23</v>
      </c>
      <c r="D479" s="9">
        <v>6</v>
      </c>
      <c r="E479" s="10">
        <f t="shared" si="35"/>
        <v>0.73913043478260865</v>
      </c>
    </row>
    <row r="480" spans="2:5" x14ac:dyDescent="0.25">
      <c r="B480" s="8" t="s">
        <v>9</v>
      </c>
      <c r="C480" s="9">
        <v>0</v>
      </c>
      <c r="D480" s="9">
        <v>0</v>
      </c>
      <c r="E480" s="10" t="e">
        <f t="shared" si="35"/>
        <v>#DIV/0!</v>
      </c>
    </row>
    <row r="481" spans="2:5" x14ac:dyDescent="0.25">
      <c r="B481" s="8" t="s">
        <v>10</v>
      </c>
      <c r="C481" s="9">
        <v>142</v>
      </c>
      <c r="D481" s="9">
        <v>3</v>
      </c>
      <c r="E481" s="10">
        <f t="shared" si="35"/>
        <v>0.97887323943661975</v>
      </c>
    </row>
    <row r="488" spans="2:5" x14ac:dyDescent="0.25">
      <c r="B488" t="s">
        <v>76</v>
      </c>
    </row>
    <row r="489" spans="2:5" ht="21" x14ac:dyDescent="0.25">
      <c r="B489" s="3">
        <v>42404</v>
      </c>
      <c r="C489" s="4" t="s">
        <v>2</v>
      </c>
      <c r="D489" s="4" t="s">
        <v>3</v>
      </c>
      <c r="E489" s="4" t="s">
        <v>4</v>
      </c>
    </row>
    <row r="490" spans="2:5" x14ac:dyDescent="0.25">
      <c r="B490" s="5" t="s">
        <v>5</v>
      </c>
      <c r="C490" s="6">
        <v>51</v>
      </c>
      <c r="D490" s="6">
        <v>98</v>
      </c>
      <c r="E490" s="7">
        <f t="shared" ref="E490:E495" si="36">(C490-D490)/C490</f>
        <v>-0.92156862745098034</v>
      </c>
    </row>
    <row r="491" spans="2:5" x14ac:dyDescent="0.25">
      <c r="B491" s="8" t="s">
        <v>6</v>
      </c>
      <c r="C491" s="9">
        <v>35</v>
      </c>
      <c r="D491" s="9">
        <v>10</v>
      </c>
      <c r="E491" s="10">
        <f t="shared" si="36"/>
        <v>0.7142857142857143</v>
      </c>
    </row>
    <row r="492" spans="2:5" x14ac:dyDescent="0.25">
      <c r="B492" s="8" t="s">
        <v>7</v>
      </c>
      <c r="C492" s="9">
        <v>300</v>
      </c>
      <c r="D492" s="9">
        <v>212</v>
      </c>
      <c r="E492" s="10">
        <f t="shared" si="36"/>
        <v>0.29333333333333333</v>
      </c>
    </row>
    <row r="493" spans="2:5" x14ac:dyDescent="0.25">
      <c r="B493" s="8" t="s">
        <v>8</v>
      </c>
      <c r="C493" s="9">
        <v>23</v>
      </c>
      <c r="D493" s="9">
        <v>0</v>
      </c>
      <c r="E493" s="10">
        <f t="shared" si="36"/>
        <v>1</v>
      </c>
    </row>
    <row r="494" spans="2:5" x14ac:dyDescent="0.25">
      <c r="B494" s="8" t="s">
        <v>9</v>
      </c>
      <c r="C494" s="9">
        <v>0</v>
      </c>
      <c r="D494" s="9">
        <v>0</v>
      </c>
      <c r="E494" s="10" t="e">
        <f t="shared" si="36"/>
        <v>#DIV/0!</v>
      </c>
    </row>
    <row r="495" spans="2:5" x14ac:dyDescent="0.25">
      <c r="B495" s="8" t="s">
        <v>10</v>
      </c>
      <c r="C495" s="9">
        <v>142</v>
      </c>
      <c r="D495" s="9">
        <v>3</v>
      </c>
      <c r="E495" s="10">
        <f t="shared" si="36"/>
        <v>0.97887323943661975</v>
      </c>
    </row>
    <row r="500" spans="2:15" x14ac:dyDescent="0.25">
      <c r="O500" t="s">
        <v>92</v>
      </c>
    </row>
    <row r="501" spans="2:15" s="52" customFormat="1" x14ac:dyDescent="0.25"/>
    <row r="502" spans="2:15" x14ac:dyDescent="0.25">
      <c r="B502" t="s">
        <v>77</v>
      </c>
    </row>
    <row r="503" spans="2:15" ht="21" x14ac:dyDescent="0.25">
      <c r="B503" s="3">
        <v>42404</v>
      </c>
      <c r="C503" s="4" t="s">
        <v>2</v>
      </c>
      <c r="D503" s="4" t="s">
        <v>3</v>
      </c>
      <c r="E503" s="4" t="s">
        <v>4</v>
      </c>
    </row>
    <row r="504" spans="2:15" x14ac:dyDescent="0.25">
      <c r="B504" s="5" t="s">
        <v>5</v>
      </c>
      <c r="C504" s="6">
        <v>51</v>
      </c>
      <c r="D504" s="6">
        <v>0</v>
      </c>
      <c r="E504" s="7">
        <f t="shared" ref="E504:E509" si="37">(C504-D504)/C504</f>
        <v>1</v>
      </c>
    </row>
    <row r="505" spans="2:15" x14ac:dyDescent="0.25">
      <c r="B505" s="8" t="s">
        <v>6</v>
      </c>
      <c r="C505" s="9">
        <v>35</v>
      </c>
      <c r="D505" s="9">
        <v>0</v>
      </c>
      <c r="E505" s="10">
        <f t="shared" si="37"/>
        <v>1</v>
      </c>
    </row>
    <row r="506" spans="2:15" x14ac:dyDescent="0.25">
      <c r="B506" s="8" t="s">
        <v>7</v>
      </c>
      <c r="C506" s="9">
        <v>180</v>
      </c>
      <c r="D506" s="9">
        <v>0</v>
      </c>
      <c r="E506" s="10">
        <f t="shared" si="37"/>
        <v>1</v>
      </c>
    </row>
    <row r="507" spans="2:15" x14ac:dyDescent="0.25">
      <c r="B507" s="8" t="s">
        <v>8</v>
      </c>
      <c r="C507" s="9">
        <v>23</v>
      </c>
      <c r="D507" s="9">
        <v>0</v>
      </c>
      <c r="E507" s="10">
        <f t="shared" si="37"/>
        <v>1</v>
      </c>
    </row>
    <row r="508" spans="2:15" x14ac:dyDescent="0.25">
      <c r="B508" s="8" t="s">
        <v>9</v>
      </c>
      <c r="C508" s="9">
        <v>90</v>
      </c>
      <c r="D508" s="9">
        <v>0</v>
      </c>
      <c r="E508" s="10">
        <f t="shared" si="37"/>
        <v>1</v>
      </c>
    </row>
    <row r="509" spans="2:15" x14ac:dyDescent="0.25">
      <c r="B509" s="8" t="s">
        <v>10</v>
      </c>
      <c r="C509" s="9">
        <v>142</v>
      </c>
      <c r="D509" s="9">
        <v>0</v>
      </c>
      <c r="E509" s="10">
        <f t="shared" si="37"/>
        <v>1</v>
      </c>
    </row>
    <row r="516" spans="2:5" x14ac:dyDescent="0.25">
      <c r="B516" t="s">
        <v>78</v>
      </c>
    </row>
    <row r="517" spans="2:5" ht="21" x14ac:dyDescent="0.25">
      <c r="B517" s="3">
        <v>42404</v>
      </c>
      <c r="C517" s="4" t="s">
        <v>2</v>
      </c>
      <c r="D517" s="4" t="s">
        <v>3</v>
      </c>
      <c r="E517" s="4" t="s">
        <v>4</v>
      </c>
    </row>
    <row r="518" spans="2:5" x14ac:dyDescent="0.25">
      <c r="B518" s="5" t="s">
        <v>5</v>
      </c>
      <c r="C518" s="6">
        <v>51</v>
      </c>
      <c r="D518" s="6">
        <v>0</v>
      </c>
      <c r="E518" s="7">
        <f t="shared" ref="E518:E523" si="38">(C518-D518)/C518</f>
        <v>1</v>
      </c>
    </row>
    <row r="519" spans="2:5" x14ac:dyDescent="0.25">
      <c r="B519" s="8" t="s">
        <v>6</v>
      </c>
      <c r="C519" s="9">
        <v>35</v>
      </c>
      <c r="D519" s="9">
        <v>0</v>
      </c>
      <c r="E519" s="10">
        <f t="shared" si="38"/>
        <v>1</v>
      </c>
    </row>
    <row r="520" spans="2:5" x14ac:dyDescent="0.25">
      <c r="B520" s="8" t="s">
        <v>7</v>
      </c>
      <c r="C520" s="9">
        <v>180</v>
      </c>
      <c r="D520" s="9">
        <v>0</v>
      </c>
      <c r="E520" s="10">
        <f t="shared" si="38"/>
        <v>1</v>
      </c>
    </row>
    <row r="521" spans="2:5" x14ac:dyDescent="0.25">
      <c r="B521" s="8" t="s">
        <v>8</v>
      </c>
      <c r="C521" s="9">
        <v>23</v>
      </c>
      <c r="D521" s="9">
        <v>0</v>
      </c>
      <c r="E521" s="10">
        <f t="shared" si="38"/>
        <v>1</v>
      </c>
    </row>
    <row r="522" spans="2:5" x14ac:dyDescent="0.25">
      <c r="B522" s="8" t="s">
        <v>9</v>
      </c>
      <c r="C522" s="9">
        <v>90</v>
      </c>
      <c r="D522" s="9">
        <v>0</v>
      </c>
      <c r="E522" s="10">
        <f t="shared" si="38"/>
        <v>1</v>
      </c>
    </row>
    <row r="523" spans="2:5" x14ac:dyDescent="0.25">
      <c r="B523" s="8" t="s">
        <v>10</v>
      </c>
      <c r="C523" s="9">
        <v>142</v>
      </c>
      <c r="D523" s="9">
        <v>0</v>
      </c>
      <c r="E523" s="10">
        <f t="shared" si="38"/>
        <v>1</v>
      </c>
    </row>
    <row r="530" spans="2:5" x14ac:dyDescent="0.25">
      <c r="B530" t="s">
        <v>79</v>
      </c>
    </row>
    <row r="531" spans="2:5" ht="21" x14ac:dyDescent="0.25">
      <c r="B531" s="3">
        <v>42404</v>
      </c>
      <c r="C531" s="4" t="s">
        <v>2</v>
      </c>
      <c r="D531" s="4" t="s">
        <v>3</v>
      </c>
      <c r="E531" s="4" t="s">
        <v>4</v>
      </c>
    </row>
    <row r="532" spans="2:5" x14ac:dyDescent="0.25">
      <c r="B532" s="5" t="s">
        <v>5</v>
      </c>
      <c r="C532" s="6">
        <v>51</v>
      </c>
      <c r="D532" s="6">
        <v>0</v>
      </c>
      <c r="E532" s="7">
        <f t="shared" ref="E532:E537" si="39">(C532-D532)/C532</f>
        <v>1</v>
      </c>
    </row>
    <row r="533" spans="2:5" x14ac:dyDescent="0.25">
      <c r="B533" s="8" t="s">
        <v>6</v>
      </c>
      <c r="C533" s="9">
        <v>35</v>
      </c>
      <c r="D533" s="9">
        <v>0</v>
      </c>
      <c r="E533" s="10">
        <f t="shared" si="39"/>
        <v>1</v>
      </c>
    </row>
    <row r="534" spans="2:5" x14ac:dyDescent="0.25">
      <c r="B534" s="8" t="s">
        <v>7</v>
      </c>
      <c r="C534" s="9">
        <v>180</v>
      </c>
      <c r="D534" s="9">
        <v>0</v>
      </c>
      <c r="E534" s="10">
        <f t="shared" si="39"/>
        <v>1</v>
      </c>
    </row>
    <row r="535" spans="2:5" x14ac:dyDescent="0.25">
      <c r="B535" s="8" t="s">
        <v>8</v>
      </c>
      <c r="C535" s="9">
        <v>23</v>
      </c>
      <c r="D535" s="9">
        <v>0</v>
      </c>
      <c r="E535" s="10">
        <f t="shared" si="39"/>
        <v>1</v>
      </c>
    </row>
    <row r="536" spans="2:5" x14ac:dyDescent="0.25">
      <c r="B536" s="8" t="s">
        <v>9</v>
      </c>
      <c r="C536" s="9">
        <v>90</v>
      </c>
      <c r="D536" s="9">
        <v>0</v>
      </c>
      <c r="E536" s="10">
        <f t="shared" si="39"/>
        <v>1</v>
      </c>
    </row>
    <row r="537" spans="2:5" x14ac:dyDescent="0.25">
      <c r="B537" s="8" t="s">
        <v>10</v>
      </c>
      <c r="C537" s="9">
        <v>142</v>
      </c>
      <c r="D537" s="9">
        <v>0</v>
      </c>
      <c r="E537" s="10">
        <f t="shared" si="39"/>
        <v>1</v>
      </c>
    </row>
    <row r="545" spans="2:5" x14ac:dyDescent="0.25">
      <c r="B545" t="s">
        <v>80</v>
      </c>
    </row>
    <row r="546" spans="2:5" ht="21" x14ac:dyDescent="0.25">
      <c r="B546" s="3">
        <v>42404</v>
      </c>
      <c r="C546" s="4" t="s">
        <v>2</v>
      </c>
      <c r="D546" s="4" t="s">
        <v>3</v>
      </c>
      <c r="E546" s="4" t="s">
        <v>4</v>
      </c>
    </row>
    <row r="547" spans="2:5" x14ac:dyDescent="0.25">
      <c r="B547" s="5" t="s">
        <v>5</v>
      </c>
      <c r="C547" s="6">
        <v>51</v>
      </c>
      <c r="D547" s="6">
        <v>0</v>
      </c>
      <c r="E547" s="7">
        <f t="shared" ref="E547:E552" si="40">(C547-D547)/C547</f>
        <v>1</v>
      </c>
    </row>
    <row r="548" spans="2:5" x14ac:dyDescent="0.25">
      <c r="B548" s="8" t="s">
        <v>6</v>
      </c>
      <c r="C548" s="9">
        <v>35</v>
      </c>
      <c r="D548" s="9">
        <v>0</v>
      </c>
      <c r="E548" s="10">
        <f t="shared" si="40"/>
        <v>1</v>
      </c>
    </row>
    <row r="549" spans="2:5" x14ac:dyDescent="0.25">
      <c r="B549" s="8" t="s">
        <v>7</v>
      </c>
      <c r="C549" s="9">
        <v>180</v>
      </c>
      <c r="D549" s="9">
        <v>0</v>
      </c>
      <c r="E549" s="10">
        <f t="shared" si="40"/>
        <v>1</v>
      </c>
    </row>
    <row r="550" spans="2:5" x14ac:dyDescent="0.25">
      <c r="B550" s="8" t="s">
        <v>8</v>
      </c>
      <c r="C550" s="9">
        <v>23</v>
      </c>
      <c r="D550" s="9">
        <v>0</v>
      </c>
      <c r="E550" s="10">
        <f t="shared" si="40"/>
        <v>1</v>
      </c>
    </row>
    <row r="551" spans="2:5" x14ac:dyDescent="0.25">
      <c r="B551" s="8" t="s">
        <v>9</v>
      </c>
      <c r="C551" s="9">
        <v>90</v>
      </c>
      <c r="D551" s="9">
        <v>0</v>
      </c>
      <c r="E551" s="10">
        <f t="shared" si="40"/>
        <v>1</v>
      </c>
    </row>
    <row r="552" spans="2:5" x14ac:dyDescent="0.25">
      <c r="B552" s="8" t="s">
        <v>10</v>
      </c>
      <c r="C552" s="9">
        <v>142</v>
      </c>
      <c r="D552" s="9">
        <v>0</v>
      </c>
      <c r="E552" s="10">
        <f t="shared" si="40"/>
        <v>1</v>
      </c>
    </row>
    <row r="559" spans="2:5" x14ac:dyDescent="0.25">
      <c r="B559" t="s">
        <v>81</v>
      </c>
    </row>
    <row r="560" spans="2:5" ht="21" x14ac:dyDescent="0.25">
      <c r="B560" s="3">
        <v>42404</v>
      </c>
      <c r="C560" s="4" t="s">
        <v>2</v>
      </c>
      <c r="D560" s="4" t="s">
        <v>3</v>
      </c>
      <c r="E560" s="4" t="s">
        <v>4</v>
      </c>
    </row>
    <row r="561" spans="2:5" x14ac:dyDescent="0.25">
      <c r="B561" s="5" t="s">
        <v>5</v>
      </c>
      <c r="C561" s="6">
        <v>51</v>
      </c>
      <c r="D561" s="6">
        <v>0</v>
      </c>
      <c r="E561" s="7">
        <f t="shared" ref="E561:E566" si="41">(C561-D561)/C561</f>
        <v>1</v>
      </c>
    </row>
    <row r="562" spans="2:5" x14ac:dyDescent="0.25">
      <c r="B562" s="8" t="s">
        <v>6</v>
      </c>
      <c r="C562" s="9">
        <v>35</v>
      </c>
      <c r="D562" s="9">
        <v>0</v>
      </c>
      <c r="E562" s="10">
        <f t="shared" si="41"/>
        <v>1</v>
      </c>
    </row>
    <row r="563" spans="2:5" x14ac:dyDescent="0.25">
      <c r="B563" s="8" t="s">
        <v>7</v>
      </c>
      <c r="C563" s="9">
        <v>180</v>
      </c>
      <c r="D563" s="9">
        <v>0</v>
      </c>
      <c r="E563" s="10">
        <f t="shared" si="41"/>
        <v>1</v>
      </c>
    </row>
    <row r="564" spans="2:5" x14ac:dyDescent="0.25">
      <c r="B564" s="8" t="s">
        <v>8</v>
      </c>
      <c r="C564" s="9">
        <v>23</v>
      </c>
      <c r="D564" s="9">
        <v>0</v>
      </c>
      <c r="E564" s="10">
        <f t="shared" si="41"/>
        <v>1</v>
      </c>
    </row>
    <row r="565" spans="2:5" x14ac:dyDescent="0.25">
      <c r="B565" s="8" t="s">
        <v>9</v>
      </c>
      <c r="C565" s="9">
        <v>90</v>
      </c>
      <c r="D565" s="9">
        <v>0</v>
      </c>
      <c r="E565" s="10">
        <f t="shared" si="41"/>
        <v>1</v>
      </c>
    </row>
    <row r="566" spans="2:5" x14ac:dyDescent="0.25">
      <c r="B566" s="8" t="s">
        <v>10</v>
      </c>
      <c r="C566" s="9">
        <v>142</v>
      </c>
      <c r="D566" s="9">
        <v>0</v>
      </c>
      <c r="E566" s="10">
        <f t="shared" si="41"/>
        <v>1</v>
      </c>
    </row>
    <row r="573" spans="2:5" x14ac:dyDescent="0.25">
      <c r="B573" t="s">
        <v>82</v>
      </c>
    </row>
    <row r="574" spans="2:5" ht="21" x14ac:dyDescent="0.25">
      <c r="B574" s="3">
        <v>42404</v>
      </c>
      <c r="C574" s="4" t="s">
        <v>2</v>
      </c>
      <c r="D574" s="4" t="s">
        <v>3</v>
      </c>
      <c r="E574" s="4" t="s">
        <v>4</v>
      </c>
    </row>
    <row r="575" spans="2:5" x14ac:dyDescent="0.25">
      <c r="B575" s="5" t="s">
        <v>5</v>
      </c>
      <c r="C575" s="6">
        <v>51</v>
      </c>
      <c r="D575" s="6">
        <v>0</v>
      </c>
      <c r="E575" s="7">
        <f t="shared" ref="E575:E580" si="42">(C575-D575)/C575</f>
        <v>1</v>
      </c>
    </row>
    <row r="576" spans="2:5" x14ac:dyDescent="0.25">
      <c r="B576" s="8" t="s">
        <v>6</v>
      </c>
      <c r="C576" s="9">
        <v>35</v>
      </c>
      <c r="D576" s="9">
        <v>0</v>
      </c>
      <c r="E576" s="10">
        <f t="shared" si="42"/>
        <v>1</v>
      </c>
    </row>
    <row r="577" spans="2:5" x14ac:dyDescent="0.25">
      <c r="B577" s="8" t="s">
        <v>7</v>
      </c>
      <c r="C577" s="9">
        <v>180</v>
      </c>
      <c r="D577" s="9">
        <v>0</v>
      </c>
      <c r="E577" s="10">
        <f t="shared" si="42"/>
        <v>1</v>
      </c>
    </row>
    <row r="578" spans="2:5" x14ac:dyDescent="0.25">
      <c r="B578" s="8" t="s">
        <v>8</v>
      </c>
      <c r="C578" s="9">
        <v>23</v>
      </c>
      <c r="D578" s="9">
        <v>0</v>
      </c>
      <c r="E578" s="10">
        <f t="shared" si="42"/>
        <v>1</v>
      </c>
    </row>
    <row r="579" spans="2:5" x14ac:dyDescent="0.25">
      <c r="B579" s="8" t="s">
        <v>9</v>
      </c>
      <c r="C579" s="9">
        <v>90</v>
      </c>
      <c r="D579" s="9">
        <v>0</v>
      </c>
      <c r="E579" s="10">
        <f t="shared" si="42"/>
        <v>1</v>
      </c>
    </row>
    <row r="580" spans="2:5" x14ac:dyDescent="0.25">
      <c r="B580" s="8" t="s">
        <v>10</v>
      </c>
      <c r="C580" s="9">
        <v>142</v>
      </c>
      <c r="D580" s="9">
        <v>0</v>
      </c>
      <c r="E580" s="10">
        <f t="shared" si="42"/>
        <v>1</v>
      </c>
    </row>
    <row r="587" spans="2:5" x14ac:dyDescent="0.25">
      <c r="B587" t="s">
        <v>83</v>
      </c>
    </row>
    <row r="588" spans="2:5" ht="21" x14ac:dyDescent="0.25">
      <c r="B588" s="3">
        <v>42404</v>
      </c>
      <c r="C588" s="4" t="s">
        <v>2</v>
      </c>
      <c r="D588" s="4" t="s">
        <v>3</v>
      </c>
      <c r="E588" s="4" t="s">
        <v>4</v>
      </c>
    </row>
    <row r="589" spans="2:5" x14ac:dyDescent="0.25">
      <c r="B589" s="5" t="s">
        <v>5</v>
      </c>
      <c r="C589" s="6">
        <v>51</v>
      </c>
      <c r="D589" s="6">
        <v>0</v>
      </c>
      <c r="E589" s="7">
        <f t="shared" ref="E589:E594" si="43">(C589-D589)/C589</f>
        <v>1</v>
      </c>
    </row>
    <row r="590" spans="2:5" x14ac:dyDescent="0.25">
      <c r="B590" s="8" t="s">
        <v>6</v>
      </c>
      <c r="C590" s="9">
        <v>35</v>
      </c>
      <c r="D590" s="9">
        <v>0</v>
      </c>
      <c r="E590" s="10">
        <f t="shared" si="43"/>
        <v>1</v>
      </c>
    </row>
    <row r="591" spans="2:5" x14ac:dyDescent="0.25">
      <c r="B591" s="8" t="s">
        <v>7</v>
      </c>
      <c r="C591" s="9">
        <v>180</v>
      </c>
      <c r="D591" s="9">
        <v>0</v>
      </c>
      <c r="E591" s="10">
        <f t="shared" si="43"/>
        <v>1</v>
      </c>
    </row>
    <row r="592" spans="2:5" x14ac:dyDescent="0.25">
      <c r="B592" s="8" t="s">
        <v>8</v>
      </c>
      <c r="C592" s="9">
        <v>23</v>
      </c>
      <c r="D592" s="9">
        <v>0</v>
      </c>
      <c r="E592" s="10">
        <f t="shared" si="43"/>
        <v>1</v>
      </c>
    </row>
    <row r="593" spans="2:5" x14ac:dyDescent="0.25">
      <c r="B593" s="8" t="s">
        <v>9</v>
      </c>
      <c r="C593" s="9">
        <v>90</v>
      </c>
      <c r="D593" s="9">
        <v>0</v>
      </c>
      <c r="E593" s="10">
        <f t="shared" si="43"/>
        <v>1</v>
      </c>
    </row>
    <row r="594" spans="2:5" x14ac:dyDescent="0.25">
      <c r="B594" s="8" t="s">
        <v>10</v>
      </c>
      <c r="C594" s="9">
        <v>142</v>
      </c>
      <c r="D594" s="9">
        <v>0</v>
      </c>
      <c r="E594" s="10">
        <f t="shared" si="43"/>
        <v>1</v>
      </c>
    </row>
    <row r="601" spans="2:5" x14ac:dyDescent="0.25">
      <c r="B601" t="s">
        <v>84</v>
      </c>
    </row>
    <row r="602" spans="2:5" ht="21" x14ac:dyDescent="0.25">
      <c r="B602" s="3">
        <v>42404</v>
      </c>
      <c r="C602" s="4" t="s">
        <v>2</v>
      </c>
      <c r="D602" s="4" t="s">
        <v>3</v>
      </c>
      <c r="E602" s="4" t="s">
        <v>4</v>
      </c>
    </row>
    <row r="603" spans="2:5" x14ac:dyDescent="0.25">
      <c r="B603" s="5" t="s">
        <v>5</v>
      </c>
      <c r="C603" s="6">
        <v>51</v>
      </c>
      <c r="D603" s="6">
        <v>0</v>
      </c>
      <c r="E603" s="7">
        <f t="shared" ref="E603:E608" si="44">(C603-D603)/C603</f>
        <v>1</v>
      </c>
    </row>
    <row r="604" spans="2:5" x14ac:dyDescent="0.25">
      <c r="B604" s="8" t="s">
        <v>6</v>
      </c>
      <c r="C604" s="9">
        <v>35</v>
      </c>
      <c r="D604" s="9">
        <v>0</v>
      </c>
      <c r="E604" s="10">
        <f t="shared" si="44"/>
        <v>1</v>
      </c>
    </row>
    <row r="605" spans="2:5" x14ac:dyDescent="0.25">
      <c r="B605" s="8" t="s">
        <v>7</v>
      </c>
      <c r="C605" s="9">
        <v>180</v>
      </c>
      <c r="D605" s="9">
        <v>0</v>
      </c>
      <c r="E605" s="10">
        <f t="shared" si="44"/>
        <v>1</v>
      </c>
    </row>
    <row r="606" spans="2:5" x14ac:dyDescent="0.25">
      <c r="B606" s="8" t="s">
        <v>8</v>
      </c>
      <c r="C606" s="9">
        <v>23</v>
      </c>
      <c r="D606" s="9">
        <v>0</v>
      </c>
      <c r="E606" s="10">
        <f t="shared" si="44"/>
        <v>1</v>
      </c>
    </row>
    <row r="607" spans="2:5" x14ac:dyDescent="0.25">
      <c r="B607" s="8" t="s">
        <v>9</v>
      </c>
      <c r="C607" s="9">
        <v>90</v>
      </c>
      <c r="D607" s="9">
        <v>0</v>
      </c>
      <c r="E607" s="10">
        <f t="shared" si="44"/>
        <v>1</v>
      </c>
    </row>
    <row r="608" spans="2:5" x14ac:dyDescent="0.25">
      <c r="B608" s="8" t="s">
        <v>10</v>
      </c>
      <c r="C608" s="9">
        <v>142</v>
      </c>
      <c r="D608" s="9">
        <v>0</v>
      </c>
      <c r="E608" s="10">
        <f t="shared" si="44"/>
        <v>1</v>
      </c>
    </row>
    <row r="614" spans="2:5" x14ac:dyDescent="0.25">
      <c r="B614" t="s">
        <v>86</v>
      </c>
    </row>
    <row r="615" spans="2:5" ht="21" x14ac:dyDescent="0.25">
      <c r="B615" s="3">
        <v>42404</v>
      </c>
      <c r="C615" s="4" t="s">
        <v>2</v>
      </c>
      <c r="D615" s="4" t="s">
        <v>3</v>
      </c>
      <c r="E615" s="4" t="s">
        <v>4</v>
      </c>
    </row>
    <row r="616" spans="2:5" x14ac:dyDescent="0.25">
      <c r="B616" s="5" t="s">
        <v>5</v>
      </c>
      <c r="C616" s="6">
        <v>51</v>
      </c>
      <c r="D616" s="6">
        <v>0</v>
      </c>
      <c r="E616" s="7">
        <f t="shared" ref="E616:E621" si="45">(C616-D616)/C616</f>
        <v>1</v>
      </c>
    </row>
    <row r="617" spans="2:5" x14ac:dyDescent="0.25">
      <c r="B617" s="8" t="s">
        <v>6</v>
      </c>
      <c r="C617" s="9">
        <v>35</v>
      </c>
      <c r="D617" s="9">
        <v>0</v>
      </c>
      <c r="E617" s="10">
        <f t="shared" si="45"/>
        <v>1</v>
      </c>
    </row>
    <row r="618" spans="2:5" x14ac:dyDescent="0.25">
      <c r="B618" s="8" t="s">
        <v>7</v>
      </c>
      <c r="C618" s="9">
        <v>180</v>
      </c>
      <c r="D618" s="9">
        <v>0</v>
      </c>
      <c r="E618" s="10">
        <f t="shared" si="45"/>
        <v>1</v>
      </c>
    </row>
    <row r="619" spans="2:5" x14ac:dyDescent="0.25">
      <c r="B619" s="8" t="s">
        <v>8</v>
      </c>
      <c r="C619" s="9">
        <v>23</v>
      </c>
      <c r="D619" s="9">
        <v>0</v>
      </c>
      <c r="E619" s="10">
        <f t="shared" si="45"/>
        <v>1</v>
      </c>
    </row>
    <row r="620" spans="2:5" x14ac:dyDescent="0.25">
      <c r="B620" s="8" t="s">
        <v>9</v>
      </c>
      <c r="C620" s="9">
        <v>90</v>
      </c>
      <c r="D620" s="9">
        <v>0</v>
      </c>
      <c r="E620" s="10">
        <f t="shared" si="45"/>
        <v>1</v>
      </c>
    </row>
    <row r="621" spans="2:5" x14ac:dyDescent="0.25">
      <c r="B621" s="8" t="s">
        <v>10</v>
      </c>
      <c r="C621" s="9">
        <v>142</v>
      </c>
      <c r="D621" s="9">
        <v>0</v>
      </c>
      <c r="E621" s="10">
        <f t="shared" si="45"/>
        <v>1</v>
      </c>
    </row>
    <row r="629" spans="2:5" x14ac:dyDescent="0.25">
      <c r="B629" t="s">
        <v>85</v>
      </c>
    </row>
    <row r="630" spans="2:5" ht="21" x14ac:dyDescent="0.25">
      <c r="B630" s="3">
        <v>42404</v>
      </c>
      <c r="C630" s="4" t="s">
        <v>2</v>
      </c>
      <c r="D630" s="4" t="s">
        <v>3</v>
      </c>
      <c r="E630" s="4" t="s">
        <v>4</v>
      </c>
    </row>
    <row r="631" spans="2:5" x14ac:dyDescent="0.25">
      <c r="B631" s="5" t="s">
        <v>5</v>
      </c>
      <c r="C631" s="6">
        <v>51</v>
      </c>
      <c r="D631" s="6">
        <v>0</v>
      </c>
      <c r="E631" s="7">
        <f t="shared" ref="E631:E636" si="46">(C631-D631)/C631</f>
        <v>1</v>
      </c>
    </row>
    <row r="632" spans="2:5" x14ac:dyDescent="0.25">
      <c r="B632" s="8" t="s">
        <v>6</v>
      </c>
      <c r="C632" s="9">
        <v>35</v>
      </c>
      <c r="D632" s="9">
        <v>0</v>
      </c>
      <c r="E632" s="10">
        <f t="shared" si="46"/>
        <v>1</v>
      </c>
    </row>
    <row r="633" spans="2:5" x14ac:dyDescent="0.25">
      <c r="B633" s="8" t="s">
        <v>7</v>
      </c>
      <c r="C633" s="9">
        <v>180</v>
      </c>
      <c r="D633" s="9">
        <v>0</v>
      </c>
      <c r="E633" s="10">
        <f t="shared" si="46"/>
        <v>1</v>
      </c>
    </row>
    <row r="634" spans="2:5" x14ac:dyDescent="0.25">
      <c r="B634" s="8" t="s">
        <v>8</v>
      </c>
      <c r="C634" s="9">
        <v>23</v>
      </c>
      <c r="D634" s="9">
        <v>0</v>
      </c>
      <c r="E634" s="10">
        <f t="shared" si="46"/>
        <v>1</v>
      </c>
    </row>
    <row r="635" spans="2:5" x14ac:dyDescent="0.25">
      <c r="B635" s="8" t="s">
        <v>9</v>
      </c>
      <c r="C635" s="9">
        <v>90</v>
      </c>
      <c r="D635" s="9">
        <v>0</v>
      </c>
      <c r="E635" s="10">
        <f t="shared" si="46"/>
        <v>1</v>
      </c>
    </row>
    <row r="636" spans="2:5" x14ac:dyDescent="0.25">
      <c r="B636" s="8" t="s">
        <v>10</v>
      </c>
      <c r="C636" s="9">
        <v>142</v>
      </c>
      <c r="D636" s="9">
        <v>0</v>
      </c>
      <c r="E636" s="10">
        <f t="shared" si="46"/>
        <v>1</v>
      </c>
    </row>
    <row r="641" spans="2:5" x14ac:dyDescent="0.25">
      <c r="B641" t="s">
        <v>87</v>
      </c>
    </row>
    <row r="642" spans="2:5" ht="21" x14ac:dyDescent="0.25">
      <c r="B642" s="3">
        <v>42404</v>
      </c>
      <c r="C642" s="4" t="s">
        <v>2</v>
      </c>
      <c r="D642" s="4" t="s">
        <v>3</v>
      </c>
      <c r="E642" s="4" t="s">
        <v>4</v>
      </c>
    </row>
    <row r="643" spans="2:5" x14ac:dyDescent="0.25">
      <c r="B643" s="5" t="s">
        <v>5</v>
      </c>
      <c r="C643" s="6">
        <v>51</v>
      </c>
      <c r="D643" s="6">
        <v>0</v>
      </c>
      <c r="E643" s="7">
        <f t="shared" ref="E643:E648" si="47">(C643-D643)/C643</f>
        <v>1</v>
      </c>
    </row>
    <row r="644" spans="2:5" x14ac:dyDescent="0.25">
      <c r="B644" s="8" t="s">
        <v>6</v>
      </c>
      <c r="C644" s="9">
        <v>35</v>
      </c>
      <c r="D644" s="9">
        <v>0</v>
      </c>
      <c r="E644" s="10">
        <f t="shared" si="47"/>
        <v>1</v>
      </c>
    </row>
    <row r="645" spans="2:5" x14ac:dyDescent="0.25">
      <c r="B645" s="8" t="s">
        <v>7</v>
      </c>
      <c r="C645" s="9">
        <v>180</v>
      </c>
      <c r="D645" s="9">
        <v>0</v>
      </c>
      <c r="E645" s="10">
        <f t="shared" si="47"/>
        <v>1</v>
      </c>
    </row>
    <row r="646" spans="2:5" x14ac:dyDescent="0.25">
      <c r="B646" s="8" t="s">
        <v>8</v>
      </c>
      <c r="C646" s="9">
        <v>23</v>
      </c>
      <c r="D646" s="9">
        <v>0</v>
      </c>
      <c r="E646" s="10">
        <f t="shared" si="47"/>
        <v>1</v>
      </c>
    </row>
    <row r="647" spans="2:5" x14ac:dyDescent="0.25">
      <c r="B647" s="8" t="s">
        <v>9</v>
      </c>
      <c r="C647" s="9">
        <v>90</v>
      </c>
      <c r="D647" s="9">
        <v>0</v>
      </c>
      <c r="E647" s="10">
        <f t="shared" si="47"/>
        <v>1</v>
      </c>
    </row>
    <row r="648" spans="2:5" x14ac:dyDescent="0.25">
      <c r="B648" s="8" t="s">
        <v>10</v>
      </c>
      <c r="C648" s="9">
        <v>142</v>
      </c>
      <c r="D648" s="9">
        <v>0</v>
      </c>
      <c r="E648" s="10">
        <f t="shared" si="47"/>
        <v>1</v>
      </c>
    </row>
    <row r="656" spans="2:5" x14ac:dyDescent="0.25">
      <c r="B656" t="s">
        <v>88</v>
      </c>
    </row>
    <row r="657" spans="2:5" ht="21" x14ac:dyDescent="0.25">
      <c r="B657" s="3">
        <v>42404</v>
      </c>
      <c r="C657" s="4" t="s">
        <v>2</v>
      </c>
      <c r="D657" s="4" t="s">
        <v>3</v>
      </c>
      <c r="E657" s="4" t="s">
        <v>4</v>
      </c>
    </row>
    <row r="658" spans="2:5" x14ac:dyDescent="0.25">
      <c r="B658" s="5" t="s">
        <v>5</v>
      </c>
      <c r="C658" s="6">
        <v>51</v>
      </c>
      <c r="D658" s="6">
        <v>0</v>
      </c>
      <c r="E658" s="7">
        <f t="shared" ref="E658:E663" si="48">(C658-D658)/C658</f>
        <v>1</v>
      </c>
    </row>
    <row r="659" spans="2:5" x14ac:dyDescent="0.25">
      <c r="B659" s="8" t="s">
        <v>6</v>
      </c>
      <c r="C659" s="9">
        <v>35</v>
      </c>
      <c r="D659" s="9">
        <v>0</v>
      </c>
      <c r="E659" s="10">
        <f t="shared" si="48"/>
        <v>1</v>
      </c>
    </row>
    <row r="660" spans="2:5" x14ac:dyDescent="0.25">
      <c r="B660" s="8" t="s">
        <v>7</v>
      </c>
      <c r="C660" s="9">
        <v>180</v>
      </c>
      <c r="D660" s="9">
        <v>0</v>
      </c>
      <c r="E660" s="10">
        <f t="shared" si="48"/>
        <v>1</v>
      </c>
    </row>
    <row r="661" spans="2:5" x14ac:dyDescent="0.25">
      <c r="B661" s="8" t="s">
        <v>8</v>
      </c>
      <c r="C661" s="9">
        <v>23</v>
      </c>
      <c r="D661" s="9">
        <v>0</v>
      </c>
      <c r="E661" s="10">
        <f t="shared" si="48"/>
        <v>1</v>
      </c>
    </row>
    <row r="662" spans="2:5" x14ac:dyDescent="0.25">
      <c r="B662" s="8" t="s">
        <v>9</v>
      </c>
      <c r="C662" s="9">
        <v>90</v>
      </c>
      <c r="D662" s="9">
        <v>0</v>
      </c>
      <c r="E662" s="10">
        <f t="shared" si="48"/>
        <v>1</v>
      </c>
    </row>
    <row r="663" spans="2:5" x14ac:dyDescent="0.25">
      <c r="B663" s="8" t="s">
        <v>10</v>
      </c>
      <c r="C663" s="9">
        <v>142</v>
      </c>
      <c r="D663" s="9">
        <v>0</v>
      </c>
      <c r="E663" s="10">
        <f t="shared" si="48"/>
        <v>1</v>
      </c>
    </row>
    <row r="670" spans="2:5" x14ac:dyDescent="0.25">
      <c r="B670" t="s">
        <v>89</v>
      </c>
    </row>
    <row r="671" spans="2:5" ht="21" x14ac:dyDescent="0.25">
      <c r="B671" s="3">
        <v>42404</v>
      </c>
      <c r="C671" s="4" t="s">
        <v>2</v>
      </c>
      <c r="D671" s="4" t="s">
        <v>3</v>
      </c>
      <c r="E671" s="4" t="s">
        <v>4</v>
      </c>
    </row>
    <row r="672" spans="2:5" x14ac:dyDescent="0.25">
      <c r="B672" s="5" t="s">
        <v>5</v>
      </c>
      <c r="C672" s="6">
        <v>51</v>
      </c>
      <c r="D672" s="6">
        <v>0</v>
      </c>
      <c r="E672" s="7">
        <f t="shared" ref="E672:E677" si="49">(C672-D672)/C672</f>
        <v>1</v>
      </c>
    </row>
    <row r="673" spans="2:5" x14ac:dyDescent="0.25">
      <c r="B673" s="8" t="s">
        <v>6</v>
      </c>
      <c r="C673" s="9">
        <v>35</v>
      </c>
      <c r="D673" s="9">
        <v>0</v>
      </c>
      <c r="E673" s="10">
        <f t="shared" si="49"/>
        <v>1</v>
      </c>
    </row>
    <row r="674" spans="2:5" x14ac:dyDescent="0.25">
      <c r="B674" s="8" t="s">
        <v>7</v>
      </c>
      <c r="C674" s="9">
        <v>180</v>
      </c>
      <c r="D674" s="9">
        <v>0</v>
      </c>
      <c r="E674" s="10">
        <f t="shared" si="49"/>
        <v>1</v>
      </c>
    </row>
    <row r="675" spans="2:5" x14ac:dyDescent="0.25">
      <c r="B675" s="8" t="s">
        <v>8</v>
      </c>
      <c r="C675" s="9">
        <v>23</v>
      </c>
      <c r="D675" s="9">
        <v>0</v>
      </c>
      <c r="E675" s="10">
        <f t="shared" si="49"/>
        <v>1</v>
      </c>
    </row>
    <row r="676" spans="2:5" x14ac:dyDescent="0.25">
      <c r="B676" s="8" t="s">
        <v>9</v>
      </c>
      <c r="C676" s="9">
        <v>90</v>
      </c>
      <c r="D676" s="9">
        <v>0</v>
      </c>
      <c r="E676" s="10">
        <f t="shared" si="49"/>
        <v>1</v>
      </c>
    </row>
    <row r="677" spans="2:5" x14ac:dyDescent="0.25">
      <c r="B677" s="8" t="s">
        <v>10</v>
      </c>
      <c r="C677" s="9">
        <v>142</v>
      </c>
      <c r="D677" s="9">
        <v>0</v>
      </c>
      <c r="E677" s="10">
        <f t="shared" si="49"/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87"/>
  <sheetViews>
    <sheetView tabSelected="1" topLeftCell="A501" zoomScaleNormal="100" workbookViewId="0">
      <selection activeCell="M523" sqref="M523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3" spans="2:6" x14ac:dyDescent="0.25">
      <c r="B3" s="2" t="s">
        <v>1</v>
      </c>
    </row>
    <row r="4" spans="2:6" ht="21" x14ac:dyDescent="0.25">
      <c r="B4" s="3">
        <v>42388</v>
      </c>
      <c r="C4" s="14" t="s">
        <v>2</v>
      </c>
      <c r="D4" s="14" t="s">
        <v>3</v>
      </c>
      <c r="E4" s="15" t="s">
        <v>4</v>
      </c>
      <c r="F4" s="16"/>
    </row>
    <row r="5" spans="2:6" x14ac:dyDescent="0.25">
      <c r="B5" s="5" t="s">
        <v>5</v>
      </c>
      <c r="C5" s="17">
        <v>22.33</v>
      </c>
      <c r="D5" s="17">
        <f>472/60*14.58</f>
        <v>114.696</v>
      </c>
      <c r="E5" s="18">
        <f t="shared" ref="E5:E10" si="0">(C5-D5)/C5</f>
        <v>-4.1364084191670401</v>
      </c>
      <c r="F5" s="11"/>
    </row>
    <row r="6" spans="2:6" ht="12.75" customHeight="1" x14ac:dyDescent="0.25">
      <c r="B6" s="8" t="s">
        <v>6</v>
      </c>
      <c r="C6" s="17">
        <v>3.96</v>
      </c>
      <c r="D6" s="17">
        <f>19/60*14.58</f>
        <v>4.617</v>
      </c>
      <c r="E6" s="19">
        <f t="shared" si="0"/>
        <v>-0.16590909090909092</v>
      </c>
      <c r="F6" s="11"/>
    </row>
    <row r="7" spans="2:6" x14ac:dyDescent="0.25">
      <c r="B7" s="8" t="s">
        <v>7</v>
      </c>
      <c r="C7" s="17">
        <v>19.399999999999999</v>
      </c>
      <c r="D7" s="17">
        <v>0</v>
      </c>
      <c r="E7" s="19">
        <f t="shared" si="0"/>
        <v>1</v>
      </c>
      <c r="F7" s="11"/>
    </row>
    <row r="8" spans="2:6" x14ac:dyDescent="0.25">
      <c r="B8" s="8" t="s">
        <v>8</v>
      </c>
      <c r="C8" s="17">
        <v>5.5</v>
      </c>
      <c r="D8" s="17">
        <f>8/60*14.58</f>
        <v>1.944</v>
      </c>
      <c r="E8" s="18">
        <f t="shared" si="0"/>
        <v>0.64654545454545453</v>
      </c>
      <c r="F8" s="11"/>
    </row>
    <row r="9" spans="2:6" x14ac:dyDescent="0.25">
      <c r="B9" s="8" t="s">
        <v>9</v>
      </c>
      <c r="C9" s="17">
        <v>29</v>
      </c>
      <c r="D9" s="17">
        <v>0</v>
      </c>
      <c r="E9" s="19">
        <f t="shared" si="0"/>
        <v>1</v>
      </c>
      <c r="F9" s="11"/>
    </row>
    <row r="10" spans="2:6" x14ac:dyDescent="0.25">
      <c r="B10" s="8" t="s">
        <v>10</v>
      </c>
      <c r="C10" s="17">
        <v>22.5</v>
      </c>
      <c r="D10" s="17">
        <f>2/60*7.29</f>
        <v>0.24299999999999999</v>
      </c>
      <c r="E10" s="18">
        <f t="shared" si="0"/>
        <v>0.98920000000000008</v>
      </c>
      <c r="F10" s="11"/>
    </row>
    <row r="11" spans="2:6" x14ac:dyDescent="0.25">
      <c r="F11" s="16"/>
    </row>
    <row r="12" spans="2:6" x14ac:dyDescent="0.25">
      <c r="F12" s="16"/>
    </row>
    <row r="13" spans="2:6" x14ac:dyDescent="0.25">
      <c r="F13" s="16"/>
    </row>
    <row r="14" spans="2:6" x14ac:dyDescent="0.25">
      <c r="F14" s="16"/>
    </row>
    <row r="15" spans="2:6" x14ac:dyDescent="0.25">
      <c r="F15" s="16"/>
    </row>
    <row r="16" spans="2:6" x14ac:dyDescent="0.25">
      <c r="B16" s="2" t="s">
        <v>11</v>
      </c>
      <c r="F16" s="16"/>
    </row>
    <row r="17" spans="2:6" ht="21" x14ac:dyDescent="0.25">
      <c r="B17" s="3">
        <v>42388</v>
      </c>
      <c r="C17" s="14" t="s">
        <v>2</v>
      </c>
      <c r="D17" s="14" t="s">
        <v>3</v>
      </c>
      <c r="E17" s="15" t="s">
        <v>4</v>
      </c>
      <c r="F17" s="16"/>
    </row>
    <row r="18" spans="2:6" x14ac:dyDescent="0.25">
      <c r="B18" s="5" t="s">
        <v>5</v>
      </c>
      <c r="C18" s="17">
        <v>22.33</v>
      </c>
      <c r="D18" s="17">
        <f>24/60*14.58</f>
        <v>5.8320000000000007</v>
      </c>
      <c r="E18" s="18">
        <f t="shared" ref="E18:E23" si="1">(C18-D18)/C18</f>
        <v>0.73882669055082839</v>
      </c>
      <c r="F18" s="11"/>
    </row>
    <row r="19" spans="2:6" x14ac:dyDescent="0.25">
      <c r="B19" s="8" t="s">
        <v>6</v>
      </c>
      <c r="C19" s="17">
        <v>3.96</v>
      </c>
      <c r="D19" s="17">
        <f>44/60*14.58</f>
        <v>10.692</v>
      </c>
      <c r="E19" s="19">
        <f t="shared" si="1"/>
        <v>-1.7000000000000002</v>
      </c>
      <c r="F19" s="11"/>
    </row>
    <row r="20" spans="2:6" x14ac:dyDescent="0.25">
      <c r="B20" s="8" t="s">
        <v>7</v>
      </c>
      <c r="C20" s="17">
        <v>19.399999999999999</v>
      </c>
      <c r="D20" s="17">
        <v>0</v>
      </c>
      <c r="E20" s="19">
        <f t="shared" si="1"/>
        <v>1</v>
      </c>
      <c r="F20" s="11"/>
    </row>
    <row r="21" spans="2:6" x14ac:dyDescent="0.25">
      <c r="B21" s="8" t="s">
        <v>8</v>
      </c>
      <c r="C21" s="17">
        <v>5.5</v>
      </c>
      <c r="D21" s="17">
        <f>14/60*14.58</f>
        <v>3.4020000000000001</v>
      </c>
      <c r="E21" s="18">
        <f t="shared" si="1"/>
        <v>0.38145454545454544</v>
      </c>
      <c r="F21" s="11"/>
    </row>
    <row r="22" spans="2:6" x14ac:dyDescent="0.25">
      <c r="B22" s="8" t="s">
        <v>9</v>
      </c>
      <c r="C22" s="17">
        <v>29</v>
      </c>
      <c r="D22" s="17">
        <v>0</v>
      </c>
      <c r="E22" s="19">
        <f t="shared" si="1"/>
        <v>1</v>
      </c>
      <c r="F22" s="11"/>
    </row>
    <row r="23" spans="2:6" x14ac:dyDescent="0.25">
      <c r="B23" s="8" t="s">
        <v>10</v>
      </c>
      <c r="C23" s="17">
        <v>22.5</v>
      </c>
      <c r="D23" s="17">
        <f>32/60*7.29</f>
        <v>3.8879999999999999</v>
      </c>
      <c r="E23" s="18">
        <f t="shared" si="1"/>
        <v>0.82720000000000005</v>
      </c>
      <c r="F23" s="11"/>
    </row>
    <row r="24" spans="2:6" x14ac:dyDescent="0.25">
      <c r="F24" s="16"/>
    </row>
    <row r="25" spans="2:6" x14ac:dyDescent="0.25">
      <c r="F25" s="16"/>
    </row>
    <row r="26" spans="2:6" x14ac:dyDescent="0.25">
      <c r="F26" s="16"/>
    </row>
    <row r="27" spans="2:6" x14ac:dyDescent="0.25">
      <c r="F27" s="16"/>
    </row>
    <row r="28" spans="2:6" x14ac:dyDescent="0.25">
      <c r="B28" s="2" t="s">
        <v>12</v>
      </c>
      <c r="F28" s="16"/>
    </row>
    <row r="29" spans="2:6" ht="21" x14ac:dyDescent="0.25">
      <c r="B29" s="3">
        <v>42388</v>
      </c>
      <c r="C29" s="14" t="s">
        <v>2</v>
      </c>
      <c r="D29" s="14" t="s">
        <v>3</v>
      </c>
      <c r="E29" s="15" t="s">
        <v>4</v>
      </c>
      <c r="F29" s="16"/>
    </row>
    <row r="30" spans="2:6" x14ac:dyDescent="0.25">
      <c r="B30" s="5" t="s">
        <v>5</v>
      </c>
      <c r="C30" s="17">
        <v>22.33</v>
      </c>
      <c r="D30" s="17">
        <f>54/60*14.58</f>
        <v>13.122</v>
      </c>
      <c r="E30" s="18">
        <f t="shared" ref="E30:E35" si="2">(C30-D30)/C30</f>
        <v>0.41236005373936402</v>
      </c>
      <c r="F30" s="11"/>
    </row>
    <row r="31" spans="2:6" x14ac:dyDescent="0.25">
      <c r="B31" s="8" t="s">
        <v>6</v>
      </c>
      <c r="C31" s="17">
        <v>3.96</v>
      </c>
      <c r="D31" s="17">
        <f>34/60*14.58</f>
        <v>8.2620000000000005</v>
      </c>
      <c r="E31" s="19">
        <f t="shared" si="2"/>
        <v>-1.0863636363636364</v>
      </c>
      <c r="F31" s="11"/>
    </row>
    <row r="32" spans="2:6" x14ac:dyDescent="0.25">
      <c r="B32" s="8" t="s">
        <v>7</v>
      </c>
      <c r="C32" s="17">
        <v>19.399999999999999</v>
      </c>
      <c r="D32" s="17">
        <v>0</v>
      </c>
      <c r="E32" s="19">
        <f t="shared" si="2"/>
        <v>1</v>
      </c>
      <c r="F32" s="11"/>
    </row>
    <row r="33" spans="2:6" x14ac:dyDescent="0.25">
      <c r="B33" s="8" t="s">
        <v>8</v>
      </c>
      <c r="C33" s="17">
        <v>5.5</v>
      </c>
      <c r="D33" s="17">
        <f>18/60*14.58</f>
        <v>4.3739999999999997</v>
      </c>
      <c r="E33" s="18">
        <f t="shared" si="2"/>
        <v>0.20472727272727279</v>
      </c>
      <c r="F33" s="11"/>
    </row>
    <row r="34" spans="2:6" x14ac:dyDescent="0.25">
      <c r="B34" s="8" t="s">
        <v>9</v>
      </c>
      <c r="C34" s="17">
        <v>29</v>
      </c>
      <c r="D34" s="17">
        <v>0</v>
      </c>
      <c r="E34" s="19">
        <f t="shared" si="2"/>
        <v>1</v>
      </c>
      <c r="F34" s="11"/>
    </row>
    <row r="35" spans="2:6" x14ac:dyDescent="0.25">
      <c r="B35" s="8" t="s">
        <v>10</v>
      </c>
      <c r="C35" s="17">
        <v>22.5</v>
      </c>
      <c r="D35" s="17">
        <f>11/60*7.29</f>
        <v>1.3365</v>
      </c>
      <c r="E35" s="18">
        <f t="shared" si="2"/>
        <v>0.94059999999999999</v>
      </c>
      <c r="F35" s="11"/>
    </row>
    <row r="36" spans="2:6" x14ac:dyDescent="0.25">
      <c r="F36" s="16"/>
    </row>
    <row r="37" spans="2:6" x14ac:dyDescent="0.25">
      <c r="F37" s="16"/>
    </row>
    <row r="38" spans="2:6" x14ac:dyDescent="0.25">
      <c r="F38" s="16"/>
    </row>
    <row r="39" spans="2:6" x14ac:dyDescent="0.25">
      <c r="F39" s="16"/>
    </row>
    <row r="40" spans="2:6" x14ac:dyDescent="0.25">
      <c r="F40" s="16"/>
    </row>
    <row r="41" spans="2:6" x14ac:dyDescent="0.25">
      <c r="B41" s="2" t="s">
        <v>13</v>
      </c>
      <c r="F41" s="16"/>
    </row>
    <row r="42" spans="2:6" ht="21" x14ac:dyDescent="0.25">
      <c r="B42" s="3">
        <v>42388</v>
      </c>
      <c r="C42" s="14" t="s">
        <v>2</v>
      </c>
      <c r="D42" s="14" t="s">
        <v>3</v>
      </c>
      <c r="E42" s="15" t="s">
        <v>4</v>
      </c>
      <c r="F42" s="16"/>
    </row>
    <row r="43" spans="2:6" x14ac:dyDescent="0.25">
      <c r="B43" s="5" t="s">
        <v>5</v>
      </c>
      <c r="C43" s="17">
        <v>22.33</v>
      </c>
      <c r="D43" s="17">
        <f>53/60*14.58</f>
        <v>12.879</v>
      </c>
      <c r="E43" s="18">
        <f t="shared" ref="E43:E48" si="3">(C43-D43)/C43</f>
        <v>0.42324227496641287</v>
      </c>
      <c r="F43" s="11"/>
    </row>
    <row r="44" spans="2:6" x14ac:dyDescent="0.25">
      <c r="B44" s="8" t="s">
        <v>6</v>
      </c>
      <c r="C44" s="17">
        <v>3.96</v>
      </c>
      <c r="D44" s="17">
        <f>44/60*14.58</f>
        <v>10.692</v>
      </c>
      <c r="E44" s="19">
        <f t="shared" si="3"/>
        <v>-1.7000000000000002</v>
      </c>
      <c r="F44" s="11"/>
    </row>
    <row r="45" spans="2:6" x14ac:dyDescent="0.25">
      <c r="B45" s="8" t="s">
        <v>7</v>
      </c>
      <c r="C45" s="17">
        <v>19.399999999999999</v>
      </c>
      <c r="D45" s="17">
        <v>0</v>
      </c>
      <c r="E45" s="19">
        <f t="shared" si="3"/>
        <v>1</v>
      </c>
      <c r="F45" s="11"/>
    </row>
    <row r="46" spans="2:6" x14ac:dyDescent="0.25">
      <c r="B46" s="8" t="s">
        <v>8</v>
      </c>
      <c r="C46" s="17">
        <v>5.5</v>
      </c>
      <c r="D46" s="17">
        <f>20/60*14.58</f>
        <v>4.8599999999999994</v>
      </c>
      <c r="E46" s="18">
        <f t="shared" si="3"/>
        <v>0.11636363636363646</v>
      </c>
      <c r="F46" s="11"/>
    </row>
    <row r="47" spans="2:6" x14ac:dyDescent="0.25">
      <c r="B47" s="8" t="s">
        <v>9</v>
      </c>
      <c r="C47" s="17">
        <v>29</v>
      </c>
      <c r="D47" s="17">
        <v>0</v>
      </c>
      <c r="E47" s="19">
        <f t="shared" si="3"/>
        <v>1</v>
      </c>
      <c r="F47" s="11"/>
    </row>
    <row r="48" spans="2:6" x14ac:dyDescent="0.25">
      <c r="B48" s="8" t="s">
        <v>10</v>
      </c>
      <c r="C48" s="17">
        <v>22.5</v>
      </c>
      <c r="D48" s="17">
        <f>19/60*7.29</f>
        <v>2.3085</v>
      </c>
      <c r="E48" s="18">
        <f t="shared" si="3"/>
        <v>0.89740000000000009</v>
      </c>
      <c r="F48" s="16"/>
    </row>
    <row r="49" spans="2:6" x14ac:dyDescent="0.25">
      <c r="F49" s="16"/>
    </row>
    <row r="50" spans="2:6" x14ac:dyDescent="0.25">
      <c r="F50" s="16"/>
    </row>
    <row r="51" spans="2:6" x14ac:dyDescent="0.25">
      <c r="F51" s="16"/>
    </row>
    <row r="52" spans="2:6" x14ac:dyDescent="0.25">
      <c r="F52" s="16"/>
    </row>
    <row r="53" spans="2:6" x14ac:dyDescent="0.25">
      <c r="F53" s="16"/>
    </row>
    <row r="54" spans="2:6" x14ac:dyDescent="0.25">
      <c r="F54" s="16"/>
    </row>
    <row r="55" spans="2:6" x14ac:dyDescent="0.25">
      <c r="B55" t="s">
        <v>14</v>
      </c>
      <c r="F55" s="16"/>
    </row>
    <row r="56" spans="2:6" ht="21" x14ac:dyDescent="0.25">
      <c r="B56" s="3">
        <v>42388</v>
      </c>
      <c r="C56" s="14" t="s">
        <v>2</v>
      </c>
      <c r="D56" s="14" t="s">
        <v>3</v>
      </c>
      <c r="E56" s="15" t="s">
        <v>4</v>
      </c>
      <c r="F56" s="16"/>
    </row>
    <row r="57" spans="2:6" x14ac:dyDescent="0.25">
      <c r="B57" s="5" t="s">
        <v>5</v>
      </c>
      <c r="C57" s="17">
        <v>22.33</v>
      </c>
      <c r="D57" s="17">
        <f>155/60*14.58</f>
        <v>37.664999999999999</v>
      </c>
      <c r="E57" s="18">
        <f t="shared" ref="E57:E62" si="4">(C57-D57)/C57</f>
        <v>-0.68674429019256611</v>
      </c>
      <c r="F57" s="11"/>
    </row>
    <row r="58" spans="2:6" x14ac:dyDescent="0.25">
      <c r="B58" s="8" t="s">
        <v>6</v>
      </c>
      <c r="C58" s="17">
        <v>3.96</v>
      </c>
      <c r="D58" s="17">
        <f>32/60*14.58</f>
        <v>7.7759999999999998</v>
      </c>
      <c r="E58" s="19">
        <f t="shared" si="4"/>
        <v>-0.96363636363636362</v>
      </c>
      <c r="F58" s="11"/>
    </row>
    <row r="59" spans="2:6" x14ac:dyDescent="0.25">
      <c r="B59" s="8" t="s">
        <v>7</v>
      </c>
      <c r="C59" s="17">
        <v>19.399999999999999</v>
      </c>
      <c r="D59" s="17">
        <v>0</v>
      </c>
      <c r="E59" s="19">
        <f t="shared" si="4"/>
        <v>1</v>
      </c>
      <c r="F59" s="11"/>
    </row>
    <row r="60" spans="2:6" x14ac:dyDescent="0.25">
      <c r="B60" s="8" t="s">
        <v>8</v>
      </c>
      <c r="C60" s="17">
        <v>5.5</v>
      </c>
      <c r="D60" s="17">
        <f>21/60*14.58</f>
        <v>5.1029999999999998</v>
      </c>
      <c r="E60" s="18">
        <f t="shared" si="4"/>
        <v>7.2181818181818222E-2</v>
      </c>
      <c r="F60" s="11"/>
    </row>
    <row r="61" spans="2:6" x14ac:dyDescent="0.25">
      <c r="B61" s="8" t="s">
        <v>9</v>
      </c>
      <c r="C61" s="17">
        <v>29</v>
      </c>
      <c r="D61" s="17">
        <v>0</v>
      </c>
      <c r="E61" s="19">
        <f t="shared" si="4"/>
        <v>1</v>
      </c>
      <c r="F61" s="11"/>
    </row>
    <row r="62" spans="2:6" x14ac:dyDescent="0.25">
      <c r="B62" s="8" t="s">
        <v>10</v>
      </c>
      <c r="C62" s="17">
        <v>22.5</v>
      </c>
      <c r="D62" s="17">
        <f>10/60*7.29</f>
        <v>1.2149999999999999</v>
      </c>
      <c r="E62" s="18">
        <f t="shared" si="4"/>
        <v>0.94599999999999995</v>
      </c>
      <c r="F62" s="11"/>
    </row>
    <row r="63" spans="2:6" x14ac:dyDescent="0.25">
      <c r="F63" s="16"/>
    </row>
    <row r="64" spans="2:6" x14ac:dyDescent="0.25">
      <c r="F64" s="16"/>
    </row>
    <row r="65" spans="2:6" x14ac:dyDescent="0.25">
      <c r="F65" s="16"/>
    </row>
    <row r="66" spans="2:6" x14ac:dyDescent="0.25">
      <c r="F66" s="16"/>
    </row>
    <row r="67" spans="2:6" x14ac:dyDescent="0.25">
      <c r="F67" s="16"/>
    </row>
    <row r="68" spans="2:6" x14ac:dyDescent="0.25">
      <c r="F68" s="16"/>
    </row>
    <row r="69" spans="2:6" x14ac:dyDescent="0.25">
      <c r="B69" s="2" t="s">
        <v>15</v>
      </c>
      <c r="F69" s="16"/>
    </row>
    <row r="70" spans="2:6" ht="21" x14ac:dyDescent="0.25">
      <c r="B70" s="3">
        <v>42388</v>
      </c>
      <c r="C70" s="14" t="s">
        <v>2</v>
      </c>
      <c r="D70" s="14" t="s">
        <v>3</v>
      </c>
      <c r="E70" s="15" t="s">
        <v>4</v>
      </c>
      <c r="F70" s="16"/>
    </row>
    <row r="71" spans="2:6" x14ac:dyDescent="0.25">
      <c r="B71" s="5" t="s">
        <v>5</v>
      </c>
      <c r="C71" s="17">
        <v>22.33</v>
      </c>
      <c r="D71" s="17">
        <f>465/60*14.58</f>
        <v>112.995</v>
      </c>
      <c r="E71" s="18">
        <f t="shared" ref="E71:E76" si="5">(C71-D71)/C71</f>
        <v>-4.0602328705776989</v>
      </c>
      <c r="F71" s="11"/>
    </row>
    <row r="72" spans="2:6" x14ac:dyDescent="0.25">
      <c r="B72" s="8" t="s">
        <v>6</v>
      </c>
      <c r="C72" s="17">
        <v>3.96</v>
      </c>
      <c r="D72" s="17">
        <f>6/60*14.58</f>
        <v>1.4580000000000002</v>
      </c>
      <c r="E72" s="19">
        <f t="shared" si="5"/>
        <v>0.63181818181818172</v>
      </c>
      <c r="F72" s="11"/>
    </row>
    <row r="73" spans="2:6" x14ac:dyDescent="0.25">
      <c r="B73" s="8" t="s">
        <v>7</v>
      </c>
      <c r="C73" s="17">
        <v>19.399999999999999</v>
      </c>
      <c r="D73" s="17">
        <f>135/60*14.58</f>
        <v>32.805</v>
      </c>
      <c r="E73" s="19">
        <f t="shared" si="5"/>
        <v>-0.69097938144329907</v>
      </c>
      <c r="F73" s="11"/>
    </row>
    <row r="74" spans="2:6" x14ac:dyDescent="0.25">
      <c r="B74" s="8" t="s">
        <v>8</v>
      </c>
      <c r="C74" s="17">
        <v>5.5</v>
      </c>
      <c r="D74" s="17">
        <f>14/60*14.58</f>
        <v>3.4020000000000001</v>
      </c>
      <c r="E74" s="18">
        <f t="shared" si="5"/>
        <v>0.38145454545454544</v>
      </c>
      <c r="F74" s="11"/>
    </row>
    <row r="75" spans="2:6" x14ac:dyDescent="0.25">
      <c r="B75" s="8" t="s">
        <v>9</v>
      </c>
      <c r="C75" s="17">
        <v>29</v>
      </c>
      <c r="D75" s="17">
        <v>0</v>
      </c>
      <c r="E75" s="19">
        <f t="shared" si="5"/>
        <v>1</v>
      </c>
      <c r="F75" s="11"/>
    </row>
    <row r="76" spans="2:6" x14ac:dyDescent="0.25">
      <c r="B76" s="8" t="s">
        <v>10</v>
      </c>
      <c r="C76" s="17">
        <v>22.5</v>
      </c>
      <c r="D76" s="17">
        <f>35/60*7.29</f>
        <v>4.2525000000000004</v>
      </c>
      <c r="E76" s="18">
        <f t="shared" si="5"/>
        <v>0.81099999999999994</v>
      </c>
      <c r="F76" s="11"/>
    </row>
    <row r="77" spans="2:6" x14ac:dyDescent="0.25">
      <c r="F77" s="16"/>
    </row>
    <row r="78" spans="2:6" x14ac:dyDescent="0.25">
      <c r="F78" s="16"/>
    </row>
    <row r="79" spans="2:6" x14ac:dyDescent="0.25">
      <c r="F79" s="16"/>
    </row>
    <row r="80" spans="2:6" x14ac:dyDescent="0.25">
      <c r="F80" s="16"/>
    </row>
    <row r="81" spans="2:6" x14ac:dyDescent="0.25">
      <c r="F81" s="16"/>
    </row>
    <row r="82" spans="2:6" x14ac:dyDescent="0.25">
      <c r="B82" s="2" t="s">
        <v>16</v>
      </c>
      <c r="F82" s="16"/>
    </row>
    <row r="83" spans="2:6" ht="21" x14ac:dyDescent="0.25">
      <c r="B83" s="3">
        <v>42388</v>
      </c>
      <c r="C83" s="14" t="s">
        <v>2</v>
      </c>
      <c r="D83" s="14" t="s">
        <v>3</v>
      </c>
      <c r="E83" s="15" t="s">
        <v>4</v>
      </c>
      <c r="F83" s="16"/>
    </row>
    <row r="84" spans="2:6" x14ac:dyDescent="0.25">
      <c r="B84" s="5" t="s">
        <v>5</v>
      </c>
      <c r="C84" s="17">
        <v>22.33</v>
      </c>
      <c r="D84" s="17">
        <f>112/60*14.58</f>
        <v>27.216000000000001</v>
      </c>
      <c r="E84" s="18">
        <f t="shared" ref="E84:E89" si="6">(C84-D84)/C84</f>
        <v>-0.21880877742946722</v>
      </c>
      <c r="F84" s="11"/>
    </row>
    <row r="85" spans="2:6" x14ac:dyDescent="0.25">
      <c r="B85" s="8" t="s">
        <v>6</v>
      </c>
      <c r="C85" s="17">
        <v>3.96</v>
      </c>
      <c r="D85" s="17">
        <f>76/60*14.58</f>
        <v>18.468</v>
      </c>
      <c r="E85" s="19">
        <f t="shared" si="6"/>
        <v>-3.6636363636363636</v>
      </c>
      <c r="F85" s="11"/>
    </row>
    <row r="86" spans="2:6" x14ac:dyDescent="0.25">
      <c r="B86" s="8" t="s">
        <v>7</v>
      </c>
      <c r="C86" s="17">
        <v>19.399999999999999</v>
      </c>
      <c r="D86" s="17">
        <f>89/60*14.58</f>
        <v>21.627000000000002</v>
      </c>
      <c r="E86" s="19">
        <f t="shared" si="6"/>
        <v>-0.1147938144329899</v>
      </c>
      <c r="F86" s="11"/>
    </row>
    <row r="87" spans="2:6" x14ac:dyDescent="0.25">
      <c r="B87" s="8" t="s">
        <v>8</v>
      </c>
      <c r="C87" s="17">
        <v>5.5</v>
      </c>
      <c r="D87" s="17">
        <f>22/60*14.58</f>
        <v>5.3460000000000001</v>
      </c>
      <c r="E87" s="18">
        <f t="shared" si="6"/>
        <v>2.7999999999999983E-2</v>
      </c>
      <c r="F87" s="11"/>
    </row>
    <row r="88" spans="2:6" x14ac:dyDescent="0.25">
      <c r="B88" s="8" t="s">
        <v>9</v>
      </c>
      <c r="C88" s="17">
        <v>29</v>
      </c>
      <c r="D88" s="17">
        <v>0</v>
      </c>
      <c r="E88" s="19">
        <f t="shared" si="6"/>
        <v>1</v>
      </c>
      <c r="F88" s="11"/>
    </row>
    <row r="89" spans="2:6" x14ac:dyDescent="0.25">
      <c r="B89" s="8" t="s">
        <v>10</v>
      </c>
      <c r="C89" s="17">
        <v>22.5</v>
      </c>
      <c r="D89" s="17">
        <f>13/60*7.29</f>
        <v>1.5795000000000001</v>
      </c>
      <c r="E89" s="18">
        <f t="shared" si="6"/>
        <v>0.92980000000000007</v>
      </c>
      <c r="F89" s="11"/>
    </row>
    <row r="90" spans="2:6" x14ac:dyDescent="0.25">
      <c r="F90" s="16"/>
    </row>
    <row r="91" spans="2:6" x14ac:dyDescent="0.25">
      <c r="F91" s="16"/>
    </row>
    <row r="92" spans="2:6" x14ac:dyDescent="0.25">
      <c r="F92" s="16"/>
    </row>
    <row r="93" spans="2:6" x14ac:dyDescent="0.25">
      <c r="F93" s="16"/>
    </row>
    <row r="94" spans="2:6" x14ac:dyDescent="0.25">
      <c r="F94" s="16"/>
    </row>
    <row r="95" spans="2:6" x14ac:dyDescent="0.25">
      <c r="B95" t="s">
        <v>17</v>
      </c>
      <c r="F95" s="16"/>
    </row>
    <row r="96" spans="2:6" ht="21" x14ac:dyDescent="0.25">
      <c r="B96" s="3">
        <v>42388</v>
      </c>
      <c r="C96" s="14" t="s">
        <v>2</v>
      </c>
      <c r="D96" s="14" t="s">
        <v>3</v>
      </c>
      <c r="E96" s="15" t="s">
        <v>4</v>
      </c>
      <c r="F96" s="16"/>
    </row>
    <row r="97" spans="2:6" x14ac:dyDescent="0.25">
      <c r="B97" s="5" t="s">
        <v>5</v>
      </c>
      <c r="C97" s="17">
        <v>22.33</v>
      </c>
      <c r="D97" s="17">
        <f>5/60*14.58</f>
        <v>1.2149999999999999</v>
      </c>
      <c r="E97" s="18">
        <f t="shared" ref="E97:E102" si="7">(C97-D97)/C97</f>
        <v>0.94558889386475597</v>
      </c>
      <c r="F97" s="11"/>
    </row>
    <row r="98" spans="2:6" x14ac:dyDescent="0.25">
      <c r="B98" s="8" t="s">
        <v>6</v>
      </c>
      <c r="C98" s="17">
        <v>3.96</v>
      </c>
      <c r="D98" s="17">
        <f>5/60*14.58</f>
        <v>1.2149999999999999</v>
      </c>
      <c r="E98" s="19">
        <f t="shared" si="7"/>
        <v>0.69318181818181823</v>
      </c>
      <c r="F98" s="11"/>
    </row>
    <row r="99" spans="2:6" x14ac:dyDescent="0.25">
      <c r="B99" s="8" t="s">
        <v>7</v>
      </c>
      <c r="C99" s="17">
        <v>19.399999999999999</v>
      </c>
      <c r="D99" s="17">
        <v>0</v>
      </c>
      <c r="E99" s="19">
        <f t="shared" si="7"/>
        <v>1</v>
      </c>
      <c r="F99" s="11"/>
    </row>
    <row r="100" spans="2:6" x14ac:dyDescent="0.25">
      <c r="B100" s="8" t="s">
        <v>8</v>
      </c>
      <c r="C100" s="17">
        <v>5.5</v>
      </c>
      <c r="D100" s="17">
        <f>32/60*14.58</f>
        <v>7.7759999999999998</v>
      </c>
      <c r="E100" s="18">
        <f t="shared" si="7"/>
        <v>-0.41381818181818181</v>
      </c>
      <c r="F100" s="11"/>
    </row>
    <row r="101" spans="2:6" x14ac:dyDescent="0.25">
      <c r="B101" s="8" t="s">
        <v>9</v>
      </c>
      <c r="C101" s="17">
        <v>29</v>
      </c>
      <c r="D101" s="17">
        <v>0</v>
      </c>
      <c r="E101" s="19">
        <f t="shared" si="7"/>
        <v>1</v>
      </c>
      <c r="F101" s="11"/>
    </row>
    <row r="102" spans="2:6" x14ac:dyDescent="0.25">
      <c r="B102" s="8" t="s">
        <v>10</v>
      </c>
      <c r="C102" s="17">
        <v>22.5</v>
      </c>
      <c r="D102" s="17">
        <f>39/60*7.29</f>
        <v>4.7385000000000002</v>
      </c>
      <c r="E102" s="18">
        <f t="shared" si="7"/>
        <v>0.78939999999999988</v>
      </c>
      <c r="F102" s="11"/>
    </row>
    <row r="103" spans="2:6" x14ac:dyDescent="0.25">
      <c r="F103" s="16"/>
    </row>
    <row r="104" spans="2:6" x14ac:dyDescent="0.25">
      <c r="F104" s="16"/>
    </row>
    <row r="105" spans="2:6" x14ac:dyDescent="0.25">
      <c r="F105" s="16"/>
    </row>
    <row r="106" spans="2:6" x14ac:dyDescent="0.25">
      <c r="F106" s="16"/>
    </row>
    <row r="107" spans="2:6" x14ac:dyDescent="0.25">
      <c r="F107" s="16"/>
    </row>
    <row r="108" spans="2:6" x14ac:dyDescent="0.25">
      <c r="F108" s="16"/>
    </row>
    <row r="109" spans="2:6" x14ac:dyDescent="0.25">
      <c r="F109" s="16"/>
    </row>
    <row r="110" spans="2:6" x14ac:dyDescent="0.25">
      <c r="F110" s="16"/>
    </row>
    <row r="111" spans="2:6" x14ac:dyDescent="0.25">
      <c r="F111" s="16"/>
    </row>
    <row r="112" spans="2:6" x14ac:dyDescent="0.25">
      <c r="B112" s="2" t="s">
        <v>18</v>
      </c>
      <c r="F112" s="16"/>
    </row>
    <row r="113" spans="2:6" ht="21" x14ac:dyDescent="0.25">
      <c r="B113" s="3">
        <v>42388</v>
      </c>
      <c r="C113" s="14" t="s">
        <v>2</v>
      </c>
      <c r="D113" s="14" t="s">
        <v>3</v>
      </c>
      <c r="E113" s="15" t="s">
        <v>4</v>
      </c>
      <c r="F113" s="16"/>
    </row>
    <row r="114" spans="2:6" x14ac:dyDescent="0.25">
      <c r="B114" s="5" t="s">
        <v>5</v>
      </c>
      <c r="C114" s="17">
        <v>22.33</v>
      </c>
      <c r="D114" s="17">
        <f>110/60*14.58</f>
        <v>26.73</v>
      </c>
      <c r="E114" s="18">
        <f t="shared" ref="E114:E119" si="8">(C114-D114)/C114</f>
        <v>-0.19704433497536958</v>
      </c>
      <c r="F114" s="11"/>
    </row>
    <row r="115" spans="2:6" x14ac:dyDescent="0.25">
      <c r="B115" s="8" t="s">
        <v>6</v>
      </c>
      <c r="C115" s="17">
        <v>3.96</v>
      </c>
      <c r="D115" s="17">
        <f>117/60*14.58</f>
        <v>28.431000000000001</v>
      </c>
      <c r="E115" s="19">
        <f t="shared" si="8"/>
        <v>-6.1795454545454547</v>
      </c>
      <c r="F115" s="11"/>
    </row>
    <row r="116" spans="2:6" x14ac:dyDescent="0.25">
      <c r="B116" s="8" t="s">
        <v>7</v>
      </c>
      <c r="C116" s="17">
        <v>19.399999999999999</v>
      </c>
      <c r="D116" s="17">
        <f>410/60*14.58</f>
        <v>99.63</v>
      </c>
      <c r="E116" s="19">
        <f t="shared" si="8"/>
        <v>-4.1355670103092779</v>
      </c>
      <c r="F116" s="11"/>
    </row>
    <row r="117" spans="2:6" x14ac:dyDescent="0.25">
      <c r="B117" s="8" t="s">
        <v>8</v>
      </c>
      <c r="C117" s="17">
        <v>5.5</v>
      </c>
      <c r="D117" s="17">
        <f>3/60*14.58</f>
        <v>0.72900000000000009</v>
      </c>
      <c r="E117" s="18">
        <f t="shared" si="8"/>
        <v>0.86745454545454548</v>
      </c>
      <c r="F117" s="11"/>
    </row>
    <row r="118" spans="2:6" x14ac:dyDescent="0.25">
      <c r="B118" s="8" t="s">
        <v>9</v>
      </c>
      <c r="C118" s="17">
        <v>29</v>
      </c>
      <c r="D118" s="17">
        <v>0</v>
      </c>
      <c r="E118" s="19">
        <f t="shared" si="8"/>
        <v>1</v>
      </c>
      <c r="F118" s="11"/>
    </row>
    <row r="119" spans="2:6" x14ac:dyDescent="0.25">
      <c r="B119" s="8" t="s">
        <v>10</v>
      </c>
      <c r="C119" s="17">
        <v>22.5</v>
      </c>
      <c r="D119" s="17">
        <f>30/60*7.29</f>
        <v>3.645</v>
      </c>
      <c r="E119" s="18">
        <f t="shared" si="8"/>
        <v>0.83799999999999997</v>
      </c>
      <c r="F119" s="11"/>
    </row>
    <row r="120" spans="2:6" x14ac:dyDescent="0.25">
      <c r="F120" s="16"/>
    </row>
    <row r="121" spans="2:6" x14ac:dyDescent="0.25">
      <c r="F121" s="16"/>
    </row>
    <row r="122" spans="2:6" x14ac:dyDescent="0.25">
      <c r="F122" s="16"/>
    </row>
    <row r="123" spans="2:6" x14ac:dyDescent="0.25">
      <c r="F123" s="16"/>
    </row>
    <row r="124" spans="2:6" x14ac:dyDescent="0.25">
      <c r="F124" s="16"/>
    </row>
    <row r="125" spans="2:6" x14ac:dyDescent="0.25">
      <c r="B125" s="2" t="s">
        <v>19</v>
      </c>
      <c r="F125" s="16"/>
    </row>
    <row r="126" spans="2:6" ht="21" x14ac:dyDescent="0.25">
      <c r="B126" s="3">
        <v>42388</v>
      </c>
      <c r="C126" s="14" t="s">
        <v>2</v>
      </c>
      <c r="D126" s="14" t="s">
        <v>3</v>
      </c>
      <c r="E126" s="15" t="s">
        <v>4</v>
      </c>
      <c r="F126" s="16"/>
    </row>
    <row r="127" spans="2:6" x14ac:dyDescent="0.25">
      <c r="B127" s="5" t="s">
        <v>5</v>
      </c>
      <c r="C127" s="17">
        <v>22.33</v>
      </c>
      <c r="D127" s="17">
        <f>153/60*14.58</f>
        <v>37.178999999999995</v>
      </c>
      <c r="E127" s="18">
        <f t="shared" ref="E127:E132" si="9">(C127-D127)/C127</f>
        <v>-0.6649798477384683</v>
      </c>
      <c r="F127" s="11"/>
    </row>
    <row r="128" spans="2:6" x14ac:dyDescent="0.25">
      <c r="B128" s="8" t="s">
        <v>6</v>
      </c>
      <c r="C128" s="17">
        <v>3.96</v>
      </c>
      <c r="D128" s="17">
        <f>57/60*14.58</f>
        <v>13.850999999999999</v>
      </c>
      <c r="E128" s="19">
        <f t="shared" si="9"/>
        <v>-2.4977272727272721</v>
      </c>
      <c r="F128" s="11"/>
    </row>
    <row r="129" spans="2:6" x14ac:dyDescent="0.25">
      <c r="B129" s="8" t="s">
        <v>7</v>
      </c>
      <c r="C129" s="17">
        <v>19.399999999999999</v>
      </c>
      <c r="D129" s="17">
        <v>0</v>
      </c>
      <c r="E129" s="19">
        <f t="shared" si="9"/>
        <v>1</v>
      </c>
      <c r="F129" s="11"/>
    </row>
    <row r="130" spans="2:6" x14ac:dyDescent="0.25">
      <c r="B130" s="8" t="s">
        <v>8</v>
      </c>
      <c r="C130" s="17">
        <v>5.5</v>
      </c>
      <c r="D130" s="17">
        <f>37/60*14.58</f>
        <v>8.9909999999999997</v>
      </c>
      <c r="E130" s="18">
        <f t="shared" si="9"/>
        <v>-0.6347272727272727</v>
      </c>
      <c r="F130" s="11"/>
    </row>
    <row r="131" spans="2:6" x14ac:dyDescent="0.25">
      <c r="B131" s="8" t="s">
        <v>9</v>
      </c>
      <c r="C131" s="17">
        <v>29</v>
      </c>
      <c r="D131" s="17">
        <v>0</v>
      </c>
      <c r="E131" s="19">
        <f t="shared" si="9"/>
        <v>1</v>
      </c>
      <c r="F131" s="11"/>
    </row>
    <row r="132" spans="2:6" x14ac:dyDescent="0.25">
      <c r="B132" s="8" t="s">
        <v>10</v>
      </c>
      <c r="C132" s="17">
        <v>22.5</v>
      </c>
      <c r="D132" s="17">
        <f>15/60*7.29</f>
        <v>1.8225</v>
      </c>
      <c r="E132" s="18">
        <f t="shared" si="9"/>
        <v>0.91899999999999993</v>
      </c>
      <c r="F132" s="11"/>
    </row>
    <row r="133" spans="2:6" x14ac:dyDescent="0.25">
      <c r="F133" s="16"/>
    </row>
    <row r="134" spans="2:6" x14ac:dyDescent="0.25">
      <c r="F134" s="16"/>
    </row>
    <row r="135" spans="2:6" x14ac:dyDescent="0.25">
      <c r="F135" s="16"/>
    </row>
    <row r="136" spans="2:6" x14ac:dyDescent="0.25">
      <c r="F136" s="16"/>
    </row>
    <row r="137" spans="2:6" x14ac:dyDescent="0.25">
      <c r="F137" s="16"/>
    </row>
    <row r="138" spans="2:6" x14ac:dyDescent="0.25">
      <c r="B138" s="2" t="s">
        <v>20</v>
      </c>
      <c r="F138" s="16"/>
    </row>
    <row r="139" spans="2:6" ht="21" x14ac:dyDescent="0.25">
      <c r="B139" s="3">
        <v>42388</v>
      </c>
      <c r="C139" s="14" t="s">
        <v>2</v>
      </c>
      <c r="D139" s="14" t="s">
        <v>3</v>
      </c>
      <c r="E139" s="15" t="s">
        <v>4</v>
      </c>
      <c r="F139" s="16"/>
    </row>
    <row r="140" spans="2:6" x14ac:dyDescent="0.25">
      <c r="B140" s="5" t="s">
        <v>5</v>
      </c>
      <c r="C140" s="17">
        <v>22.33</v>
      </c>
      <c r="D140" s="17">
        <f>1/60*14.58</f>
        <v>0.24299999999999999</v>
      </c>
      <c r="E140" s="18">
        <f t="shared" ref="E140:E145" si="10">(C140-D140)/C140</f>
        <v>0.98911777877295126</v>
      </c>
      <c r="F140" s="11"/>
    </row>
    <row r="141" spans="2:6" x14ac:dyDescent="0.25">
      <c r="B141" s="8" t="s">
        <v>6</v>
      </c>
      <c r="C141" s="17">
        <v>3.96</v>
      </c>
      <c r="D141" s="17">
        <f>208/60*14.58</f>
        <v>50.544000000000004</v>
      </c>
      <c r="E141" s="19">
        <f t="shared" si="10"/>
        <v>-11.763636363636364</v>
      </c>
      <c r="F141" s="11"/>
    </row>
    <row r="142" spans="2:6" x14ac:dyDescent="0.25">
      <c r="B142" s="8" t="s">
        <v>7</v>
      </c>
      <c r="C142" s="17">
        <v>19.399999999999999</v>
      </c>
      <c r="D142" s="17">
        <f>14/60*14.58</f>
        <v>3.4020000000000001</v>
      </c>
      <c r="E142" s="19">
        <f t="shared" si="10"/>
        <v>0.82463917525773189</v>
      </c>
      <c r="F142" s="11"/>
    </row>
    <row r="143" spans="2:6" x14ac:dyDescent="0.25">
      <c r="B143" s="8" t="s">
        <v>8</v>
      </c>
      <c r="C143" s="17">
        <v>5.5</v>
      </c>
      <c r="D143" s="17">
        <f>6/60*14.58</f>
        <v>1.4580000000000002</v>
      </c>
      <c r="E143" s="18">
        <f t="shared" si="10"/>
        <v>0.73490909090909085</v>
      </c>
      <c r="F143" s="11"/>
    </row>
    <row r="144" spans="2:6" x14ac:dyDescent="0.25">
      <c r="B144" s="8" t="s">
        <v>9</v>
      </c>
      <c r="C144" s="17">
        <v>29</v>
      </c>
      <c r="D144" s="17">
        <v>0</v>
      </c>
      <c r="E144" s="19">
        <f t="shared" si="10"/>
        <v>1</v>
      </c>
      <c r="F144" s="11"/>
    </row>
    <row r="145" spans="2:6" x14ac:dyDescent="0.25">
      <c r="B145" s="8" t="s">
        <v>10</v>
      </c>
      <c r="C145" s="17">
        <v>22.5</v>
      </c>
      <c r="D145" s="17">
        <f>18/60*7.29</f>
        <v>2.1869999999999998</v>
      </c>
      <c r="E145" s="18">
        <f t="shared" si="10"/>
        <v>0.90279999999999994</v>
      </c>
      <c r="F145" s="11"/>
    </row>
    <row r="146" spans="2:6" x14ac:dyDescent="0.25">
      <c r="F146" s="16"/>
    </row>
    <row r="147" spans="2:6" x14ac:dyDescent="0.25">
      <c r="F147" s="16"/>
    </row>
    <row r="148" spans="2:6" x14ac:dyDescent="0.25">
      <c r="F148" s="16"/>
    </row>
    <row r="149" spans="2:6" x14ac:dyDescent="0.25">
      <c r="F149" s="16"/>
    </row>
    <row r="150" spans="2:6" x14ac:dyDescent="0.25">
      <c r="B150" t="s">
        <v>21</v>
      </c>
      <c r="F150" s="16"/>
    </row>
    <row r="151" spans="2:6" ht="21" x14ac:dyDescent="0.25">
      <c r="B151" s="3">
        <v>42388</v>
      </c>
      <c r="C151" s="14" t="s">
        <v>2</v>
      </c>
      <c r="D151" s="14" t="s">
        <v>3</v>
      </c>
      <c r="E151" s="15" t="s">
        <v>4</v>
      </c>
      <c r="F151" s="16"/>
    </row>
    <row r="152" spans="2:6" x14ac:dyDescent="0.25">
      <c r="B152" s="5" t="s">
        <v>5</v>
      </c>
      <c r="C152" s="17">
        <v>22.33</v>
      </c>
      <c r="D152" s="17">
        <f>10/60*14.58</f>
        <v>2.4299999999999997</v>
      </c>
      <c r="E152" s="18">
        <f t="shared" ref="E152:E157" si="11">(C152-D152)/C152</f>
        <v>0.89117778772951184</v>
      </c>
      <c r="F152" s="11"/>
    </row>
    <row r="153" spans="2:6" x14ac:dyDescent="0.25">
      <c r="B153" s="8" t="s">
        <v>6</v>
      </c>
      <c r="C153" s="17">
        <v>3.96</v>
      </c>
      <c r="D153" s="17">
        <f>3/60*14.58</f>
        <v>0.72900000000000009</v>
      </c>
      <c r="E153" s="19">
        <f t="shared" si="11"/>
        <v>0.81590909090909092</v>
      </c>
      <c r="F153" s="11"/>
    </row>
    <row r="154" spans="2:6" x14ac:dyDescent="0.25">
      <c r="B154" s="8" t="s">
        <v>7</v>
      </c>
      <c r="C154" s="17">
        <v>19.399999999999999</v>
      </c>
      <c r="D154" s="17">
        <v>0</v>
      </c>
      <c r="E154" s="19">
        <f t="shared" si="11"/>
        <v>1</v>
      </c>
      <c r="F154" s="11"/>
    </row>
    <row r="155" spans="2:6" x14ac:dyDescent="0.25">
      <c r="B155" s="8" t="s">
        <v>8</v>
      </c>
      <c r="C155" s="17">
        <v>5.5</v>
      </c>
      <c r="D155" s="17">
        <f>17/60*14.58</f>
        <v>4.1310000000000002</v>
      </c>
      <c r="E155" s="18">
        <f t="shared" si="11"/>
        <v>0.24890909090909086</v>
      </c>
      <c r="F155" s="11"/>
    </row>
    <row r="156" spans="2:6" x14ac:dyDescent="0.25">
      <c r="B156" s="8" t="s">
        <v>9</v>
      </c>
      <c r="C156" s="17">
        <v>29</v>
      </c>
      <c r="D156" s="17">
        <v>0</v>
      </c>
      <c r="E156" s="19">
        <f t="shared" si="11"/>
        <v>1</v>
      </c>
      <c r="F156" s="11"/>
    </row>
    <row r="157" spans="2:6" x14ac:dyDescent="0.25">
      <c r="B157" s="8" t="s">
        <v>10</v>
      </c>
      <c r="C157" s="17">
        <v>22.5</v>
      </c>
      <c r="D157" s="17">
        <f>17/60*7.29</f>
        <v>2.0655000000000001</v>
      </c>
      <c r="E157" s="18">
        <f t="shared" si="11"/>
        <v>0.90820000000000001</v>
      </c>
      <c r="F157" s="11"/>
    </row>
    <row r="158" spans="2:6" x14ac:dyDescent="0.25">
      <c r="F158" s="16"/>
    </row>
    <row r="159" spans="2:6" x14ac:dyDescent="0.25">
      <c r="F159" s="16"/>
    </row>
    <row r="160" spans="2:6" x14ac:dyDescent="0.25">
      <c r="F160" s="16"/>
    </row>
    <row r="161" spans="2:6" x14ac:dyDescent="0.25">
      <c r="F161" s="16"/>
    </row>
    <row r="162" spans="2:6" x14ac:dyDescent="0.25">
      <c r="F162" s="16"/>
    </row>
    <row r="163" spans="2:6" x14ac:dyDescent="0.25">
      <c r="B163" s="2" t="s">
        <v>22</v>
      </c>
      <c r="F163" s="16"/>
    </row>
    <row r="164" spans="2:6" ht="21" x14ac:dyDescent="0.25">
      <c r="B164" s="3">
        <v>42388</v>
      </c>
      <c r="C164" s="14" t="s">
        <v>2</v>
      </c>
      <c r="D164" s="14" t="s">
        <v>3</v>
      </c>
      <c r="E164" s="15" t="s">
        <v>4</v>
      </c>
      <c r="F164" s="16"/>
    </row>
    <row r="165" spans="2:6" x14ac:dyDescent="0.25">
      <c r="B165" s="5" t="s">
        <v>5</v>
      </c>
      <c r="C165" s="17">
        <v>22.33</v>
      </c>
      <c r="D165" s="17">
        <f>605/60*14.58</f>
        <v>147.01500000000001</v>
      </c>
      <c r="E165" s="18">
        <f t="shared" ref="E165:E170" si="12">(C165-D165)/C165</f>
        <v>-5.5837438423645329</v>
      </c>
      <c r="F165" s="11"/>
    </row>
    <row r="166" spans="2:6" x14ac:dyDescent="0.25">
      <c r="B166" s="8" t="s">
        <v>6</v>
      </c>
      <c r="C166" s="17">
        <v>3.96</v>
      </c>
      <c r="D166" s="17">
        <f>4/60*14.58</f>
        <v>0.97199999999999998</v>
      </c>
      <c r="E166" s="19">
        <f t="shared" si="12"/>
        <v>0.75454545454545452</v>
      </c>
      <c r="F166" s="11"/>
    </row>
    <row r="167" spans="2:6" x14ac:dyDescent="0.25">
      <c r="B167" s="8" t="s">
        <v>7</v>
      </c>
      <c r="C167" s="17">
        <v>19.399999999999999</v>
      </c>
      <c r="D167" s="17">
        <f>79/60*14.58</f>
        <v>19.196999999999999</v>
      </c>
      <c r="E167" s="19">
        <f t="shared" si="12"/>
        <v>1.0463917525773166E-2</v>
      </c>
      <c r="F167" s="11"/>
    </row>
    <row r="168" spans="2:6" x14ac:dyDescent="0.25">
      <c r="B168" s="8" t="s">
        <v>8</v>
      </c>
      <c r="C168" s="17">
        <v>5.5</v>
      </c>
      <c r="D168" s="17">
        <f>12/60*14.58</f>
        <v>2.9160000000000004</v>
      </c>
      <c r="E168" s="18">
        <f t="shared" si="12"/>
        <v>0.46981818181818175</v>
      </c>
      <c r="F168" s="11"/>
    </row>
    <row r="169" spans="2:6" x14ac:dyDescent="0.25">
      <c r="B169" s="8" t="s">
        <v>9</v>
      </c>
      <c r="C169" s="17">
        <v>29</v>
      </c>
      <c r="D169" s="17">
        <v>0</v>
      </c>
      <c r="E169" s="19">
        <f t="shared" si="12"/>
        <v>1</v>
      </c>
      <c r="F169" s="11"/>
    </row>
    <row r="170" spans="2:6" x14ac:dyDescent="0.25">
      <c r="B170" s="8" t="s">
        <v>10</v>
      </c>
      <c r="C170" s="17">
        <v>22.5</v>
      </c>
      <c r="D170" s="17">
        <f>18/60*7.29</f>
        <v>2.1869999999999998</v>
      </c>
      <c r="E170" s="18">
        <f t="shared" si="12"/>
        <v>0.90279999999999994</v>
      </c>
      <c r="F170" s="11"/>
    </row>
    <row r="175" spans="2:6" s="52" customFormat="1" x14ac:dyDescent="0.25"/>
    <row r="176" spans="2:6" x14ac:dyDescent="0.25">
      <c r="B176" t="s">
        <v>53</v>
      </c>
      <c r="F176" s="16"/>
    </row>
    <row r="177" spans="2:6" ht="21" x14ac:dyDescent="0.25">
      <c r="B177" s="3">
        <v>42404</v>
      </c>
      <c r="C177" s="14" t="s">
        <v>2</v>
      </c>
      <c r="D177" s="14" t="s">
        <v>3</v>
      </c>
      <c r="E177" s="15" t="s">
        <v>4</v>
      </c>
      <c r="F177" s="16"/>
    </row>
    <row r="178" spans="2:6" x14ac:dyDescent="0.25">
      <c r="B178" s="5" t="s">
        <v>5</v>
      </c>
      <c r="C178" s="17">
        <v>22.33</v>
      </c>
      <c r="D178" s="17">
        <f>33/60*14.58</f>
        <v>8.0190000000000001</v>
      </c>
      <c r="E178" s="18">
        <f t="shared" ref="E178:E183" si="13">(C178-D178)/C178</f>
        <v>0.64088669950738908</v>
      </c>
    </row>
    <row r="179" spans="2:6" x14ac:dyDescent="0.25">
      <c r="B179" s="8" t="s">
        <v>6</v>
      </c>
      <c r="C179" s="17">
        <v>3.96</v>
      </c>
      <c r="D179" s="17">
        <f>26/60*14.58</f>
        <v>6.3180000000000005</v>
      </c>
      <c r="E179" s="19">
        <f t="shared" si="13"/>
        <v>-0.59545454545454557</v>
      </c>
    </row>
    <row r="180" spans="2:6" x14ac:dyDescent="0.25">
      <c r="B180" s="8" t="s">
        <v>7</v>
      </c>
      <c r="C180" s="17">
        <v>0</v>
      </c>
      <c r="D180" s="17">
        <v>0</v>
      </c>
      <c r="E180" s="19" t="e">
        <f t="shared" si="13"/>
        <v>#DIV/0!</v>
      </c>
    </row>
    <row r="181" spans="2:6" x14ac:dyDescent="0.25">
      <c r="B181" s="8" t="s">
        <v>8</v>
      </c>
      <c r="C181" s="17">
        <v>5.5</v>
      </c>
      <c r="D181" s="17">
        <f>15/60*14.58</f>
        <v>3.645</v>
      </c>
      <c r="E181" s="18">
        <f t="shared" si="13"/>
        <v>0.33727272727272728</v>
      </c>
    </row>
    <row r="182" spans="2:6" x14ac:dyDescent="0.25">
      <c r="B182" s="8" t="s">
        <v>9</v>
      </c>
      <c r="C182" s="17">
        <v>0</v>
      </c>
      <c r="D182" s="17">
        <v>0</v>
      </c>
      <c r="E182" s="19" t="e">
        <f t="shared" si="13"/>
        <v>#DIV/0!</v>
      </c>
    </row>
    <row r="183" spans="2:6" x14ac:dyDescent="0.25">
      <c r="B183" s="8" t="s">
        <v>10</v>
      </c>
      <c r="C183" s="17">
        <v>22.5</v>
      </c>
      <c r="D183" s="17">
        <f>20/60*7.29</f>
        <v>2.4299999999999997</v>
      </c>
      <c r="E183" s="18">
        <f t="shared" si="13"/>
        <v>0.89200000000000002</v>
      </c>
    </row>
    <row r="191" spans="2:6" x14ac:dyDescent="0.25">
      <c r="B191" t="s">
        <v>54</v>
      </c>
    </row>
    <row r="192" spans="2:6" ht="21" x14ac:dyDescent="0.25">
      <c r="B192" s="3">
        <v>42404</v>
      </c>
      <c r="C192" s="14" t="s">
        <v>2</v>
      </c>
      <c r="D192" s="14" t="s">
        <v>3</v>
      </c>
      <c r="E192" s="15" t="s">
        <v>4</v>
      </c>
    </row>
    <row r="193" spans="2:5" x14ac:dyDescent="0.25">
      <c r="B193" s="5" t="s">
        <v>5</v>
      </c>
      <c r="C193" s="17">
        <v>22.33</v>
      </c>
      <c r="D193" s="17">
        <f>60/60*14.58</f>
        <v>14.58</v>
      </c>
      <c r="E193" s="18">
        <f t="shared" ref="E193:E198" si="14">(C193-D193)/C193</f>
        <v>0.34706672637707114</v>
      </c>
    </row>
    <row r="194" spans="2:5" x14ac:dyDescent="0.25">
      <c r="B194" s="8" t="s">
        <v>6</v>
      </c>
      <c r="C194" s="17">
        <v>3.96</v>
      </c>
      <c r="D194" s="17">
        <f>6/60*14.58</f>
        <v>1.4580000000000002</v>
      </c>
      <c r="E194" s="19">
        <f t="shared" si="14"/>
        <v>0.63181818181818172</v>
      </c>
    </row>
    <row r="195" spans="2:5" x14ac:dyDescent="0.25">
      <c r="B195" s="8" t="s">
        <v>7</v>
      </c>
      <c r="C195" s="17">
        <v>19.399999999999999</v>
      </c>
      <c r="D195" s="17">
        <f>440/60*14.58</f>
        <v>106.92</v>
      </c>
      <c r="E195" s="19">
        <f t="shared" si="14"/>
        <v>-4.5113402061855679</v>
      </c>
    </row>
    <row r="196" spans="2:5" x14ac:dyDescent="0.25">
      <c r="B196" s="8" t="s">
        <v>8</v>
      </c>
      <c r="C196" s="17">
        <v>5.5</v>
      </c>
      <c r="D196" s="17">
        <f>18/60*14.58</f>
        <v>4.3739999999999997</v>
      </c>
      <c r="E196" s="18">
        <f t="shared" si="14"/>
        <v>0.20472727272727279</v>
      </c>
    </row>
    <row r="197" spans="2:5" x14ac:dyDescent="0.25">
      <c r="B197" s="8" t="s">
        <v>9</v>
      </c>
      <c r="C197" s="17">
        <v>0</v>
      </c>
      <c r="D197" s="17">
        <v>0</v>
      </c>
      <c r="E197" s="19" t="e">
        <f t="shared" si="14"/>
        <v>#DIV/0!</v>
      </c>
    </row>
    <row r="198" spans="2:5" x14ac:dyDescent="0.25">
      <c r="B198" s="8" t="s">
        <v>10</v>
      </c>
      <c r="C198" s="17">
        <v>22.5</v>
      </c>
      <c r="D198" s="17">
        <f>23/60*7.29</f>
        <v>2.7945000000000002</v>
      </c>
      <c r="E198" s="18">
        <f t="shared" si="14"/>
        <v>0.87580000000000002</v>
      </c>
    </row>
    <row r="204" spans="2:5" x14ac:dyDescent="0.25">
      <c r="B204" t="s">
        <v>55</v>
      </c>
    </row>
    <row r="205" spans="2:5" ht="21" x14ac:dyDescent="0.25">
      <c r="B205" s="3">
        <v>42404</v>
      </c>
      <c r="C205" s="14" t="s">
        <v>2</v>
      </c>
      <c r="D205" s="14" t="s">
        <v>3</v>
      </c>
      <c r="E205" s="15" t="s">
        <v>4</v>
      </c>
    </row>
    <row r="206" spans="2:5" x14ac:dyDescent="0.25">
      <c r="B206" s="5" t="s">
        <v>5</v>
      </c>
      <c r="C206" s="17">
        <v>22.33</v>
      </c>
      <c r="D206" s="17">
        <f>15/60*14.58</f>
        <v>3.645</v>
      </c>
      <c r="E206" s="18">
        <f t="shared" ref="E206:E211" si="15">(C206-D206)/C206</f>
        <v>0.83676668159426781</v>
      </c>
    </row>
    <row r="207" spans="2:5" x14ac:dyDescent="0.25">
      <c r="B207" s="8" t="s">
        <v>6</v>
      </c>
      <c r="C207" s="17">
        <v>3.96</v>
      </c>
      <c r="D207" s="17">
        <f>5/60*14.58</f>
        <v>1.2149999999999999</v>
      </c>
      <c r="E207" s="19">
        <f t="shared" si="15"/>
        <v>0.69318181818181823</v>
      </c>
    </row>
    <row r="208" spans="2:5" x14ac:dyDescent="0.25">
      <c r="B208" s="8" t="s">
        <v>7</v>
      </c>
      <c r="C208" s="17">
        <v>0</v>
      </c>
      <c r="D208" s="17">
        <v>0</v>
      </c>
      <c r="E208" s="19" t="e">
        <f t="shared" si="15"/>
        <v>#DIV/0!</v>
      </c>
    </row>
    <row r="209" spans="2:5" x14ac:dyDescent="0.25">
      <c r="B209" s="8" t="s">
        <v>8</v>
      </c>
      <c r="C209" s="17">
        <v>5.5</v>
      </c>
      <c r="D209" s="17">
        <f>7/60*14.58</f>
        <v>1.7010000000000001</v>
      </c>
      <c r="E209" s="18">
        <f t="shared" si="15"/>
        <v>0.69072727272727275</v>
      </c>
    </row>
    <row r="210" spans="2:5" x14ac:dyDescent="0.25">
      <c r="B210" s="8" t="s">
        <v>9</v>
      </c>
      <c r="C210" s="17">
        <v>0</v>
      </c>
      <c r="D210" s="17">
        <v>0</v>
      </c>
      <c r="E210" s="19" t="e">
        <f t="shared" si="15"/>
        <v>#DIV/0!</v>
      </c>
    </row>
    <row r="211" spans="2:5" x14ac:dyDescent="0.25">
      <c r="B211" s="8" t="s">
        <v>10</v>
      </c>
      <c r="C211" s="17">
        <v>22.5</v>
      </c>
      <c r="D211" s="17">
        <f>25/60*7.29</f>
        <v>3.0375000000000001</v>
      </c>
      <c r="E211" s="18">
        <f t="shared" si="15"/>
        <v>0.86499999999999999</v>
      </c>
    </row>
    <row r="217" spans="2:5" x14ac:dyDescent="0.25">
      <c r="B217" t="s">
        <v>56</v>
      </c>
    </row>
    <row r="218" spans="2:5" ht="21" x14ac:dyDescent="0.25">
      <c r="B218" s="3">
        <v>42404</v>
      </c>
      <c r="C218" s="14" t="s">
        <v>2</v>
      </c>
      <c r="D218" s="14" t="s">
        <v>3</v>
      </c>
      <c r="E218" s="15" t="s">
        <v>4</v>
      </c>
    </row>
    <row r="219" spans="2:5" x14ac:dyDescent="0.25">
      <c r="B219" s="5" t="s">
        <v>5</v>
      </c>
      <c r="C219" s="17">
        <v>22.33</v>
      </c>
      <c r="D219" s="17">
        <f>835/60*14.58</f>
        <v>202.905</v>
      </c>
      <c r="E219" s="18">
        <f t="shared" ref="E219:E224" si="16">(C219-D219)/C219</f>
        <v>-8.0866547245857596</v>
      </c>
    </row>
    <row r="220" spans="2:5" x14ac:dyDescent="0.25">
      <c r="B220" s="8" t="s">
        <v>6</v>
      </c>
      <c r="C220" s="17">
        <v>3.96</v>
      </c>
      <c r="D220" s="17">
        <f>120/60*14.58</f>
        <v>29.16</v>
      </c>
      <c r="E220" s="19">
        <f t="shared" si="16"/>
        <v>-6.3636363636363633</v>
      </c>
    </row>
    <row r="221" spans="2:5" x14ac:dyDescent="0.25">
      <c r="B221" s="8" t="s">
        <v>7</v>
      </c>
      <c r="C221" s="17">
        <v>0</v>
      </c>
      <c r="D221" s="17">
        <v>0</v>
      </c>
      <c r="E221" s="19" t="e">
        <f t="shared" si="16"/>
        <v>#DIV/0!</v>
      </c>
    </row>
    <row r="222" spans="2:5" x14ac:dyDescent="0.25">
      <c r="B222" s="8" t="s">
        <v>8</v>
      </c>
      <c r="C222" s="17">
        <v>5.5</v>
      </c>
      <c r="D222" s="17">
        <f>11/60*14.58</f>
        <v>2.673</v>
      </c>
      <c r="E222" s="18">
        <f t="shared" si="16"/>
        <v>0.51400000000000001</v>
      </c>
    </row>
    <row r="223" spans="2:5" x14ac:dyDescent="0.25">
      <c r="B223" s="8" t="s">
        <v>9</v>
      </c>
      <c r="C223" s="17">
        <v>29</v>
      </c>
      <c r="D223" s="17">
        <f>180/60*14.58</f>
        <v>43.74</v>
      </c>
      <c r="E223" s="19">
        <f t="shared" si="16"/>
        <v>-0.50827586206896558</v>
      </c>
    </row>
    <row r="224" spans="2:5" x14ac:dyDescent="0.25">
      <c r="B224" s="8" t="s">
        <v>10</v>
      </c>
      <c r="C224" s="17">
        <v>22.5</v>
      </c>
      <c r="D224" s="17">
        <f>9/60*7.29</f>
        <v>1.0934999999999999</v>
      </c>
      <c r="E224" s="18">
        <f t="shared" si="16"/>
        <v>0.95140000000000002</v>
      </c>
    </row>
    <row r="230" spans="2:5" x14ac:dyDescent="0.25">
      <c r="B230" t="s">
        <v>57</v>
      </c>
    </row>
    <row r="231" spans="2:5" ht="21" x14ac:dyDescent="0.25">
      <c r="B231" s="3">
        <v>42404</v>
      </c>
      <c r="C231" s="14" t="s">
        <v>2</v>
      </c>
      <c r="D231" s="14" t="s">
        <v>3</v>
      </c>
      <c r="E231" s="15" t="s">
        <v>4</v>
      </c>
    </row>
    <row r="232" spans="2:5" x14ac:dyDescent="0.25">
      <c r="B232" s="5" t="s">
        <v>5</v>
      </c>
      <c r="C232" s="17">
        <v>22.33</v>
      </c>
      <c r="D232" s="17">
        <f>0/60*14.58</f>
        <v>0</v>
      </c>
      <c r="E232" s="18">
        <f t="shared" ref="E232:E237" si="17">(C232-D232)/C232</f>
        <v>1</v>
      </c>
    </row>
    <row r="233" spans="2:5" x14ac:dyDescent="0.25">
      <c r="B233" s="8" t="s">
        <v>6</v>
      </c>
      <c r="C233" s="17">
        <v>3.96</v>
      </c>
      <c r="D233" s="17">
        <f>8/60*14.58</f>
        <v>1.944</v>
      </c>
      <c r="E233" s="19">
        <f t="shared" si="17"/>
        <v>0.50909090909090915</v>
      </c>
    </row>
    <row r="234" spans="2:5" x14ac:dyDescent="0.25">
      <c r="B234" s="8" t="s">
        <v>7</v>
      </c>
      <c r="C234" s="17">
        <v>0</v>
      </c>
      <c r="D234" s="17">
        <f>0/60*14.58</f>
        <v>0</v>
      </c>
      <c r="E234" s="19" t="e">
        <f t="shared" si="17"/>
        <v>#DIV/0!</v>
      </c>
    </row>
    <row r="235" spans="2:5" x14ac:dyDescent="0.25">
      <c r="B235" s="8" t="s">
        <v>8</v>
      </c>
      <c r="C235" s="17">
        <v>5.5</v>
      </c>
      <c r="D235" s="17">
        <f>4/60*14.58</f>
        <v>0.97199999999999998</v>
      </c>
      <c r="E235" s="18">
        <f t="shared" si="17"/>
        <v>0.82327272727272738</v>
      </c>
    </row>
    <row r="236" spans="2:5" x14ac:dyDescent="0.25">
      <c r="B236" s="8" t="s">
        <v>9</v>
      </c>
      <c r="C236" s="17">
        <v>0</v>
      </c>
      <c r="D236" s="17">
        <v>0</v>
      </c>
      <c r="E236" s="19" t="e">
        <f t="shared" si="17"/>
        <v>#DIV/0!</v>
      </c>
    </row>
    <row r="237" spans="2:5" x14ac:dyDescent="0.25">
      <c r="B237" s="8" t="s">
        <v>10</v>
      </c>
      <c r="C237" s="17">
        <v>22.5</v>
      </c>
      <c r="D237" s="17">
        <f>26/60*7.29</f>
        <v>3.1590000000000003</v>
      </c>
      <c r="E237" s="18">
        <f t="shared" si="17"/>
        <v>0.85960000000000003</v>
      </c>
    </row>
    <row r="245" spans="2:5" x14ac:dyDescent="0.25">
      <c r="B245" t="s">
        <v>60</v>
      </c>
    </row>
    <row r="246" spans="2:5" ht="21" x14ac:dyDescent="0.25">
      <c r="B246" s="3">
        <v>42404</v>
      </c>
      <c r="C246" s="14" t="s">
        <v>2</v>
      </c>
      <c r="D246" s="14" t="s">
        <v>3</v>
      </c>
      <c r="E246" s="15" t="s">
        <v>4</v>
      </c>
    </row>
    <row r="247" spans="2:5" x14ac:dyDescent="0.25">
      <c r="B247" s="5" t="s">
        <v>5</v>
      </c>
      <c r="C247" s="17">
        <v>22.33</v>
      </c>
      <c r="D247" s="17">
        <f>64/60*14.58</f>
        <v>15.552</v>
      </c>
      <c r="E247" s="18">
        <f t="shared" ref="E247:E252" si="18">(C247-D247)/C247</f>
        <v>0.30353784146887591</v>
      </c>
    </row>
    <row r="248" spans="2:5" x14ac:dyDescent="0.25">
      <c r="B248" s="8" t="s">
        <v>6</v>
      </c>
      <c r="C248" s="17">
        <v>3.96</v>
      </c>
      <c r="D248" s="17">
        <f>19/60*14.58</f>
        <v>4.617</v>
      </c>
      <c r="E248" s="19">
        <f t="shared" si="18"/>
        <v>-0.16590909090909092</v>
      </c>
    </row>
    <row r="249" spans="2:5" x14ac:dyDescent="0.25">
      <c r="B249" s="8" t="s">
        <v>7</v>
      </c>
      <c r="C249" s="17">
        <v>19.399999999999999</v>
      </c>
      <c r="D249" s="17">
        <f>9/60*14.58</f>
        <v>2.1869999999999998</v>
      </c>
      <c r="E249" s="19">
        <f t="shared" si="18"/>
        <v>0.88726804123711334</v>
      </c>
    </row>
    <row r="250" spans="2:5" x14ac:dyDescent="0.25">
      <c r="B250" s="8" t="s">
        <v>8</v>
      </c>
      <c r="C250" s="17">
        <v>5.5</v>
      </c>
      <c r="D250" s="17">
        <f>11/60*14.58</f>
        <v>2.673</v>
      </c>
      <c r="E250" s="18">
        <f t="shared" si="18"/>
        <v>0.51400000000000001</v>
      </c>
    </row>
    <row r="251" spans="2:5" x14ac:dyDescent="0.25">
      <c r="B251" s="8" t="s">
        <v>9</v>
      </c>
      <c r="C251" s="17"/>
      <c r="D251" s="17">
        <v>0</v>
      </c>
      <c r="E251" s="19" t="e">
        <f t="shared" si="18"/>
        <v>#DIV/0!</v>
      </c>
    </row>
    <row r="252" spans="2:5" x14ac:dyDescent="0.25">
      <c r="B252" s="8" t="s">
        <v>10</v>
      </c>
      <c r="C252" s="17">
        <v>22.5</v>
      </c>
      <c r="D252" s="17">
        <f>49/60*7.29</f>
        <v>5.9535</v>
      </c>
      <c r="E252" s="18">
        <f t="shared" si="18"/>
        <v>0.73540000000000005</v>
      </c>
    </row>
    <row r="258" spans="2:5" x14ac:dyDescent="0.25">
      <c r="B258" t="s">
        <v>59</v>
      </c>
    </row>
    <row r="259" spans="2:5" ht="21" x14ac:dyDescent="0.25">
      <c r="B259" s="3">
        <v>42404</v>
      </c>
      <c r="C259" s="14" t="s">
        <v>2</v>
      </c>
      <c r="D259" s="14" t="s">
        <v>3</v>
      </c>
      <c r="E259" s="15" t="s">
        <v>4</v>
      </c>
    </row>
    <row r="260" spans="2:5" x14ac:dyDescent="0.25">
      <c r="B260" s="5" t="s">
        <v>5</v>
      </c>
      <c r="C260" s="17">
        <v>22.33</v>
      </c>
      <c r="D260" s="17">
        <f>30/60*14.58</f>
        <v>7.29</v>
      </c>
      <c r="E260" s="18">
        <f t="shared" ref="E260:E265" si="19">(C260-D260)/C260</f>
        <v>0.67353336318853563</v>
      </c>
    </row>
    <row r="261" spans="2:5" x14ac:dyDescent="0.25">
      <c r="B261" s="8" t="s">
        <v>6</v>
      </c>
      <c r="C261" s="17">
        <v>3.96</v>
      </c>
      <c r="D261" s="17">
        <f>19/60*14.58</f>
        <v>4.617</v>
      </c>
      <c r="E261" s="19">
        <f t="shared" si="19"/>
        <v>-0.16590909090909092</v>
      </c>
    </row>
    <row r="262" spans="2:5" x14ac:dyDescent="0.25">
      <c r="B262" s="8" t="s">
        <v>7</v>
      </c>
      <c r="C262" s="17">
        <v>0</v>
      </c>
      <c r="D262" s="17">
        <v>0</v>
      </c>
      <c r="E262" s="19" t="e">
        <f t="shared" si="19"/>
        <v>#DIV/0!</v>
      </c>
    </row>
    <row r="263" spans="2:5" x14ac:dyDescent="0.25">
      <c r="B263" s="8" t="s">
        <v>8</v>
      </c>
      <c r="C263" s="17">
        <v>5.5</v>
      </c>
      <c r="D263" s="17">
        <f>7/60*14.58</f>
        <v>1.7010000000000001</v>
      </c>
      <c r="E263" s="18">
        <f t="shared" si="19"/>
        <v>0.69072727272727275</v>
      </c>
    </row>
    <row r="264" spans="2:5" x14ac:dyDescent="0.25">
      <c r="B264" s="8" t="s">
        <v>9</v>
      </c>
      <c r="C264" s="17">
        <v>29</v>
      </c>
      <c r="D264" s="17">
        <f>139/60*14.58</f>
        <v>33.777000000000001</v>
      </c>
      <c r="E264" s="19">
        <f t="shared" si="19"/>
        <v>-0.16472413793103452</v>
      </c>
    </row>
    <row r="265" spans="2:5" x14ac:dyDescent="0.25">
      <c r="B265" s="8" t="s">
        <v>10</v>
      </c>
      <c r="C265" s="17">
        <v>22.5</v>
      </c>
      <c r="D265" s="17">
        <f>15/60*7.29</f>
        <v>1.8225</v>
      </c>
      <c r="E265" s="18">
        <f t="shared" si="19"/>
        <v>0.91899999999999993</v>
      </c>
    </row>
    <row r="272" spans="2:5" x14ac:dyDescent="0.25">
      <c r="B272" t="s">
        <v>61</v>
      </c>
    </row>
    <row r="273" spans="2:5" ht="21" x14ac:dyDescent="0.25">
      <c r="B273" s="3">
        <v>42404</v>
      </c>
      <c r="C273" s="14" t="s">
        <v>2</v>
      </c>
      <c r="D273" s="14" t="s">
        <v>3</v>
      </c>
      <c r="E273" s="15" t="s">
        <v>4</v>
      </c>
    </row>
    <row r="274" spans="2:5" x14ac:dyDescent="0.25">
      <c r="B274" s="5" t="s">
        <v>5</v>
      </c>
      <c r="C274" s="17">
        <v>22.33</v>
      </c>
      <c r="D274" s="17">
        <f>2/60*14.58</f>
        <v>0.48599999999999999</v>
      </c>
      <c r="E274" s="18">
        <f t="shared" ref="E274:E279" si="20">(C274-D274)/C274</f>
        <v>0.9782355575459023</v>
      </c>
    </row>
    <row r="275" spans="2:5" x14ac:dyDescent="0.25">
      <c r="B275" s="8" t="s">
        <v>6</v>
      </c>
      <c r="C275" s="17">
        <v>3.96</v>
      </c>
      <c r="D275" s="17">
        <f>15/60*14.58</f>
        <v>3.645</v>
      </c>
      <c r="E275" s="19">
        <f t="shared" si="20"/>
        <v>7.954545454545453E-2</v>
      </c>
    </row>
    <row r="276" spans="2:5" x14ac:dyDescent="0.25">
      <c r="B276" s="8" t="s">
        <v>7</v>
      </c>
      <c r="C276" s="17">
        <v>0</v>
      </c>
      <c r="D276" s="17">
        <v>0</v>
      </c>
      <c r="E276" s="19" t="e">
        <f t="shared" si="20"/>
        <v>#DIV/0!</v>
      </c>
    </row>
    <row r="277" spans="2:5" x14ac:dyDescent="0.25">
      <c r="B277" s="8" t="s">
        <v>8</v>
      </c>
      <c r="C277" s="17">
        <v>5.5</v>
      </c>
      <c r="D277" s="17">
        <f>5/60*14.58</f>
        <v>1.2149999999999999</v>
      </c>
      <c r="E277" s="18">
        <f t="shared" si="20"/>
        <v>0.77909090909090917</v>
      </c>
    </row>
    <row r="278" spans="2:5" x14ac:dyDescent="0.25">
      <c r="B278" s="8" t="s">
        <v>9</v>
      </c>
      <c r="C278" s="17">
        <v>29</v>
      </c>
      <c r="D278" s="17">
        <f>126/60*14.58</f>
        <v>30.618000000000002</v>
      </c>
      <c r="E278" s="19">
        <f t="shared" si="20"/>
        <v>-5.5793103448275934E-2</v>
      </c>
    </row>
    <row r="279" spans="2:5" x14ac:dyDescent="0.25">
      <c r="B279" s="8" t="s">
        <v>10</v>
      </c>
      <c r="C279" s="17">
        <v>22.5</v>
      </c>
      <c r="D279" s="17">
        <f>5/60*7.29</f>
        <v>0.60749999999999993</v>
      </c>
      <c r="E279" s="18">
        <f t="shared" si="20"/>
        <v>0.97299999999999998</v>
      </c>
    </row>
    <row r="286" spans="2:5" x14ac:dyDescent="0.25">
      <c r="B286" t="s">
        <v>58</v>
      </c>
    </row>
    <row r="287" spans="2:5" ht="21" x14ac:dyDescent="0.25">
      <c r="B287" s="3">
        <v>42404</v>
      </c>
      <c r="C287" s="14" t="s">
        <v>2</v>
      </c>
      <c r="D287" s="14" t="s">
        <v>3</v>
      </c>
      <c r="E287" s="15" t="s">
        <v>4</v>
      </c>
    </row>
    <row r="288" spans="2:5" x14ac:dyDescent="0.25">
      <c r="B288" s="5" t="s">
        <v>5</v>
      </c>
      <c r="C288" s="17">
        <v>22.33</v>
      </c>
      <c r="D288" s="17">
        <f>0/60*14.58</f>
        <v>0</v>
      </c>
      <c r="E288" s="18">
        <f t="shared" ref="E288:E293" si="21">(C288-D288)/C288</f>
        <v>1</v>
      </c>
    </row>
    <row r="289" spans="2:5" x14ac:dyDescent="0.25">
      <c r="B289" s="8" t="s">
        <v>6</v>
      </c>
      <c r="C289" s="17">
        <v>3.96</v>
      </c>
      <c r="D289" s="17">
        <f>4/60*14.58</f>
        <v>0.97199999999999998</v>
      </c>
      <c r="E289" s="19">
        <f t="shared" si="21"/>
        <v>0.75454545454545452</v>
      </c>
    </row>
    <row r="290" spans="2:5" x14ac:dyDescent="0.25">
      <c r="B290" s="8" t="s">
        <v>7</v>
      </c>
      <c r="C290" s="17">
        <v>0</v>
      </c>
      <c r="D290" s="17">
        <v>0</v>
      </c>
      <c r="E290" s="19" t="e">
        <f t="shared" si="21"/>
        <v>#DIV/0!</v>
      </c>
    </row>
    <row r="291" spans="2:5" x14ac:dyDescent="0.25">
      <c r="B291" s="8" t="s">
        <v>8</v>
      </c>
      <c r="C291" s="17">
        <v>5.5</v>
      </c>
      <c r="D291" s="17">
        <f>6/60*14.58</f>
        <v>1.4580000000000002</v>
      </c>
      <c r="E291" s="18">
        <f t="shared" si="21"/>
        <v>0.73490909090909085</v>
      </c>
    </row>
    <row r="292" spans="2:5" x14ac:dyDescent="0.25">
      <c r="B292" s="8" t="s">
        <v>9</v>
      </c>
      <c r="C292" s="17">
        <v>0</v>
      </c>
      <c r="D292" s="17">
        <v>0</v>
      </c>
      <c r="E292" s="19" t="e">
        <f t="shared" si="21"/>
        <v>#DIV/0!</v>
      </c>
    </row>
    <row r="293" spans="2:5" x14ac:dyDescent="0.25">
      <c r="B293" s="8" t="s">
        <v>10</v>
      </c>
      <c r="C293" s="17">
        <v>22.5</v>
      </c>
      <c r="D293" s="17">
        <f>11/60*7.29</f>
        <v>1.3365</v>
      </c>
      <c r="E293" s="18">
        <f t="shared" si="21"/>
        <v>0.94059999999999999</v>
      </c>
    </row>
    <row r="299" spans="2:5" x14ac:dyDescent="0.25">
      <c r="B299" t="s">
        <v>62</v>
      </c>
    </row>
    <row r="300" spans="2:5" ht="21" x14ac:dyDescent="0.25">
      <c r="B300" s="3">
        <v>42404</v>
      </c>
      <c r="C300" s="14" t="s">
        <v>2</v>
      </c>
      <c r="D300" s="14" t="s">
        <v>3</v>
      </c>
      <c r="E300" s="15" t="s">
        <v>4</v>
      </c>
    </row>
    <row r="301" spans="2:5" x14ac:dyDescent="0.25">
      <c r="B301" s="5" t="s">
        <v>5</v>
      </c>
      <c r="C301" s="17">
        <v>22.33</v>
      </c>
      <c r="D301" s="17">
        <f>6/60*14.58</f>
        <v>1.4580000000000002</v>
      </c>
      <c r="E301" s="18">
        <f t="shared" ref="E301:E306" si="22">(C301-D301)/C301</f>
        <v>0.93470667263770724</v>
      </c>
    </row>
    <row r="302" spans="2:5" x14ac:dyDescent="0.25">
      <c r="B302" s="8" t="s">
        <v>6</v>
      </c>
      <c r="C302" s="17">
        <v>3.96</v>
      </c>
      <c r="D302" s="17">
        <f>11/60*14.58</f>
        <v>2.673</v>
      </c>
      <c r="E302" s="19">
        <f t="shared" si="22"/>
        <v>0.32499999999999996</v>
      </c>
    </row>
    <row r="303" spans="2:5" x14ac:dyDescent="0.25">
      <c r="B303" s="8" t="s">
        <v>7</v>
      </c>
      <c r="C303" s="17">
        <v>0</v>
      </c>
      <c r="D303" s="17">
        <v>0</v>
      </c>
      <c r="E303" s="19" t="e">
        <f t="shared" si="22"/>
        <v>#DIV/0!</v>
      </c>
    </row>
    <row r="304" spans="2:5" x14ac:dyDescent="0.25">
      <c r="B304" s="8" t="s">
        <v>8</v>
      </c>
      <c r="C304" s="17">
        <v>5.5</v>
      </c>
      <c r="D304" s="17">
        <f>5/60*14.58</f>
        <v>1.2149999999999999</v>
      </c>
      <c r="E304" s="18">
        <f t="shared" si="22"/>
        <v>0.77909090909090917</v>
      </c>
    </row>
    <row r="305" spans="2:5" x14ac:dyDescent="0.25">
      <c r="B305" s="8" t="s">
        <v>9</v>
      </c>
      <c r="C305" s="17">
        <v>0</v>
      </c>
      <c r="D305" s="17">
        <v>0</v>
      </c>
      <c r="E305" s="19" t="e">
        <f t="shared" si="22"/>
        <v>#DIV/0!</v>
      </c>
    </row>
    <row r="306" spans="2:5" x14ac:dyDescent="0.25">
      <c r="B306" s="8" t="s">
        <v>10</v>
      </c>
      <c r="C306" s="17">
        <v>22.5</v>
      </c>
      <c r="D306" s="17">
        <f>21/60*7.29</f>
        <v>2.5514999999999999</v>
      </c>
      <c r="E306" s="18">
        <f t="shared" si="22"/>
        <v>0.88659999999999994</v>
      </c>
    </row>
    <row r="312" spans="2:5" x14ac:dyDescent="0.25">
      <c r="B312" t="s">
        <v>63</v>
      </c>
    </row>
    <row r="313" spans="2:5" ht="21" x14ac:dyDescent="0.25">
      <c r="B313" s="3">
        <v>42404</v>
      </c>
      <c r="C313" s="14" t="s">
        <v>2</v>
      </c>
      <c r="D313" s="14" t="s">
        <v>3</v>
      </c>
      <c r="E313" s="15" t="s">
        <v>4</v>
      </c>
    </row>
    <row r="314" spans="2:5" x14ac:dyDescent="0.25">
      <c r="B314" s="5" t="s">
        <v>5</v>
      </c>
      <c r="C314" s="17">
        <v>22.33</v>
      </c>
      <c r="D314" s="17">
        <f>10/60*14.58</f>
        <v>2.4299999999999997</v>
      </c>
      <c r="E314" s="18">
        <f t="shared" ref="E314:E319" si="23">(C314-D314)/C314</f>
        <v>0.89117778772951184</v>
      </c>
    </row>
    <row r="315" spans="2:5" x14ac:dyDescent="0.25">
      <c r="B315" s="8" t="s">
        <v>6</v>
      </c>
      <c r="C315" s="17">
        <v>3.96</v>
      </c>
      <c r="D315" s="17">
        <f>5/60*14.58</f>
        <v>1.2149999999999999</v>
      </c>
      <c r="E315" s="19">
        <f t="shared" si="23"/>
        <v>0.69318181818181823</v>
      </c>
    </row>
    <row r="316" spans="2:5" x14ac:dyDescent="0.25">
      <c r="B316" s="8" t="s">
        <v>7</v>
      </c>
      <c r="C316" s="17">
        <v>0</v>
      </c>
      <c r="D316" s="17">
        <v>0</v>
      </c>
      <c r="E316" s="19" t="e">
        <f t="shared" si="23"/>
        <v>#DIV/0!</v>
      </c>
    </row>
    <row r="317" spans="2:5" x14ac:dyDescent="0.25">
      <c r="B317" s="8" t="s">
        <v>8</v>
      </c>
      <c r="C317" s="17">
        <v>5.5</v>
      </c>
      <c r="D317" s="17">
        <f>3/60*14.58</f>
        <v>0.72900000000000009</v>
      </c>
      <c r="E317" s="18">
        <f t="shared" si="23"/>
        <v>0.86745454545454548</v>
      </c>
    </row>
    <row r="318" spans="2:5" x14ac:dyDescent="0.25">
      <c r="B318" s="8" t="s">
        <v>9</v>
      </c>
      <c r="C318" s="17">
        <v>0</v>
      </c>
      <c r="D318" s="17">
        <v>0</v>
      </c>
      <c r="E318" s="19" t="e">
        <f t="shared" si="23"/>
        <v>#DIV/0!</v>
      </c>
    </row>
    <row r="319" spans="2:5" x14ac:dyDescent="0.25">
      <c r="B319" s="8" t="s">
        <v>10</v>
      </c>
      <c r="C319" s="17">
        <v>22.5</v>
      </c>
      <c r="D319" s="17">
        <f>10/60*7.29</f>
        <v>1.2149999999999999</v>
      </c>
      <c r="E319" s="18">
        <f t="shared" si="23"/>
        <v>0.94599999999999995</v>
      </c>
    </row>
    <row r="325" spans="2:6" x14ac:dyDescent="0.25">
      <c r="F325" s="55"/>
    </row>
    <row r="326" spans="2:6" x14ac:dyDescent="0.25">
      <c r="F326" s="55"/>
    </row>
    <row r="327" spans="2:6" x14ac:dyDescent="0.25">
      <c r="B327" t="s">
        <v>64</v>
      </c>
      <c r="F327" s="55"/>
    </row>
    <row r="328" spans="2:6" ht="21" x14ac:dyDescent="0.25">
      <c r="B328" s="3">
        <v>42404</v>
      </c>
      <c r="C328" s="14" t="s">
        <v>2</v>
      </c>
      <c r="D328" s="14" t="s">
        <v>3</v>
      </c>
      <c r="E328" s="15" t="s">
        <v>4</v>
      </c>
      <c r="F328" s="55"/>
    </row>
    <row r="329" spans="2:6" x14ac:dyDescent="0.25">
      <c r="B329" s="5" t="s">
        <v>5</v>
      </c>
      <c r="C329" s="17">
        <v>22.33</v>
      </c>
      <c r="D329" s="17">
        <f>4/60*14.58</f>
        <v>0.97199999999999998</v>
      </c>
      <c r="E329" s="18">
        <f t="shared" ref="E329:E334" si="24">(C329-D329)/C329</f>
        <v>0.95647111509180471</v>
      </c>
      <c r="F329" s="55"/>
    </row>
    <row r="330" spans="2:6" x14ac:dyDescent="0.25">
      <c r="B330" s="8" t="s">
        <v>6</v>
      </c>
      <c r="C330" s="17">
        <v>3.96</v>
      </c>
      <c r="D330" s="17">
        <f>6/60*14.58</f>
        <v>1.4580000000000002</v>
      </c>
      <c r="E330" s="19">
        <f t="shared" si="24"/>
        <v>0.63181818181818172</v>
      </c>
      <c r="F330" s="55"/>
    </row>
    <row r="331" spans="2:6" x14ac:dyDescent="0.25">
      <c r="B331" s="8" t="s">
        <v>7</v>
      </c>
      <c r="C331" s="17">
        <v>0</v>
      </c>
      <c r="D331" s="17">
        <v>0</v>
      </c>
      <c r="E331" s="19" t="e">
        <f t="shared" si="24"/>
        <v>#DIV/0!</v>
      </c>
    </row>
    <row r="332" spans="2:6" x14ac:dyDescent="0.25">
      <c r="B332" s="8" t="s">
        <v>8</v>
      </c>
      <c r="C332" s="17">
        <v>5.5</v>
      </c>
      <c r="D332" s="17">
        <f>5/60*14.58</f>
        <v>1.2149999999999999</v>
      </c>
      <c r="E332" s="18">
        <f t="shared" si="24"/>
        <v>0.77909090909090917</v>
      </c>
    </row>
    <row r="333" spans="2:6" x14ac:dyDescent="0.25">
      <c r="B333" s="8" t="s">
        <v>9</v>
      </c>
      <c r="C333" s="17">
        <v>29</v>
      </c>
      <c r="D333" s="17">
        <f>92/60*14.58</f>
        <v>22.356000000000002</v>
      </c>
      <c r="E333" s="19">
        <f t="shared" si="24"/>
        <v>0.22910344827586201</v>
      </c>
    </row>
    <row r="334" spans="2:6" x14ac:dyDescent="0.25">
      <c r="B334" s="8" t="s">
        <v>10</v>
      </c>
      <c r="C334" s="17">
        <v>22.5</v>
      </c>
      <c r="D334" s="17">
        <f>3/60*7.29</f>
        <v>0.36450000000000005</v>
      </c>
      <c r="E334" s="18">
        <f t="shared" si="24"/>
        <v>0.98380000000000001</v>
      </c>
    </row>
    <row r="339" spans="2:6" x14ac:dyDescent="0.25">
      <c r="F339" s="55"/>
    </row>
    <row r="340" spans="2:6" x14ac:dyDescent="0.25">
      <c r="F340" s="55"/>
    </row>
    <row r="341" spans="2:6" x14ac:dyDescent="0.25">
      <c r="F341" s="55"/>
    </row>
    <row r="342" spans="2:6" x14ac:dyDescent="0.25">
      <c r="B342" t="s">
        <v>65</v>
      </c>
      <c r="F342" s="55"/>
    </row>
    <row r="343" spans="2:6" ht="21" x14ac:dyDescent="0.25">
      <c r="B343" s="3">
        <v>42404</v>
      </c>
      <c r="C343" s="14" t="s">
        <v>2</v>
      </c>
      <c r="D343" s="14" t="s">
        <v>3</v>
      </c>
      <c r="E343" s="15" t="s">
        <v>4</v>
      </c>
      <c r="F343" s="55"/>
    </row>
    <row r="344" spans="2:6" x14ac:dyDescent="0.25">
      <c r="B344" s="5" t="s">
        <v>5</v>
      </c>
      <c r="C344" s="17">
        <v>22.33</v>
      </c>
      <c r="D344" s="17">
        <f>4/60*14.58</f>
        <v>0.97199999999999998</v>
      </c>
      <c r="E344" s="18">
        <f t="shared" ref="E344:E349" si="25">(C344-D344)/C344</f>
        <v>0.95647111509180471</v>
      </c>
      <c r="F344" s="55"/>
    </row>
    <row r="345" spans="2:6" x14ac:dyDescent="0.25">
      <c r="B345" s="8" t="s">
        <v>6</v>
      </c>
      <c r="C345" s="17">
        <v>3.96</v>
      </c>
      <c r="D345" s="17">
        <f>7/60*14.58</f>
        <v>1.7010000000000001</v>
      </c>
      <c r="E345" s="19">
        <f t="shared" si="25"/>
        <v>0.57045454545454544</v>
      </c>
    </row>
    <row r="346" spans="2:6" x14ac:dyDescent="0.25">
      <c r="B346" s="8" t="s">
        <v>7</v>
      </c>
      <c r="C346" s="17">
        <v>0</v>
      </c>
      <c r="D346" s="17">
        <v>0</v>
      </c>
      <c r="E346" s="19" t="e">
        <f t="shared" si="25"/>
        <v>#DIV/0!</v>
      </c>
    </row>
    <row r="347" spans="2:6" x14ac:dyDescent="0.25">
      <c r="B347" s="8" t="s">
        <v>8</v>
      </c>
      <c r="C347" s="17">
        <v>5.5</v>
      </c>
      <c r="D347" s="17">
        <f>11/60*14.58</f>
        <v>2.673</v>
      </c>
      <c r="E347" s="18">
        <f t="shared" si="25"/>
        <v>0.51400000000000001</v>
      </c>
    </row>
    <row r="348" spans="2:6" x14ac:dyDescent="0.25">
      <c r="B348" s="8" t="s">
        <v>9</v>
      </c>
      <c r="C348" s="17">
        <v>29</v>
      </c>
      <c r="D348" s="17">
        <f>324/60*14.58</f>
        <v>78.731999999999999</v>
      </c>
      <c r="E348" s="19">
        <f t="shared" si="25"/>
        <v>-1.7148965517241379</v>
      </c>
    </row>
    <row r="349" spans="2:6" x14ac:dyDescent="0.25">
      <c r="B349" s="8" t="s">
        <v>10</v>
      </c>
      <c r="C349" s="17">
        <v>22.5</v>
      </c>
      <c r="D349" s="17">
        <f>4/60*7.29</f>
        <v>0.48599999999999999</v>
      </c>
      <c r="E349" s="18">
        <f t="shared" si="25"/>
        <v>0.97839999999999994</v>
      </c>
    </row>
    <row r="355" spans="2:5" x14ac:dyDescent="0.25">
      <c r="B355" t="s">
        <v>66</v>
      </c>
    </row>
    <row r="356" spans="2:5" ht="21" x14ac:dyDescent="0.25">
      <c r="B356" s="3">
        <v>42404</v>
      </c>
      <c r="C356" s="14" t="s">
        <v>2</v>
      </c>
      <c r="D356" s="14" t="s">
        <v>3</v>
      </c>
      <c r="E356" s="15" t="s">
        <v>4</v>
      </c>
    </row>
    <row r="357" spans="2:5" x14ac:dyDescent="0.25">
      <c r="B357" s="5" t="s">
        <v>5</v>
      </c>
      <c r="C357" s="17">
        <v>22.33</v>
      </c>
      <c r="D357" s="17">
        <f>2/60*14.58</f>
        <v>0.48599999999999999</v>
      </c>
      <c r="E357" s="18">
        <f t="shared" ref="E357:E362" si="26">(C357-D357)/C357</f>
        <v>0.9782355575459023</v>
      </c>
    </row>
    <row r="358" spans="2:5" x14ac:dyDescent="0.25">
      <c r="B358" s="8" t="s">
        <v>6</v>
      </c>
      <c r="C358" s="17">
        <v>3.96</v>
      </c>
      <c r="D358" s="17">
        <f>6/60*14.58</f>
        <v>1.4580000000000002</v>
      </c>
      <c r="E358" s="19">
        <f t="shared" si="26"/>
        <v>0.63181818181818172</v>
      </c>
    </row>
    <row r="359" spans="2:5" x14ac:dyDescent="0.25">
      <c r="B359" s="8" t="s">
        <v>7</v>
      </c>
      <c r="C359" s="17">
        <v>0</v>
      </c>
      <c r="D359" s="17">
        <v>0</v>
      </c>
      <c r="E359" s="19" t="e">
        <f t="shared" si="26"/>
        <v>#DIV/0!</v>
      </c>
    </row>
    <row r="360" spans="2:5" x14ac:dyDescent="0.25">
      <c r="B360" s="8" t="s">
        <v>8</v>
      </c>
      <c r="C360" s="17">
        <v>5.5</v>
      </c>
      <c r="D360" s="17">
        <f>0/60*14.58</f>
        <v>0</v>
      </c>
      <c r="E360" s="18">
        <f t="shared" si="26"/>
        <v>1</v>
      </c>
    </row>
    <row r="361" spans="2:5" x14ac:dyDescent="0.25">
      <c r="B361" s="8" t="s">
        <v>9</v>
      </c>
      <c r="C361" s="17">
        <v>0</v>
      </c>
      <c r="D361" s="17">
        <v>0</v>
      </c>
      <c r="E361" s="19" t="e">
        <f t="shared" si="26"/>
        <v>#DIV/0!</v>
      </c>
    </row>
    <row r="362" spans="2:5" x14ac:dyDescent="0.25">
      <c r="B362" s="8" t="s">
        <v>10</v>
      </c>
      <c r="C362" s="17">
        <v>22.5</v>
      </c>
      <c r="D362" s="17">
        <f>19/60*7.29</f>
        <v>2.3085</v>
      </c>
      <c r="E362" s="18">
        <f t="shared" si="26"/>
        <v>0.89740000000000009</v>
      </c>
    </row>
    <row r="369" spans="2:5" x14ac:dyDescent="0.25">
      <c r="B369" t="s">
        <v>67</v>
      </c>
    </row>
    <row r="370" spans="2:5" ht="21" x14ac:dyDescent="0.25">
      <c r="B370" s="3">
        <v>42404</v>
      </c>
      <c r="C370" s="14" t="s">
        <v>2</v>
      </c>
      <c r="D370" s="14" t="s">
        <v>3</v>
      </c>
      <c r="E370" s="15" t="s">
        <v>4</v>
      </c>
    </row>
    <row r="371" spans="2:5" x14ac:dyDescent="0.25">
      <c r="B371" s="5" t="s">
        <v>5</v>
      </c>
      <c r="C371" s="17">
        <v>22.33</v>
      </c>
      <c r="D371" s="17">
        <f>6/60*14.58</f>
        <v>1.4580000000000002</v>
      </c>
      <c r="E371" s="18">
        <f t="shared" ref="E371:E376" si="27">(C371-D371)/C371</f>
        <v>0.93470667263770724</v>
      </c>
    </row>
    <row r="372" spans="2:5" x14ac:dyDescent="0.25">
      <c r="B372" s="8" t="s">
        <v>6</v>
      </c>
      <c r="C372" s="17">
        <v>3.96</v>
      </c>
      <c r="D372" s="17">
        <f>1/60*14.58</f>
        <v>0.24299999999999999</v>
      </c>
      <c r="E372" s="19">
        <f t="shared" si="27"/>
        <v>0.93863636363636371</v>
      </c>
    </row>
    <row r="373" spans="2:5" x14ac:dyDescent="0.25">
      <c r="B373" s="8" t="s">
        <v>7</v>
      </c>
      <c r="C373" s="17">
        <v>0</v>
      </c>
      <c r="D373" s="17">
        <v>0</v>
      </c>
      <c r="E373" s="19" t="e">
        <f t="shared" si="27"/>
        <v>#DIV/0!</v>
      </c>
    </row>
    <row r="374" spans="2:5" x14ac:dyDescent="0.25">
      <c r="B374" s="8" t="s">
        <v>8</v>
      </c>
      <c r="C374" s="17">
        <v>5.5</v>
      </c>
      <c r="D374" s="17">
        <f>15/60*14.58</f>
        <v>3.645</v>
      </c>
      <c r="E374" s="18">
        <f t="shared" si="27"/>
        <v>0.33727272727272728</v>
      </c>
    </row>
    <row r="375" spans="2:5" x14ac:dyDescent="0.25">
      <c r="B375" s="8" t="s">
        <v>9</v>
      </c>
      <c r="C375" s="17">
        <v>0</v>
      </c>
      <c r="D375" s="17">
        <v>0</v>
      </c>
      <c r="E375" s="19" t="e">
        <f t="shared" si="27"/>
        <v>#DIV/0!</v>
      </c>
    </row>
    <row r="376" spans="2:5" x14ac:dyDescent="0.25">
      <c r="B376" s="8" t="s">
        <v>10</v>
      </c>
      <c r="C376" s="17">
        <v>22.5</v>
      </c>
      <c r="D376" s="17">
        <f>30/60*7.29</f>
        <v>3.645</v>
      </c>
      <c r="E376" s="18">
        <f t="shared" si="27"/>
        <v>0.83799999999999997</v>
      </c>
    </row>
    <row r="383" spans="2:5" x14ac:dyDescent="0.25">
      <c r="B383" t="s">
        <v>68</v>
      </c>
    </row>
    <row r="384" spans="2:5" ht="21" x14ac:dyDescent="0.25">
      <c r="B384" s="3">
        <v>42404</v>
      </c>
      <c r="C384" s="14" t="s">
        <v>2</v>
      </c>
      <c r="D384" s="14" t="s">
        <v>3</v>
      </c>
      <c r="E384" s="15" t="s">
        <v>4</v>
      </c>
    </row>
    <row r="385" spans="2:5" x14ac:dyDescent="0.25">
      <c r="B385" s="5" t="s">
        <v>5</v>
      </c>
      <c r="C385" s="17">
        <v>22.33</v>
      </c>
      <c r="D385" s="17">
        <f>1/60*14.58</f>
        <v>0.24299999999999999</v>
      </c>
      <c r="E385" s="18">
        <f t="shared" ref="E385:E390" si="28">(C385-D385)/C385</f>
        <v>0.98911777877295126</v>
      </c>
    </row>
    <row r="386" spans="2:5" x14ac:dyDescent="0.25">
      <c r="B386" s="8" t="s">
        <v>6</v>
      </c>
      <c r="C386" s="17">
        <v>3.96</v>
      </c>
      <c r="D386" s="17">
        <f>4/60*14.58</f>
        <v>0.97199999999999998</v>
      </c>
      <c r="E386" s="19">
        <f t="shared" si="28"/>
        <v>0.75454545454545452</v>
      </c>
    </row>
    <row r="387" spans="2:5" x14ac:dyDescent="0.25">
      <c r="B387" s="8" t="s">
        <v>7</v>
      </c>
      <c r="C387" s="17">
        <v>0</v>
      </c>
      <c r="D387" s="17">
        <v>0</v>
      </c>
      <c r="E387" s="19" t="e">
        <f t="shared" si="28"/>
        <v>#DIV/0!</v>
      </c>
    </row>
    <row r="388" spans="2:5" x14ac:dyDescent="0.25">
      <c r="B388" s="8" t="s">
        <v>8</v>
      </c>
      <c r="C388" s="17">
        <v>5.5</v>
      </c>
      <c r="D388" s="17">
        <f>0/60*14.58</f>
        <v>0</v>
      </c>
      <c r="E388" s="18">
        <f t="shared" si="28"/>
        <v>1</v>
      </c>
    </row>
    <row r="389" spans="2:5" x14ac:dyDescent="0.25">
      <c r="B389" s="8" t="s">
        <v>9</v>
      </c>
      <c r="C389" s="17">
        <v>0</v>
      </c>
      <c r="D389" s="17">
        <v>0</v>
      </c>
      <c r="E389" s="19" t="e">
        <f t="shared" si="28"/>
        <v>#DIV/0!</v>
      </c>
    </row>
    <row r="390" spans="2:5" x14ac:dyDescent="0.25">
      <c r="B390" s="8" t="s">
        <v>10</v>
      </c>
      <c r="C390" s="17">
        <v>22.5</v>
      </c>
      <c r="D390" s="17">
        <f>17/60*7.29</f>
        <v>2.0655000000000001</v>
      </c>
      <c r="E390" s="18">
        <f t="shared" si="28"/>
        <v>0.90820000000000001</v>
      </c>
    </row>
    <row r="397" spans="2:5" x14ac:dyDescent="0.25">
      <c r="B397" t="s">
        <v>69</v>
      </c>
    </row>
    <row r="398" spans="2:5" ht="21" x14ac:dyDescent="0.25">
      <c r="B398" s="3">
        <v>42404</v>
      </c>
      <c r="C398" s="14" t="s">
        <v>2</v>
      </c>
      <c r="D398" s="14" t="s">
        <v>3</v>
      </c>
      <c r="E398" s="15" t="s">
        <v>4</v>
      </c>
    </row>
    <row r="399" spans="2:5" x14ac:dyDescent="0.25">
      <c r="B399" s="5" t="s">
        <v>5</v>
      </c>
      <c r="C399" s="17">
        <v>22.33</v>
      </c>
      <c r="D399" s="17">
        <f>6/60*14.58</f>
        <v>1.4580000000000002</v>
      </c>
      <c r="E399" s="18">
        <f t="shared" ref="E399:E404" si="29">(C399-D399)/C399</f>
        <v>0.93470667263770724</v>
      </c>
    </row>
    <row r="400" spans="2:5" x14ac:dyDescent="0.25">
      <c r="B400" s="8" t="s">
        <v>6</v>
      </c>
      <c r="C400" s="17">
        <v>3.96</v>
      </c>
      <c r="D400" s="17">
        <f>14/60*14.58</f>
        <v>3.4020000000000001</v>
      </c>
      <c r="E400" s="19">
        <f t="shared" si="29"/>
        <v>0.14090909090909087</v>
      </c>
    </row>
    <row r="401" spans="2:5" x14ac:dyDescent="0.25">
      <c r="B401" s="8" t="s">
        <v>7</v>
      </c>
      <c r="C401" s="17">
        <v>19.399999999999999</v>
      </c>
      <c r="D401" s="17">
        <f>45/60*14.58</f>
        <v>10.935</v>
      </c>
      <c r="E401" s="19">
        <f t="shared" si="29"/>
        <v>0.43634020618556696</v>
      </c>
    </row>
    <row r="402" spans="2:5" x14ac:dyDescent="0.25">
      <c r="B402" s="8" t="s">
        <v>8</v>
      </c>
      <c r="C402" s="17">
        <v>5.5</v>
      </c>
      <c r="D402" s="17">
        <f>7/60*14.58</f>
        <v>1.7010000000000001</v>
      </c>
      <c r="E402" s="18">
        <f t="shared" si="29"/>
        <v>0.69072727272727275</v>
      </c>
    </row>
    <row r="403" spans="2:5" x14ac:dyDescent="0.25">
      <c r="B403" s="8" t="s">
        <v>9</v>
      </c>
      <c r="C403" s="17">
        <v>0</v>
      </c>
      <c r="D403" s="17">
        <v>0</v>
      </c>
      <c r="E403" s="19" t="e">
        <f t="shared" si="29"/>
        <v>#DIV/0!</v>
      </c>
    </row>
    <row r="404" spans="2:5" x14ac:dyDescent="0.25">
      <c r="B404" s="8" t="s">
        <v>10</v>
      </c>
      <c r="C404" s="17">
        <v>22.5</v>
      </c>
      <c r="D404" s="17">
        <f>16/60*7.29</f>
        <v>1.944</v>
      </c>
      <c r="E404" s="18">
        <f t="shared" si="29"/>
        <v>0.91360000000000008</v>
      </c>
    </row>
    <row r="410" spans="2:5" x14ac:dyDescent="0.25">
      <c r="B410" t="s">
        <v>70</v>
      </c>
    </row>
    <row r="411" spans="2:5" ht="21" x14ac:dyDescent="0.25">
      <c r="B411" s="3">
        <v>42404</v>
      </c>
      <c r="C411" s="14" t="s">
        <v>2</v>
      </c>
      <c r="D411" s="14" t="s">
        <v>3</v>
      </c>
      <c r="E411" s="15" t="s">
        <v>4</v>
      </c>
    </row>
    <row r="412" spans="2:5" x14ac:dyDescent="0.25">
      <c r="B412" s="5" t="s">
        <v>5</v>
      </c>
      <c r="C412" s="17">
        <v>22.33</v>
      </c>
      <c r="D412" s="17">
        <f>10/60*14.58</f>
        <v>2.4299999999999997</v>
      </c>
      <c r="E412" s="18">
        <f t="shared" ref="E412:E417" si="30">(C412-D412)/C412</f>
        <v>0.89117778772951184</v>
      </c>
    </row>
    <row r="413" spans="2:5" x14ac:dyDescent="0.25">
      <c r="B413" s="8" t="s">
        <v>6</v>
      </c>
      <c r="C413" s="17">
        <v>3.96</v>
      </c>
      <c r="D413" s="17">
        <f>5/60*14.58</f>
        <v>1.2149999999999999</v>
      </c>
      <c r="E413" s="19">
        <f t="shared" si="30"/>
        <v>0.69318181818181823</v>
      </c>
    </row>
    <row r="414" spans="2:5" x14ac:dyDescent="0.25">
      <c r="B414" s="8" t="s">
        <v>7</v>
      </c>
      <c r="C414" s="17">
        <v>0</v>
      </c>
      <c r="D414" s="17">
        <v>0</v>
      </c>
      <c r="E414" s="19" t="e">
        <f t="shared" si="30"/>
        <v>#DIV/0!</v>
      </c>
    </row>
    <row r="415" spans="2:5" x14ac:dyDescent="0.25">
      <c r="B415" s="8" t="s">
        <v>8</v>
      </c>
      <c r="C415" s="17">
        <v>5.5</v>
      </c>
      <c r="D415" s="17">
        <f>4/60*14.58</f>
        <v>0.97199999999999998</v>
      </c>
      <c r="E415" s="18">
        <f t="shared" si="30"/>
        <v>0.82327272727272738</v>
      </c>
    </row>
    <row r="416" spans="2:5" x14ac:dyDescent="0.25">
      <c r="B416" s="8" t="s">
        <v>9</v>
      </c>
      <c r="C416" s="17">
        <v>29</v>
      </c>
      <c r="D416" s="17">
        <f>86/60*14.58</f>
        <v>20.898</v>
      </c>
      <c r="E416" s="19">
        <f t="shared" si="30"/>
        <v>0.2793793103448276</v>
      </c>
    </row>
    <row r="417" spans="2:5" x14ac:dyDescent="0.25">
      <c r="B417" s="8" t="s">
        <v>10</v>
      </c>
      <c r="C417" s="17">
        <v>22.5</v>
      </c>
      <c r="D417" s="17">
        <f>4/60*7.29</f>
        <v>0.48599999999999999</v>
      </c>
      <c r="E417" s="18">
        <f t="shared" si="30"/>
        <v>0.97839999999999994</v>
      </c>
    </row>
    <row r="424" spans="2:5" x14ac:dyDescent="0.25">
      <c r="B424" t="s">
        <v>71</v>
      </c>
    </row>
    <row r="425" spans="2:5" ht="21" x14ac:dyDescent="0.25">
      <c r="B425" s="3">
        <v>42404</v>
      </c>
      <c r="C425" s="14" t="s">
        <v>2</v>
      </c>
      <c r="D425" s="14" t="s">
        <v>3</v>
      </c>
      <c r="E425" s="15" t="s">
        <v>4</v>
      </c>
    </row>
    <row r="426" spans="2:5" x14ac:dyDescent="0.25">
      <c r="B426" s="5" t="s">
        <v>5</v>
      </c>
      <c r="C426" s="17">
        <v>22.33</v>
      </c>
      <c r="D426" s="17">
        <f>4/60*14.58</f>
        <v>0.97199999999999998</v>
      </c>
      <c r="E426" s="18">
        <f t="shared" ref="E426:E431" si="31">(C426-D426)/C426</f>
        <v>0.95647111509180471</v>
      </c>
    </row>
    <row r="427" spans="2:5" x14ac:dyDescent="0.25">
      <c r="B427" s="8" t="s">
        <v>6</v>
      </c>
      <c r="C427" s="17">
        <v>3.96</v>
      </c>
      <c r="D427" s="17">
        <f>4/60*14.58</f>
        <v>0.97199999999999998</v>
      </c>
      <c r="E427" s="19">
        <f t="shared" si="31"/>
        <v>0.75454545454545452</v>
      </c>
    </row>
    <row r="428" spans="2:5" x14ac:dyDescent="0.25">
      <c r="B428" s="8" t="s">
        <v>7</v>
      </c>
      <c r="C428" s="17">
        <v>0</v>
      </c>
      <c r="D428" s="17">
        <v>0</v>
      </c>
      <c r="E428" s="19" t="e">
        <f t="shared" si="31"/>
        <v>#DIV/0!</v>
      </c>
    </row>
    <row r="429" spans="2:5" x14ac:dyDescent="0.25">
      <c r="B429" s="8" t="s">
        <v>8</v>
      </c>
      <c r="C429" s="17">
        <v>5.5</v>
      </c>
      <c r="D429" s="17">
        <f>5/60*14.58</f>
        <v>1.2149999999999999</v>
      </c>
      <c r="E429" s="18">
        <f t="shared" si="31"/>
        <v>0.77909090909090917</v>
      </c>
    </row>
    <row r="430" spans="2:5" x14ac:dyDescent="0.25">
      <c r="B430" s="8" t="s">
        <v>9</v>
      </c>
      <c r="C430" s="17">
        <v>0</v>
      </c>
      <c r="D430" s="17">
        <v>0</v>
      </c>
      <c r="E430" s="19" t="e">
        <f t="shared" si="31"/>
        <v>#DIV/0!</v>
      </c>
    </row>
    <row r="431" spans="2:5" x14ac:dyDescent="0.25">
      <c r="B431" s="8" t="s">
        <v>10</v>
      </c>
      <c r="C431" s="17">
        <v>22.5</v>
      </c>
      <c r="D431" s="17">
        <f>124/60*7.29</f>
        <v>15.066000000000001</v>
      </c>
      <c r="E431" s="18">
        <f t="shared" si="31"/>
        <v>0.33039999999999997</v>
      </c>
    </row>
    <row r="438" spans="2:5" x14ac:dyDescent="0.25">
      <c r="B438" t="s">
        <v>72</v>
      </c>
    </row>
    <row r="439" spans="2:5" ht="21" x14ac:dyDescent="0.25">
      <c r="B439" s="3">
        <v>42404</v>
      </c>
      <c r="C439" s="14" t="s">
        <v>2</v>
      </c>
      <c r="D439" s="14" t="s">
        <v>3</v>
      </c>
      <c r="E439" s="15" t="s">
        <v>4</v>
      </c>
    </row>
    <row r="440" spans="2:5" x14ac:dyDescent="0.25">
      <c r="B440" s="5" t="s">
        <v>5</v>
      </c>
      <c r="C440" s="17">
        <v>22.33</v>
      </c>
      <c r="D440" s="17">
        <f>4/60*14.58</f>
        <v>0.97199999999999998</v>
      </c>
      <c r="E440" s="18">
        <f t="shared" ref="E440:E445" si="32">(C440-D440)/C440</f>
        <v>0.95647111509180471</v>
      </c>
    </row>
    <row r="441" spans="2:5" x14ac:dyDescent="0.25">
      <c r="B441" s="8" t="s">
        <v>6</v>
      </c>
      <c r="C441" s="17">
        <v>3.96</v>
      </c>
      <c r="D441" s="17">
        <f>4/60*14.58</f>
        <v>0.97199999999999998</v>
      </c>
      <c r="E441" s="19">
        <f t="shared" si="32"/>
        <v>0.75454545454545452</v>
      </c>
    </row>
    <row r="442" spans="2:5" x14ac:dyDescent="0.25">
      <c r="B442" s="8" t="s">
        <v>7</v>
      </c>
      <c r="C442" s="17">
        <v>0</v>
      </c>
      <c r="D442" s="17">
        <v>0</v>
      </c>
      <c r="E442" s="19" t="e">
        <f t="shared" si="32"/>
        <v>#DIV/0!</v>
      </c>
    </row>
    <row r="443" spans="2:5" x14ac:dyDescent="0.25">
      <c r="B443" s="8" t="s">
        <v>8</v>
      </c>
      <c r="C443" s="17">
        <v>5.5</v>
      </c>
      <c r="D443" s="17">
        <f>0/60*14.58</f>
        <v>0</v>
      </c>
      <c r="E443" s="18">
        <f t="shared" si="32"/>
        <v>1</v>
      </c>
    </row>
    <row r="444" spans="2:5" x14ac:dyDescent="0.25">
      <c r="B444" s="8" t="s">
        <v>9</v>
      </c>
      <c r="C444" s="17">
        <v>29</v>
      </c>
      <c r="D444" s="17">
        <f>53/60*14.58</f>
        <v>12.879</v>
      </c>
      <c r="E444" s="19">
        <f t="shared" si="32"/>
        <v>0.55589655172413799</v>
      </c>
    </row>
    <row r="445" spans="2:5" x14ac:dyDescent="0.25">
      <c r="B445" s="8" t="s">
        <v>10</v>
      </c>
      <c r="C445" s="17">
        <v>22.5</v>
      </c>
      <c r="D445" s="17">
        <f>4/60*7.29</f>
        <v>0.48599999999999999</v>
      </c>
      <c r="E445" s="18">
        <f t="shared" si="32"/>
        <v>0.97839999999999994</v>
      </c>
    </row>
    <row r="452" spans="2:5" x14ac:dyDescent="0.25">
      <c r="B452" t="s">
        <v>73</v>
      </c>
    </row>
    <row r="453" spans="2:5" ht="21" x14ac:dyDescent="0.25">
      <c r="B453" s="3">
        <v>42404</v>
      </c>
      <c r="C453" s="14" t="s">
        <v>2</v>
      </c>
      <c r="D453" s="14" t="s">
        <v>3</v>
      </c>
      <c r="E453" s="15" t="s">
        <v>4</v>
      </c>
    </row>
    <row r="454" spans="2:5" x14ac:dyDescent="0.25">
      <c r="B454" s="5" t="s">
        <v>5</v>
      </c>
      <c r="C454" s="17">
        <v>22.33</v>
      </c>
      <c r="D454" s="17">
        <f>5/60*14.58</f>
        <v>1.2149999999999999</v>
      </c>
      <c r="E454" s="18">
        <f t="shared" ref="E454:E459" si="33">(C454-D454)/C454</f>
        <v>0.94558889386475597</v>
      </c>
    </row>
    <row r="455" spans="2:5" x14ac:dyDescent="0.25">
      <c r="B455" s="8" t="s">
        <v>6</v>
      </c>
      <c r="C455" s="17">
        <v>3.96</v>
      </c>
      <c r="D455" s="17">
        <f>5/60*14.58</f>
        <v>1.2149999999999999</v>
      </c>
      <c r="E455" s="19">
        <f t="shared" si="33"/>
        <v>0.69318181818181823</v>
      </c>
    </row>
    <row r="456" spans="2:5" x14ac:dyDescent="0.25">
      <c r="B456" s="8" t="s">
        <v>7</v>
      </c>
      <c r="C456" s="17">
        <v>0</v>
      </c>
      <c r="D456" s="17">
        <v>0</v>
      </c>
      <c r="E456" s="19" t="e">
        <f t="shared" si="33"/>
        <v>#DIV/0!</v>
      </c>
    </row>
    <row r="457" spans="2:5" x14ac:dyDescent="0.25">
      <c r="B457" s="8" t="s">
        <v>8</v>
      </c>
      <c r="C457" s="17">
        <v>5.5</v>
      </c>
      <c r="D457" s="17">
        <f>5/60*14.58</f>
        <v>1.2149999999999999</v>
      </c>
      <c r="E457" s="18">
        <f t="shared" si="33"/>
        <v>0.77909090909090917</v>
      </c>
    </row>
    <row r="458" spans="2:5" x14ac:dyDescent="0.25">
      <c r="B458" s="8" t="s">
        <v>9</v>
      </c>
      <c r="C458" s="17">
        <v>0</v>
      </c>
      <c r="D458" s="17">
        <v>0</v>
      </c>
      <c r="E458" s="19" t="e">
        <f t="shared" si="33"/>
        <v>#DIV/0!</v>
      </c>
    </row>
    <row r="459" spans="2:5" x14ac:dyDescent="0.25">
      <c r="B459" s="8" t="s">
        <v>10</v>
      </c>
      <c r="C459" s="17">
        <v>22.5</v>
      </c>
      <c r="D459" s="17">
        <f>18/60*7.29</f>
        <v>2.1869999999999998</v>
      </c>
      <c r="E459" s="18">
        <f t="shared" si="33"/>
        <v>0.90279999999999994</v>
      </c>
    </row>
    <row r="466" spans="2:5" x14ac:dyDescent="0.25">
      <c r="B466" t="s">
        <v>74</v>
      </c>
    </row>
    <row r="467" spans="2:5" ht="21" x14ac:dyDescent="0.25">
      <c r="B467" s="3">
        <v>42404</v>
      </c>
      <c r="C467" s="14" t="s">
        <v>2</v>
      </c>
      <c r="D467" s="14" t="s">
        <v>3</v>
      </c>
      <c r="E467" s="15" t="s">
        <v>4</v>
      </c>
    </row>
    <row r="468" spans="2:5" x14ac:dyDescent="0.25">
      <c r="B468" s="5" t="s">
        <v>5</v>
      </c>
      <c r="C468" s="17">
        <v>22.33</v>
      </c>
      <c r="D468" s="17">
        <f>4/60*14.58</f>
        <v>0.97199999999999998</v>
      </c>
      <c r="E468" s="18">
        <f t="shared" ref="E468:E473" si="34">(C468-D468)/C468</f>
        <v>0.95647111509180471</v>
      </c>
    </row>
    <row r="469" spans="2:5" x14ac:dyDescent="0.25">
      <c r="B469" s="8" t="s">
        <v>6</v>
      </c>
      <c r="C469" s="17">
        <v>3.96</v>
      </c>
      <c r="D469" s="17">
        <f>6/60*14.58</f>
        <v>1.4580000000000002</v>
      </c>
      <c r="E469" s="19">
        <f t="shared" si="34"/>
        <v>0.63181818181818172</v>
      </c>
    </row>
    <row r="470" spans="2:5" x14ac:dyDescent="0.25">
      <c r="B470" s="8" t="s">
        <v>7</v>
      </c>
      <c r="C470" s="17">
        <v>0</v>
      </c>
      <c r="D470" s="17">
        <v>0</v>
      </c>
      <c r="E470" s="19" t="e">
        <f t="shared" si="34"/>
        <v>#DIV/0!</v>
      </c>
    </row>
    <row r="471" spans="2:5" x14ac:dyDescent="0.25">
      <c r="B471" s="8" t="s">
        <v>8</v>
      </c>
      <c r="C471" s="17">
        <v>5.5</v>
      </c>
      <c r="D471" s="17">
        <f>3/60*14.58</f>
        <v>0.72900000000000009</v>
      </c>
      <c r="E471" s="18">
        <f t="shared" si="34"/>
        <v>0.86745454545454548</v>
      </c>
    </row>
    <row r="472" spans="2:5" x14ac:dyDescent="0.25">
      <c r="B472" s="8" t="s">
        <v>9</v>
      </c>
      <c r="C472" s="17">
        <v>29</v>
      </c>
      <c r="D472" s="17">
        <f>105/60*14.58</f>
        <v>25.515000000000001</v>
      </c>
      <c r="E472" s="19">
        <f t="shared" si="34"/>
        <v>0.12017241379310342</v>
      </c>
    </row>
    <row r="473" spans="2:5" x14ac:dyDescent="0.25">
      <c r="B473" s="8" t="s">
        <v>10</v>
      </c>
      <c r="C473" s="17">
        <v>22.5</v>
      </c>
      <c r="D473" s="17">
        <f>13/60*7.29</f>
        <v>1.5795000000000001</v>
      </c>
      <c r="E473" s="18">
        <f t="shared" si="34"/>
        <v>0.92980000000000007</v>
      </c>
    </row>
    <row r="480" spans="2:5" x14ac:dyDescent="0.25">
      <c r="B480" t="s">
        <v>75</v>
      </c>
    </row>
    <row r="481" spans="2:5" ht="21" x14ac:dyDescent="0.25">
      <c r="B481" s="3">
        <v>42404</v>
      </c>
      <c r="C481" s="14" t="s">
        <v>2</v>
      </c>
      <c r="D481" s="14" t="s">
        <v>3</v>
      </c>
      <c r="E481" s="15" t="s">
        <v>4</v>
      </c>
    </row>
    <row r="482" spans="2:5" x14ac:dyDescent="0.25">
      <c r="B482" s="5" t="s">
        <v>5</v>
      </c>
      <c r="C482" s="17">
        <v>22.33</v>
      </c>
      <c r="D482" s="17">
        <f>4/60*14.58</f>
        <v>0.97199999999999998</v>
      </c>
      <c r="E482" s="18">
        <f t="shared" ref="E482:E487" si="35">(C482-D482)/C482</f>
        <v>0.95647111509180471</v>
      </c>
    </row>
    <row r="483" spans="2:5" x14ac:dyDescent="0.25">
      <c r="B483" s="8" t="s">
        <v>6</v>
      </c>
      <c r="C483" s="17">
        <v>3.96</v>
      </c>
      <c r="D483" s="17">
        <f>6/60*14.58</f>
        <v>1.4580000000000002</v>
      </c>
      <c r="E483" s="19">
        <f t="shared" si="35"/>
        <v>0.63181818181818172</v>
      </c>
    </row>
    <row r="484" spans="2:5" x14ac:dyDescent="0.25">
      <c r="B484" s="8" t="s">
        <v>7</v>
      </c>
      <c r="C484" s="17">
        <v>0</v>
      </c>
      <c r="D484" s="17">
        <v>0</v>
      </c>
      <c r="E484" s="19" t="e">
        <f t="shared" si="35"/>
        <v>#DIV/0!</v>
      </c>
    </row>
    <row r="485" spans="2:5" x14ac:dyDescent="0.25">
      <c r="B485" s="8" t="s">
        <v>8</v>
      </c>
      <c r="C485" s="17">
        <v>5.5</v>
      </c>
      <c r="D485" s="17">
        <f>6/60*14.58</f>
        <v>1.4580000000000002</v>
      </c>
      <c r="E485" s="18">
        <f t="shared" si="35"/>
        <v>0.73490909090909085</v>
      </c>
    </row>
    <row r="486" spans="2:5" x14ac:dyDescent="0.25">
      <c r="B486" s="8" t="s">
        <v>9</v>
      </c>
      <c r="C486" s="17">
        <v>0</v>
      </c>
      <c r="D486" s="17">
        <v>0</v>
      </c>
      <c r="E486" s="19" t="e">
        <f t="shared" si="35"/>
        <v>#DIV/0!</v>
      </c>
    </row>
    <row r="487" spans="2:5" x14ac:dyDescent="0.25">
      <c r="B487" s="8" t="s">
        <v>10</v>
      </c>
      <c r="C487" s="17">
        <v>22.5</v>
      </c>
      <c r="D487" s="17">
        <f>3/60*7.29</f>
        <v>0.36450000000000005</v>
      </c>
      <c r="E487" s="18">
        <f t="shared" si="35"/>
        <v>0.98380000000000001</v>
      </c>
    </row>
    <row r="494" spans="2:5" x14ac:dyDescent="0.25">
      <c r="B494" t="s">
        <v>76</v>
      </c>
    </row>
    <row r="495" spans="2:5" ht="21" x14ac:dyDescent="0.25">
      <c r="B495" s="3">
        <v>42404</v>
      </c>
      <c r="C495" s="14" t="s">
        <v>2</v>
      </c>
      <c r="D495" s="14" t="s">
        <v>3</v>
      </c>
      <c r="E495" s="15" t="s">
        <v>4</v>
      </c>
    </row>
    <row r="496" spans="2:5" x14ac:dyDescent="0.25">
      <c r="B496" s="5" t="s">
        <v>5</v>
      </c>
      <c r="C496" s="17">
        <v>22.33</v>
      </c>
      <c r="D496" s="17">
        <f>98/60*14.58</f>
        <v>23.814</v>
      </c>
      <c r="E496" s="18">
        <f t="shared" ref="E496:E501" si="36">(C496-D496)/C496</f>
        <v>-6.6457680250783788E-2</v>
      </c>
    </row>
    <row r="497" spans="2:6" x14ac:dyDescent="0.25">
      <c r="B497" s="8" t="s">
        <v>6</v>
      </c>
      <c r="C497" s="17">
        <v>3.96</v>
      </c>
      <c r="D497" s="17">
        <f>10/60*14.58</f>
        <v>2.4299999999999997</v>
      </c>
      <c r="E497" s="19">
        <f t="shared" si="36"/>
        <v>0.38636363636363641</v>
      </c>
    </row>
    <row r="498" spans="2:6" x14ac:dyDescent="0.25">
      <c r="B498" s="8" t="s">
        <v>7</v>
      </c>
      <c r="C498" s="17">
        <v>19.399999999999999</v>
      </c>
      <c r="D498" s="17">
        <f>212/60*14.58</f>
        <v>51.515999999999998</v>
      </c>
      <c r="E498" s="19">
        <f t="shared" si="36"/>
        <v>-1.6554639175257733</v>
      </c>
    </row>
    <row r="499" spans="2:6" x14ac:dyDescent="0.25">
      <c r="B499" s="8" t="s">
        <v>8</v>
      </c>
      <c r="C499" s="17">
        <v>5.5</v>
      </c>
      <c r="D499" s="17">
        <f>0/60*14.58</f>
        <v>0</v>
      </c>
      <c r="E499" s="18">
        <f t="shared" si="36"/>
        <v>1</v>
      </c>
    </row>
    <row r="500" spans="2:6" x14ac:dyDescent="0.25">
      <c r="B500" s="8" t="s">
        <v>9</v>
      </c>
      <c r="C500" s="17">
        <v>0</v>
      </c>
      <c r="D500" s="17">
        <v>0</v>
      </c>
      <c r="E500" s="19" t="e">
        <f t="shared" si="36"/>
        <v>#DIV/0!</v>
      </c>
    </row>
    <row r="501" spans="2:6" x14ac:dyDescent="0.25">
      <c r="B501" s="8" t="s">
        <v>10</v>
      </c>
      <c r="C501" s="17">
        <v>22.5</v>
      </c>
      <c r="D501" s="17">
        <f>3/60*7.29</f>
        <v>0.36450000000000005</v>
      </c>
      <c r="E501" s="18">
        <f t="shared" si="36"/>
        <v>0.98380000000000001</v>
      </c>
    </row>
    <row r="505" spans="2:6" s="52" customFormat="1" x14ac:dyDescent="0.25">
      <c r="F505"/>
    </row>
    <row r="510" spans="2:6" ht="21" x14ac:dyDescent="0.25">
      <c r="B510" s="3">
        <v>42404</v>
      </c>
      <c r="C510" s="14" t="s">
        <v>2</v>
      </c>
      <c r="D510" s="14" t="s">
        <v>3</v>
      </c>
      <c r="E510" s="15" t="s">
        <v>4</v>
      </c>
    </row>
    <row r="511" spans="2:6" x14ac:dyDescent="0.25">
      <c r="B511" s="5" t="s">
        <v>5</v>
      </c>
      <c r="C511" s="17">
        <v>22.33</v>
      </c>
      <c r="D511" s="17">
        <f>605/60*14.58</f>
        <v>147.01500000000001</v>
      </c>
      <c r="E511" s="18">
        <f t="shared" ref="E511:E516" si="37">(C511-D511)/C511</f>
        <v>-5.5837438423645329</v>
      </c>
    </row>
    <row r="512" spans="2:6" x14ac:dyDescent="0.25">
      <c r="B512" s="8" t="s">
        <v>6</v>
      </c>
      <c r="C512" s="17">
        <v>3.96</v>
      </c>
      <c r="D512" s="17">
        <f>4/60*14.58</f>
        <v>0.97199999999999998</v>
      </c>
      <c r="E512" s="19">
        <f t="shared" si="37"/>
        <v>0.75454545454545452</v>
      </c>
    </row>
    <row r="513" spans="2:5" x14ac:dyDescent="0.25">
      <c r="B513" s="8" t="s">
        <v>7</v>
      </c>
      <c r="C513" s="17">
        <v>19.399999999999999</v>
      </c>
      <c r="D513" s="17">
        <f>79/60*14.58</f>
        <v>19.196999999999999</v>
      </c>
      <c r="E513" s="19">
        <f t="shared" si="37"/>
        <v>1.0463917525773166E-2</v>
      </c>
    </row>
    <row r="514" spans="2:5" x14ac:dyDescent="0.25">
      <c r="B514" s="8" t="s">
        <v>8</v>
      </c>
      <c r="C514" s="17">
        <v>5.5</v>
      </c>
      <c r="D514" s="17">
        <f>12/60*14.58</f>
        <v>2.9160000000000004</v>
      </c>
      <c r="E514" s="18">
        <f t="shared" si="37"/>
        <v>0.46981818181818175</v>
      </c>
    </row>
    <row r="515" spans="2:5" x14ac:dyDescent="0.25">
      <c r="B515" s="8" t="s">
        <v>9</v>
      </c>
      <c r="C515" s="17">
        <v>29</v>
      </c>
      <c r="D515" s="17">
        <v>0</v>
      </c>
      <c r="E515" s="19">
        <f t="shared" si="37"/>
        <v>1</v>
      </c>
    </row>
    <row r="516" spans="2:5" x14ac:dyDescent="0.25">
      <c r="B516" s="8" t="s">
        <v>10</v>
      </c>
      <c r="C516" s="17">
        <v>22.5</v>
      </c>
      <c r="D516" s="17">
        <f>18/60*7.29</f>
        <v>2.1869999999999998</v>
      </c>
      <c r="E516" s="18">
        <f t="shared" si="37"/>
        <v>0.90279999999999994</v>
      </c>
    </row>
    <row r="525" spans="2:5" ht="21" x14ac:dyDescent="0.25">
      <c r="B525" s="3">
        <v>42404</v>
      </c>
      <c r="C525" s="14" t="s">
        <v>2</v>
      </c>
      <c r="D525" s="14" t="s">
        <v>3</v>
      </c>
      <c r="E525" s="15" t="s">
        <v>4</v>
      </c>
    </row>
    <row r="526" spans="2:5" x14ac:dyDescent="0.25">
      <c r="B526" s="5" t="s">
        <v>5</v>
      </c>
      <c r="C526" s="17">
        <v>22.33</v>
      </c>
      <c r="D526" s="17">
        <f>605/60*14.58</f>
        <v>147.01500000000001</v>
      </c>
      <c r="E526" s="18">
        <f t="shared" ref="E526:E531" si="38">(C526-D526)/C526</f>
        <v>-5.5837438423645329</v>
      </c>
    </row>
    <row r="527" spans="2:5" x14ac:dyDescent="0.25">
      <c r="B527" s="8" t="s">
        <v>6</v>
      </c>
      <c r="C527" s="17">
        <v>3.96</v>
      </c>
      <c r="D527" s="17">
        <f>4/60*14.58</f>
        <v>0.97199999999999998</v>
      </c>
      <c r="E527" s="19">
        <f t="shared" si="38"/>
        <v>0.75454545454545452</v>
      </c>
    </row>
    <row r="528" spans="2:5" x14ac:dyDescent="0.25">
      <c r="B528" s="8" t="s">
        <v>7</v>
      </c>
      <c r="C528" s="17">
        <v>19.399999999999999</v>
      </c>
      <c r="D528" s="17">
        <f>79/60*14.58</f>
        <v>19.196999999999999</v>
      </c>
      <c r="E528" s="19">
        <f t="shared" si="38"/>
        <v>1.0463917525773166E-2</v>
      </c>
    </row>
    <row r="529" spans="2:5" x14ac:dyDescent="0.25">
      <c r="B529" s="8" t="s">
        <v>8</v>
      </c>
      <c r="C529" s="17">
        <v>5.5</v>
      </c>
      <c r="D529" s="17">
        <f>12/60*14.58</f>
        <v>2.9160000000000004</v>
      </c>
      <c r="E529" s="18">
        <f t="shared" si="38"/>
        <v>0.46981818181818175</v>
      </c>
    </row>
    <row r="530" spans="2:5" x14ac:dyDescent="0.25">
      <c r="B530" s="8" t="s">
        <v>9</v>
      </c>
      <c r="C530" s="17">
        <v>29</v>
      </c>
      <c r="D530" s="17">
        <v>0</v>
      </c>
      <c r="E530" s="19">
        <f t="shared" si="38"/>
        <v>1</v>
      </c>
    </row>
    <row r="531" spans="2:5" x14ac:dyDescent="0.25">
      <c r="B531" s="8" t="s">
        <v>10</v>
      </c>
      <c r="C531" s="17">
        <v>22.5</v>
      </c>
      <c r="D531" s="17">
        <f>18/60*7.29</f>
        <v>2.1869999999999998</v>
      </c>
      <c r="E531" s="18">
        <f t="shared" si="38"/>
        <v>0.90279999999999994</v>
      </c>
    </row>
    <row r="539" spans="2:5" ht="21" x14ac:dyDescent="0.25">
      <c r="B539" s="3">
        <v>42404</v>
      </c>
      <c r="C539" s="14" t="s">
        <v>2</v>
      </c>
      <c r="D539" s="14" t="s">
        <v>3</v>
      </c>
      <c r="E539" s="15" t="s">
        <v>4</v>
      </c>
    </row>
    <row r="540" spans="2:5" x14ac:dyDescent="0.25">
      <c r="B540" s="5" t="s">
        <v>5</v>
      </c>
      <c r="C540" s="17">
        <v>22.33</v>
      </c>
      <c r="D540" s="17">
        <f>605/60*14.58</f>
        <v>147.01500000000001</v>
      </c>
      <c r="E540" s="18">
        <f t="shared" ref="E540:E545" si="39">(C540-D540)/C540</f>
        <v>-5.5837438423645329</v>
      </c>
    </row>
    <row r="541" spans="2:5" x14ac:dyDescent="0.25">
      <c r="B541" s="8" t="s">
        <v>6</v>
      </c>
      <c r="C541" s="17">
        <v>3.96</v>
      </c>
      <c r="D541" s="17">
        <f>4/60*14.58</f>
        <v>0.97199999999999998</v>
      </c>
      <c r="E541" s="19">
        <f t="shared" si="39"/>
        <v>0.75454545454545452</v>
      </c>
    </row>
    <row r="542" spans="2:5" x14ac:dyDescent="0.25">
      <c r="B542" s="8" t="s">
        <v>7</v>
      </c>
      <c r="C542" s="17">
        <v>19.399999999999999</v>
      </c>
      <c r="D542" s="17">
        <f>79/60*14.58</f>
        <v>19.196999999999999</v>
      </c>
      <c r="E542" s="19">
        <f t="shared" si="39"/>
        <v>1.0463917525773166E-2</v>
      </c>
    </row>
    <row r="543" spans="2:5" x14ac:dyDescent="0.25">
      <c r="B543" s="8" t="s">
        <v>8</v>
      </c>
      <c r="C543" s="17">
        <v>5.5</v>
      </c>
      <c r="D543" s="17">
        <f>12/60*14.58</f>
        <v>2.9160000000000004</v>
      </c>
      <c r="E543" s="18">
        <f t="shared" si="39"/>
        <v>0.46981818181818175</v>
      </c>
    </row>
    <row r="544" spans="2:5" x14ac:dyDescent="0.25">
      <c r="B544" s="8" t="s">
        <v>9</v>
      </c>
      <c r="C544" s="17">
        <v>29</v>
      </c>
      <c r="D544" s="17">
        <v>0</v>
      </c>
      <c r="E544" s="19">
        <f t="shared" si="39"/>
        <v>1</v>
      </c>
    </row>
    <row r="545" spans="2:5" x14ac:dyDescent="0.25">
      <c r="B545" s="8" t="s">
        <v>10</v>
      </c>
      <c r="C545" s="17">
        <v>22.5</v>
      </c>
      <c r="D545" s="17">
        <f>18/60*7.29</f>
        <v>2.1869999999999998</v>
      </c>
      <c r="E545" s="18">
        <f t="shared" si="39"/>
        <v>0.90279999999999994</v>
      </c>
    </row>
    <row r="553" spans="2:5" ht="21" x14ac:dyDescent="0.25">
      <c r="B553" s="3">
        <v>42404</v>
      </c>
      <c r="C553" s="14" t="s">
        <v>2</v>
      </c>
      <c r="D553" s="14" t="s">
        <v>3</v>
      </c>
      <c r="E553" s="15" t="s">
        <v>4</v>
      </c>
    </row>
    <row r="554" spans="2:5" x14ac:dyDescent="0.25">
      <c r="B554" s="5" t="s">
        <v>5</v>
      </c>
      <c r="C554" s="17">
        <v>22.33</v>
      </c>
      <c r="D554" s="17">
        <f>605/60*14.58</f>
        <v>147.01500000000001</v>
      </c>
      <c r="E554" s="18">
        <f t="shared" ref="E554:E559" si="40">(C554-D554)/C554</f>
        <v>-5.5837438423645329</v>
      </c>
    </row>
    <row r="555" spans="2:5" x14ac:dyDescent="0.25">
      <c r="B555" s="8" t="s">
        <v>6</v>
      </c>
      <c r="C555" s="17">
        <v>3.96</v>
      </c>
      <c r="D555" s="17">
        <f>4/60*14.58</f>
        <v>0.97199999999999998</v>
      </c>
      <c r="E555" s="19">
        <f t="shared" si="40"/>
        <v>0.75454545454545452</v>
      </c>
    </row>
    <row r="556" spans="2:5" x14ac:dyDescent="0.25">
      <c r="B556" s="8" t="s">
        <v>7</v>
      </c>
      <c r="C556" s="17">
        <v>19.399999999999999</v>
      </c>
      <c r="D556" s="17">
        <f>79/60*14.58</f>
        <v>19.196999999999999</v>
      </c>
      <c r="E556" s="19">
        <f t="shared" si="40"/>
        <v>1.0463917525773166E-2</v>
      </c>
    </row>
    <row r="557" spans="2:5" x14ac:dyDescent="0.25">
      <c r="B557" s="8" t="s">
        <v>8</v>
      </c>
      <c r="C557" s="17">
        <v>5.5</v>
      </c>
      <c r="D557" s="17">
        <f>12/60*14.58</f>
        <v>2.9160000000000004</v>
      </c>
      <c r="E557" s="18">
        <f t="shared" si="40"/>
        <v>0.46981818181818175</v>
      </c>
    </row>
    <row r="558" spans="2:5" x14ac:dyDescent="0.25">
      <c r="B558" s="8" t="s">
        <v>9</v>
      </c>
      <c r="C558" s="17">
        <v>29</v>
      </c>
      <c r="D558" s="17">
        <v>0</v>
      </c>
      <c r="E558" s="19">
        <f t="shared" si="40"/>
        <v>1</v>
      </c>
    </row>
    <row r="559" spans="2:5" x14ac:dyDescent="0.25">
      <c r="B559" s="8" t="s">
        <v>10</v>
      </c>
      <c r="C559" s="17">
        <v>22.5</v>
      </c>
      <c r="D559" s="17">
        <f>18/60*7.29</f>
        <v>2.1869999999999998</v>
      </c>
      <c r="E559" s="18">
        <f t="shared" si="40"/>
        <v>0.90279999999999994</v>
      </c>
    </row>
    <row r="567" spans="2:5" ht="21" x14ac:dyDescent="0.25">
      <c r="B567" s="3">
        <v>42404</v>
      </c>
      <c r="C567" s="14" t="s">
        <v>2</v>
      </c>
      <c r="D567" s="14" t="s">
        <v>3</v>
      </c>
      <c r="E567" s="15" t="s">
        <v>4</v>
      </c>
    </row>
    <row r="568" spans="2:5" x14ac:dyDescent="0.25">
      <c r="B568" s="5" t="s">
        <v>5</v>
      </c>
      <c r="C568" s="17">
        <v>22.33</v>
      </c>
      <c r="D568" s="17">
        <f>605/60*14.58</f>
        <v>147.01500000000001</v>
      </c>
      <c r="E568" s="18">
        <f t="shared" ref="E568:E573" si="41">(C568-D568)/C568</f>
        <v>-5.5837438423645329</v>
      </c>
    </row>
    <row r="569" spans="2:5" x14ac:dyDescent="0.25">
      <c r="B569" s="8" t="s">
        <v>6</v>
      </c>
      <c r="C569" s="17">
        <v>3.96</v>
      </c>
      <c r="D569" s="17">
        <f>4/60*14.58</f>
        <v>0.97199999999999998</v>
      </c>
      <c r="E569" s="19">
        <f t="shared" si="41"/>
        <v>0.75454545454545452</v>
      </c>
    </row>
    <row r="570" spans="2:5" x14ac:dyDescent="0.25">
      <c r="B570" s="8" t="s">
        <v>7</v>
      </c>
      <c r="C570" s="17">
        <v>19.399999999999999</v>
      </c>
      <c r="D570" s="17">
        <f>79/60*14.58</f>
        <v>19.196999999999999</v>
      </c>
      <c r="E570" s="19">
        <f t="shared" si="41"/>
        <v>1.0463917525773166E-2</v>
      </c>
    </row>
    <row r="571" spans="2:5" x14ac:dyDescent="0.25">
      <c r="B571" s="8" t="s">
        <v>8</v>
      </c>
      <c r="C571" s="17">
        <v>5.5</v>
      </c>
      <c r="D571" s="17">
        <f>12/60*14.58</f>
        <v>2.9160000000000004</v>
      </c>
      <c r="E571" s="18">
        <f t="shared" si="41"/>
        <v>0.46981818181818175</v>
      </c>
    </row>
    <row r="572" spans="2:5" x14ac:dyDescent="0.25">
      <c r="B572" s="8" t="s">
        <v>9</v>
      </c>
      <c r="C572" s="17">
        <v>29</v>
      </c>
      <c r="D572" s="17">
        <v>0</v>
      </c>
      <c r="E572" s="19">
        <f t="shared" si="41"/>
        <v>1</v>
      </c>
    </row>
    <row r="573" spans="2:5" x14ac:dyDescent="0.25">
      <c r="B573" s="8" t="s">
        <v>10</v>
      </c>
      <c r="C573" s="17">
        <v>22.5</v>
      </c>
      <c r="D573" s="17">
        <f>18/60*7.29</f>
        <v>2.1869999999999998</v>
      </c>
      <c r="E573" s="18">
        <f t="shared" si="41"/>
        <v>0.90279999999999994</v>
      </c>
    </row>
    <row r="582" spans="2:5" ht="21" x14ac:dyDescent="0.25">
      <c r="B582" s="3">
        <v>42404</v>
      </c>
      <c r="C582" s="14" t="s">
        <v>2</v>
      </c>
      <c r="D582" s="14" t="s">
        <v>3</v>
      </c>
      <c r="E582" s="15" t="s">
        <v>4</v>
      </c>
    </row>
    <row r="583" spans="2:5" x14ac:dyDescent="0.25">
      <c r="B583" s="5" t="s">
        <v>5</v>
      </c>
      <c r="C583" s="17">
        <v>22.33</v>
      </c>
      <c r="D583" s="17">
        <f>605/60*14.58</f>
        <v>147.01500000000001</v>
      </c>
      <c r="E583" s="18">
        <f t="shared" ref="E583:E588" si="42">(C583-D583)/C583</f>
        <v>-5.5837438423645329</v>
      </c>
    </row>
    <row r="584" spans="2:5" x14ac:dyDescent="0.25">
      <c r="B584" s="8" t="s">
        <v>6</v>
      </c>
      <c r="C584" s="17">
        <v>3.96</v>
      </c>
      <c r="D584" s="17">
        <f>4/60*14.58</f>
        <v>0.97199999999999998</v>
      </c>
      <c r="E584" s="19">
        <f t="shared" si="42"/>
        <v>0.75454545454545452</v>
      </c>
    </row>
    <row r="585" spans="2:5" x14ac:dyDescent="0.25">
      <c r="B585" s="8" t="s">
        <v>7</v>
      </c>
      <c r="C585" s="17">
        <v>19.399999999999999</v>
      </c>
      <c r="D585" s="17">
        <f>79/60*14.58</f>
        <v>19.196999999999999</v>
      </c>
      <c r="E585" s="19">
        <f t="shared" si="42"/>
        <v>1.0463917525773166E-2</v>
      </c>
    </row>
    <row r="586" spans="2:5" x14ac:dyDescent="0.25">
      <c r="B586" s="8" t="s">
        <v>8</v>
      </c>
      <c r="C586" s="17">
        <v>5.5</v>
      </c>
      <c r="D586" s="17">
        <f>12/60*14.58</f>
        <v>2.9160000000000004</v>
      </c>
      <c r="E586" s="18">
        <f t="shared" si="42"/>
        <v>0.46981818181818175</v>
      </c>
    </row>
    <row r="587" spans="2:5" x14ac:dyDescent="0.25">
      <c r="B587" s="8" t="s">
        <v>9</v>
      </c>
      <c r="C587" s="17">
        <v>29</v>
      </c>
      <c r="D587" s="17">
        <v>0</v>
      </c>
      <c r="E587" s="19">
        <f t="shared" si="42"/>
        <v>1</v>
      </c>
    </row>
    <row r="588" spans="2:5" x14ac:dyDescent="0.25">
      <c r="B588" s="8" t="s">
        <v>10</v>
      </c>
      <c r="C588" s="17">
        <v>22.5</v>
      </c>
      <c r="D588" s="17">
        <f>18/60*7.29</f>
        <v>2.1869999999999998</v>
      </c>
      <c r="E588" s="18">
        <f t="shared" si="42"/>
        <v>0.90279999999999994</v>
      </c>
    </row>
    <row r="597" spans="2:5" ht="21" x14ac:dyDescent="0.25">
      <c r="B597" s="3">
        <v>42404</v>
      </c>
      <c r="C597" s="14" t="s">
        <v>2</v>
      </c>
      <c r="D597" s="14" t="s">
        <v>3</v>
      </c>
      <c r="E597" s="15" t="s">
        <v>4</v>
      </c>
    </row>
    <row r="598" spans="2:5" x14ac:dyDescent="0.25">
      <c r="B598" s="5" t="s">
        <v>5</v>
      </c>
      <c r="C598" s="17">
        <v>22.33</v>
      </c>
      <c r="D598" s="17">
        <f>605/60*14.58</f>
        <v>147.01500000000001</v>
      </c>
      <c r="E598" s="18">
        <f t="shared" ref="E598:E603" si="43">(C598-D598)/C598</f>
        <v>-5.5837438423645329</v>
      </c>
    </row>
    <row r="599" spans="2:5" x14ac:dyDescent="0.25">
      <c r="B599" s="8" t="s">
        <v>6</v>
      </c>
      <c r="C599" s="17">
        <v>3.96</v>
      </c>
      <c r="D599" s="17">
        <f>4/60*14.58</f>
        <v>0.97199999999999998</v>
      </c>
      <c r="E599" s="19">
        <f t="shared" si="43"/>
        <v>0.75454545454545452</v>
      </c>
    </row>
    <row r="600" spans="2:5" x14ac:dyDescent="0.25">
      <c r="B600" s="8" t="s">
        <v>7</v>
      </c>
      <c r="C600" s="17">
        <v>19.399999999999999</v>
      </c>
      <c r="D600" s="17">
        <f>79/60*14.58</f>
        <v>19.196999999999999</v>
      </c>
      <c r="E600" s="19">
        <f t="shared" si="43"/>
        <v>1.0463917525773166E-2</v>
      </c>
    </row>
    <row r="601" spans="2:5" x14ac:dyDescent="0.25">
      <c r="B601" s="8" t="s">
        <v>8</v>
      </c>
      <c r="C601" s="17">
        <v>5.5</v>
      </c>
      <c r="D601" s="17">
        <f>12/60*14.58</f>
        <v>2.9160000000000004</v>
      </c>
      <c r="E601" s="18">
        <f t="shared" si="43"/>
        <v>0.46981818181818175</v>
      </c>
    </row>
    <row r="602" spans="2:5" x14ac:dyDescent="0.25">
      <c r="B602" s="8" t="s">
        <v>9</v>
      </c>
      <c r="C602" s="17">
        <v>29</v>
      </c>
      <c r="D602" s="17">
        <v>0</v>
      </c>
      <c r="E602" s="19">
        <f t="shared" si="43"/>
        <v>1</v>
      </c>
    </row>
    <row r="603" spans="2:5" x14ac:dyDescent="0.25">
      <c r="B603" s="8" t="s">
        <v>10</v>
      </c>
      <c r="C603" s="17">
        <v>22.5</v>
      </c>
      <c r="D603" s="17">
        <f>18/60*7.29</f>
        <v>2.1869999999999998</v>
      </c>
      <c r="E603" s="18">
        <f t="shared" si="43"/>
        <v>0.90279999999999994</v>
      </c>
    </row>
    <row r="612" spans="2:5" ht="21" x14ac:dyDescent="0.25">
      <c r="B612" s="3">
        <v>42404</v>
      </c>
      <c r="C612" s="14" t="s">
        <v>2</v>
      </c>
      <c r="D612" s="14" t="s">
        <v>3</v>
      </c>
      <c r="E612" s="15" t="s">
        <v>4</v>
      </c>
    </row>
    <row r="613" spans="2:5" x14ac:dyDescent="0.25">
      <c r="B613" s="5" t="s">
        <v>5</v>
      </c>
      <c r="C613" s="17">
        <v>22.33</v>
      </c>
      <c r="D613" s="17">
        <f>605/60*14.58</f>
        <v>147.01500000000001</v>
      </c>
      <c r="E613" s="18">
        <f t="shared" ref="E613:E618" si="44">(C613-D613)/C613</f>
        <v>-5.5837438423645329</v>
      </c>
    </row>
    <row r="614" spans="2:5" x14ac:dyDescent="0.25">
      <c r="B614" s="8" t="s">
        <v>6</v>
      </c>
      <c r="C614" s="17">
        <v>3.96</v>
      </c>
      <c r="D614" s="17">
        <f>4/60*14.58</f>
        <v>0.97199999999999998</v>
      </c>
      <c r="E614" s="19">
        <f t="shared" si="44"/>
        <v>0.75454545454545452</v>
      </c>
    </row>
    <row r="615" spans="2:5" x14ac:dyDescent="0.25">
      <c r="B615" s="8" t="s">
        <v>7</v>
      </c>
      <c r="C615" s="17">
        <v>19.399999999999999</v>
      </c>
      <c r="D615" s="17">
        <f>79/60*14.58</f>
        <v>19.196999999999999</v>
      </c>
      <c r="E615" s="19">
        <f t="shared" si="44"/>
        <v>1.0463917525773166E-2</v>
      </c>
    </row>
    <row r="616" spans="2:5" x14ac:dyDescent="0.25">
      <c r="B616" s="8" t="s">
        <v>8</v>
      </c>
      <c r="C616" s="17">
        <v>5.5</v>
      </c>
      <c r="D616" s="17">
        <f>12/60*14.58</f>
        <v>2.9160000000000004</v>
      </c>
      <c r="E616" s="18">
        <f t="shared" si="44"/>
        <v>0.46981818181818175</v>
      </c>
    </row>
    <row r="617" spans="2:5" x14ac:dyDescent="0.25">
      <c r="B617" s="8" t="s">
        <v>9</v>
      </c>
      <c r="C617" s="17">
        <v>29</v>
      </c>
      <c r="D617" s="17">
        <v>0</v>
      </c>
      <c r="E617" s="19">
        <f t="shared" si="44"/>
        <v>1</v>
      </c>
    </row>
    <row r="618" spans="2:5" x14ac:dyDescent="0.25">
      <c r="B618" s="8" t="s">
        <v>10</v>
      </c>
      <c r="C618" s="17">
        <v>22.5</v>
      </c>
      <c r="D618" s="17">
        <f>18/60*7.29</f>
        <v>2.1869999999999998</v>
      </c>
      <c r="E618" s="18">
        <f t="shared" si="44"/>
        <v>0.90279999999999994</v>
      </c>
    </row>
    <row r="625" spans="2:5" ht="21" x14ac:dyDescent="0.25">
      <c r="B625" s="3">
        <v>42404</v>
      </c>
      <c r="C625" s="14" t="s">
        <v>2</v>
      </c>
      <c r="D625" s="14" t="s">
        <v>3</v>
      </c>
      <c r="E625" s="15" t="s">
        <v>4</v>
      </c>
    </row>
    <row r="626" spans="2:5" x14ac:dyDescent="0.25">
      <c r="B626" s="5" t="s">
        <v>5</v>
      </c>
      <c r="C626" s="17">
        <v>22.33</v>
      </c>
      <c r="D626" s="17">
        <f>605/60*14.58</f>
        <v>147.01500000000001</v>
      </c>
      <c r="E626" s="18">
        <f t="shared" ref="E626:E631" si="45">(C626-D626)/C626</f>
        <v>-5.5837438423645329</v>
      </c>
    </row>
    <row r="627" spans="2:5" x14ac:dyDescent="0.25">
      <c r="B627" s="8" t="s">
        <v>6</v>
      </c>
      <c r="C627" s="17">
        <v>3.96</v>
      </c>
      <c r="D627" s="17">
        <f>4/60*14.58</f>
        <v>0.97199999999999998</v>
      </c>
      <c r="E627" s="19">
        <f t="shared" si="45"/>
        <v>0.75454545454545452</v>
      </c>
    </row>
    <row r="628" spans="2:5" x14ac:dyDescent="0.25">
      <c r="B628" s="8" t="s">
        <v>7</v>
      </c>
      <c r="C628" s="17">
        <v>19.399999999999999</v>
      </c>
      <c r="D628" s="17">
        <f>79/60*14.58</f>
        <v>19.196999999999999</v>
      </c>
      <c r="E628" s="19">
        <f t="shared" si="45"/>
        <v>1.0463917525773166E-2</v>
      </c>
    </row>
    <row r="629" spans="2:5" x14ac:dyDescent="0.25">
      <c r="B629" s="8" t="s">
        <v>8</v>
      </c>
      <c r="C629" s="17">
        <v>5.5</v>
      </c>
      <c r="D629" s="17">
        <f>12/60*14.58</f>
        <v>2.9160000000000004</v>
      </c>
      <c r="E629" s="18">
        <f t="shared" si="45"/>
        <v>0.46981818181818175</v>
      </c>
    </row>
    <row r="630" spans="2:5" x14ac:dyDescent="0.25">
      <c r="B630" s="8" t="s">
        <v>9</v>
      </c>
      <c r="C630" s="17">
        <v>29</v>
      </c>
      <c r="D630" s="17">
        <v>0</v>
      </c>
      <c r="E630" s="19">
        <f t="shared" si="45"/>
        <v>1</v>
      </c>
    </row>
    <row r="631" spans="2:5" x14ac:dyDescent="0.25">
      <c r="B631" s="8" t="s">
        <v>10</v>
      </c>
      <c r="C631" s="17">
        <v>22.5</v>
      </c>
      <c r="D631" s="17">
        <f>18/60*7.29</f>
        <v>2.1869999999999998</v>
      </c>
      <c r="E631" s="18">
        <f t="shared" si="45"/>
        <v>0.90279999999999994</v>
      </c>
    </row>
    <row r="639" spans="2:5" ht="21" x14ac:dyDescent="0.25">
      <c r="B639" s="3">
        <v>42404</v>
      </c>
      <c r="C639" s="14" t="s">
        <v>2</v>
      </c>
      <c r="D639" s="14" t="s">
        <v>3</v>
      </c>
      <c r="E639" s="15" t="s">
        <v>4</v>
      </c>
    </row>
    <row r="640" spans="2:5" x14ac:dyDescent="0.25">
      <c r="B640" s="5" t="s">
        <v>5</v>
      </c>
      <c r="C640" s="17">
        <v>22.33</v>
      </c>
      <c r="D640" s="17">
        <f>605/60*14.58</f>
        <v>147.01500000000001</v>
      </c>
      <c r="E640" s="18">
        <f t="shared" ref="E640:E645" si="46">(C640-D640)/C640</f>
        <v>-5.5837438423645329</v>
      </c>
    </row>
    <row r="641" spans="2:5" x14ac:dyDescent="0.25">
      <c r="B641" s="8" t="s">
        <v>6</v>
      </c>
      <c r="C641" s="17">
        <v>3.96</v>
      </c>
      <c r="D641" s="17">
        <f>4/60*14.58</f>
        <v>0.97199999999999998</v>
      </c>
      <c r="E641" s="19">
        <f t="shared" si="46"/>
        <v>0.75454545454545452</v>
      </c>
    </row>
    <row r="642" spans="2:5" x14ac:dyDescent="0.25">
      <c r="B642" s="8" t="s">
        <v>7</v>
      </c>
      <c r="C642" s="17">
        <v>19.399999999999999</v>
      </c>
      <c r="D642" s="17">
        <f>79/60*14.58</f>
        <v>19.196999999999999</v>
      </c>
      <c r="E642" s="19">
        <f t="shared" si="46"/>
        <v>1.0463917525773166E-2</v>
      </c>
    </row>
    <row r="643" spans="2:5" x14ac:dyDescent="0.25">
      <c r="B643" s="8" t="s">
        <v>8</v>
      </c>
      <c r="C643" s="17">
        <v>5.5</v>
      </c>
      <c r="D643" s="17">
        <f>12/60*14.58</f>
        <v>2.9160000000000004</v>
      </c>
      <c r="E643" s="18">
        <f t="shared" si="46"/>
        <v>0.46981818181818175</v>
      </c>
    </row>
    <row r="644" spans="2:5" x14ac:dyDescent="0.25">
      <c r="B644" s="8" t="s">
        <v>9</v>
      </c>
      <c r="C644" s="17">
        <v>29</v>
      </c>
      <c r="D644" s="17">
        <v>0</v>
      </c>
      <c r="E644" s="19">
        <f t="shared" si="46"/>
        <v>1</v>
      </c>
    </row>
    <row r="645" spans="2:5" x14ac:dyDescent="0.25">
      <c r="B645" s="8" t="s">
        <v>10</v>
      </c>
      <c r="C645" s="17">
        <v>22.5</v>
      </c>
      <c r="D645" s="17">
        <f>18/60*7.29</f>
        <v>2.1869999999999998</v>
      </c>
      <c r="E645" s="18">
        <f t="shared" si="46"/>
        <v>0.90279999999999994</v>
      </c>
    </row>
    <row r="652" spans="2:5" ht="21" x14ac:dyDescent="0.25">
      <c r="B652" s="3">
        <v>42404</v>
      </c>
      <c r="C652" s="14" t="s">
        <v>2</v>
      </c>
      <c r="D652" s="14" t="s">
        <v>3</v>
      </c>
      <c r="E652" s="15" t="s">
        <v>4</v>
      </c>
    </row>
    <row r="653" spans="2:5" x14ac:dyDescent="0.25">
      <c r="B653" s="5" t="s">
        <v>5</v>
      </c>
      <c r="C653" s="17">
        <v>22.33</v>
      </c>
      <c r="D653" s="17">
        <f>33/60*14.58</f>
        <v>8.0190000000000001</v>
      </c>
      <c r="E653" s="18">
        <f t="shared" ref="E653:E658" si="47">(C653-D653)/C653</f>
        <v>0.64088669950738908</v>
      </c>
    </row>
    <row r="654" spans="2:5" x14ac:dyDescent="0.25">
      <c r="B654" s="8" t="s">
        <v>6</v>
      </c>
      <c r="C654" s="17">
        <v>3.96</v>
      </c>
      <c r="D654" s="17">
        <f>26/60*14.58</f>
        <v>6.3180000000000005</v>
      </c>
      <c r="E654" s="19">
        <f t="shared" si="47"/>
        <v>-0.59545454545454557</v>
      </c>
    </row>
    <row r="655" spans="2:5" x14ac:dyDescent="0.25">
      <c r="B655" s="8" t="s">
        <v>7</v>
      </c>
      <c r="C655" s="17">
        <v>0</v>
      </c>
      <c r="D655" s="17">
        <v>0</v>
      </c>
      <c r="E655" s="19" t="e">
        <f t="shared" si="47"/>
        <v>#DIV/0!</v>
      </c>
    </row>
    <row r="656" spans="2:5" x14ac:dyDescent="0.25">
      <c r="B656" s="8" t="s">
        <v>8</v>
      </c>
      <c r="C656" s="17">
        <v>5.5</v>
      </c>
      <c r="D656" s="17">
        <f>15/60*14.58</f>
        <v>3.645</v>
      </c>
      <c r="E656" s="18">
        <f t="shared" si="47"/>
        <v>0.33727272727272728</v>
      </c>
    </row>
    <row r="657" spans="2:5" x14ac:dyDescent="0.25">
      <c r="B657" s="8" t="s">
        <v>9</v>
      </c>
      <c r="C657" s="17">
        <v>0</v>
      </c>
      <c r="D657" s="17">
        <v>0</v>
      </c>
      <c r="E657" s="19" t="e">
        <f t="shared" si="47"/>
        <v>#DIV/0!</v>
      </c>
    </row>
    <row r="658" spans="2:5" x14ac:dyDescent="0.25">
      <c r="B658" s="8" t="s">
        <v>10</v>
      </c>
      <c r="C658" s="17">
        <v>22.5</v>
      </c>
      <c r="D658" s="17">
        <f>8/60*7.29</f>
        <v>0.97199999999999998</v>
      </c>
      <c r="E658" s="18">
        <f t="shared" si="47"/>
        <v>0.95679999999999998</v>
      </c>
    </row>
    <row r="666" spans="2:5" ht="21" x14ac:dyDescent="0.25">
      <c r="B666" s="3">
        <v>42404</v>
      </c>
      <c r="C666" s="14" t="s">
        <v>2</v>
      </c>
      <c r="D666" s="14" t="s">
        <v>3</v>
      </c>
      <c r="E666" s="15" t="s">
        <v>4</v>
      </c>
    </row>
    <row r="667" spans="2:5" x14ac:dyDescent="0.25">
      <c r="B667" s="5" t="s">
        <v>5</v>
      </c>
      <c r="C667" s="17">
        <v>22.33</v>
      </c>
      <c r="D667" s="17">
        <f>605/60*14.58</f>
        <v>147.01500000000001</v>
      </c>
      <c r="E667" s="18">
        <f t="shared" ref="E667:E672" si="48">(C667-D667)/C667</f>
        <v>-5.5837438423645329</v>
      </c>
    </row>
    <row r="668" spans="2:5" x14ac:dyDescent="0.25">
      <c r="B668" s="8" t="s">
        <v>6</v>
      </c>
      <c r="C668" s="17">
        <v>3.96</v>
      </c>
      <c r="D668" s="17">
        <f>4/60*14.58</f>
        <v>0.97199999999999998</v>
      </c>
      <c r="E668" s="19">
        <f t="shared" si="48"/>
        <v>0.75454545454545452</v>
      </c>
    </row>
    <row r="669" spans="2:5" x14ac:dyDescent="0.25">
      <c r="B669" s="8" t="s">
        <v>7</v>
      </c>
      <c r="C669" s="17">
        <v>19.399999999999999</v>
      </c>
      <c r="D669" s="17">
        <f>79/60*14.58</f>
        <v>19.196999999999999</v>
      </c>
      <c r="E669" s="19">
        <f t="shared" si="48"/>
        <v>1.0463917525773166E-2</v>
      </c>
    </row>
    <row r="670" spans="2:5" x14ac:dyDescent="0.25">
      <c r="B670" s="8" t="s">
        <v>8</v>
      </c>
      <c r="C670" s="17">
        <v>5.5</v>
      </c>
      <c r="D670" s="17">
        <f>12/60*14.58</f>
        <v>2.9160000000000004</v>
      </c>
      <c r="E670" s="18">
        <f t="shared" si="48"/>
        <v>0.46981818181818175</v>
      </c>
    </row>
    <row r="671" spans="2:5" x14ac:dyDescent="0.25">
      <c r="B671" s="8" t="s">
        <v>9</v>
      </c>
      <c r="C671" s="17">
        <v>29</v>
      </c>
      <c r="D671" s="17">
        <v>0</v>
      </c>
      <c r="E671" s="19">
        <f t="shared" si="48"/>
        <v>1</v>
      </c>
    </row>
    <row r="672" spans="2:5" x14ac:dyDescent="0.25">
      <c r="B672" s="8" t="s">
        <v>10</v>
      </c>
      <c r="C672" s="17">
        <v>22.5</v>
      </c>
      <c r="D672" s="17">
        <f>18/60*7.29</f>
        <v>2.1869999999999998</v>
      </c>
      <c r="E672" s="18">
        <f t="shared" si="48"/>
        <v>0.90279999999999994</v>
      </c>
    </row>
    <row r="681" spans="2:5" ht="21" x14ac:dyDescent="0.25">
      <c r="B681" s="3">
        <v>42404</v>
      </c>
      <c r="C681" s="14" t="s">
        <v>2</v>
      </c>
      <c r="D681" s="14" t="s">
        <v>3</v>
      </c>
      <c r="E681" s="15" t="s">
        <v>4</v>
      </c>
    </row>
    <row r="682" spans="2:5" x14ac:dyDescent="0.25">
      <c r="B682" s="5" t="s">
        <v>5</v>
      </c>
      <c r="C682" s="17">
        <v>22.33</v>
      </c>
      <c r="D682" s="17">
        <f>605/60*14.58</f>
        <v>147.01500000000001</v>
      </c>
      <c r="E682" s="18">
        <f t="shared" ref="E682:E687" si="49">(C682-D682)/C682</f>
        <v>-5.5837438423645329</v>
      </c>
    </row>
    <row r="683" spans="2:5" x14ac:dyDescent="0.25">
      <c r="B683" s="8" t="s">
        <v>6</v>
      </c>
      <c r="C683" s="17">
        <v>3.96</v>
      </c>
      <c r="D683" s="17">
        <f>4/60*14.58</f>
        <v>0.97199999999999998</v>
      </c>
      <c r="E683" s="19">
        <f t="shared" si="49"/>
        <v>0.75454545454545452</v>
      </c>
    </row>
    <row r="684" spans="2:5" x14ac:dyDescent="0.25">
      <c r="B684" s="8" t="s">
        <v>7</v>
      </c>
      <c r="C684" s="17">
        <v>19.399999999999999</v>
      </c>
      <c r="D684" s="17">
        <f>79/60*14.58</f>
        <v>19.196999999999999</v>
      </c>
      <c r="E684" s="19">
        <f t="shared" si="49"/>
        <v>1.0463917525773166E-2</v>
      </c>
    </row>
    <row r="685" spans="2:5" x14ac:dyDescent="0.25">
      <c r="B685" s="8" t="s">
        <v>8</v>
      </c>
      <c r="C685" s="17">
        <v>5.5</v>
      </c>
      <c r="D685" s="17">
        <f>12/60*14.58</f>
        <v>2.9160000000000004</v>
      </c>
      <c r="E685" s="18">
        <f t="shared" si="49"/>
        <v>0.46981818181818175</v>
      </c>
    </row>
    <row r="686" spans="2:5" x14ac:dyDescent="0.25">
      <c r="B686" s="8" t="s">
        <v>9</v>
      </c>
      <c r="C686" s="17">
        <v>29</v>
      </c>
      <c r="D686" s="17">
        <v>0</v>
      </c>
      <c r="E686" s="19">
        <f t="shared" si="49"/>
        <v>1</v>
      </c>
    </row>
    <row r="687" spans="2:5" x14ac:dyDescent="0.25">
      <c r="B687" s="8" t="s">
        <v>10</v>
      </c>
      <c r="C687" s="17">
        <v>22.5</v>
      </c>
      <c r="D687" s="17">
        <f>18/60*7.29</f>
        <v>2.1869999999999998</v>
      </c>
      <c r="E687" s="18">
        <f t="shared" si="49"/>
        <v>0.90279999999999994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N9" sqref="AN9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1" max="41" width="23.28515625"/>
    <col min="42" max="42" width="5.140625"/>
    <col min="43" max="46" width="6.140625"/>
    <col min="47" max="1049" width="11.5703125"/>
  </cols>
  <sheetData>
    <row r="2" spans="2:49" x14ac:dyDescent="0.25"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53</v>
      </c>
      <c r="R2" s="20" t="s">
        <v>54</v>
      </c>
      <c r="S2" s="20" t="s">
        <v>55</v>
      </c>
      <c r="T2" s="20" t="s">
        <v>56</v>
      </c>
      <c r="U2" s="20" t="s">
        <v>57</v>
      </c>
      <c r="V2" s="20" t="s">
        <v>60</v>
      </c>
      <c r="W2" s="20" t="s">
        <v>59</v>
      </c>
      <c r="X2" s="20" t="s">
        <v>61</v>
      </c>
      <c r="Y2" s="20" t="s">
        <v>58</v>
      </c>
      <c r="Z2" s="20" t="s">
        <v>62</v>
      </c>
      <c r="AA2" s="20" t="s">
        <v>63</v>
      </c>
      <c r="AB2" s="20" t="s">
        <v>64</v>
      </c>
      <c r="AC2" s="20" t="s">
        <v>65</v>
      </c>
      <c r="AD2" s="20" t="s">
        <v>66</v>
      </c>
      <c r="AE2" s="20" t="s">
        <v>67</v>
      </c>
      <c r="AF2" s="20" t="s">
        <v>68</v>
      </c>
      <c r="AG2" s="20" t="s">
        <v>69</v>
      </c>
      <c r="AH2" s="20" t="s">
        <v>70</v>
      </c>
      <c r="AI2" s="20" t="s">
        <v>71</v>
      </c>
      <c r="AJ2" s="20" t="s">
        <v>72</v>
      </c>
      <c r="AK2" s="20" t="s">
        <v>73</v>
      </c>
      <c r="AL2" s="20" t="s">
        <v>74</v>
      </c>
      <c r="AM2" s="20" t="s">
        <v>75</v>
      </c>
      <c r="AN2" s="20" t="s">
        <v>76</v>
      </c>
      <c r="AO2" s="20" t="s">
        <v>23</v>
      </c>
    </row>
    <row r="3" spans="2:49" x14ac:dyDescent="0.25">
      <c r="B3" s="21"/>
      <c r="C3" s="22" t="s">
        <v>24</v>
      </c>
      <c r="D3" s="23">
        <v>20160119</v>
      </c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20160202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4"/>
    </row>
    <row r="4" spans="2:49" x14ac:dyDescent="0.25">
      <c r="B4" s="23">
        <v>1</v>
      </c>
      <c r="C4" s="22" t="s">
        <v>25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6" t="e">
        <f t="shared" ref="AO4:AO9" si="0">AVERAGE(D4:P4)</f>
        <v>#DIV/0!</v>
      </c>
    </row>
    <row r="5" spans="2:49" x14ac:dyDescent="0.25">
      <c r="B5" s="23">
        <v>2</v>
      </c>
      <c r="C5" s="22" t="s">
        <v>5</v>
      </c>
      <c r="D5" s="25">
        <v>1</v>
      </c>
      <c r="E5" s="25">
        <v>1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0.85709999999999997</v>
      </c>
      <c r="O5" s="25">
        <v>1</v>
      </c>
      <c r="P5" s="25">
        <v>1</v>
      </c>
      <c r="Q5" s="25">
        <v>1</v>
      </c>
      <c r="R5" s="25">
        <v>1</v>
      </c>
      <c r="S5" s="25">
        <v>0.57140000000000002</v>
      </c>
      <c r="T5" s="25" t="s">
        <v>52</v>
      </c>
      <c r="U5" s="25">
        <v>1</v>
      </c>
      <c r="V5" s="25">
        <v>1</v>
      </c>
      <c r="W5" s="25" t="s">
        <v>52</v>
      </c>
      <c r="X5" s="25" t="s">
        <v>52</v>
      </c>
      <c r="Y5" s="25">
        <v>1</v>
      </c>
      <c r="Z5" s="25">
        <v>1</v>
      </c>
      <c r="AA5" s="25">
        <v>1</v>
      </c>
      <c r="AB5" s="25" t="s">
        <v>52</v>
      </c>
      <c r="AC5" s="25" t="s">
        <v>52</v>
      </c>
      <c r="AD5" s="25">
        <v>1</v>
      </c>
      <c r="AE5" s="25">
        <v>1</v>
      </c>
      <c r="AF5" s="25">
        <v>1</v>
      </c>
      <c r="AG5" s="25">
        <v>1</v>
      </c>
      <c r="AH5" s="25" t="s">
        <v>52</v>
      </c>
      <c r="AI5" s="25">
        <v>1</v>
      </c>
      <c r="AJ5" s="25" t="s">
        <v>52</v>
      </c>
      <c r="AK5" s="25">
        <v>1</v>
      </c>
      <c r="AL5" s="25" t="s">
        <v>52</v>
      </c>
      <c r="AM5" s="25">
        <v>1</v>
      </c>
      <c r="AN5" s="25">
        <v>1</v>
      </c>
      <c r="AO5" s="26">
        <f t="shared" si="0"/>
        <v>0.98900769230769225</v>
      </c>
    </row>
    <row r="6" spans="2:49" x14ac:dyDescent="0.25">
      <c r="B6" s="23">
        <v>3</v>
      </c>
      <c r="C6" s="22" t="s">
        <v>6</v>
      </c>
      <c r="D6" s="25">
        <v>1</v>
      </c>
      <c r="E6" s="25">
        <v>1</v>
      </c>
      <c r="F6" s="25">
        <v>1</v>
      </c>
      <c r="G6" s="25">
        <v>1</v>
      </c>
      <c r="H6" s="25">
        <v>1</v>
      </c>
      <c r="I6" s="25">
        <v>1</v>
      </c>
      <c r="J6" s="25">
        <v>1</v>
      </c>
      <c r="K6" s="25">
        <v>1</v>
      </c>
      <c r="L6" s="25">
        <v>1</v>
      </c>
      <c r="M6" s="25">
        <v>1</v>
      </c>
      <c r="N6" s="25">
        <v>1</v>
      </c>
      <c r="O6" s="25">
        <v>1</v>
      </c>
      <c r="P6" s="25">
        <v>1</v>
      </c>
      <c r="Q6" s="25">
        <v>0.75</v>
      </c>
      <c r="R6" s="25">
        <v>0.75</v>
      </c>
      <c r="S6" s="25">
        <v>0.25</v>
      </c>
      <c r="T6" s="25" t="s">
        <v>52</v>
      </c>
      <c r="U6" s="25">
        <v>1</v>
      </c>
      <c r="V6" s="25">
        <v>1</v>
      </c>
      <c r="W6" s="25" t="s">
        <v>52</v>
      </c>
      <c r="X6" s="25" t="s">
        <v>52</v>
      </c>
      <c r="Y6" s="25">
        <v>1</v>
      </c>
      <c r="Z6" s="25">
        <v>1</v>
      </c>
      <c r="AA6" s="25">
        <v>1</v>
      </c>
      <c r="AB6" s="25" t="s">
        <v>52</v>
      </c>
      <c r="AC6" s="25" t="s">
        <v>52</v>
      </c>
      <c r="AD6" s="25">
        <v>1</v>
      </c>
      <c r="AE6" s="25">
        <v>1</v>
      </c>
      <c r="AF6" s="25">
        <v>1</v>
      </c>
      <c r="AG6" s="25">
        <v>1</v>
      </c>
      <c r="AH6" s="25" t="s">
        <v>52</v>
      </c>
      <c r="AI6" s="25">
        <v>1</v>
      </c>
      <c r="AJ6" s="25" t="s">
        <v>52</v>
      </c>
      <c r="AK6" s="25">
        <v>1</v>
      </c>
      <c r="AL6" s="25" t="s">
        <v>52</v>
      </c>
      <c r="AM6" s="25">
        <v>1</v>
      </c>
      <c r="AN6" s="25">
        <v>1</v>
      </c>
      <c r="AO6" s="26">
        <f t="shared" si="0"/>
        <v>1</v>
      </c>
    </row>
    <row r="7" spans="2:49" x14ac:dyDescent="0.25">
      <c r="B7" s="23">
        <v>5</v>
      </c>
      <c r="C7" s="22" t="s">
        <v>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>
        <v>1</v>
      </c>
      <c r="P7" s="25">
        <v>1</v>
      </c>
      <c r="Q7" s="25"/>
      <c r="R7" s="25">
        <v>1</v>
      </c>
      <c r="S7" s="25">
        <v>0</v>
      </c>
      <c r="T7" s="25" t="s">
        <v>52</v>
      </c>
      <c r="U7" s="25"/>
      <c r="V7" s="25">
        <v>1</v>
      </c>
      <c r="W7" s="25" t="s">
        <v>52</v>
      </c>
      <c r="X7" s="25" t="s">
        <v>52</v>
      </c>
      <c r="Y7" s="25"/>
      <c r="Z7" s="25"/>
      <c r="AA7" s="25"/>
      <c r="AB7" s="25" t="s">
        <v>52</v>
      </c>
      <c r="AC7" s="25" t="s">
        <v>52</v>
      </c>
      <c r="AD7" s="25">
        <v>1</v>
      </c>
      <c r="AE7" s="25"/>
      <c r="AF7" s="25"/>
      <c r="AG7" s="25">
        <v>1</v>
      </c>
      <c r="AH7" s="25" t="s">
        <v>52</v>
      </c>
      <c r="AI7" s="25"/>
      <c r="AJ7" s="25" t="s">
        <v>52</v>
      </c>
      <c r="AK7" s="25"/>
      <c r="AL7" s="25" t="s">
        <v>52</v>
      </c>
      <c r="AM7" s="25"/>
      <c r="AN7" s="25">
        <v>0</v>
      </c>
      <c r="AO7" s="26">
        <f t="shared" si="0"/>
        <v>1</v>
      </c>
    </row>
    <row r="8" spans="2:49" x14ac:dyDescent="0.25">
      <c r="B8" s="23">
        <v>6</v>
      </c>
      <c r="C8" s="22" t="s">
        <v>8</v>
      </c>
      <c r="D8" s="25"/>
      <c r="E8" s="25">
        <v>1</v>
      </c>
      <c r="F8" s="25">
        <v>1</v>
      </c>
      <c r="G8" s="25">
        <v>1</v>
      </c>
      <c r="H8" s="25">
        <v>0.66669999999999996</v>
      </c>
      <c r="I8" s="25">
        <v>0.66669999999999996</v>
      </c>
      <c r="J8" s="25">
        <v>0.66669999999999996</v>
      </c>
      <c r="K8" s="25">
        <v>0.66669999999999996</v>
      </c>
      <c r="L8" s="25">
        <v>0.66669999999999996</v>
      </c>
      <c r="M8" s="25">
        <v>0.66669999999999996</v>
      </c>
      <c r="N8" s="25">
        <v>0.33329999999999999</v>
      </c>
      <c r="O8" s="25">
        <v>0.33329999999999999</v>
      </c>
      <c r="P8" s="25">
        <v>0.33329999999999999</v>
      </c>
      <c r="Q8" s="25">
        <v>0.33329999999999999</v>
      </c>
      <c r="R8" s="25">
        <v>0.25</v>
      </c>
      <c r="S8" s="25">
        <v>0</v>
      </c>
      <c r="T8" s="25" t="s">
        <v>52</v>
      </c>
      <c r="U8" s="25">
        <v>0.5</v>
      </c>
      <c r="V8" s="25">
        <v>0.5</v>
      </c>
      <c r="W8" s="25" t="s">
        <v>52</v>
      </c>
      <c r="X8" s="25" t="s">
        <v>52</v>
      </c>
      <c r="Y8" s="25">
        <v>0.5</v>
      </c>
      <c r="Z8" s="25">
        <v>0.33329999999999999</v>
      </c>
      <c r="AA8" s="25">
        <v>0.33329999999999999</v>
      </c>
      <c r="AB8" s="25" t="s">
        <v>52</v>
      </c>
      <c r="AC8" s="25" t="s">
        <v>52</v>
      </c>
      <c r="AD8" s="25">
        <v>0.75</v>
      </c>
      <c r="AE8" s="25">
        <v>0.33329999999999999</v>
      </c>
      <c r="AF8" s="25">
        <v>0.33329999999999999</v>
      </c>
      <c r="AG8" s="25">
        <v>0.5</v>
      </c>
      <c r="AH8" s="25" t="s">
        <v>52</v>
      </c>
      <c r="AI8" s="25">
        <v>0.33329999999999999</v>
      </c>
      <c r="AJ8" s="25" t="s">
        <v>52</v>
      </c>
      <c r="AK8" s="25">
        <v>0.33329999999999999</v>
      </c>
      <c r="AL8" s="25" t="s">
        <v>52</v>
      </c>
      <c r="AM8" s="25">
        <v>0.33329999999999999</v>
      </c>
      <c r="AN8" s="25">
        <v>0.33329999999999999</v>
      </c>
      <c r="AO8" s="26">
        <f t="shared" si="0"/>
        <v>0.66667500000000002</v>
      </c>
    </row>
    <row r="9" spans="2:49" x14ac:dyDescent="0.25">
      <c r="B9" s="23">
        <v>7</v>
      </c>
      <c r="C9" s="22" t="s">
        <v>26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6" t="e">
        <f t="shared" si="0"/>
        <v>#DIV/0!</v>
      </c>
    </row>
    <row r="10" spans="2:49" x14ac:dyDescent="0.25">
      <c r="AW10" s="27"/>
    </row>
    <row r="11" spans="2:49" x14ac:dyDescent="0.25">
      <c r="C11" s="20" t="s">
        <v>27</v>
      </c>
      <c r="D11" s="28">
        <v>42375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 t="s">
        <v>23</v>
      </c>
      <c r="AW11" s="27"/>
    </row>
    <row r="12" spans="2:49" x14ac:dyDescent="0.25">
      <c r="B12" s="22"/>
      <c r="C12" s="2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9"/>
      <c r="AW12" s="27"/>
    </row>
    <row r="13" spans="2:49" x14ac:dyDescent="0.25">
      <c r="B13" s="23">
        <v>1</v>
      </c>
      <c r="C13" s="22" t="s">
        <v>28</v>
      </c>
      <c r="D13" s="30">
        <v>1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26">
        <f>AVERAGE(D13:P13)</f>
        <v>1</v>
      </c>
    </row>
    <row r="14" spans="2:49" x14ac:dyDescent="0.25">
      <c r="B14" s="23">
        <v>2</v>
      </c>
      <c r="C14" s="22" t="s">
        <v>29</v>
      </c>
      <c r="D14" s="30">
        <v>1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26">
        <f>AVERAGE(D14:P14)</f>
        <v>1</v>
      </c>
    </row>
    <row r="15" spans="2:49" x14ac:dyDescent="0.25">
      <c r="B15" s="23">
        <v>3</v>
      </c>
      <c r="C15" s="22" t="s">
        <v>30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26" t="e">
        <f>AVERAGE(D15:P15)</f>
        <v>#DIV/0!</v>
      </c>
    </row>
    <row r="28" ht="21" customHeight="1" x14ac:dyDescent="0.25"/>
  </sheetData>
  <conditionalFormatting sqref="D11:AN11">
    <cfRule type="cellIs" dxfId="19" priority="2" operator="notEqual">
      <formula>INDIRECT("Dummy_for_Comparison1!"&amp;ADDRESS(ROW(),COLUMN()))</formula>
    </cfRule>
  </conditionalFormatting>
  <conditionalFormatting sqref="C11">
    <cfRule type="cellIs" dxfId="18" priority="3" operator="notEqual">
      <formula>INDIRECT("Dummy_for_Comparison1!"&amp;ADDRESS(ROW(),COLUMN()))</formula>
    </cfRule>
  </conditionalFormatting>
  <conditionalFormatting sqref="AO11">
    <cfRule type="cellIs" dxfId="17" priority="4" operator="notEqual">
      <formula>INDIRECT("Dummy_for_Comparison1!"&amp;ADDRESS(ROW(),COLUMN()))</formula>
    </cfRule>
  </conditionalFormatting>
  <conditionalFormatting sqref="B12:C15">
    <cfRule type="cellIs" dxfId="16" priority="5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33"/>
  <sheetViews>
    <sheetView topLeftCell="C1" zoomScaleNormal="100" workbookViewId="0">
      <pane xSplit="1" ySplit="3" topLeftCell="AF4" activePane="bottomRight" state="frozen"/>
      <selection activeCell="C1" sqref="C1"/>
      <selection pane="topRight" activeCell="D1" sqref="D1"/>
      <selection pane="bottomLeft" activeCell="C16" sqref="C16"/>
      <selection pane="bottomRight" activeCell="AO8" sqref="AO8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5703125"/>
    <col min="42" max="42" width="19.42578125"/>
    <col min="43" max="43" width="11.5703125"/>
    <col min="44" max="44" width="15.7109375"/>
    <col min="45" max="1049" width="11.5703125"/>
  </cols>
  <sheetData>
    <row r="2" spans="2:44" ht="15" customHeight="1" x14ac:dyDescent="0.25">
      <c r="D2" t="s">
        <v>31</v>
      </c>
      <c r="E2" s="20" t="s">
        <v>1</v>
      </c>
      <c r="F2" s="20" t="s">
        <v>11</v>
      </c>
      <c r="G2" s="20" t="s">
        <v>12</v>
      </c>
      <c r="H2" s="20" t="s">
        <v>13</v>
      </c>
      <c r="I2" s="20" t="s">
        <v>14</v>
      </c>
      <c r="J2" s="20" t="s">
        <v>15</v>
      </c>
      <c r="K2" s="20" t="s">
        <v>16</v>
      </c>
      <c r="L2" s="20" t="s">
        <v>17</v>
      </c>
      <c r="M2" s="20" t="s">
        <v>18</v>
      </c>
      <c r="N2" s="20" t="s">
        <v>19</v>
      </c>
      <c r="O2" s="20" t="s">
        <v>20</v>
      </c>
      <c r="P2" s="20" t="s">
        <v>21</v>
      </c>
      <c r="Q2" s="20" t="s">
        <v>22</v>
      </c>
      <c r="R2" s="20" t="s">
        <v>53</v>
      </c>
      <c r="S2" s="20" t="s">
        <v>54</v>
      </c>
      <c r="T2" s="20" t="s">
        <v>55</v>
      </c>
      <c r="U2" s="20" t="s">
        <v>56</v>
      </c>
      <c r="V2" s="20" t="s">
        <v>57</v>
      </c>
      <c r="W2" s="20" t="s">
        <v>60</v>
      </c>
      <c r="X2" s="20" t="s">
        <v>59</v>
      </c>
      <c r="Y2" s="20" t="s">
        <v>61</v>
      </c>
      <c r="Z2" s="20" t="s">
        <v>58</v>
      </c>
      <c r="AA2" s="20" t="s">
        <v>62</v>
      </c>
      <c r="AB2" s="20" t="s">
        <v>63</v>
      </c>
      <c r="AC2" s="20" t="s">
        <v>64</v>
      </c>
      <c r="AD2" s="20" t="s">
        <v>65</v>
      </c>
      <c r="AE2" s="20" t="s">
        <v>66</v>
      </c>
      <c r="AF2" s="20" t="s">
        <v>67</v>
      </c>
      <c r="AG2" s="20" t="s">
        <v>68</v>
      </c>
      <c r="AH2" s="20" t="s">
        <v>69</v>
      </c>
      <c r="AI2" s="20" t="s">
        <v>70</v>
      </c>
      <c r="AJ2" s="20" t="s">
        <v>71</v>
      </c>
      <c r="AK2" s="20" t="s">
        <v>72</v>
      </c>
      <c r="AL2" s="20" t="s">
        <v>73</v>
      </c>
      <c r="AM2" s="20" t="s">
        <v>74</v>
      </c>
      <c r="AN2" s="20" t="s">
        <v>75</v>
      </c>
      <c r="AO2" s="20" t="s">
        <v>76</v>
      </c>
      <c r="AP2" s="20" t="s">
        <v>23</v>
      </c>
      <c r="AQ2" s="31"/>
      <c r="AR2" s="31"/>
    </row>
    <row r="3" spans="2:44" x14ac:dyDescent="0.25">
      <c r="B3" s="22"/>
      <c r="C3" s="22" t="s">
        <v>24</v>
      </c>
      <c r="D3" s="22"/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20160119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3">
        <v>20160202</v>
      </c>
      <c r="AP3" s="24"/>
      <c r="AQ3" s="31"/>
      <c r="AR3" s="31"/>
    </row>
    <row r="4" spans="2:44" x14ac:dyDescent="0.25">
      <c r="B4" s="22">
        <v>1</v>
      </c>
      <c r="C4" s="22" t="s">
        <v>32</v>
      </c>
      <c r="D4" s="22"/>
      <c r="E4" s="30">
        <v>0.82350000000000001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0.94120000000000004</v>
      </c>
      <c r="M4" s="30">
        <v>1</v>
      </c>
      <c r="N4" s="30">
        <v>1</v>
      </c>
      <c r="O4" s="30">
        <v>1</v>
      </c>
      <c r="P4" s="30">
        <v>0.94120000000000004</v>
      </c>
      <c r="Q4" s="30">
        <v>0.94120000000000004</v>
      </c>
      <c r="R4" s="30">
        <v>0.94120000000000004</v>
      </c>
      <c r="S4" s="30">
        <v>0.94120000000000004</v>
      </c>
      <c r="T4" s="30">
        <v>0</v>
      </c>
      <c r="U4" s="30" t="s">
        <v>52</v>
      </c>
      <c r="V4" s="30">
        <v>1</v>
      </c>
      <c r="W4" s="30">
        <v>1</v>
      </c>
      <c r="X4" s="30" t="s">
        <v>52</v>
      </c>
      <c r="Y4" s="30" t="s">
        <v>52</v>
      </c>
      <c r="Z4" s="30">
        <v>1</v>
      </c>
      <c r="AA4" s="30">
        <v>1</v>
      </c>
      <c r="AB4" s="30">
        <v>1</v>
      </c>
      <c r="AC4" s="30" t="s">
        <v>52</v>
      </c>
      <c r="AD4" s="30" t="s">
        <v>52</v>
      </c>
      <c r="AE4" s="30">
        <v>1</v>
      </c>
      <c r="AF4" s="30">
        <v>1</v>
      </c>
      <c r="AG4" s="30">
        <v>1</v>
      </c>
      <c r="AH4" s="30">
        <v>1</v>
      </c>
      <c r="AI4" s="30" t="s">
        <v>52</v>
      </c>
      <c r="AJ4" s="30">
        <v>1</v>
      </c>
      <c r="AK4" s="30" t="s">
        <v>52</v>
      </c>
      <c r="AL4" s="30">
        <v>1</v>
      </c>
      <c r="AM4" s="30" t="s">
        <v>52</v>
      </c>
      <c r="AN4" s="30">
        <v>1</v>
      </c>
      <c r="AO4" s="30">
        <v>1</v>
      </c>
      <c r="AP4" s="26">
        <f>AVERAGE(E4:Q4)</f>
        <v>0.97285384615384629</v>
      </c>
      <c r="AQ4" s="31"/>
      <c r="AR4" s="31"/>
    </row>
    <row r="5" spans="2:44" x14ac:dyDescent="0.25">
      <c r="B5" s="22">
        <v>2</v>
      </c>
      <c r="C5" s="22" t="s">
        <v>33</v>
      </c>
      <c r="D5" s="22"/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1</v>
      </c>
      <c r="T5" s="30">
        <v>0</v>
      </c>
      <c r="U5" s="30" t="s">
        <v>52</v>
      </c>
      <c r="V5" s="30">
        <v>1</v>
      </c>
      <c r="W5" s="30">
        <v>1</v>
      </c>
      <c r="X5" s="30" t="s">
        <v>52</v>
      </c>
      <c r="Y5" s="30" t="s">
        <v>52</v>
      </c>
      <c r="Z5" s="30">
        <v>1</v>
      </c>
      <c r="AA5" s="30">
        <v>1</v>
      </c>
      <c r="AB5" s="30">
        <v>1</v>
      </c>
      <c r="AC5" s="30" t="s">
        <v>52</v>
      </c>
      <c r="AD5" s="30" t="s">
        <v>52</v>
      </c>
      <c r="AE5" s="30">
        <v>1</v>
      </c>
      <c r="AF5" s="30">
        <v>1</v>
      </c>
      <c r="AG5" s="30">
        <v>1</v>
      </c>
      <c r="AH5" s="30">
        <v>1</v>
      </c>
      <c r="AI5" s="30" t="s">
        <v>52</v>
      </c>
      <c r="AJ5" s="30">
        <v>1</v>
      </c>
      <c r="AK5" s="30" t="s">
        <v>52</v>
      </c>
      <c r="AL5" s="30">
        <v>1</v>
      </c>
      <c r="AM5" s="30" t="s">
        <v>52</v>
      </c>
      <c r="AN5" s="30">
        <v>1</v>
      </c>
      <c r="AO5" s="30">
        <v>1</v>
      </c>
      <c r="AP5" s="26">
        <f>AVERAGE(E5:Q5)</f>
        <v>1</v>
      </c>
      <c r="AQ5" s="31"/>
      <c r="AR5" s="31"/>
    </row>
    <row r="6" spans="2:44" x14ac:dyDescent="0.25">
      <c r="B6" s="22">
        <v>3</v>
      </c>
      <c r="C6" s="22" t="s">
        <v>34</v>
      </c>
      <c r="D6" s="22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26" t="e">
        <f>AVERAGE(E6:Q6)</f>
        <v>#DIV/0!</v>
      </c>
      <c r="AQ6" s="31"/>
      <c r="AR6" s="31"/>
    </row>
    <row r="7" spans="2:44" x14ac:dyDescent="0.25">
      <c r="B7" s="22">
        <v>4</v>
      </c>
      <c r="C7" s="22" t="s">
        <v>35</v>
      </c>
      <c r="D7" s="22"/>
      <c r="E7" s="30">
        <v>1</v>
      </c>
      <c r="F7" s="30">
        <v>1</v>
      </c>
      <c r="G7" s="30">
        <v>1</v>
      </c>
      <c r="H7" s="30">
        <v>1</v>
      </c>
      <c r="I7" s="30">
        <v>1</v>
      </c>
      <c r="J7" s="30">
        <v>1</v>
      </c>
      <c r="K7" s="30">
        <v>1</v>
      </c>
      <c r="L7" s="30">
        <v>1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1</v>
      </c>
      <c r="T7" s="30">
        <v>0</v>
      </c>
      <c r="U7" s="30" t="s">
        <v>52</v>
      </c>
      <c r="V7" s="30">
        <v>1</v>
      </c>
      <c r="W7" s="30">
        <v>1</v>
      </c>
      <c r="X7" s="30" t="s">
        <v>52</v>
      </c>
      <c r="Y7" s="30" t="s">
        <v>52</v>
      </c>
      <c r="Z7" s="30">
        <v>1</v>
      </c>
      <c r="AA7" s="30">
        <v>1</v>
      </c>
      <c r="AB7" s="30">
        <v>1</v>
      </c>
      <c r="AC7" s="30" t="s">
        <v>52</v>
      </c>
      <c r="AD7" s="30" t="s">
        <v>52</v>
      </c>
      <c r="AE7" s="30">
        <v>1</v>
      </c>
      <c r="AF7" s="30">
        <v>1</v>
      </c>
      <c r="AG7" s="30">
        <v>1</v>
      </c>
      <c r="AH7" s="30">
        <v>1</v>
      </c>
      <c r="AI7" s="30" t="s">
        <v>52</v>
      </c>
      <c r="AJ7" s="30">
        <v>1</v>
      </c>
      <c r="AK7" s="30" t="s">
        <v>52</v>
      </c>
      <c r="AL7" s="30">
        <v>1</v>
      </c>
      <c r="AM7" s="30" t="s">
        <v>52</v>
      </c>
      <c r="AN7" s="30">
        <v>1</v>
      </c>
      <c r="AO7" s="30">
        <v>1</v>
      </c>
      <c r="AP7" s="26">
        <f>AVERAGE(E7:Q7)</f>
        <v>1</v>
      </c>
      <c r="AQ7" s="31"/>
      <c r="AR7" s="31"/>
    </row>
    <row r="8" spans="2:44" x14ac:dyDescent="0.25">
      <c r="B8" s="22">
        <v>5</v>
      </c>
      <c r="C8" s="22" t="s">
        <v>36</v>
      </c>
      <c r="D8" s="32">
        <v>1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26">
        <f>AVERAGE(D8:Q8)</f>
        <v>1</v>
      </c>
      <c r="AQ8" s="31"/>
      <c r="AR8" s="31"/>
    </row>
    <row r="9" spans="2:44" x14ac:dyDescent="0.25">
      <c r="AQ9" s="31"/>
      <c r="AR9" s="31"/>
    </row>
    <row r="10" spans="2:44" ht="14.25" customHeight="1" x14ac:dyDescent="0.25">
      <c r="C10" s="20" t="s">
        <v>27</v>
      </c>
      <c r="D10" s="20"/>
      <c r="E10" s="28">
        <v>42375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 t="s">
        <v>23</v>
      </c>
      <c r="AQ10" s="31"/>
      <c r="AR10" s="31"/>
    </row>
    <row r="11" spans="2:44" x14ac:dyDescent="0.2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9"/>
      <c r="AQ11" s="31"/>
      <c r="AR11" s="31"/>
    </row>
    <row r="12" spans="2:44" x14ac:dyDescent="0.25">
      <c r="B12" s="22">
        <v>1</v>
      </c>
      <c r="C12" s="22" t="s">
        <v>37</v>
      </c>
      <c r="D12" s="22"/>
      <c r="E12" s="25">
        <v>1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6">
        <f>AVERAGE(E12:Q12)</f>
        <v>1</v>
      </c>
      <c r="AQ12" s="31"/>
      <c r="AR12" s="31"/>
    </row>
    <row r="13" spans="2:44" x14ac:dyDescent="0.25">
      <c r="B13" s="22">
        <v>2</v>
      </c>
      <c r="C13" s="22" t="s">
        <v>38</v>
      </c>
      <c r="D13" s="22"/>
      <c r="E13" s="25">
        <v>0.85709999999999997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6">
        <f>AVERAGE(E13:Q13)</f>
        <v>0.85709999999999997</v>
      </c>
      <c r="AQ13" s="33"/>
      <c r="AR13" s="34"/>
    </row>
    <row r="14" spans="2:44" x14ac:dyDescent="0.25">
      <c r="B14" s="22">
        <v>3</v>
      </c>
      <c r="C14" s="22" t="s">
        <v>39</v>
      </c>
      <c r="D14" s="22"/>
      <c r="E14" s="25">
        <v>1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6">
        <f>AVERAGE(E14:Q14)</f>
        <v>1</v>
      </c>
    </row>
    <row r="15" spans="2:44" x14ac:dyDescent="0.25">
      <c r="C15" s="35"/>
      <c r="D15" s="35"/>
    </row>
    <row r="33" ht="21" customHeight="1" x14ac:dyDescent="0.25"/>
  </sheetData>
  <conditionalFormatting sqref="AP10">
    <cfRule type="cellIs" dxfId="15" priority="2" operator="notEqual">
      <formula>INDIRECT("Dummy_for_Comparison1!"&amp;ADDRESS(ROW(),COLUMN()))</formula>
    </cfRule>
  </conditionalFormatting>
  <conditionalFormatting sqref="C11:D11">
    <cfRule type="cellIs" dxfId="14" priority="3" operator="notEqual">
      <formula>INDIRECT("Dummy_for_Comparison1!"&amp;ADDRESS(ROW(),COLUMN()))</formula>
    </cfRule>
  </conditionalFormatting>
  <conditionalFormatting sqref="C12:D14">
    <cfRule type="cellIs" dxfId="13" priority="4" operator="notEqual">
      <formula>INDIRECT("Dummy_for_Comparison1!"&amp;ADDRESS(ROW(),COLUMN()))</formula>
    </cfRule>
  </conditionalFormatting>
  <conditionalFormatting sqref="B3:B8">
    <cfRule type="cellIs" dxfId="12" priority="5" operator="notEqual">
      <formula>INDIRECT("Dummy_for_Comparison1!"&amp;ADDRESS(ROW(),COLUMN()))</formula>
    </cfRule>
  </conditionalFormatting>
  <conditionalFormatting sqref="B11:B14">
    <cfRule type="cellIs" dxfId="11" priority="6" operator="notEqual">
      <formula>INDIRECT("Dummy_for_Comparison1!"&amp;ADDRESS(ROW(),COLUMN()))</formula>
    </cfRule>
  </conditionalFormatting>
  <conditionalFormatting sqref="E10">
    <cfRule type="cellIs" dxfId="10" priority="7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6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N6" sqref="AN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1" max="41" width="18.7109375"/>
    <col min="42" max="42" width="11.5703125"/>
    <col min="43" max="43" width="15.7109375"/>
    <col min="44" max="1049" width="11.5703125"/>
  </cols>
  <sheetData>
    <row r="2" spans="2:43" ht="15" customHeight="1" x14ac:dyDescent="0.25"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53</v>
      </c>
      <c r="R2" s="20" t="s">
        <v>54</v>
      </c>
      <c r="S2" s="20" t="s">
        <v>55</v>
      </c>
      <c r="T2" s="20" t="s">
        <v>56</v>
      </c>
      <c r="U2" s="20" t="s">
        <v>57</v>
      </c>
      <c r="V2" s="20" t="s">
        <v>60</v>
      </c>
      <c r="W2" s="20" t="s">
        <v>59</v>
      </c>
      <c r="X2" s="20" t="s">
        <v>61</v>
      </c>
      <c r="Y2" s="20" t="s">
        <v>58</v>
      </c>
      <c r="Z2" s="20" t="s">
        <v>62</v>
      </c>
      <c r="AA2" s="20" t="s">
        <v>63</v>
      </c>
      <c r="AB2" s="20" t="s">
        <v>64</v>
      </c>
      <c r="AC2" s="20" t="s">
        <v>65</v>
      </c>
      <c r="AD2" s="20" t="s">
        <v>66</v>
      </c>
      <c r="AE2" s="20" t="s">
        <v>67</v>
      </c>
      <c r="AF2" s="20" t="s">
        <v>68</v>
      </c>
      <c r="AG2" s="20" t="s">
        <v>69</v>
      </c>
      <c r="AH2" s="20" t="s">
        <v>70</v>
      </c>
      <c r="AI2" s="20" t="s">
        <v>71</v>
      </c>
      <c r="AJ2" s="20" t="s">
        <v>72</v>
      </c>
      <c r="AK2" s="20" t="s">
        <v>73</v>
      </c>
      <c r="AL2" s="20" t="s">
        <v>74</v>
      </c>
      <c r="AM2" s="20" t="s">
        <v>75</v>
      </c>
      <c r="AN2" s="20" t="s">
        <v>76</v>
      </c>
      <c r="AO2" s="20" t="s">
        <v>23</v>
      </c>
      <c r="AP2" s="31"/>
      <c r="AQ2" s="31"/>
    </row>
    <row r="3" spans="2:43" x14ac:dyDescent="0.25">
      <c r="B3" s="22"/>
      <c r="C3" s="22" t="s">
        <v>40</v>
      </c>
      <c r="D3" s="23">
        <v>20160119</v>
      </c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20160202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4"/>
      <c r="AP3" s="31"/>
      <c r="AQ3" s="31"/>
    </row>
    <row r="4" spans="2:43" x14ac:dyDescent="0.25">
      <c r="B4" s="22">
        <v>1</v>
      </c>
      <c r="C4" s="22" t="s">
        <v>41</v>
      </c>
      <c r="D4" s="30">
        <v>1</v>
      </c>
      <c r="E4" s="30">
        <v>0.5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0.5</v>
      </c>
      <c r="O4" s="30">
        <v>0.5</v>
      </c>
      <c r="P4" s="30">
        <v>0.5</v>
      </c>
      <c r="Q4" s="30">
        <v>1</v>
      </c>
      <c r="R4" s="30">
        <v>0</v>
      </c>
      <c r="S4" s="30">
        <v>0</v>
      </c>
      <c r="T4" s="30" t="s">
        <v>52</v>
      </c>
      <c r="U4" s="30">
        <v>1</v>
      </c>
      <c r="V4" s="30">
        <v>0.5</v>
      </c>
      <c r="W4" s="30" t="s">
        <v>52</v>
      </c>
      <c r="X4" s="30" t="s">
        <v>52</v>
      </c>
      <c r="Y4" s="30">
        <v>1</v>
      </c>
      <c r="Z4" s="30">
        <v>1</v>
      </c>
      <c r="AA4" s="30">
        <v>1</v>
      </c>
      <c r="AB4" s="30" t="s">
        <v>52</v>
      </c>
      <c r="AC4" s="30" t="s">
        <v>52</v>
      </c>
      <c r="AD4" s="30">
        <v>1</v>
      </c>
      <c r="AE4" s="30">
        <v>1</v>
      </c>
      <c r="AF4" s="30">
        <v>1</v>
      </c>
      <c r="AG4" s="30">
        <v>1</v>
      </c>
      <c r="AH4" s="30" t="s">
        <v>52</v>
      </c>
      <c r="AI4" s="30">
        <v>1</v>
      </c>
      <c r="AJ4" s="30" t="s">
        <v>52</v>
      </c>
      <c r="AK4" s="30">
        <v>1</v>
      </c>
      <c r="AL4" s="30" t="s">
        <v>52</v>
      </c>
      <c r="AM4" s="30">
        <v>1</v>
      </c>
      <c r="AN4" s="30">
        <v>1</v>
      </c>
      <c r="AO4" s="26">
        <f>AVERAGE(D4:P4)</f>
        <v>0.84615384615384615</v>
      </c>
      <c r="AP4" s="31"/>
      <c r="AQ4" s="31"/>
    </row>
    <row r="5" spans="2:43" x14ac:dyDescent="0.25">
      <c r="B5" s="22">
        <v>2</v>
      </c>
      <c r="C5" s="22" t="s">
        <v>42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0</v>
      </c>
      <c r="O5" s="30">
        <v>0</v>
      </c>
      <c r="P5" s="30">
        <v>0</v>
      </c>
      <c r="Q5" s="30">
        <v>1</v>
      </c>
      <c r="R5" s="30">
        <v>0</v>
      </c>
      <c r="S5" s="30">
        <v>0</v>
      </c>
      <c r="T5" s="30" t="s">
        <v>52</v>
      </c>
      <c r="U5" s="30">
        <v>0</v>
      </c>
      <c r="V5" s="30">
        <v>0</v>
      </c>
      <c r="W5" s="30" t="s">
        <v>52</v>
      </c>
      <c r="X5" s="30" t="s">
        <v>52</v>
      </c>
      <c r="Y5" s="30">
        <v>0</v>
      </c>
      <c r="Z5" s="30">
        <v>0</v>
      </c>
      <c r="AA5" s="30">
        <v>0</v>
      </c>
      <c r="AB5" s="30" t="s">
        <v>52</v>
      </c>
      <c r="AC5" s="30" t="s">
        <v>52</v>
      </c>
      <c r="AD5" s="30">
        <v>0</v>
      </c>
      <c r="AE5" s="30">
        <v>1</v>
      </c>
      <c r="AF5" s="30">
        <v>1</v>
      </c>
      <c r="AG5" s="30">
        <v>1</v>
      </c>
      <c r="AH5" s="30" t="s">
        <v>52</v>
      </c>
      <c r="AI5" s="30">
        <v>1</v>
      </c>
      <c r="AJ5" s="30" t="s">
        <v>52</v>
      </c>
      <c r="AK5" s="30">
        <v>1</v>
      </c>
      <c r="AL5" s="30" t="s">
        <v>52</v>
      </c>
      <c r="AM5" s="30">
        <v>1</v>
      </c>
      <c r="AN5" s="30">
        <v>1</v>
      </c>
      <c r="AO5" s="26">
        <f>AVERAGE(D5:P5)</f>
        <v>0.76923076923076927</v>
      </c>
      <c r="AP5" s="31"/>
      <c r="AQ5" s="31"/>
    </row>
    <row r="6" spans="2:43" x14ac:dyDescent="0.25">
      <c r="B6" s="22">
        <v>3</v>
      </c>
      <c r="C6" s="22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26" t="e">
        <f>AVERAGE(D6:P6)</f>
        <v>#DIV/0!</v>
      </c>
      <c r="AP6" s="31"/>
      <c r="AQ6" s="31"/>
    </row>
    <row r="7" spans="2:43" x14ac:dyDescent="0.25">
      <c r="AP7" s="31"/>
      <c r="AQ7" s="31"/>
    </row>
    <row r="8" spans="2:43" x14ac:dyDescent="0.25">
      <c r="C8" s="35"/>
    </row>
    <row r="26" ht="21" customHeight="1" x14ac:dyDescent="0.25"/>
  </sheetData>
  <conditionalFormatting sqref="B3:B6">
    <cfRule type="cellIs" dxfId="9" priority="2" operator="notEqual">
      <formula>INDIRECT("Dummy_for_Comparison1!"&amp;ADDRESS(ROW(),COLUMN()))</formula>
    </cfRule>
  </conditionalFormatting>
  <conditionalFormatting sqref="D3:P3">
    <cfRule type="cellIs" dxfId="8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W26"/>
  <sheetViews>
    <sheetView zoomScaleNormal="100" workbookViewId="0">
      <pane xSplit="3" ySplit="3" topLeftCell="AE4" activePane="bottomRight" state="frozen"/>
      <selection pane="topRight" activeCell="D1" sqref="D1"/>
      <selection pane="bottomLeft" activeCell="A4" sqref="A4"/>
      <selection pane="bottomRight" activeCell="AN6" sqref="AN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0" width="9.140625" style="1"/>
    <col min="41" max="41" width="19.140625" style="1"/>
    <col min="42" max="42" width="11.5703125" style="1"/>
    <col min="43" max="43" width="15.7109375" style="1"/>
    <col min="44" max="1011" width="11.5703125" style="1"/>
    <col min="1012" max="1049" width="11.5703125"/>
  </cols>
  <sheetData>
    <row r="1" spans="2:43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</row>
    <row r="2" spans="2:43" ht="15" customHeight="1" x14ac:dyDescent="0.25">
      <c r="B2"/>
      <c r="C2"/>
      <c r="D2" s="20" t="s">
        <v>1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  <c r="O2" s="20" t="s">
        <v>21</v>
      </c>
      <c r="P2" s="20" t="s">
        <v>22</v>
      </c>
      <c r="Q2" s="20" t="s">
        <v>53</v>
      </c>
      <c r="R2" s="20" t="s">
        <v>54</v>
      </c>
      <c r="S2" s="20" t="s">
        <v>55</v>
      </c>
      <c r="T2" s="20" t="s">
        <v>56</v>
      </c>
      <c r="U2" s="20" t="s">
        <v>57</v>
      </c>
      <c r="V2" s="20" t="s">
        <v>60</v>
      </c>
      <c r="W2" s="20" t="s">
        <v>59</v>
      </c>
      <c r="X2" s="20" t="s">
        <v>61</v>
      </c>
      <c r="Y2" s="20" t="s">
        <v>58</v>
      </c>
      <c r="Z2" s="20" t="s">
        <v>62</v>
      </c>
      <c r="AA2" s="20" t="s">
        <v>63</v>
      </c>
      <c r="AB2" s="20" t="s">
        <v>64</v>
      </c>
      <c r="AC2" s="20" t="s">
        <v>65</v>
      </c>
      <c r="AD2" s="20" t="s">
        <v>66</v>
      </c>
      <c r="AE2" s="20" t="s">
        <v>67</v>
      </c>
      <c r="AF2" s="20" t="s">
        <v>68</v>
      </c>
      <c r="AG2" s="20" t="s">
        <v>69</v>
      </c>
      <c r="AH2" s="20" t="s">
        <v>70</v>
      </c>
      <c r="AI2" s="20" t="s">
        <v>71</v>
      </c>
      <c r="AJ2" s="20" t="s">
        <v>72</v>
      </c>
      <c r="AK2" s="20" t="s">
        <v>73</v>
      </c>
      <c r="AL2" s="20" t="s">
        <v>74</v>
      </c>
      <c r="AM2" s="20" t="s">
        <v>75</v>
      </c>
      <c r="AN2" s="20" t="s">
        <v>76</v>
      </c>
      <c r="AO2" s="20" t="s">
        <v>23</v>
      </c>
      <c r="AP2" s="31"/>
      <c r="AQ2" s="31"/>
    </row>
    <row r="3" spans="2:43" x14ac:dyDescent="0.25">
      <c r="B3" s="22"/>
      <c r="C3" s="22" t="s">
        <v>43</v>
      </c>
      <c r="D3" s="23">
        <v>20160119</v>
      </c>
      <c r="E3" s="23">
        <v>20160119</v>
      </c>
      <c r="F3" s="23">
        <v>20160119</v>
      </c>
      <c r="G3" s="23">
        <v>20160119</v>
      </c>
      <c r="H3" s="23">
        <v>20160119</v>
      </c>
      <c r="I3" s="23">
        <v>20160119</v>
      </c>
      <c r="J3" s="23">
        <v>20160119</v>
      </c>
      <c r="K3" s="23">
        <v>20160119</v>
      </c>
      <c r="L3" s="23">
        <v>20160119</v>
      </c>
      <c r="M3" s="23">
        <v>20160119</v>
      </c>
      <c r="N3" s="23">
        <v>20160119</v>
      </c>
      <c r="O3" s="23">
        <v>20160119</v>
      </c>
      <c r="P3" s="23">
        <v>20160119</v>
      </c>
      <c r="Q3" s="23">
        <v>20160202</v>
      </c>
      <c r="R3" s="23">
        <v>20160202</v>
      </c>
      <c r="S3" s="23">
        <v>20160202</v>
      </c>
      <c r="T3" s="23">
        <v>20160202</v>
      </c>
      <c r="U3" s="23">
        <v>20160202</v>
      </c>
      <c r="V3" s="23">
        <v>20160202</v>
      </c>
      <c r="W3" s="23">
        <v>20160202</v>
      </c>
      <c r="X3" s="23">
        <v>20160202</v>
      </c>
      <c r="Y3" s="23">
        <v>20160202</v>
      </c>
      <c r="Z3" s="23">
        <v>20160202</v>
      </c>
      <c r="AA3" s="23">
        <v>20160202</v>
      </c>
      <c r="AB3" s="23">
        <v>20160202</v>
      </c>
      <c r="AC3" s="23">
        <v>20160202</v>
      </c>
      <c r="AD3" s="23">
        <v>20160202</v>
      </c>
      <c r="AE3" s="23">
        <v>20160202</v>
      </c>
      <c r="AF3" s="23">
        <v>20160202</v>
      </c>
      <c r="AG3" s="23">
        <v>20160202</v>
      </c>
      <c r="AH3" s="23">
        <v>20160202</v>
      </c>
      <c r="AI3" s="23">
        <v>20160202</v>
      </c>
      <c r="AJ3" s="23">
        <v>20160202</v>
      </c>
      <c r="AK3" s="23">
        <v>20160202</v>
      </c>
      <c r="AL3" s="23">
        <v>20160202</v>
      </c>
      <c r="AM3" s="23">
        <v>20160202</v>
      </c>
      <c r="AN3" s="23">
        <v>20160202</v>
      </c>
      <c r="AO3" s="24"/>
      <c r="AP3" s="31"/>
      <c r="AQ3" s="31"/>
    </row>
    <row r="4" spans="2:43" x14ac:dyDescent="0.25">
      <c r="B4" s="22">
        <v>1</v>
      </c>
      <c r="C4" s="22" t="s">
        <v>42</v>
      </c>
      <c r="D4" s="30">
        <v>0.67</v>
      </c>
      <c r="E4" s="30">
        <v>1</v>
      </c>
      <c r="F4" s="30">
        <v>1</v>
      </c>
      <c r="G4" s="30">
        <v>1</v>
      </c>
      <c r="H4" s="30">
        <v>1</v>
      </c>
      <c r="I4" s="30">
        <v>1</v>
      </c>
      <c r="J4" s="30">
        <v>1</v>
      </c>
      <c r="K4" s="30">
        <v>1</v>
      </c>
      <c r="L4" s="30">
        <v>1</v>
      </c>
      <c r="M4" s="30">
        <v>1</v>
      </c>
      <c r="N4" s="30">
        <v>0</v>
      </c>
      <c r="O4" s="30">
        <v>0.33</v>
      </c>
      <c r="P4" s="30">
        <v>0.33</v>
      </c>
      <c r="Q4" s="30">
        <v>1</v>
      </c>
      <c r="R4" s="30">
        <v>0.33</v>
      </c>
      <c r="S4" s="30">
        <v>0.33329999999999999</v>
      </c>
      <c r="T4" s="30" t="s">
        <v>52</v>
      </c>
      <c r="U4" s="30">
        <v>0.33</v>
      </c>
      <c r="V4" s="30">
        <v>0.33</v>
      </c>
      <c r="W4" s="30" t="s">
        <v>52</v>
      </c>
      <c r="X4" s="30" t="s">
        <v>52</v>
      </c>
      <c r="Y4" s="30">
        <v>0.33</v>
      </c>
      <c r="Z4" s="30">
        <v>0.33</v>
      </c>
      <c r="AA4" s="30">
        <v>0.33</v>
      </c>
      <c r="AB4" s="30" t="s">
        <v>52</v>
      </c>
      <c r="AC4" s="30" t="s">
        <v>52</v>
      </c>
      <c r="AD4" s="30">
        <v>1</v>
      </c>
      <c r="AE4" s="30">
        <v>0.67</v>
      </c>
      <c r="AF4" s="30">
        <v>1</v>
      </c>
      <c r="AG4" s="30">
        <v>1</v>
      </c>
      <c r="AH4" s="30" t="s">
        <v>52</v>
      </c>
      <c r="AI4" s="30">
        <v>1</v>
      </c>
      <c r="AJ4" s="30" t="s">
        <v>52</v>
      </c>
      <c r="AK4" s="30">
        <v>1</v>
      </c>
      <c r="AL4" s="30" t="s">
        <v>52</v>
      </c>
      <c r="AM4" s="30">
        <v>1</v>
      </c>
      <c r="AN4" s="30">
        <v>1</v>
      </c>
      <c r="AO4" s="26">
        <f>AVERAGE(D4:P4)</f>
        <v>0.79461538461538461</v>
      </c>
      <c r="AP4" s="31"/>
      <c r="AQ4" s="31"/>
    </row>
    <row r="5" spans="2:43" x14ac:dyDescent="0.25">
      <c r="B5" s="22">
        <v>2</v>
      </c>
      <c r="C5" s="22" t="s">
        <v>44</v>
      </c>
      <c r="D5" s="30">
        <v>1</v>
      </c>
      <c r="E5" s="30">
        <v>1</v>
      </c>
      <c r="F5" s="30">
        <v>1</v>
      </c>
      <c r="G5" s="30">
        <v>1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>
        <v>1</v>
      </c>
      <c r="N5" s="30">
        <v>1</v>
      </c>
      <c r="O5" s="30">
        <v>1</v>
      </c>
      <c r="P5" s="30">
        <v>1</v>
      </c>
      <c r="Q5" s="30">
        <v>1</v>
      </c>
      <c r="R5" s="30">
        <v>1</v>
      </c>
      <c r="S5" s="30">
        <v>0</v>
      </c>
      <c r="T5" s="30" t="s">
        <v>52</v>
      </c>
      <c r="U5" s="30">
        <v>1</v>
      </c>
      <c r="V5" s="30">
        <v>1</v>
      </c>
      <c r="W5" s="30" t="s">
        <v>52</v>
      </c>
      <c r="X5" s="30" t="s">
        <v>52</v>
      </c>
      <c r="Y5" s="30">
        <v>1</v>
      </c>
      <c r="Z5" s="30">
        <v>1</v>
      </c>
      <c r="AA5" s="30">
        <v>1</v>
      </c>
      <c r="AB5" s="30" t="s">
        <v>52</v>
      </c>
      <c r="AC5" s="30" t="s">
        <v>52</v>
      </c>
      <c r="AD5" s="30">
        <v>1</v>
      </c>
      <c r="AE5" s="30">
        <v>1</v>
      </c>
      <c r="AF5" s="30">
        <v>1</v>
      </c>
      <c r="AG5" s="30">
        <v>1</v>
      </c>
      <c r="AH5" s="30" t="s">
        <v>52</v>
      </c>
      <c r="AI5" s="30">
        <v>1</v>
      </c>
      <c r="AJ5" s="30" t="s">
        <v>52</v>
      </c>
      <c r="AK5" s="30">
        <v>1</v>
      </c>
      <c r="AL5" s="30" t="s">
        <v>52</v>
      </c>
      <c r="AM5" s="30">
        <v>1</v>
      </c>
      <c r="AN5" s="30">
        <v>1</v>
      </c>
      <c r="AO5" s="26">
        <f>AVERAGE(D5:P5)</f>
        <v>1</v>
      </c>
      <c r="AP5" s="31"/>
      <c r="AQ5" s="31"/>
    </row>
    <row r="6" spans="2:43" x14ac:dyDescent="0.25">
      <c r="B6" s="22">
        <v>3</v>
      </c>
      <c r="C6" s="22" t="s">
        <v>45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26" t="e">
        <f>AVERAGE(D6:P6)</f>
        <v>#DIV/0!</v>
      </c>
      <c r="AP6" s="31"/>
      <c r="AQ6" s="31"/>
    </row>
    <row r="26" ht="21" customHeight="1" x14ac:dyDescent="0.25"/>
  </sheetData>
  <conditionalFormatting sqref="B3:B6">
    <cfRule type="cellIs" dxfId="7" priority="2" operator="notEqual">
      <formula>INDIRECT("Dummy_for_Comparison1!"&amp;ADDRESS(ROW(),COLUMN()))</formula>
    </cfRule>
  </conditionalFormatting>
  <conditionalFormatting sqref="D3:P3">
    <cfRule type="cellIs" dxfId="6" priority="3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" spans="1:9" ht="21" customHeight="1" x14ac:dyDescent="0.35">
      <c r="A1" s="53">
        <v>42370</v>
      </c>
      <c r="B1" s="14" t="s">
        <v>2</v>
      </c>
      <c r="C1" s="14" t="s">
        <v>3</v>
      </c>
      <c r="D1" s="14" t="s">
        <v>47</v>
      </c>
      <c r="G1" s="54" t="s">
        <v>46</v>
      </c>
      <c r="H1" s="54"/>
      <c r="I1" s="54"/>
    </row>
    <row r="2" spans="1:9" ht="21" x14ac:dyDescent="0.25">
      <c r="A2" s="40" t="s">
        <v>48</v>
      </c>
      <c r="B2" s="41"/>
      <c r="C2" s="41">
        <f>SUM(C3:C4)</f>
        <v>0</v>
      </c>
      <c r="D2" s="42" t="e">
        <f>(C2 * 100)/B2</f>
        <v>#DIV/0!</v>
      </c>
      <c r="F2" s="36"/>
      <c r="G2" s="37" t="s">
        <v>2</v>
      </c>
      <c r="H2" s="38" t="s">
        <v>3</v>
      </c>
      <c r="I2" s="39" t="s">
        <v>47</v>
      </c>
    </row>
    <row r="3" spans="1:9" x14ac:dyDescent="0.25">
      <c r="A3" s="5" t="s">
        <v>90</v>
      </c>
      <c r="B3" s="44">
        <f>B2/2</f>
        <v>0</v>
      </c>
      <c r="C3" s="46"/>
      <c r="D3" s="47" t="e">
        <f>(C3 * 100)/B3</f>
        <v>#DIV/0!</v>
      </c>
      <c r="F3" s="43"/>
      <c r="G3" s="44"/>
      <c r="H3" s="41"/>
      <c r="I3" s="45" t="e">
        <f>(H3 * 100)/G3</f>
        <v>#DIV/0!</v>
      </c>
    </row>
    <row r="4" spans="1:9" x14ac:dyDescent="0.25">
      <c r="A4" s="5" t="s">
        <v>49</v>
      </c>
      <c r="B4" s="44">
        <f>B2/2</f>
        <v>0</v>
      </c>
      <c r="C4" s="46"/>
      <c r="D4" s="50" t="e">
        <f>(C4 * 100)/B4</f>
        <v>#DIV/0!</v>
      </c>
      <c r="F4" s="43"/>
      <c r="G4" s="48"/>
      <c r="H4" s="48"/>
      <c r="I4" s="49"/>
    </row>
    <row r="5" spans="1:9" x14ac:dyDescent="0.25">
      <c r="F5" s="43"/>
      <c r="G5" s="48"/>
      <c r="H5" s="48"/>
      <c r="I5" s="49"/>
    </row>
    <row r="21" spans="1:9" ht="21" customHeight="1" x14ac:dyDescent="0.35">
      <c r="A21" s="53">
        <v>42401</v>
      </c>
      <c r="B21" s="14" t="s">
        <v>2</v>
      </c>
      <c r="C21" s="14" t="s">
        <v>3</v>
      </c>
      <c r="D21" s="14" t="s">
        <v>47</v>
      </c>
      <c r="G21" s="54" t="s">
        <v>46</v>
      </c>
      <c r="H21" s="54"/>
      <c r="I21" s="54"/>
    </row>
    <row r="22" spans="1:9" x14ac:dyDescent="0.25">
      <c r="A22" s="40" t="s">
        <v>48</v>
      </c>
      <c r="B22" s="41"/>
      <c r="C22" s="41">
        <f>SUM(C23:C24)</f>
        <v>0</v>
      </c>
      <c r="D22" s="42" t="e">
        <f>(C22 * 100)/B22</f>
        <v>#DIV/0!</v>
      </c>
      <c r="G22" s="37" t="s">
        <v>2</v>
      </c>
      <c r="H22" s="38" t="s">
        <v>3</v>
      </c>
      <c r="I22" s="39" t="s">
        <v>47</v>
      </c>
    </row>
    <row r="23" spans="1:9" x14ac:dyDescent="0.25">
      <c r="A23" s="5" t="s">
        <v>90</v>
      </c>
      <c r="B23" s="44">
        <f>B22/2</f>
        <v>0</v>
      </c>
      <c r="C23" s="46"/>
      <c r="D23" s="47" t="e">
        <f>(C23 * 100)/B23</f>
        <v>#DIV/0!</v>
      </c>
      <c r="G23" s="44"/>
      <c r="H23" s="41"/>
      <c r="I23" s="45" t="e">
        <f>(H23 * 100)/G23</f>
        <v>#DIV/0!</v>
      </c>
    </row>
    <row r="24" spans="1:9" x14ac:dyDescent="0.25">
      <c r="A24" s="5" t="s">
        <v>49</v>
      </c>
      <c r="B24" s="44">
        <f>B22/2</f>
        <v>0</v>
      </c>
      <c r="C24" s="46"/>
      <c r="D24" s="50" t="e">
        <f>(C24 * 100)/B24</f>
        <v>#DIV/0!</v>
      </c>
    </row>
    <row r="25" spans="1:9" x14ac:dyDescent="0.25">
      <c r="A25" s="5" t="s">
        <v>91</v>
      </c>
      <c r="B25" s="44">
        <f>B23/2</f>
        <v>0</v>
      </c>
      <c r="C25" s="46"/>
      <c r="D25" s="50" t="e">
        <f>(C25 * 100)/B25</f>
        <v>#DIV/0!</v>
      </c>
    </row>
  </sheetData>
  <mergeCells count="2">
    <mergeCell ref="G1:I1"/>
    <mergeCell ref="G21:I21"/>
  </mergeCells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H7"/>
  <sheetViews>
    <sheetView topLeftCell="N1" zoomScaleNormal="100" workbookViewId="0">
      <selection activeCell="AD5" sqref="AD5"/>
    </sheetView>
  </sheetViews>
  <sheetFormatPr baseColWidth="10" defaultColWidth="9.140625" defaultRowHeight="15" x14ac:dyDescent="0.25"/>
  <cols>
    <col min="1" max="1" width="3" style="1"/>
    <col min="2" max="2" width="4" style="1"/>
    <col min="3" max="12" width="9.85546875" style="1"/>
    <col min="13" max="14" width="11.5703125" style="1"/>
    <col min="15" max="15" width="9.85546875" style="1" bestFit="1" customWidth="1"/>
    <col min="16" max="42" width="9.85546875" style="1" customWidth="1"/>
    <col min="43" max="1048" width="11.5703125" style="1"/>
    <col min="1049" max="1053" width="11.5703125"/>
  </cols>
  <sheetData>
    <row r="1" spans="3:44" x14ac:dyDescent="0.25">
      <c r="C1"/>
      <c r="D1"/>
      <c r="E1"/>
      <c r="F1" t="s">
        <v>50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3:44" x14ac:dyDescent="0.25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</row>
    <row r="3" spans="3:44" x14ac:dyDescent="0.25">
      <c r="C3" s="20" t="s">
        <v>1</v>
      </c>
      <c r="D3" s="20" t="s">
        <v>11</v>
      </c>
      <c r="E3" s="20" t="s">
        <v>12</v>
      </c>
      <c r="F3" s="20" t="s">
        <v>13</v>
      </c>
      <c r="G3" s="20" t="s">
        <v>14</v>
      </c>
      <c r="H3" s="20" t="s">
        <v>15</v>
      </c>
      <c r="I3" s="20" t="s">
        <v>16</v>
      </c>
      <c r="J3" s="20" t="s">
        <v>17</v>
      </c>
      <c r="K3" s="20" t="s">
        <v>18</v>
      </c>
      <c r="L3" s="20" t="s">
        <v>19</v>
      </c>
      <c r="M3" s="20" t="s">
        <v>20</v>
      </c>
      <c r="N3" s="20" t="s">
        <v>21</v>
      </c>
      <c r="O3" s="20" t="s">
        <v>22</v>
      </c>
      <c r="P3" s="20" t="s">
        <v>53</v>
      </c>
      <c r="Q3" s="20" t="s">
        <v>54</v>
      </c>
      <c r="R3" s="20" t="s">
        <v>55</v>
      </c>
      <c r="S3" s="20" t="s">
        <v>56</v>
      </c>
      <c r="T3" s="20" t="s">
        <v>57</v>
      </c>
      <c r="U3" s="20" t="s">
        <v>60</v>
      </c>
      <c r="V3" s="20" t="s">
        <v>59</v>
      </c>
      <c r="W3" s="20" t="s">
        <v>61</v>
      </c>
      <c r="X3" s="20" t="s">
        <v>58</v>
      </c>
      <c r="Y3" s="20" t="s">
        <v>62</v>
      </c>
      <c r="Z3" s="20" t="s">
        <v>63</v>
      </c>
      <c r="AA3" s="20" t="s">
        <v>64</v>
      </c>
      <c r="AB3" s="20" t="s">
        <v>65</v>
      </c>
      <c r="AC3" s="20" t="s">
        <v>66</v>
      </c>
      <c r="AD3" s="20" t="s">
        <v>67</v>
      </c>
      <c r="AE3" s="20" t="s">
        <v>68</v>
      </c>
      <c r="AF3" s="20" t="s">
        <v>69</v>
      </c>
      <c r="AG3" s="20" t="s">
        <v>70</v>
      </c>
      <c r="AH3" s="20" t="s">
        <v>71</v>
      </c>
      <c r="AI3" s="20" t="s">
        <v>72</v>
      </c>
      <c r="AJ3" s="20" t="s">
        <v>73</v>
      </c>
      <c r="AK3" s="20" t="s">
        <v>74</v>
      </c>
      <c r="AL3" s="20" t="s">
        <v>75</v>
      </c>
      <c r="AM3" s="20" t="s">
        <v>76</v>
      </c>
      <c r="AN3" s="20"/>
      <c r="AO3" s="20"/>
      <c r="AP3" s="20"/>
      <c r="AQ3" s="20"/>
      <c r="AR3" s="1" t="s">
        <v>51</v>
      </c>
    </row>
    <row r="4" spans="3:44" x14ac:dyDescent="0.25">
      <c r="C4" s="51">
        <v>42388</v>
      </c>
      <c r="D4" s="51">
        <v>42388</v>
      </c>
      <c r="E4" s="51">
        <v>42388</v>
      </c>
      <c r="F4" s="51">
        <v>42388</v>
      </c>
      <c r="G4" s="51">
        <v>42388</v>
      </c>
      <c r="H4" s="51">
        <v>42388</v>
      </c>
      <c r="I4" s="51">
        <v>42388</v>
      </c>
      <c r="J4" s="51">
        <v>42388</v>
      </c>
      <c r="K4" s="51">
        <v>42388</v>
      </c>
      <c r="L4" s="51">
        <v>42388</v>
      </c>
      <c r="M4" s="51">
        <v>42388</v>
      </c>
      <c r="N4" s="51">
        <v>42388</v>
      </c>
      <c r="O4" s="51">
        <v>42388</v>
      </c>
      <c r="P4" s="51">
        <v>42396</v>
      </c>
      <c r="Q4" s="51">
        <v>42396</v>
      </c>
      <c r="R4" s="51">
        <v>42396</v>
      </c>
      <c r="S4" s="51">
        <v>42396</v>
      </c>
      <c r="T4" s="51">
        <v>42396</v>
      </c>
      <c r="U4" s="51">
        <v>42396</v>
      </c>
      <c r="V4" s="51">
        <v>42396</v>
      </c>
      <c r="W4" s="51">
        <v>42396</v>
      </c>
      <c r="X4" s="51">
        <v>42396</v>
      </c>
      <c r="Y4" s="51">
        <v>42396</v>
      </c>
      <c r="Z4" s="51">
        <v>42396</v>
      </c>
      <c r="AA4" s="51">
        <v>42396</v>
      </c>
      <c r="AB4" s="51">
        <v>42396</v>
      </c>
      <c r="AC4" s="51">
        <v>42396</v>
      </c>
      <c r="AD4" s="51">
        <v>42396</v>
      </c>
      <c r="AE4" s="51">
        <v>42396</v>
      </c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>
        <v>42396</v>
      </c>
      <c r="AR4"/>
    </row>
    <row r="5" spans="3:44" x14ac:dyDescent="0.25">
      <c r="C5" s="30">
        <v>1</v>
      </c>
      <c r="D5" s="30">
        <v>1</v>
      </c>
      <c r="E5" s="30">
        <v>0.97</v>
      </c>
      <c r="F5" s="30">
        <v>0.97</v>
      </c>
      <c r="G5" s="30">
        <v>0.97</v>
      </c>
      <c r="H5" s="30">
        <v>1</v>
      </c>
      <c r="I5" s="30">
        <v>1</v>
      </c>
      <c r="J5" s="30">
        <v>1</v>
      </c>
      <c r="K5" s="30">
        <v>1</v>
      </c>
      <c r="L5" s="30">
        <v>1</v>
      </c>
      <c r="M5" s="30" t="s">
        <v>52</v>
      </c>
      <c r="N5" s="30">
        <v>1</v>
      </c>
      <c r="O5" s="30">
        <v>1</v>
      </c>
      <c r="P5" s="30"/>
      <c r="Q5" s="30">
        <v>0.97140000000000004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27">
        <f>AVERAGE(C5:AQ5)</f>
        <v>0.99087692307692299</v>
      </c>
    </row>
    <row r="6" spans="3:44" x14ac:dyDescent="0.25"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</row>
    <row r="7" spans="3:44" x14ac:dyDescent="0.25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</sheetData>
  <conditionalFormatting sqref="C4:L4">
    <cfRule type="cellIs" dxfId="5" priority="5" operator="notEqual">
      <formula>INDIRECT("Dummy_for_Comparison1!"&amp;ADDRESS(ROW(),COLUMN()))</formula>
    </cfRule>
  </conditionalFormatting>
  <conditionalFormatting sqref="M4">
    <cfRule type="cellIs" dxfId="4" priority="6" operator="notEqual">
      <formula>INDIRECT("Dummy_for_Comparison1!"&amp;ADDRESS(ROW(),COLUMN()))</formula>
    </cfRule>
  </conditionalFormatting>
  <conditionalFormatting sqref="N4">
    <cfRule type="cellIs" dxfId="3" priority="7" operator="notEqual">
      <formula>INDIRECT("Dummy_for_Comparison1!"&amp;ADDRESS(ROW(),COLUMN()))</formula>
    </cfRule>
  </conditionalFormatting>
  <conditionalFormatting sqref="O4:AP4">
    <cfRule type="cellIs" dxfId="2" priority="3" operator="notEqual">
      <formula>INDIRECT("Dummy_for_Comparison1!"&amp;ADDRESS(ROW(),COLUMN()))</formula>
    </cfRule>
  </conditionalFormatting>
  <conditionalFormatting sqref="AQ4">
    <cfRule type="cellIs" dxfId="1" priority="2" operator="notEqual">
      <formula>INDIRECT("Dummy_for_Comparison1!"&amp;ADDRESS(ROW(),COLUMN()))</formula>
    </cfRule>
  </conditionalFormatting>
  <conditionalFormatting sqref="AA4:AP4">
    <cfRule type="cellIs" dxfId="0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13</cp:revision>
  <dcterms:created xsi:type="dcterms:W3CDTF">2011-07-18T21:22:38Z</dcterms:created>
  <dcterms:modified xsi:type="dcterms:W3CDTF">2016-02-08T03:41:17Z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