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2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3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4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5.xml" ContentType="application/vnd.openxmlformats-officedocument.drawing+xml"/>
  <Override PartName="/xl/charts/chart153.xml" ContentType="application/vnd.openxmlformats-officedocument.drawingml.chart+xml"/>
  <Override PartName="/xl/drawings/drawing6.xml" ContentType="application/vnd.openxmlformats-officedocument.drawing+xml"/>
  <Override PartName="/xl/charts/chart154.xml" ContentType="application/vnd.openxmlformats-officedocument.drawingml.chart+xml"/>
  <Override PartName="/xl/drawings/drawing7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drawings/drawing8.xml" ContentType="application/vnd.openxmlformats-officedocument.drawing+xml"/>
  <Override PartName="/xl/charts/chart1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16380" windowHeight="7890" tabRatio="762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/>
</workbook>
</file>

<file path=xl/calcChain.xml><?xml version="1.0" encoding="utf-8"?>
<calcChain xmlns="http://schemas.openxmlformats.org/spreadsheetml/2006/main">
  <c r="I60" i="7" l="1"/>
  <c r="B61" i="7"/>
  <c r="D61" i="7" s="1"/>
  <c r="B60" i="7"/>
  <c r="D60" i="7" s="1"/>
  <c r="C59" i="7"/>
  <c r="D59" i="7" s="1"/>
  <c r="D544" i="2" l="1"/>
  <c r="D543" i="2"/>
  <c r="D540" i="2"/>
  <c r="D539" i="2"/>
  <c r="D528" i="2"/>
  <c r="D524" i="2"/>
  <c r="D523" i="2"/>
  <c r="D512" i="2" l="1"/>
  <c r="D511" i="2"/>
  <c r="D510" i="2"/>
  <c r="D509" i="2"/>
  <c r="D499" i="2"/>
  <c r="D498" i="2"/>
  <c r="D497" i="2"/>
  <c r="D495" i="2"/>
  <c r="D494" i="2"/>
  <c r="D483" i="2"/>
  <c r="D481" i="2"/>
  <c r="D480" i="2"/>
  <c r="D470" i="2"/>
  <c r="D469" i="2"/>
  <c r="D468" i="2"/>
  <c r="D467" i="2"/>
  <c r="D465" i="2"/>
  <c r="D452" i="2"/>
  <c r="D450" i="2"/>
  <c r="D449" i="2"/>
  <c r="D438" i="2"/>
  <c r="D436" i="2"/>
  <c r="D435" i="2"/>
  <c r="D425" i="2"/>
  <c r="D424" i="2"/>
  <c r="D423" i="2"/>
  <c r="D421" i="2"/>
  <c r="D410" i="2"/>
  <c r="D409" i="2"/>
  <c r="D408" i="2"/>
  <c r="D406" i="2"/>
  <c r="D405" i="2"/>
  <c r="D395" i="2"/>
  <c r="D394" i="2"/>
  <c r="D392" i="2"/>
  <c r="D391" i="2"/>
  <c r="D381" i="2"/>
  <c r="D380" i="2"/>
  <c r="D377" i="2"/>
  <c r="D376" i="2"/>
  <c r="D367" i="2"/>
  <c r="D366" i="2"/>
  <c r="D363" i="2"/>
  <c r="D362" i="2"/>
  <c r="D352" i="2" l="1"/>
  <c r="D351" i="2"/>
  <c r="D335" i="2"/>
  <c r="D332" i="2"/>
  <c r="D320" i="2"/>
  <c r="D319" i="2"/>
  <c r="D318" i="2"/>
  <c r="D317" i="2"/>
  <c r="D305" i="2"/>
  <c r="D303" i="2"/>
  <c r="D302" i="2"/>
  <c r="D290" i="2"/>
  <c r="D288" i="2"/>
  <c r="D287" i="2"/>
  <c r="D277" i="2"/>
  <c r="D275" i="2"/>
  <c r="D273" i="2"/>
  <c r="D272" i="2"/>
  <c r="D261" i="2"/>
  <c r="D260" i="2"/>
  <c r="D242" i="2"/>
  <c r="D230" i="2"/>
  <c r="D229" i="2"/>
  <c r="D228" i="2"/>
  <c r="D227" i="2"/>
  <c r="D217" i="2" l="1"/>
  <c r="D216" i="2"/>
  <c r="D212" i="2"/>
  <c r="D202" i="2"/>
  <c r="D201" i="2"/>
  <c r="D197" i="2"/>
  <c r="D186" i="2"/>
  <c r="D182" i="2"/>
  <c r="D171" i="2"/>
  <c r="D170" i="2"/>
  <c r="D169" i="2"/>
  <c r="D168" i="2"/>
  <c r="D158" i="2"/>
  <c r="D154" i="2"/>
  <c r="D139" i="2"/>
  <c r="D129" i="2"/>
  <c r="D128" i="2"/>
  <c r="D127" i="2"/>
  <c r="D125" i="2"/>
  <c r="AO5" i="6"/>
  <c r="AO4" i="6"/>
  <c r="AO5" i="5"/>
  <c r="AO4" i="5"/>
  <c r="AO7" i="4"/>
  <c r="AO5" i="4"/>
  <c r="AO4" i="4"/>
  <c r="AO8" i="3"/>
  <c r="AO7" i="3"/>
  <c r="AO6" i="3"/>
  <c r="AO5" i="3"/>
  <c r="D112" i="2"/>
  <c r="D110" i="2"/>
  <c r="D109" i="2"/>
  <c r="E544" i="2" l="1"/>
  <c r="E543" i="2"/>
  <c r="E542" i="2"/>
  <c r="E541" i="2"/>
  <c r="E540" i="2"/>
  <c r="E539" i="2"/>
  <c r="E528" i="2"/>
  <c r="E527" i="2"/>
  <c r="E526" i="2"/>
  <c r="E525" i="2"/>
  <c r="E524" i="2"/>
  <c r="E523" i="2"/>
  <c r="E514" i="2"/>
  <c r="E513" i="2"/>
  <c r="E512" i="2"/>
  <c r="E511" i="2"/>
  <c r="E510" i="2"/>
  <c r="E509" i="2"/>
  <c r="E499" i="2"/>
  <c r="E498" i="2"/>
  <c r="E497" i="2"/>
  <c r="E496" i="2"/>
  <c r="E495" i="2"/>
  <c r="E494" i="2"/>
  <c r="E485" i="2"/>
  <c r="E484" i="2"/>
  <c r="E483" i="2"/>
  <c r="E482" i="2"/>
  <c r="E481" i="2"/>
  <c r="E480" i="2"/>
  <c r="E470" i="2"/>
  <c r="E469" i="2"/>
  <c r="E468" i="2"/>
  <c r="E467" i="2"/>
  <c r="E466" i="2"/>
  <c r="E465" i="2"/>
  <c r="E454" i="2"/>
  <c r="E453" i="2"/>
  <c r="E452" i="2"/>
  <c r="E451" i="2"/>
  <c r="E450" i="2"/>
  <c r="E449" i="2"/>
  <c r="E440" i="2"/>
  <c r="E439" i="2"/>
  <c r="E438" i="2"/>
  <c r="E437" i="2"/>
  <c r="E436" i="2"/>
  <c r="E435" i="2"/>
  <c r="E425" i="2"/>
  <c r="E424" i="2"/>
  <c r="E423" i="2"/>
  <c r="E422" i="2"/>
  <c r="E421" i="2"/>
  <c r="E420" i="2"/>
  <c r="E410" i="2"/>
  <c r="E409" i="2"/>
  <c r="E408" i="2"/>
  <c r="E407" i="2"/>
  <c r="E406" i="2"/>
  <c r="E405" i="2"/>
  <c r="E396" i="2"/>
  <c r="E395" i="2"/>
  <c r="E394" i="2"/>
  <c r="E393" i="2"/>
  <c r="E392" i="2"/>
  <c r="E391" i="2"/>
  <c r="E381" i="2"/>
  <c r="E380" i="2"/>
  <c r="E379" i="2"/>
  <c r="E378" i="2"/>
  <c r="E377" i="2"/>
  <c r="E376" i="2"/>
  <c r="E367" i="2"/>
  <c r="E366" i="2"/>
  <c r="E365" i="2"/>
  <c r="E364" i="2"/>
  <c r="E363" i="2"/>
  <c r="E362" i="2"/>
  <c r="E352" i="2"/>
  <c r="E351" i="2"/>
  <c r="E350" i="2"/>
  <c r="E349" i="2"/>
  <c r="E348" i="2"/>
  <c r="E347" i="2"/>
  <c r="E337" i="2"/>
  <c r="E336" i="2"/>
  <c r="E335" i="2"/>
  <c r="E334" i="2"/>
  <c r="D333" i="2"/>
  <c r="E333" i="2" s="1"/>
  <c r="E332" i="2"/>
  <c r="E322" i="2"/>
  <c r="E321" i="2"/>
  <c r="E320" i="2"/>
  <c r="E319" i="2"/>
  <c r="E318" i="2"/>
  <c r="E317" i="2"/>
  <c r="E307" i="2"/>
  <c r="E306" i="2"/>
  <c r="E305" i="2"/>
  <c r="E304" i="2"/>
  <c r="E303" i="2"/>
  <c r="E302" i="2"/>
  <c r="E292" i="2"/>
  <c r="E291" i="2"/>
  <c r="E290" i="2"/>
  <c r="E289" i="2"/>
  <c r="E288" i="2"/>
  <c r="E287" i="2"/>
  <c r="E277" i="2"/>
  <c r="E276" i="2"/>
  <c r="E275" i="2"/>
  <c r="E274" i="2"/>
  <c r="E273" i="2"/>
  <c r="E272" i="2"/>
  <c r="E262" i="2"/>
  <c r="E261" i="2"/>
  <c r="E260" i="2"/>
  <c r="E259" i="2"/>
  <c r="E258" i="2"/>
  <c r="E257" i="2"/>
  <c r="E247" i="2"/>
  <c r="E246" i="2"/>
  <c r="D245" i="2"/>
  <c r="E245" i="2" s="1"/>
  <c r="D244" i="2"/>
  <c r="E244" i="2" s="1"/>
  <c r="D243" i="2"/>
  <c r="E243" i="2" s="1"/>
  <c r="E242" i="2"/>
  <c r="E232" i="2"/>
  <c r="E231" i="2"/>
  <c r="E230" i="2"/>
  <c r="E229" i="2"/>
  <c r="E228" i="2"/>
  <c r="E227" i="2"/>
  <c r="E217" i="2"/>
  <c r="E216" i="2"/>
  <c r="E215" i="2"/>
  <c r="E214" i="2"/>
  <c r="E213" i="2"/>
  <c r="E212" i="2"/>
  <c r="E202" i="2"/>
  <c r="E201" i="2"/>
  <c r="E200" i="2"/>
  <c r="E199" i="2"/>
  <c r="E198" i="2"/>
  <c r="E197" i="2"/>
  <c r="E187" i="2"/>
  <c r="E186" i="2"/>
  <c r="E185" i="2"/>
  <c r="E184" i="2"/>
  <c r="E183" i="2"/>
  <c r="E182" i="2"/>
  <c r="E173" i="2"/>
  <c r="E172" i="2"/>
  <c r="E171" i="2"/>
  <c r="E170" i="2"/>
  <c r="E169" i="2"/>
  <c r="E168" i="2"/>
  <c r="E159" i="2"/>
  <c r="E158" i="2"/>
  <c r="E157" i="2"/>
  <c r="E156" i="2"/>
  <c r="E155" i="2"/>
  <c r="E154" i="2"/>
  <c r="E144" i="2"/>
  <c r="E143" i="2"/>
  <c r="E142" i="2"/>
  <c r="E141" i="2"/>
  <c r="E140" i="2"/>
  <c r="E139" i="2"/>
  <c r="E129" i="2"/>
  <c r="E128" i="2"/>
  <c r="E127" i="2"/>
  <c r="E126" i="2"/>
  <c r="E125" i="2"/>
  <c r="E124" i="2"/>
  <c r="E114" i="2"/>
  <c r="E113" i="2"/>
  <c r="E112" i="2"/>
  <c r="E111" i="2"/>
  <c r="E110" i="2"/>
  <c r="E109" i="2"/>
  <c r="E533" i="1"/>
  <c r="E532" i="1"/>
  <c r="E531" i="1"/>
  <c r="E530" i="1"/>
  <c r="E529" i="1"/>
  <c r="E528" i="1"/>
  <c r="E518" i="1"/>
  <c r="E517" i="1"/>
  <c r="E516" i="1"/>
  <c r="E515" i="1"/>
  <c r="E514" i="1"/>
  <c r="E513" i="1"/>
  <c r="E503" i="1"/>
  <c r="E502" i="1"/>
  <c r="E501" i="1"/>
  <c r="E500" i="1"/>
  <c r="E499" i="1"/>
  <c r="E498" i="1"/>
  <c r="E489" i="1"/>
  <c r="E488" i="1"/>
  <c r="E487" i="1"/>
  <c r="E486" i="1"/>
  <c r="E485" i="1"/>
  <c r="E484" i="1"/>
  <c r="E474" i="1"/>
  <c r="E473" i="1"/>
  <c r="E472" i="1"/>
  <c r="E471" i="1"/>
  <c r="E470" i="1"/>
  <c r="E469" i="1"/>
  <c r="E459" i="1"/>
  <c r="E458" i="1"/>
  <c r="E457" i="1"/>
  <c r="E456" i="1"/>
  <c r="E455" i="1"/>
  <c r="E454" i="1"/>
  <c r="E444" i="1"/>
  <c r="E443" i="1"/>
  <c r="E442" i="1"/>
  <c r="E441" i="1"/>
  <c r="E440" i="1"/>
  <c r="E439" i="1"/>
  <c r="E429" i="1"/>
  <c r="E428" i="1"/>
  <c r="E427" i="1"/>
  <c r="E426" i="1"/>
  <c r="E425" i="1"/>
  <c r="E424" i="1"/>
  <c r="E414" i="1"/>
  <c r="E413" i="1"/>
  <c r="E412" i="1"/>
  <c r="E411" i="1"/>
  <c r="E410" i="1"/>
  <c r="E409" i="1"/>
  <c r="E399" i="1"/>
  <c r="E398" i="1"/>
  <c r="E397" i="1"/>
  <c r="E396" i="1"/>
  <c r="E395" i="1"/>
  <c r="E394" i="1"/>
  <c r="E384" i="1"/>
  <c r="E383" i="1"/>
  <c r="E382" i="1"/>
  <c r="E381" i="1"/>
  <c r="E380" i="1"/>
  <c r="E379" i="1"/>
  <c r="E369" i="1"/>
  <c r="E368" i="1"/>
  <c r="E367" i="1"/>
  <c r="E366" i="1"/>
  <c r="E365" i="1"/>
  <c r="E364" i="1"/>
  <c r="E354" i="1"/>
  <c r="E353" i="1"/>
  <c r="E352" i="1"/>
  <c r="E351" i="1"/>
  <c r="E350" i="1"/>
  <c r="E349" i="1"/>
  <c r="E339" i="1"/>
  <c r="E338" i="1"/>
  <c r="E337" i="1"/>
  <c r="E336" i="1"/>
  <c r="E335" i="1"/>
  <c r="E334" i="1"/>
  <c r="E324" i="1"/>
  <c r="E323" i="1"/>
  <c r="E322" i="1"/>
  <c r="E321" i="1"/>
  <c r="E320" i="1"/>
  <c r="E319" i="1"/>
  <c r="E309" i="1"/>
  <c r="E308" i="1"/>
  <c r="E307" i="1"/>
  <c r="E306" i="1"/>
  <c r="E305" i="1"/>
  <c r="E304" i="1"/>
  <c r="E294" i="1"/>
  <c r="E293" i="1"/>
  <c r="E292" i="1"/>
  <c r="E291" i="1"/>
  <c r="E290" i="1"/>
  <c r="E289" i="1"/>
  <c r="E279" i="1"/>
  <c r="E278" i="1"/>
  <c r="E277" i="1"/>
  <c r="E276" i="1"/>
  <c r="E275" i="1"/>
  <c r="E274" i="1"/>
  <c r="E267" i="1"/>
  <c r="E266" i="1"/>
  <c r="E265" i="1"/>
  <c r="E264" i="1"/>
  <c r="E263" i="1"/>
  <c r="E262" i="1"/>
  <c r="E252" i="1"/>
  <c r="E251" i="1"/>
  <c r="E250" i="1"/>
  <c r="E249" i="1"/>
  <c r="E248" i="1"/>
  <c r="E247" i="1"/>
  <c r="E237" i="1"/>
  <c r="E236" i="1"/>
  <c r="E235" i="1"/>
  <c r="E234" i="1"/>
  <c r="E233" i="1"/>
  <c r="E232" i="1"/>
  <c r="E225" i="1"/>
  <c r="E224" i="1"/>
  <c r="E223" i="1"/>
  <c r="E222" i="1"/>
  <c r="E221" i="1"/>
  <c r="E220" i="1"/>
  <c r="E210" i="1"/>
  <c r="E209" i="1"/>
  <c r="E208" i="1"/>
  <c r="E207" i="1"/>
  <c r="E206" i="1"/>
  <c r="E205" i="1"/>
  <c r="E195" i="1"/>
  <c r="E194" i="1"/>
  <c r="E193" i="1"/>
  <c r="E192" i="1"/>
  <c r="E191" i="1"/>
  <c r="E190" i="1"/>
  <c r="E180" i="1"/>
  <c r="E179" i="1"/>
  <c r="E178" i="1"/>
  <c r="E177" i="1"/>
  <c r="E176" i="1"/>
  <c r="E175" i="1"/>
  <c r="E168" i="1"/>
  <c r="E167" i="1"/>
  <c r="E166" i="1"/>
  <c r="E165" i="1"/>
  <c r="E164" i="1"/>
  <c r="E163" i="1"/>
  <c r="E153" i="1"/>
  <c r="E152" i="1"/>
  <c r="E151" i="1"/>
  <c r="E150" i="1"/>
  <c r="E149" i="1"/>
  <c r="E148" i="1"/>
  <c r="E140" i="1"/>
  <c r="E139" i="1"/>
  <c r="E138" i="1"/>
  <c r="E137" i="1"/>
  <c r="E136" i="1"/>
  <c r="E135" i="1"/>
  <c r="E125" i="1"/>
  <c r="E124" i="1"/>
  <c r="E123" i="1"/>
  <c r="E122" i="1"/>
  <c r="E121" i="1"/>
  <c r="E120" i="1"/>
  <c r="E111" i="1" l="1"/>
  <c r="E110" i="1"/>
  <c r="E109" i="1"/>
  <c r="E108" i="1"/>
  <c r="E107" i="1"/>
  <c r="E106" i="1"/>
  <c r="D97" i="2" l="1"/>
  <c r="E97" i="2" s="1"/>
  <c r="D96" i="2"/>
  <c r="E96" i="2" s="1"/>
  <c r="D95" i="2"/>
  <c r="E95" i="2" s="1"/>
  <c r="D94" i="2"/>
  <c r="E94" i="2" s="1"/>
  <c r="E99" i="2"/>
  <c r="E98" i="2"/>
  <c r="E97" i="1"/>
  <c r="E96" i="1"/>
  <c r="E95" i="1"/>
  <c r="E94" i="1"/>
  <c r="E93" i="1"/>
  <c r="E92" i="1"/>
  <c r="D82" i="2"/>
  <c r="E82" i="2" s="1"/>
  <c r="D80" i="2"/>
  <c r="E80" i="2" s="1"/>
  <c r="D79" i="2"/>
  <c r="E79" i="2" s="1"/>
  <c r="E84" i="2"/>
  <c r="E83" i="2"/>
  <c r="E81" i="2"/>
  <c r="E84" i="1"/>
  <c r="E83" i="1"/>
  <c r="E82" i="1"/>
  <c r="E81" i="1"/>
  <c r="E80" i="1"/>
  <c r="E79" i="1"/>
  <c r="D67" i="2"/>
  <c r="E67" i="2" s="1"/>
  <c r="D66" i="2"/>
  <c r="E66" i="2" s="1"/>
  <c r="D65" i="2"/>
  <c r="E65" i="2" s="1"/>
  <c r="D64" i="2"/>
  <c r="E64" i="2" s="1"/>
  <c r="E69" i="2"/>
  <c r="E68" i="2"/>
  <c r="E70" i="1"/>
  <c r="E69" i="1"/>
  <c r="E68" i="1"/>
  <c r="E67" i="1"/>
  <c r="E66" i="1"/>
  <c r="E65" i="1"/>
  <c r="D52" i="2"/>
  <c r="D51" i="2"/>
  <c r="E51" i="2" s="1"/>
  <c r="D50" i="2"/>
  <c r="E50" i="2" s="1"/>
  <c r="E54" i="2"/>
  <c r="E53" i="2"/>
  <c r="E52" i="2"/>
  <c r="D49" i="2"/>
  <c r="E49" i="2" s="1"/>
  <c r="E56" i="1"/>
  <c r="E55" i="1"/>
  <c r="E54" i="1"/>
  <c r="E53" i="1"/>
  <c r="E52" i="1"/>
  <c r="E51" i="1"/>
  <c r="D43" i="1"/>
  <c r="D40" i="2"/>
  <c r="E40" i="2" s="1"/>
  <c r="D38" i="2"/>
  <c r="E38" i="2" s="1"/>
  <c r="D37" i="2"/>
  <c r="E37" i="2" s="1"/>
  <c r="E42" i="2"/>
  <c r="E41" i="2"/>
  <c r="E39" i="2"/>
  <c r="E43" i="1" l="1"/>
  <c r="E42" i="1"/>
  <c r="E41" i="1"/>
  <c r="E40" i="1"/>
  <c r="E39" i="1"/>
  <c r="E38" i="1"/>
  <c r="B36" i="7"/>
  <c r="D36" i="7" s="1"/>
  <c r="I35" i="7"/>
  <c r="B35" i="7"/>
  <c r="D35" i="7" s="1"/>
  <c r="D34" i="7"/>
  <c r="C34" i="7"/>
  <c r="B17" i="7"/>
  <c r="D17" i="7" s="1"/>
  <c r="D16" i="7"/>
  <c r="B16" i="7"/>
  <c r="I15" i="7"/>
  <c r="C15" i="7"/>
  <c r="D15" i="7" s="1"/>
  <c r="AO6" i="6"/>
  <c r="AO6" i="5"/>
  <c r="AO14" i="4"/>
  <c r="AO13" i="4"/>
  <c r="AO12" i="4"/>
  <c r="AO8" i="4"/>
  <c r="AO6" i="4"/>
  <c r="AO15" i="3"/>
  <c r="AO14" i="3"/>
  <c r="AO13" i="3"/>
  <c r="AO9" i="3"/>
  <c r="AO4" i="3"/>
  <c r="C24" i="2"/>
  <c r="E24" i="2" s="1"/>
  <c r="D23" i="2"/>
  <c r="E23" i="2" s="1"/>
  <c r="D22" i="2"/>
  <c r="C22" i="2"/>
  <c r="E22" i="2" s="1"/>
  <c r="D21" i="2"/>
  <c r="E21" i="2" s="1"/>
  <c r="D20" i="2"/>
  <c r="C20" i="2"/>
  <c r="D19" i="2"/>
  <c r="C19" i="2"/>
  <c r="E19" i="2" s="1"/>
  <c r="E11" i="2"/>
  <c r="E10" i="2"/>
  <c r="E9" i="2"/>
  <c r="E8" i="2"/>
  <c r="E7" i="2"/>
  <c r="E6" i="2"/>
  <c r="C26" i="1"/>
  <c r="E26" i="1" s="1"/>
  <c r="E25" i="1"/>
  <c r="C24" i="1"/>
  <c r="E24" i="1" s="1"/>
  <c r="E23" i="1"/>
  <c r="C22" i="1"/>
  <c r="E22" i="1" s="1"/>
  <c r="C21" i="1"/>
  <c r="E21" i="1" s="1"/>
  <c r="E12" i="1"/>
  <c r="E11" i="1"/>
  <c r="E10" i="1"/>
  <c r="E9" i="1"/>
  <c r="E8" i="1"/>
  <c r="E7" i="1"/>
  <c r="E20" i="2" l="1"/>
</calcChain>
</file>

<file path=xl/sharedStrings.xml><?xml version="1.0" encoding="utf-8"?>
<sst xmlns="http://schemas.openxmlformats.org/spreadsheetml/2006/main" count="970" uniqueCount="80">
  <si>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</si>
  <si>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</si>
  <si>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</si>
  <si>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</si>
  <si>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</si>
  <si>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</si>
  <si>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</si>
  <si>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</si>
  <si>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</si>
  <si>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</si>
  <si>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</si>
  <si>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204/60*sueldo de involucrados en el proceso</t>
  </si>
  <si>
    <t>Noviembre</t>
  </si>
  <si>
    <t>Diciembre</t>
  </si>
  <si>
    <t>&lt;Periodo&gt;</t>
  </si>
  <si>
    <t>Nivel de Apego</t>
  </si>
  <si>
    <t>Procesos</t>
  </si>
  <si>
    <t>&lt;aammdd&gt;</t>
  </si>
  <si>
    <t>Prospectación</t>
  </si>
  <si>
    <t>Garantía</t>
  </si>
  <si>
    <t>Organizacional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</si>
  <si>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</si>
  <si>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</si>
  <si>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</si>
  <si>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</si>
  <si>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</si>
  <si>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</si>
  <si>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</si>
  <si>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</si>
  <si>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</si>
  <si>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</si>
  <si>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</si>
  <si>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</si>
  <si>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</si>
  <si>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</si>
  <si>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</si>
  <si>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</si>
  <si>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</si>
  <si>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</si>
  <si>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</si>
  <si>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</si>
  <si>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</si>
  <si>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</si>
  <si>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</si>
  <si>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P1345</t>
  </si>
  <si>
    <t>P1347</t>
  </si>
  <si>
    <t>P1356</t>
  </si>
  <si>
    <t>P1334</t>
  </si>
  <si>
    <t>P1346</t>
  </si>
  <si>
    <t>P1358</t>
  </si>
  <si>
    <t>P1336</t>
  </si>
  <si>
    <t>P1366</t>
  </si>
  <si>
    <t>P1370</t>
  </si>
  <si>
    <t>P1371</t>
  </si>
  <si>
    <t>P1367</t>
  </si>
  <si>
    <t>P1365</t>
  </si>
  <si>
    <t>P1364</t>
  </si>
  <si>
    <t>P1343</t>
  </si>
  <si>
    <t>P1361</t>
  </si>
  <si>
    <t>P1374</t>
  </si>
  <si>
    <t>P1348</t>
  </si>
  <si>
    <t>P1349</t>
  </si>
  <si>
    <t>P1368</t>
  </si>
  <si>
    <t>P1376</t>
  </si>
  <si>
    <t>P1350</t>
  </si>
  <si>
    <t>P1360</t>
  </si>
  <si>
    <t>P1402</t>
  </si>
  <si>
    <t>P1380</t>
  </si>
  <si>
    <t>P1389</t>
  </si>
  <si>
    <t>P1392</t>
  </si>
  <si>
    <t>P1388</t>
  </si>
  <si>
    <t>P1386</t>
  </si>
  <si>
    <t>P1394</t>
  </si>
  <si>
    <t>P1384</t>
  </si>
  <si>
    <t>P1396</t>
  </si>
  <si>
    <t>P1379</t>
  </si>
  <si>
    <t>P1391</t>
  </si>
  <si>
    <t>P1375</t>
  </si>
  <si>
    <t>P1378</t>
  </si>
  <si>
    <t>Diciembre mes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</si>
</sst>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$* #,##0.00_-;&quot;-$&quot;* #,##0.00_-;_-\$* \-??_-;_-@_-"/>
    <numFmt numFmtId="165" formatCode="\$#,##0.00;[Red]&quot;-$&quot;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/>
      <top style="thin">
        <color rgb="FF604A7B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Border="0" applyProtection="0"/>
  </cellStyleXfs>
  <cellXfs count="68">
    <xf numFmtId="0" fontId="0" fillId="0" borderId="0" xfId="0"/>
    <xf numFmtId="0" fontId="0" fillId="2" borderId="0" xfId="0" applyFill="1"/>
    <xf numFmtId="0" fontId="0" fillId="3" borderId="1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9" fontId="2" fillId="5" borderId="1" xfId="2" applyFont="1" applyFill="1" applyBorder="1" applyAlignment="1" applyProtection="1"/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2" xfId="0" applyFont="1" applyFill="1" applyBorder="1" applyAlignment="1">
      <alignment horizontal="center" vertical="center"/>
    </xf>
    <xf numFmtId="164" fontId="0" fillId="4" borderId="3" xfId="1" applyFont="1" applyFill="1" applyBorder="1" applyAlignment="1" applyProtection="1">
      <alignment horizontal="center"/>
    </xf>
    <xf numFmtId="9" fontId="0" fillId="5" borderId="3" xfId="2" applyFont="1" applyFill="1" applyBorder="1" applyAlignment="1" applyProtection="1">
      <alignment horizontal="center"/>
    </xf>
    <xf numFmtId="9" fontId="2" fillId="5" borderId="3" xfId="2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0" fontId="0" fillId="5" borderId="1" xfId="0" applyNumberFormat="1" applyFill="1" applyBorder="1" applyAlignment="1">
      <alignment horizontal="center" vertical="center"/>
    </xf>
    <xf numFmtId="9" fontId="0" fillId="5" borderId="1" xfId="2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0" fillId="4" borderId="1" xfId="2" applyFont="1" applyFill="1" applyBorder="1" applyAlignment="1" applyProtection="1">
      <alignment horizont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" fontId="0" fillId="4" borderId="8" xfId="0" applyNumberFormat="1" applyFont="1" applyFill="1" applyBorder="1" applyAlignment="1">
      <alignment horizontal="left" vertical="center"/>
    </xf>
    <xf numFmtId="164" fontId="0" fillId="4" borderId="2" xfId="1" applyFont="1" applyFill="1" applyBorder="1" applyAlignment="1" applyProtection="1">
      <alignment horizontal="center"/>
    </xf>
    <xf numFmtId="4" fontId="2" fillId="5" borderId="2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4" borderId="1" xfId="1" applyFont="1" applyFill="1" applyBorder="1" applyAlignment="1" applyProtection="1">
      <alignment horizontal="center"/>
    </xf>
    <xf numFmtId="4" fontId="2" fillId="5" borderId="3" xfId="2" applyNumberFormat="1" applyFont="1" applyFill="1" applyBorder="1" applyAlignment="1" applyProtection="1">
      <alignment horizontal="center"/>
    </xf>
    <xf numFmtId="165" fontId="4" fillId="5" borderId="1" xfId="0" applyNumberFormat="1" applyFont="1" applyFill="1" applyBorder="1"/>
    <xf numFmtId="4" fontId="2" fillId="5" borderId="9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5" borderId="10" xfId="2" applyNumberFormat="1" applyFont="1" applyFill="1" applyBorder="1" applyAlignment="1" applyProtection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/>
    <xf numFmtId="0" fontId="0" fillId="3" borderId="1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3" borderId="8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164" fontId="0" fillId="0" borderId="12" xfId="1" applyFont="1" applyBorder="1" applyAlignment="1" applyProtection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0" fillId="0" borderId="0" xfId="0" applyFill="1"/>
    <xf numFmtId="0" fontId="0" fillId="0" borderId="0" xfId="0" applyFont="1" applyFill="1" applyBorder="1" applyAlignment="1">
      <alignment horizontal="left"/>
    </xf>
    <xf numFmtId="164" fontId="0" fillId="0" borderId="0" xfId="1" applyFont="1" applyFill="1" applyBorder="1" applyAlignment="1" applyProtection="1">
      <alignment horizontal="center"/>
    </xf>
    <xf numFmtId="9" fontId="0" fillId="0" borderId="0" xfId="2" applyFont="1" applyFill="1" applyBorder="1" applyAlignment="1" applyProtection="1">
      <alignment horizontal="center"/>
    </xf>
    <xf numFmtId="0" fontId="1" fillId="0" borderId="1" xfId="0" applyFont="1" applyBorder="1" applyAlignment="1">
      <alignment horizontal="center" wrapText="1"/>
    </xf>
    <xf numFmtId="15" fontId="3" fillId="4" borderId="1" xfId="0" applyNumberFormat="1" applyFont="1" applyFill="1" applyBorder="1"/>
    <xf numFmtId="15" fontId="3" fillId="4" borderId="1" xfId="0" applyNumberFormat="1" applyFont="1" applyFill="1" applyBorder="1" applyAlignment="1">
      <alignment horizontal="center"/>
    </xf>
    <xf numFmtId="15" fontId="1" fillId="3" borderId="2" xfId="0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32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esfuerzo'!$E$21:$E$26</c:f>
              <c:numCache>
                <c:formatCode>0%</c:formatCode>
                <c:ptCount val="6"/>
                <c:pt idx="0">
                  <c:v>0.63725490196078427</c:v>
                </c:pt>
                <c:pt idx="1">
                  <c:v>0.61428571428571432</c:v>
                </c:pt>
                <c:pt idx="2">
                  <c:v>0.5</c:v>
                </c:pt>
                <c:pt idx="3">
                  <c:v>0.51086956521739135</c:v>
                </c:pt>
                <c:pt idx="4">
                  <c:v>-1.0777777777777777</c:v>
                </c:pt>
                <c:pt idx="5">
                  <c:v>0.18485915492957747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62560"/>
        <c:axId val="83364096"/>
      </c:barChart>
      <c:catAx>
        <c:axId val="83362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64096"/>
        <c:crosses val="autoZero"/>
        <c:auto val="1"/>
        <c:lblAlgn val="ctr"/>
        <c:lblOffset val="100"/>
        <c:noMultiLvlLbl val="1"/>
      </c:catAx>
      <c:valAx>
        <c:axId val="83364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3625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esfuerzo'!$E$78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esfuerzo'!$E$79:$E$84</c:f>
              <c:numCache>
                <c:formatCode>0%</c:formatCode>
                <c:ptCount val="6"/>
                <c:pt idx="0">
                  <c:v>-18.372549019607842</c:v>
                </c:pt>
                <c:pt idx="1">
                  <c:v>0.5714285714285714</c:v>
                </c:pt>
                <c:pt idx="2">
                  <c:v>1</c:v>
                </c:pt>
                <c:pt idx="3">
                  <c:v>-0.78260869565217395</c:v>
                </c:pt>
                <c:pt idx="4">
                  <c:v>1</c:v>
                </c:pt>
                <c:pt idx="5">
                  <c:v>0.54929577464788737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80064"/>
        <c:axId val="89881600"/>
      </c:barChart>
      <c:catAx>
        <c:axId val="898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881600"/>
        <c:crosses val="autoZero"/>
        <c:auto val="1"/>
        <c:lblAlgn val="ctr"/>
        <c:lblOffset val="100"/>
        <c:noMultiLvlLbl val="0"/>
      </c:catAx>
      <c:valAx>
        <c:axId val="89881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988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costos'!$E$196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costos'!$E$197:$E$202</c:f>
              <c:numCache>
                <c:formatCode>0%</c:formatCode>
                <c:ptCount val="6"/>
                <c:pt idx="0">
                  <c:v>0.86941334527541425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0.63968965517241383</c:v>
                </c:pt>
                <c:pt idx="5">
                  <c:v>0.98380000000000001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0864"/>
        <c:axId val="110582400"/>
      </c:barChart>
      <c:catAx>
        <c:axId val="1105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82400"/>
        <c:crosses val="autoZero"/>
        <c:auto val="1"/>
        <c:lblAlgn val="ctr"/>
        <c:lblOffset val="100"/>
        <c:noMultiLvlLbl val="0"/>
      </c:catAx>
      <c:valAx>
        <c:axId val="110582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58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costos'!$C$211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costos'!$C$212:$C$217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costos'!$D$211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costos'!$D$212:$D$217</c:f>
              <c:numCache>
                <c:formatCode>_-\$* #,##0.00_-;"-$"* #,##0.00_-;_-\$* \-??_-;_-@_-</c:formatCode>
                <c:ptCount val="6"/>
                <c:pt idx="0">
                  <c:v>0.72900000000000009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1.2149999999999999</c:v>
                </c:pt>
                <c:pt idx="5">
                  <c:v>0.36450000000000005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91360"/>
        <c:axId val="110609536"/>
      </c:barChart>
      <c:catAx>
        <c:axId val="1105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09536"/>
        <c:crosses val="autoZero"/>
        <c:auto val="1"/>
        <c:lblAlgn val="ctr"/>
        <c:lblOffset val="100"/>
        <c:noMultiLvlLbl val="0"/>
      </c:catAx>
      <c:valAx>
        <c:axId val="11060953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5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27077865266844"/>
          <c:y val="4.629629629629629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costos'!$E$211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costos'!$E$212:$E$217</c:f>
              <c:numCache>
                <c:formatCode>0%</c:formatCode>
                <c:ptCount val="6"/>
                <c:pt idx="0">
                  <c:v>0.96735333631885356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0.95810344827586202</c:v>
                </c:pt>
                <c:pt idx="5">
                  <c:v>0.98380000000000001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25920"/>
        <c:axId val="110627456"/>
      </c:barChart>
      <c:catAx>
        <c:axId val="1106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27456"/>
        <c:crosses val="autoZero"/>
        <c:auto val="1"/>
        <c:lblAlgn val="ctr"/>
        <c:lblOffset val="100"/>
        <c:noMultiLvlLbl val="0"/>
      </c:catAx>
      <c:valAx>
        <c:axId val="110627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62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costos'!$C$226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costos'!$C$227:$C$232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costos'!$D$226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costos'!$D$227:$D$232</c:f>
              <c:numCache>
                <c:formatCode>_-\$* #,##0.00_-;"-$"* #,##0.00_-;_-\$* \-??_-;_-@_-</c:formatCode>
                <c:ptCount val="6"/>
                <c:pt idx="0">
                  <c:v>146.04300000000001</c:v>
                </c:pt>
                <c:pt idx="1">
                  <c:v>13.850999999999999</c:v>
                </c:pt>
                <c:pt idx="2">
                  <c:v>77.030999999999992</c:v>
                </c:pt>
                <c:pt idx="3">
                  <c:v>2.673</c:v>
                </c:pt>
                <c:pt idx="4">
                  <c:v>0</c:v>
                </c:pt>
                <c:pt idx="5">
                  <c:v>4.49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40512"/>
        <c:axId val="110662784"/>
      </c:barChart>
      <c:catAx>
        <c:axId val="1106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62784"/>
        <c:crosses val="autoZero"/>
        <c:auto val="1"/>
        <c:lblAlgn val="ctr"/>
        <c:lblOffset val="100"/>
        <c:noMultiLvlLbl val="0"/>
      </c:catAx>
      <c:valAx>
        <c:axId val="11066278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64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costos'!$E$226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costos'!$E$227:$E$232</c:f>
              <c:numCache>
                <c:formatCode>0%</c:formatCode>
                <c:ptCount val="6"/>
                <c:pt idx="0">
                  <c:v>-5.540214957456338</c:v>
                </c:pt>
                <c:pt idx="1">
                  <c:v>-2.4977272727272721</c:v>
                </c:pt>
                <c:pt idx="2">
                  <c:v>-2.9706701030927833</c:v>
                </c:pt>
                <c:pt idx="3">
                  <c:v>0.51400000000000001</c:v>
                </c:pt>
                <c:pt idx="4">
                  <c:v>1</c:v>
                </c:pt>
                <c:pt idx="5">
                  <c:v>0.8004444444444444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60704"/>
        <c:axId val="110762240"/>
      </c:barChart>
      <c:catAx>
        <c:axId val="11076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62240"/>
        <c:crosses val="autoZero"/>
        <c:auto val="1"/>
        <c:lblAlgn val="ctr"/>
        <c:lblOffset val="100"/>
        <c:noMultiLvlLbl val="0"/>
      </c:catAx>
      <c:valAx>
        <c:axId val="110762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76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costos'!$C$241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costos'!$C$242:$C$247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costos'!$D$241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costos'!$D$242:$D$247</c:f>
              <c:numCache>
                <c:formatCode>_-\$* #,##0.00_-;"-$"* #,##0.00_-;_-\$* \-??_-;_-@_-</c:formatCode>
                <c:ptCount val="6"/>
                <c:pt idx="0">
                  <c:v>3.4020000000000001</c:v>
                </c:pt>
                <c:pt idx="1">
                  <c:v>21.87</c:v>
                </c:pt>
                <c:pt idx="2">
                  <c:v>21.627000000000002</c:v>
                </c:pt>
                <c:pt idx="3">
                  <c:v>1.944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91680"/>
        <c:axId val="110801664"/>
      </c:barChart>
      <c:catAx>
        <c:axId val="11079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01664"/>
        <c:crosses val="autoZero"/>
        <c:auto val="1"/>
        <c:lblAlgn val="ctr"/>
        <c:lblOffset val="100"/>
        <c:noMultiLvlLbl val="0"/>
      </c:catAx>
      <c:valAx>
        <c:axId val="11080166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79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costos'!$E$241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costos'!$E$242:$E$247</c:f>
              <c:numCache>
                <c:formatCode>0%</c:formatCode>
                <c:ptCount val="6"/>
                <c:pt idx="0">
                  <c:v>0.84764890282131655</c:v>
                </c:pt>
                <c:pt idx="1">
                  <c:v>-4.5227272727272725</c:v>
                </c:pt>
                <c:pt idx="2">
                  <c:v>-0.1147938144329899</c:v>
                </c:pt>
                <c:pt idx="3">
                  <c:v>0.64654545454545453</c:v>
                </c:pt>
                <c:pt idx="4">
                  <c:v>1</c:v>
                </c:pt>
                <c:pt idx="5">
                  <c:v>0.92888888888888888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25856"/>
        <c:axId val="110827392"/>
      </c:barChart>
      <c:catAx>
        <c:axId val="1108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27392"/>
        <c:crosses val="autoZero"/>
        <c:auto val="1"/>
        <c:lblAlgn val="ctr"/>
        <c:lblOffset val="100"/>
        <c:noMultiLvlLbl val="0"/>
      </c:catAx>
      <c:valAx>
        <c:axId val="110827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82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costos'!$C$256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costos'!$C$257:$C$262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costos'!$D$256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costos'!$D$257:$D$262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2.4299999999999997</c:v>
                </c:pt>
                <c:pt idx="4">
                  <c:v>10.449</c:v>
                </c:pt>
                <c:pt idx="5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56832"/>
        <c:axId val="110858624"/>
      </c:barChart>
      <c:catAx>
        <c:axId val="1108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58624"/>
        <c:crosses val="autoZero"/>
        <c:auto val="1"/>
        <c:lblAlgn val="ctr"/>
        <c:lblOffset val="100"/>
        <c:noMultiLvlLbl val="0"/>
      </c:catAx>
      <c:valAx>
        <c:axId val="11085862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85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costos'!$E$256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costos'!$E$257:$E$262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0.55818181818181822</c:v>
                </c:pt>
                <c:pt idx="4">
                  <c:v>0.63968965517241383</c:v>
                </c:pt>
                <c:pt idx="5">
                  <c:v>0.96844444444444444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78720"/>
        <c:axId val="110880256"/>
      </c:barChart>
      <c:catAx>
        <c:axId val="11087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80256"/>
        <c:crosses val="autoZero"/>
        <c:auto val="1"/>
        <c:lblAlgn val="ctr"/>
        <c:lblOffset val="100"/>
        <c:noMultiLvlLbl val="0"/>
      </c:catAx>
      <c:valAx>
        <c:axId val="110880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8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costos'!$C$271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costos'!$C$272:$C$277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costos'!$D$271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costos'!$D$272:$D$277</c:f>
              <c:numCache>
                <c:formatCode>_-\$* #,##0.00_-;"-$"* #,##0.00_-;_-\$* \-??_-;_-@_-</c:formatCode>
                <c:ptCount val="6"/>
                <c:pt idx="0">
                  <c:v>4.1310000000000002</c:v>
                </c:pt>
                <c:pt idx="1">
                  <c:v>34.506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0.72900000000000009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87520"/>
        <c:axId val="110997504"/>
      </c:barChart>
      <c:catAx>
        <c:axId val="1109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997504"/>
        <c:crosses val="autoZero"/>
        <c:auto val="1"/>
        <c:lblAlgn val="ctr"/>
        <c:lblOffset val="100"/>
        <c:noMultiLvlLbl val="0"/>
      </c:catAx>
      <c:valAx>
        <c:axId val="11099750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9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esfuerzo'!$C$91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esfuerzo'!$C$92:$C$97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esfuerzo'!$D$91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esfuerzo'!$D$92:$D$97</c:f>
              <c:numCache>
                <c:formatCode>General</c:formatCode>
                <c:ptCount val="6"/>
                <c:pt idx="0">
                  <c:v>15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60576"/>
        <c:axId val="91162112"/>
      </c:barChart>
      <c:catAx>
        <c:axId val="9116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1162112"/>
        <c:crosses val="autoZero"/>
        <c:auto val="1"/>
        <c:lblAlgn val="ctr"/>
        <c:lblOffset val="100"/>
        <c:noMultiLvlLbl val="0"/>
      </c:catAx>
      <c:valAx>
        <c:axId val="911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6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costos'!$E$271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costos'!$E$272:$E$277</c:f>
              <c:numCache>
                <c:formatCode>0%</c:formatCode>
                <c:ptCount val="6"/>
                <c:pt idx="0">
                  <c:v>0.81500223914017011</c:v>
                </c:pt>
                <c:pt idx="1">
                  <c:v>-7.7136363636363638</c:v>
                </c:pt>
                <c:pt idx="2">
                  <c:v>1</c:v>
                </c:pt>
                <c:pt idx="3">
                  <c:v>0.77909090909090917</c:v>
                </c:pt>
                <c:pt idx="4">
                  <c:v>1</c:v>
                </c:pt>
                <c:pt idx="5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17344"/>
        <c:axId val="111019136"/>
      </c:barChart>
      <c:catAx>
        <c:axId val="1110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19136"/>
        <c:crosses val="autoZero"/>
        <c:auto val="1"/>
        <c:lblAlgn val="ctr"/>
        <c:lblOffset val="100"/>
        <c:noMultiLvlLbl val="0"/>
      </c:catAx>
      <c:valAx>
        <c:axId val="111019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0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costos'!$C$286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costos'!$C$287:$C$292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costos'!$D$286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costos'!$D$287:$D$292</c:f>
              <c:numCache>
                <c:formatCode>_-\$* #,##0.00_-;"-$"* #,##0.00_-;_-\$* \-??_-;_-@_-</c:formatCode>
                <c:ptCount val="6"/>
                <c:pt idx="0">
                  <c:v>2.1869999999999998</c:v>
                </c:pt>
                <c:pt idx="1">
                  <c:v>10.206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2.34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28480"/>
        <c:axId val="111054848"/>
      </c:barChart>
      <c:catAx>
        <c:axId val="1110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54848"/>
        <c:crosses val="autoZero"/>
        <c:auto val="1"/>
        <c:lblAlgn val="ctr"/>
        <c:lblOffset val="100"/>
        <c:noMultiLvlLbl val="0"/>
      </c:catAx>
      <c:valAx>
        <c:axId val="11105484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102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costos'!$E$286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costos'!$E$287:$E$292</c:f>
              <c:numCache>
                <c:formatCode>0%</c:formatCode>
                <c:ptCount val="6"/>
                <c:pt idx="0">
                  <c:v>0.90206000895656058</c:v>
                </c:pt>
                <c:pt idx="1">
                  <c:v>-1.5772727272727272</c:v>
                </c:pt>
                <c:pt idx="2">
                  <c:v>1</c:v>
                </c:pt>
                <c:pt idx="3">
                  <c:v>0.77909090909090917</c:v>
                </c:pt>
                <c:pt idx="4">
                  <c:v>1</c:v>
                </c:pt>
                <c:pt idx="5">
                  <c:v>0.89600000000000002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62400"/>
        <c:axId val="111072384"/>
      </c:barChart>
      <c:catAx>
        <c:axId val="11106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72384"/>
        <c:crosses val="autoZero"/>
        <c:auto val="1"/>
        <c:lblAlgn val="ctr"/>
        <c:lblOffset val="100"/>
        <c:noMultiLvlLbl val="0"/>
      </c:catAx>
      <c:valAx>
        <c:axId val="111072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06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costos'!$C$301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costos'!$C$302:$C$307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costos'!$D$301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costos'!$D$302:$D$307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12.636000000000001</c:v>
                </c:pt>
                <c:pt idx="2">
                  <c:v>0</c:v>
                </c:pt>
                <c:pt idx="3">
                  <c:v>0.48599999999999999</c:v>
                </c:pt>
                <c:pt idx="4">
                  <c:v>0</c:v>
                </c:pt>
                <c:pt idx="5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05920"/>
        <c:axId val="111107456"/>
      </c:barChart>
      <c:catAx>
        <c:axId val="1111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107456"/>
        <c:crosses val="autoZero"/>
        <c:auto val="1"/>
        <c:lblAlgn val="ctr"/>
        <c:lblOffset val="100"/>
        <c:noMultiLvlLbl val="0"/>
      </c:catAx>
      <c:valAx>
        <c:axId val="11110745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110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costos'!$E$301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costos'!$E$302:$E$307</c:f>
              <c:numCache>
                <c:formatCode>0%</c:formatCode>
                <c:ptCount val="6"/>
                <c:pt idx="0">
                  <c:v>0.98911777877295126</c:v>
                </c:pt>
                <c:pt idx="1">
                  <c:v>-2.1909090909090914</c:v>
                </c:pt>
                <c:pt idx="2">
                  <c:v>1</c:v>
                </c:pt>
                <c:pt idx="3">
                  <c:v>0.91163636363636369</c:v>
                </c:pt>
                <c:pt idx="4">
                  <c:v>1</c:v>
                </c:pt>
                <c:pt idx="5">
                  <c:v>0.9191111111111111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31648"/>
        <c:axId val="111145728"/>
      </c:barChart>
      <c:catAx>
        <c:axId val="1111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145728"/>
        <c:crosses val="autoZero"/>
        <c:auto val="1"/>
        <c:lblAlgn val="ctr"/>
        <c:lblOffset val="100"/>
        <c:noMultiLvlLbl val="0"/>
      </c:catAx>
      <c:valAx>
        <c:axId val="111145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13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costos'!$C$316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costos'!$C$317:$C$322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costos'!$D$316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costos'!$D$317:$D$322</c:f>
              <c:numCache>
                <c:formatCode>_-\$* #,##0.00_-;"-$"* #,##0.00_-;_-\$* \-??_-;_-@_-</c:formatCode>
                <c:ptCount val="6"/>
                <c:pt idx="0">
                  <c:v>8.5050000000000008</c:v>
                </c:pt>
                <c:pt idx="1">
                  <c:v>54.189</c:v>
                </c:pt>
                <c:pt idx="2">
                  <c:v>40.823999999999998</c:v>
                </c:pt>
                <c:pt idx="3">
                  <c:v>0.24299999999999999</c:v>
                </c:pt>
                <c:pt idx="4">
                  <c:v>0</c:v>
                </c:pt>
                <c:pt idx="5">
                  <c:v>8.41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40704"/>
        <c:axId val="111242240"/>
      </c:barChart>
      <c:catAx>
        <c:axId val="1112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242240"/>
        <c:crosses val="autoZero"/>
        <c:auto val="1"/>
        <c:lblAlgn val="ctr"/>
        <c:lblOffset val="100"/>
        <c:noMultiLvlLbl val="0"/>
      </c:catAx>
      <c:valAx>
        <c:axId val="11124224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124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costos'!$E$316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costos'!$E$317:$E$322</c:f>
              <c:numCache>
                <c:formatCode>0%</c:formatCode>
                <c:ptCount val="6"/>
                <c:pt idx="0">
                  <c:v>0.61912225705329149</c:v>
                </c:pt>
                <c:pt idx="1">
                  <c:v>-12.684090909090909</c:v>
                </c:pt>
                <c:pt idx="2">
                  <c:v>-1.1043298969072166</c:v>
                </c:pt>
                <c:pt idx="3">
                  <c:v>0.95581818181818179</c:v>
                </c:pt>
                <c:pt idx="4">
                  <c:v>1</c:v>
                </c:pt>
                <c:pt idx="5">
                  <c:v>0.62622222222222224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57856"/>
        <c:axId val="111288320"/>
      </c:barChart>
      <c:catAx>
        <c:axId val="1112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288320"/>
        <c:crosses val="autoZero"/>
        <c:auto val="1"/>
        <c:lblAlgn val="ctr"/>
        <c:lblOffset val="100"/>
        <c:noMultiLvlLbl val="0"/>
      </c:catAx>
      <c:valAx>
        <c:axId val="111288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2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costos'!$C$330:$C$331</c:f>
              <c:strCache>
                <c:ptCount val="1"/>
                <c:pt idx="0">
                  <c:v>P1376 Planeado</c:v>
                </c:pt>
              </c:strCache>
            </c:strRef>
          </c:tx>
          <c:invertIfNegative val="0"/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costos'!$C$332:$C$337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costos'!$D$330:$D$331</c:f>
              <c:strCache>
                <c:ptCount val="1"/>
                <c:pt idx="0">
                  <c:v>P1376 Real</c:v>
                </c:pt>
              </c:strCache>
            </c:strRef>
          </c:tx>
          <c:invertIfNegative val="0"/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costos'!$D$332:$D$337</c:f>
              <c:numCache>
                <c:formatCode>_-\$* #,##0.00_-;"-$"* #,##0.00_-;_-\$* \-??_-;_-@_-</c:formatCode>
                <c:ptCount val="6"/>
                <c:pt idx="0">
                  <c:v>5.3460000000000001</c:v>
                </c:pt>
                <c:pt idx="1">
                  <c:v>21.87</c:v>
                </c:pt>
                <c:pt idx="2">
                  <c:v>0</c:v>
                </c:pt>
                <c:pt idx="3">
                  <c:v>14.093999999999999</c:v>
                </c:pt>
                <c:pt idx="4">
                  <c:v>0</c:v>
                </c:pt>
                <c:pt idx="5">
                  <c:v>1.84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01376"/>
        <c:axId val="111302912"/>
      </c:barChart>
      <c:catAx>
        <c:axId val="1113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02912"/>
        <c:crosses val="autoZero"/>
        <c:auto val="1"/>
        <c:lblAlgn val="ctr"/>
        <c:lblOffset val="100"/>
        <c:noMultiLvlLbl val="0"/>
      </c:catAx>
      <c:valAx>
        <c:axId val="11130291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130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costos'!$E$331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costos'!$E$332:$E$337</c:f>
              <c:numCache>
                <c:formatCode>0%</c:formatCode>
                <c:ptCount val="6"/>
                <c:pt idx="0">
                  <c:v>0.76059113300492609</c:v>
                </c:pt>
                <c:pt idx="1">
                  <c:v>-4.5227272727272725</c:v>
                </c:pt>
                <c:pt idx="2">
                  <c:v>1</c:v>
                </c:pt>
                <c:pt idx="3">
                  <c:v>-1.5625454545454545</c:v>
                </c:pt>
                <c:pt idx="4">
                  <c:v>1</c:v>
                </c:pt>
                <c:pt idx="5">
                  <c:v>0.91822222222222227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35296"/>
        <c:axId val="111336832"/>
      </c:barChart>
      <c:catAx>
        <c:axId val="1113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36832"/>
        <c:crosses val="autoZero"/>
        <c:auto val="1"/>
        <c:lblAlgn val="ctr"/>
        <c:lblOffset val="100"/>
        <c:noMultiLvlLbl val="0"/>
      </c:catAx>
      <c:valAx>
        <c:axId val="111336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3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costos'!$C$346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costos'!$C$347:$C$352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costos'!$D$346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costos'!$D$347:$D$352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10.935</c:v>
                </c:pt>
                <c:pt idx="5">
                  <c:v>0.48599999999999999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36160"/>
        <c:axId val="111437696"/>
      </c:barChart>
      <c:catAx>
        <c:axId val="1114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437696"/>
        <c:crosses val="autoZero"/>
        <c:auto val="1"/>
        <c:lblAlgn val="ctr"/>
        <c:lblOffset val="100"/>
        <c:noMultiLvlLbl val="0"/>
      </c:catAx>
      <c:valAx>
        <c:axId val="11143769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14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esfuerzo'!$E$91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esfuerzo'!$E$92:$E$97</c:f>
              <c:numCache>
                <c:formatCode>0%</c:formatCode>
                <c:ptCount val="6"/>
                <c:pt idx="0">
                  <c:v>0.70588235294117652</c:v>
                </c:pt>
                <c:pt idx="1">
                  <c:v>-1.5714285714285714</c:v>
                </c:pt>
                <c:pt idx="2">
                  <c:v>-0.1125</c:v>
                </c:pt>
                <c:pt idx="3">
                  <c:v>0.65217391304347827</c:v>
                </c:pt>
                <c:pt idx="4">
                  <c:v>1</c:v>
                </c:pt>
                <c:pt idx="5">
                  <c:v>0.88028169014084512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82208"/>
        <c:axId val="91183744"/>
      </c:barChart>
      <c:catAx>
        <c:axId val="911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1183744"/>
        <c:crosses val="autoZero"/>
        <c:auto val="1"/>
        <c:lblAlgn val="ctr"/>
        <c:lblOffset val="100"/>
        <c:noMultiLvlLbl val="0"/>
      </c:catAx>
      <c:valAx>
        <c:axId val="91183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18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costos'!$E$346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costos'!$E$347:$E$352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0.62293103448275855</c:v>
                </c:pt>
                <c:pt idx="5">
                  <c:v>0.97839999999999994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70080"/>
        <c:axId val="111471616"/>
      </c:barChart>
      <c:catAx>
        <c:axId val="1114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471616"/>
        <c:crosses val="autoZero"/>
        <c:auto val="1"/>
        <c:lblAlgn val="ctr"/>
        <c:lblOffset val="100"/>
        <c:noMultiLvlLbl val="0"/>
      </c:catAx>
      <c:valAx>
        <c:axId val="111471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4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costos'!$C$361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costos'!$C$362:$C$367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costos'!$D$361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costos'!$D$362:$D$367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2.4299999999999997</c:v>
                </c:pt>
                <c:pt idx="2">
                  <c:v>0</c:v>
                </c:pt>
                <c:pt idx="3">
                  <c:v>0</c:v>
                </c:pt>
                <c:pt idx="4">
                  <c:v>36.207000000000001</c:v>
                </c:pt>
                <c:pt idx="5">
                  <c:v>0.72900000000000009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80192"/>
        <c:axId val="111502464"/>
      </c:barChart>
      <c:catAx>
        <c:axId val="1114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02464"/>
        <c:crosses val="autoZero"/>
        <c:auto val="1"/>
        <c:lblAlgn val="ctr"/>
        <c:lblOffset val="100"/>
        <c:noMultiLvlLbl val="0"/>
      </c:catAx>
      <c:valAx>
        <c:axId val="11150246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14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costos'!$E$361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costos'!$E$362:$E$367</c:f>
              <c:numCache>
                <c:formatCode>0%</c:formatCode>
                <c:ptCount val="6"/>
                <c:pt idx="0">
                  <c:v>0.98911777877295126</c:v>
                </c:pt>
                <c:pt idx="1">
                  <c:v>0.38636363636363641</c:v>
                </c:pt>
                <c:pt idx="2">
                  <c:v>1</c:v>
                </c:pt>
                <c:pt idx="3">
                  <c:v>1</c:v>
                </c:pt>
                <c:pt idx="4">
                  <c:v>-0.24851724137931036</c:v>
                </c:pt>
                <c:pt idx="5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14368"/>
        <c:axId val="111515904"/>
      </c:barChart>
      <c:catAx>
        <c:axId val="11151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15904"/>
        <c:crosses val="autoZero"/>
        <c:auto val="1"/>
        <c:lblAlgn val="ctr"/>
        <c:lblOffset val="100"/>
        <c:noMultiLvlLbl val="0"/>
      </c:catAx>
      <c:valAx>
        <c:axId val="111515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5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costos'!$C$375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costos'!$C$376:$C$381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costos'!$D$375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costos'!$D$376:$D$381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2.9160000000000004</c:v>
                </c:pt>
                <c:pt idx="2">
                  <c:v>0</c:v>
                </c:pt>
                <c:pt idx="3">
                  <c:v>0</c:v>
                </c:pt>
                <c:pt idx="4">
                  <c:v>10.692</c:v>
                </c:pt>
                <c:pt idx="5">
                  <c:v>0.97199999999999998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19072"/>
        <c:axId val="111620864"/>
      </c:barChart>
      <c:catAx>
        <c:axId val="1116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20864"/>
        <c:crosses val="autoZero"/>
        <c:auto val="1"/>
        <c:lblAlgn val="ctr"/>
        <c:lblOffset val="100"/>
        <c:noMultiLvlLbl val="0"/>
      </c:catAx>
      <c:valAx>
        <c:axId val="11162086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161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costos'!$E$375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costos'!$E$376:$E$381</c:f>
              <c:numCache>
                <c:formatCode>0%</c:formatCode>
                <c:ptCount val="6"/>
                <c:pt idx="0">
                  <c:v>0.94558889386475597</c:v>
                </c:pt>
                <c:pt idx="1">
                  <c:v>0.26363636363636356</c:v>
                </c:pt>
                <c:pt idx="2">
                  <c:v>1</c:v>
                </c:pt>
                <c:pt idx="3">
                  <c:v>1</c:v>
                </c:pt>
                <c:pt idx="4">
                  <c:v>0.63131034482758619</c:v>
                </c:pt>
                <c:pt idx="5">
                  <c:v>0.95679999999999998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49152"/>
        <c:axId val="111650688"/>
      </c:barChart>
      <c:catAx>
        <c:axId val="1116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50688"/>
        <c:crosses val="autoZero"/>
        <c:auto val="1"/>
        <c:lblAlgn val="ctr"/>
        <c:lblOffset val="100"/>
        <c:noMultiLvlLbl val="0"/>
      </c:catAx>
      <c:valAx>
        <c:axId val="111650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64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costos'!$C$390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costos'!$C$391:$C$396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costos'!$D$390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costos'!$D$391:$D$396</c:f>
              <c:numCache>
                <c:formatCode>_-\$* #,##0.00_-;"-$"* #,##0.00_-;_-\$* \-??_-;_-@_-</c:formatCode>
                <c:ptCount val="6"/>
                <c:pt idx="0">
                  <c:v>25.515000000000001</c:v>
                </c:pt>
                <c:pt idx="1">
                  <c:v>24.785999999999998</c:v>
                </c:pt>
                <c:pt idx="2">
                  <c:v>0</c:v>
                </c:pt>
                <c:pt idx="3">
                  <c:v>1.2149999999999999</c:v>
                </c:pt>
                <c:pt idx="4">
                  <c:v>60.507000000000005</c:v>
                </c:pt>
                <c:pt idx="5">
                  <c:v>0.78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67840"/>
        <c:axId val="111669632"/>
      </c:barChart>
      <c:catAx>
        <c:axId val="1116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69632"/>
        <c:crosses val="autoZero"/>
        <c:auto val="1"/>
        <c:lblAlgn val="ctr"/>
        <c:lblOffset val="100"/>
        <c:noMultiLvlLbl val="0"/>
      </c:catAx>
      <c:valAx>
        <c:axId val="11166963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166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costos'!$E$390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costos'!$E$391:$E$396</c:f>
              <c:numCache>
                <c:formatCode>0%</c:formatCode>
                <c:ptCount val="6"/>
                <c:pt idx="0">
                  <c:v>-0.1426332288401255</c:v>
                </c:pt>
                <c:pt idx="1">
                  <c:v>-5.2590909090909079</c:v>
                </c:pt>
                <c:pt idx="2">
                  <c:v>1</c:v>
                </c:pt>
                <c:pt idx="3">
                  <c:v>0.77909090909090917</c:v>
                </c:pt>
                <c:pt idx="4">
                  <c:v>-1.086448275862069</c:v>
                </c:pt>
                <c:pt idx="5">
                  <c:v>0.96533333333333327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02016"/>
        <c:axId val="111703552"/>
      </c:barChart>
      <c:catAx>
        <c:axId val="1117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03552"/>
        <c:crosses val="autoZero"/>
        <c:auto val="1"/>
        <c:lblAlgn val="ctr"/>
        <c:lblOffset val="100"/>
        <c:noMultiLvlLbl val="0"/>
      </c:catAx>
      <c:valAx>
        <c:axId val="111703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70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costos'!$C$404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costos'!$C$405:$C$410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costos'!$D$404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costos'!$D$405:$D$410</c:f>
              <c:numCache>
                <c:formatCode>_-\$* #,##0.00_-;"-$"* #,##0.00_-;_-\$* \-??_-;_-@_-</c:formatCode>
                <c:ptCount val="6"/>
                <c:pt idx="0">
                  <c:v>568.62</c:v>
                </c:pt>
                <c:pt idx="1">
                  <c:v>962.28</c:v>
                </c:pt>
                <c:pt idx="2">
                  <c:v>0</c:v>
                </c:pt>
                <c:pt idx="3">
                  <c:v>1.4580000000000002</c:v>
                </c:pt>
                <c:pt idx="4">
                  <c:v>41.553000000000004</c:v>
                </c:pt>
                <c:pt idx="5">
                  <c:v>0.72900000000000009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69024"/>
        <c:axId val="110370816"/>
      </c:barChart>
      <c:catAx>
        <c:axId val="11036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70816"/>
        <c:crosses val="autoZero"/>
        <c:auto val="1"/>
        <c:lblAlgn val="ctr"/>
        <c:lblOffset val="100"/>
        <c:noMultiLvlLbl val="0"/>
      </c:catAx>
      <c:valAx>
        <c:axId val="11037081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36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costos'!$E$404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costos'!$E$405:$E$410</c:f>
              <c:numCache>
                <c:formatCode>0%</c:formatCode>
                <c:ptCount val="6"/>
                <c:pt idx="0">
                  <c:v>-24.464397671294222</c:v>
                </c:pt>
                <c:pt idx="1">
                  <c:v>-242</c:v>
                </c:pt>
                <c:pt idx="2">
                  <c:v>1</c:v>
                </c:pt>
                <c:pt idx="3">
                  <c:v>0.73490909090909085</c:v>
                </c:pt>
                <c:pt idx="4">
                  <c:v>-0.43286206896551738</c:v>
                </c:pt>
                <c:pt idx="5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02944"/>
        <c:axId val="110408832"/>
      </c:barChart>
      <c:catAx>
        <c:axId val="11040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08832"/>
        <c:crosses val="autoZero"/>
        <c:auto val="1"/>
        <c:lblAlgn val="ctr"/>
        <c:lblOffset val="100"/>
        <c:noMultiLvlLbl val="0"/>
      </c:catAx>
      <c:valAx>
        <c:axId val="110408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40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costos'!$C$420:$C$425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costos'!$D$419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costos'!$D$420:$D$425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4.3739999999999997</c:v>
                </c:pt>
                <c:pt idx="2">
                  <c:v>0</c:v>
                </c:pt>
                <c:pt idx="3">
                  <c:v>0.24299999999999999</c:v>
                </c:pt>
                <c:pt idx="4">
                  <c:v>21.87</c:v>
                </c:pt>
                <c:pt idx="5">
                  <c:v>0.72900000000000009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38272"/>
        <c:axId val="110439808"/>
      </c:barChart>
      <c:catAx>
        <c:axId val="1104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39808"/>
        <c:crosses val="autoZero"/>
        <c:auto val="1"/>
        <c:lblAlgn val="ctr"/>
        <c:lblOffset val="100"/>
        <c:noMultiLvlLbl val="0"/>
      </c:catAx>
      <c:valAx>
        <c:axId val="11043980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43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esfuerzo'!$C$105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esfuerzo'!$C$106:$C$111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esfuerzo'!$D$105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esfuerzo'!$D$106:$D$111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96800"/>
        <c:axId val="91239552"/>
      </c:barChart>
      <c:catAx>
        <c:axId val="911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1239552"/>
        <c:crosses val="autoZero"/>
        <c:auto val="1"/>
        <c:lblAlgn val="ctr"/>
        <c:lblOffset val="100"/>
        <c:noMultiLvlLbl val="0"/>
      </c:catAx>
      <c:valAx>
        <c:axId val="912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9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costos'!$E$419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costos'!$E$420:$E$425</c:f>
              <c:numCache>
                <c:formatCode>0%</c:formatCode>
                <c:ptCount val="6"/>
                <c:pt idx="0">
                  <c:v>1</c:v>
                </c:pt>
                <c:pt idx="1">
                  <c:v>-0.10454545454545447</c:v>
                </c:pt>
                <c:pt idx="2">
                  <c:v>1</c:v>
                </c:pt>
                <c:pt idx="3">
                  <c:v>0.95581818181818179</c:v>
                </c:pt>
                <c:pt idx="4">
                  <c:v>0.24586206896551721</c:v>
                </c:pt>
                <c:pt idx="5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52096"/>
        <c:axId val="110453888"/>
      </c:barChart>
      <c:catAx>
        <c:axId val="1104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53888"/>
        <c:crosses val="autoZero"/>
        <c:auto val="1"/>
        <c:lblAlgn val="ctr"/>
        <c:lblOffset val="100"/>
        <c:noMultiLvlLbl val="0"/>
      </c:catAx>
      <c:valAx>
        <c:axId val="110453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4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costos'!$C$434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costos'!$C$435:$C$440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costos'!$D$434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costos'!$D$435:$D$440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0.72900000000000009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4.37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84864"/>
        <c:axId val="112086400"/>
      </c:barChart>
      <c:catAx>
        <c:axId val="1120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86400"/>
        <c:crosses val="autoZero"/>
        <c:auto val="1"/>
        <c:lblAlgn val="ctr"/>
        <c:lblOffset val="100"/>
        <c:noMultiLvlLbl val="0"/>
      </c:catAx>
      <c:valAx>
        <c:axId val="11208640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208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costos'!$E$434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costos'!$E$435:$E$440</c:f>
              <c:numCache>
                <c:formatCode>0%</c:formatCode>
                <c:ptCount val="6"/>
                <c:pt idx="0">
                  <c:v>0.93470667263770724</c:v>
                </c:pt>
                <c:pt idx="1">
                  <c:v>0.81590909090909092</c:v>
                </c:pt>
                <c:pt idx="2">
                  <c:v>1</c:v>
                </c:pt>
                <c:pt idx="3">
                  <c:v>0.46981818181818175</c:v>
                </c:pt>
                <c:pt idx="4">
                  <c:v>1</c:v>
                </c:pt>
                <c:pt idx="5">
                  <c:v>0.8057777777777777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98304"/>
        <c:axId val="112108288"/>
      </c:barChart>
      <c:catAx>
        <c:axId val="1120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08288"/>
        <c:crosses val="autoZero"/>
        <c:auto val="1"/>
        <c:lblAlgn val="ctr"/>
        <c:lblOffset val="100"/>
        <c:noMultiLvlLbl val="0"/>
      </c:catAx>
      <c:valAx>
        <c:axId val="112108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09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costos'!$C$448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costos'!$C$449:$C$454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costos'!$D$448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costos'!$D$449:$D$454</c:f>
              <c:numCache>
                <c:formatCode>_-\$* #,##0.00_-;"-$"* #,##0.00_-;_-\$* \-??_-;_-@_-</c:formatCode>
                <c:ptCount val="6"/>
                <c:pt idx="0">
                  <c:v>0.48599999999999999</c:v>
                </c:pt>
                <c:pt idx="1">
                  <c:v>0.72900000000000009</c:v>
                </c:pt>
                <c:pt idx="2">
                  <c:v>0</c:v>
                </c:pt>
                <c:pt idx="3">
                  <c:v>3.1590000000000003</c:v>
                </c:pt>
                <c:pt idx="4">
                  <c:v>0</c:v>
                </c:pt>
                <c:pt idx="5">
                  <c:v>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21344"/>
        <c:axId val="112122880"/>
      </c:barChart>
      <c:catAx>
        <c:axId val="1121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22880"/>
        <c:crosses val="autoZero"/>
        <c:auto val="1"/>
        <c:lblAlgn val="ctr"/>
        <c:lblOffset val="100"/>
        <c:noMultiLvlLbl val="0"/>
      </c:catAx>
      <c:valAx>
        <c:axId val="11212288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212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costos'!$E$448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costos'!$E$449:$E$454</c:f>
              <c:numCache>
                <c:formatCode>0%</c:formatCode>
                <c:ptCount val="6"/>
                <c:pt idx="0">
                  <c:v>0.9782355575459023</c:v>
                </c:pt>
                <c:pt idx="1">
                  <c:v>0.81590909090909092</c:v>
                </c:pt>
                <c:pt idx="2">
                  <c:v>1</c:v>
                </c:pt>
                <c:pt idx="3">
                  <c:v>0.42563636363636359</c:v>
                </c:pt>
                <c:pt idx="4">
                  <c:v>1</c:v>
                </c:pt>
                <c:pt idx="5">
                  <c:v>0.89822222222222226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42976"/>
        <c:axId val="112165248"/>
      </c:barChart>
      <c:catAx>
        <c:axId val="1121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65248"/>
        <c:crosses val="autoZero"/>
        <c:auto val="1"/>
        <c:lblAlgn val="ctr"/>
        <c:lblOffset val="100"/>
        <c:noMultiLvlLbl val="0"/>
      </c:catAx>
      <c:valAx>
        <c:axId val="112165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14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costos'!$C$464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costos'!$C$465:$C$470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costos'!$D$464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costos'!$D$465:$D$470</c:f>
              <c:numCache>
                <c:formatCode>_-\$* #,##0.00_-;"-$"* #,##0.00_-;_-\$* \-??_-;_-@_-</c:formatCode>
                <c:ptCount val="6"/>
                <c:pt idx="0">
                  <c:v>13.365</c:v>
                </c:pt>
                <c:pt idx="1">
                  <c:v>0</c:v>
                </c:pt>
                <c:pt idx="2">
                  <c:v>9.963000000000001</c:v>
                </c:pt>
                <c:pt idx="3">
                  <c:v>0.97199999999999998</c:v>
                </c:pt>
                <c:pt idx="4">
                  <c:v>9.4770000000000003</c:v>
                </c:pt>
                <c:pt idx="5">
                  <c:v>0.72900000000000009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94688"/>
        <c:axId val="112196224"/>
      </c:barChart>
      <c:catAx>
        <c:axId val="1121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96224"/>
        <c:crosses val="autoZero"/>
        <c:auto val="1"/>
        <c:lblAlgn val="ctr"/>
        <c:lblOffset val="100"/>
        <c:noMultiLvlLbl val="0"/>
      </c:catAx>
      <c:valAx>
        <c:axId val="11219622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219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costos'!$E$464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costos'!$E$465:$E$470</c:f>
              <c:numCache>
                <c:formatCode>0%</c:formatCode>
                <c:ptCount val="6"/>
                <c:pt idx="0">
                  <c:v>0.40147783251231522</c:v>
                </c:pt>
                <c:pt idx="1">
                  <c:v>1</c:v>
                </c:pt>
                <c:pt idx="2">
                  <c:v>0.48644329896907207</c:v>
                </c:pt>
                <c:pt idx="3">
                  <c:v>0.82327272727272738</c:v>
                </c:pt>
                <c:pt idx="4">
                  <c:v>0.67320689655172417</c:v>
                </c:pt>
                <c:pt idx="5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28608"/>
        <c:axId val="112234496"/>
      </c:barChart>
      <c:catAx>
        <c:axId val="1122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34496"/>
        <c:crosses val="autoZero"/>
        <c:auto val="1"/>
        <c:lblAlgn val="ctr"/>
        <c:lblOffset val="100"/>
        <c:noMultiLvlLbl val="0"/>
      </c:catAx>
      <c:valAx>
        <c:axId val="112234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2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costos'!$C$479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costos'!$C$480:$C$485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costos'!$D$479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costos'!$D$480:$D$485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0.48599999999999999</c:v>
                </c:pt>
                <c:pt idx="2">
                  <c:v>0</c:v>
                </c:pt>
                <c:pt idx="3">
                  <c:v>0.97199999999999998</c:v>
                </c:pt>
                <c:pt idx="4">
                  <c:v>0</c:v>
                </c:pt>
                <c:pt idx="5">
                  <c:v>1.42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47552"/>
        <c:axId val="112249088"/>
      </c:barChart>
      <c:catAx>
        <c:axId val="1122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49088"/>
        <c:crosses val="autoZero"/>
        <c:auto val="1"/>
        <c:lblAlgn val="ctr"/>
        <c:lblOffset val="100"/>
        <c:noMultiLvlLbl val="0"/>
      </c:catAx>
      <c:valAx>
        <c:axId val="11224908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22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costos'!$E$479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costos'!$E$480:$E$485</c:f>
              <c:numCache>
                <c:formatCode>0%</c:formatCode>
                <c:ptCount val="6"/>
                <c:pt idx="0">
                  <c:v>0.94558889386475597</c:v>
                </c:pt>
                <c:pt idx="1">
                  <c:v>0.87727272727272732</c:v>
                </c:pt>
                <c:pt idx="2">
                  <c:v>1</c:v>
                </c:pt>
                <c:pt idx="3">
                  <c:v>0.82327272727272738</c:v>
                </c:pt>
                <c:pt idx="4">
                  <c:v>1</c:v>
                </c:pt>
                <c:pt idx="5">
                  <c:v>0.93688888888888877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47008"/>
        <c:axId val="112348544"/>
      </c:barChart>
      <c:catAx>
        <c:axId val="1123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48544"/>
        <c:crosses val="autoZero"/>
        <c:auto val="1"/>
        <c:lblAlgn val="ctr"/>
        <c:lblOffset val="100"/>
        <c:noMultiLvlLbl val="0"/>
      </c:catAx>
      <c:valAx>
        <c:axId val="112348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34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costos'!$C$493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costos'!$C$494:$C$499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costos'!$D$493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costos'!$D$494:$D$499</c:f>
              <c:numCache>
                <c:formatCode>_-\$* #,##0.00_-;"-$"* #,##0.00_-;_-\$* \-??_-;_-@_-</c:formatCode>
                <c:ptCount val="6"/>
                <c:pt idx="0">
                  <c:v>24.542999999999999</c:v>
                </c:pt>
                <c:pt idx="1">
                  <c:v>4.8599999999999994</c:v>
                </c:pt>
                <c:pt idx="2">
                  <c:v>0</c:v>
                </c:pt>
                <c:pt idx="3">
                  <c:v>2.9160000000000004</c:v>
                </c:pt>
                <c:pt idx="4">
                  <c:v>265.84200000000004</c:v>
                </c:pt>
                <c:pt idx="5">
                  <c:v>0.72900000000000009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90528"/>
        <c:axId val="112392064"/>
      </c:barChart>
      <c:catAx>
        <c:axId val="1123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92064"/>
        <c:crosses val="autoZero"/>
        <c:auto val="1"/>
        <c:lblAlgn val="ctr"/>
        <c:lblOffset val="100"/>
        <c:noMultiLvlLbl val="0"/>
      </c:catAx>
      <c:valAx>
        <c:axId val="11239206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239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esfuerzo'!$E$105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esfuerzo'!$E$106:$E$111</c:f>
              <c:numCache>
                <c:formatCode>0%</c:formatCode>
                <c:ptCount val="6"/>
                <c:pt idx="0">
                  <c:v>0.60784313725490191</c:v>
                </c:pt>
                <c:pt idx="1">
                  <c:v>0.8571428571428571</c:v>
                </c:pt>
                <c:pt idx="2">
                  <c:v>1</c:v>
                </c:pt>
                <c:pt idx="3">
                  <c:v>0.56521739130434778</c:v>
                </c:pt>
                <c:pt idx="4">
                  <c:v>1</c:v>
                </c:pt>
                <c:pt idx="5">
                  <c:v>0.8098591549295775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71936"/>
        <c:axId val="91273472"/>
      </c:barChart>
      <c:catAx>
        <c:axId val="912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1273472"/>
        <c:crosses val="autoZero"/>
        <c:auto val="1"/>
        <c:lblAlgn val="ctr"/>
        <c:lblOffset val="100"/>
        <c:noMultiLvlLbl val="0"/>
      </c:catAx>
      <c:valAx>
        <c:axId val="91273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27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costos'!$E$493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costos'!$E$494:$E$499</c:f>
              <c:numCache>
                <c:formatCode>0%</c:formatCode>
                <c:ptCount val="6"/>
                <c:pt idx="0">
                  <c:v>-9.9104343931930183E-2</c:v>
                </c:pt>
                <c:pt idx="1">
                  <c:v>-0.22727272727272713</c:v>
                </c:pt>
                <c:pt idx="2">
                  <c:v>1</c:v>
                </c:pt>
                <c:pt idx="3">
                  <c:v>0.46981818181818175</c:v>
                </c:pt>
                <c:pt idx="4">
                  <c:v>-8.1669655172413815</c:v>
                </c:pt>
                <c:pt idx="5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08064"/>
        <c:axId val="112409600"/>
      </c:barChart>
      <c:catAx>
        <c:axId val="1124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09600"/>
        <c:crosses val="autoZero"/>
        <c:auto val="1"/>
        <c:lblAlgn val="ctr"/>
        <c:lblOffset val="100"/>
        <c:noMultiLvlLbl val="0"/>
      </c:catAx>
      <c:valAx>
        <c:axId val="112409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40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costos'!$C$508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costos'!$C$509:$C$514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costos'!$D$508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costos'!$D$509:$D$514</c:f>
              <c:numCache>
                <c:formatCode>_-\$* #,##0.00_-;"-$"* #,##0.00_-;_-\$* \-??_-;_-@_-</c:formatCode>
                <c:ptCount val="6"/>
                <c:pt idx="0">
                  <c:v>1.7010000000000001</c:v>
                </c:pt>
                <c:pt idx="1">
                  <c:v>1.2149999999999999</c:v>
                </c:pt>
                <c:pt idx="2">
                  <c:v>24.542999999999999</c:v>
                </c:pt>
                <c:pt idx="3">
                  <c:v>1322.163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63872"/>
        <c:axId val="112465408"/>
      </c:barChart>
      <c:catAx>
        <c:axId val="11246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65408"/>
        <c:crosses val="autoZero"/>
        <c:auto val="1"/>
        <c:lblAlgn val="ctr"/>
        <c:lblOffset val="100"/>
        <c:noMultiLvlLbl val="0"/>
      </c:catAx>
      <c:valAx>
        <c:axId val="11246540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24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costos'!$E$508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costos'!$E$509:$E$514</c:f>
              <c:numCache>
                <c:formatCode>0%</c:formatCode>
                <c:ptCount val="6"/>
                <c:pt idx="0">
                  <c:v>0.92382445141065828</c:v>
                </c:pt>
                <c:pt idx="1">
                  <c:v>0.69318181818181823</c:v>
                </c:pt>
                <c:pt idx="2">
                  <c:v>-0.26510309278350519</c:v>
                </c:pt>
                <c:pt idx="3">
                  <c:v>-239.39327272727272</c:v>
                </c:pt>
                <c:pt idx="4">
                  <c:v>1</c:v>
                </c:pt>
                <c:pt idx="5">
                  <c:v>0.92888888888888888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85120"/>
        <c:axId val="112486656"/>
      </c:barChart>
      <c:catAx>
        <c:axId val="1124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86656"/>
        <c:crosses val="autoZero"/>
        <c:auto val="1"/>
        <c:lblAlgn val="ctr"/>
        <c:lblOffset val="100"/>
        <c:noMultiLvlLbl val="0"/>
      </c:catAx>
      <c:valAx>
        <c:axId val="112486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costos'!$C$522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costos'!$C$523:$C$528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costos'!$D$522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costos'!$D$523:$D$528</c:f>
              <c:numCache>
                <c:formatCode>_-\$* #,##0.00_-;"-$"* #,##0.00_-;_-\$* \-??_-;_-@_-</c:formatCode>
                <c:ptCount val="6"/>
                <c:pt idx="0">
                  <c:v>8.0190000000000001</c:v>
                </c:pt>
                <c:pt idx="1">
                  <c:v>13.608000000000001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0.72900000000000009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07904"/>
        <c:axId val="112513792"/>
      </c:barChart>
      <c:catAx>
        <c:axId val="11250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13792"/>
        <c:crosses val="autoZero"/>
        <c:auto val="1"/>
        <c:lblAlgn val="ctr"/>
        <c:lblOffset val="100"/>
        <c:noMultiLvlLbl val="0"/>
      </c:catAx>
      <c:valAx>
        <c:axId val="11251379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250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costos'!$E$522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costos'!$E$523:$E$528</c:f>
              <c:numCache>
                <c:formatCode>0%</c:formatCode>
                <c:ptCount val="6"/>
                <c:pt idx="0">
                  <c:v>0.64088669950738908</c:v>
                </c:pt>
                <c:pt idx="1">
                  <c:v>-2.4363636363636365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99424"/>
        <c:axId val="112600960"/>
      </c:barChart>
      <c:catAx>
        <c:axId val="1125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00960"/>
        <c:crosses val="autoZero"/>
        <c:auto val="1"/>
        <c:lblAlgn val="ctr"/>
        <c:lblOffset val="100"/>
        <c:noMultiLvlLbl val="0"/>
      </c:catAx>
      <c:valAx>
        <c:axId val="112600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59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costos'!$C$538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costos'!$C$539:$C$544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costos'!$D$538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costos'!$D$539:$D$544</c:f>
              <c:numCache>
                <c:formatCode>_-\$* #,##0.00_-;"-$"* #,##0.00_-;_-\$* \-??_-;_-@_-</c:formatCode>
                <c:ptCount val="6"/>
                <c:pt idx="0">
                  <c:v>1.944</c:v>
                </c:pt>
                <c:pt idx="1">
                  <c:v>0.72900000000000009</c:v>
                </c:pt>
                <c:pt idx="2">
                  <c:v>0</c:v>
                </c:pt>
                <c:pt idx="3">
                  <c:v>0</c:v>
                </c:pt>
                <c:pt idx="4">
                  <c:v>41.31</c:v>
                </c:pt>
                <c:pt idx="5">
                  <c:v>0.85050000000000003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18112"/>
        <c:axId val="112619904"/>
      </c:barChart>
      <c:catAx>
        <c:axId val="1126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19904"/>
        <c:crosses val="autoZero"/>
        <c:auto val="1"/>
        <c:lblAlgn val="ctr"/>
        <c:lblOffset val="100"/>
        <c:noMultiLvlLbl val="0"/>
      </c:catAx>
      <c:valAx>
        <c:axId val="11261990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261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costos'!$E$538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costos'!$E$539:$E$544</c:f>
              <c:numCache>
                <c:formatCode>0%</c:formatCode>
                <c:ptCount val="6"/>
                <c:pt idx="0">
                  <c:v>0.91294223018360954</c:v>
                </c:pt>
                <c:pt idx="1">
                  <c:v>0.81590909090909092</c:v>
                </c:pt>
                <c:pt idx="2">
                  <c:v>1</c:v>
                </c:pt>
                <c:pt idx="3">
                  <c:v>1</c:v>
                </c:pt>
                <c:pt idx="4">
                  <c:v>-0.42448275862068974</c:v>
                </c:pt>
                <c:pt idx="5">
                  <c:v>0.96219999999999994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08512"/>
        <c:axId val="111810048"/>
      </c:barChart>
      <c:catAx>
        <c:axId val="1118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10048"/>
        <c:crosses val="autoZero"/>
        <c:auto val="1"/>
        <c:lblAlgn val="ctr"/>
        <c:lblOffset val="100"/>
        <c:noMultiLvlLbl val="0"/>
      </c:catAx>
      <c:valAx>
        <c:axId val="1118100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80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costos'!$C$6:$C$11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costos'!$D$6:$D$11</c:f>
              <c:numCache>
                <c:formatCode>_-\$* #,##0.00_-;"-$"* #,##0.00_-;_-\$* \-??_-;_-@_-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35.700000000000003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31296"/>
        <c:axId val="111845376"/>
      </c:barChart>
      <c:catAx>
        <c:axId val="11183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45376"/>
        <c:crosses val="autoZero"/>
        <c:auto val="1"/>
        <c:lblAlgn val="ctr"/>
        <c:lblOffset val="100"/>
        <c:noMultiLvlLbl val="0"/>
      </c:catAx>
      <c:valAx>
        <c:axId val="11184537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183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costos'!$E$6:$E$11</c:f>
              <c:numCache>
                <c:formatCode>0%</c:formatCode>
                <c:ptCount val="6"/>
                <c:pt idx="0">
                  <c:v>-1.1227048813255711</c:v>
                </c:pt>
                <c:pt idx="1">
                  <c:v>1</c:v>
                </c:pt>
                <c:pt idx="2">
                  <c:v>0.43608247422680413</c:v>
                </c:pt>
                <c:pt idx="3">
                  <c:v>-5.4909090909090912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2928"/>
        <c:axId val="111862912"/>
      </c:barChart>
      <c:catAx>
        <c:axId val="1118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62912"/>
        <c:crosses val="autoZero"/>
        <c:auto val="1"/>
        <c:lblAlgn val="ctr"/>
        <c:lblOffset val="100"/>
        <c:noMultiLvlLbl val="0"/>
      </c:catAx>
      <c:valAx>
        <c:axId val="111862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85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Procesos'!$AO$4:$AO$9</c:f>
              <c:numCache>
                <c:formatCode>0%</c:formatCode>
                <c:ptCount val="6"/>
                <c:pt idx="0">
                  <c:v>0</c:v>
                </c:pt>
                <c:pt idx="1">
                  <c:v>0.9821375</c:v>
                </c:pt>
                <c:pt idx="2">
                  <c:v>0.8203125</c:v>
                </c:pt>
                <c:pt idx="3">
                  <c:v>0.90625</c:v>
                </c:pt>
                <c:pt idx="4">
                  <c:v>0.54123750000000004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19744"/>
        <c:axId val="112721280"/>
      </c:barChart>
      <c:catAx>
        <c:axId val="11271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721280"/>
        <c:crosses val="autoZero"/>
        <c:auto val="1"/>
        <c:lblAlgn val="ctr"/>
        <c:lblOffset val="100"/>
        <c:noMultiLvlLbl val="1"/>
      </c:catAx>
      <c:valAx>
        <c:axId val="112721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71974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esfuerzo'!$C$120:$C$125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esfuerzo'!$D$119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esfuerzo'!$D$120:$D$125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27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82432"/>
        <c:axId val="91296512"/>
      </c:barChart>
      <c:catAx>
        <c:axId val="9128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91296512"/>
        <c:crosses val="autoZero"/>
        <c:auto val="1"/>
        <c:lblAlgn val="ctr"/>
        <c:lblOffset val="100"/>
        <c:noMultiLvlLbl val="0"/>
      </c:catAx>
      <c:valAx>
        <c:axId val="912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8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Procesos'!$AO$13:$AO$15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51360"/>
        <c:axId val="112752896"/>
      </c:barChart>
      <c:catAx>
        <c:axId val="11275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752896"/>
        <c:crosses val="autoZero"/>
        <c:auto val="1"/>
        <c:lblAlgn val="ctr"/>
        <c:lblOffset val="100"/>
        <c:noMultiLvlLbl val="1"/>
      </c:catAx>
      <c:valAx>
        <c:axId val="11275289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7513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Productos'!$AO$4:$AO$8</c:f>
              <c:numCache>
                <c:formatCode>0%</c:formatCode>
                <c:ptCount val="5"/>
                <c:pt idx="0">
                  <c:v>0.81117500000000009</c:v>
                </c:pt>
                <c:pt idx="1">
                  <c:v>0.94374999999999998</c:v>
                </c:pt>
                <c:pt idx="2">
                  <c:v>0</c:v>
                </c:pt>
                <c:pt idx="3">
                  <c:v>1</c:v>
                </c:pt>
                <c:pt idx="4">
                  <c:v>0.85709999999999997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39392"/>
        <c:axId val="112940928"/>
      </c:barChart>
      <c:catAx>
        <c:axId val="11293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940928"/>
        <c:crosses val="autoZero"/>
        <c:auto val="1"/>
        <c:lblAlgn val="ctr"/>
        <c:lblOffset val="100"/>
        <c:noMultiLvlLbl val="1"/>
      </c:catAx>
      <c:valAx>
        <c:axId val="11294092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93939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Productos'!$AO$12:$AO$14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66656"/>
        <c:axId val="112972544"/>
      </c:barChart>
      <c:catAx>
        <c:axId val="11296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972544"/>
        <c:crosses val="autoZero"/>
        <c:auto val="1"/>
        <c:lblAlgn val="ctr"/>
        <c:lblOffset val="100"/>
        <c:noMultiLvlLbl val="1"/>
      </c:catAx>
      <c:valAx>
        <c:axId val="1129725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96665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Física!$AO$4:$AO$6</c:f>
              <c:numCache>
                <c:formatCode>0%</c:formatCode>
                <c:ptCount val="3"/>
                <c:pt idx="0">
                  <c:v>0.9375</c:v>
                </c:pt>
                <c:pt idx="1">
                  <c:v>0.77156249999999993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67968"/>
        <c:axId val="112898432"/>
      </c:barChart>
      <c:catAx>
        <c:axId val="11286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898432"/>
        <c:crosses val="autoZero"/>
        <c:auto val="1"/>
        <c:lblAlgn val="ctr"/>
        <c:lblOffset val="100"/>
        <c:noMultiLvlLbl val="1"/>
      </c:catAx>
      <c:valAx>
        <c:axId val="11289843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86796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Funcional!$AO$4:$AO$6</c:f>
              <c:numCache>
                <c:formatCode>0%</c:formatCode>
                <c:ptCount val="3"/>
                <c:pt idx="0">
                  <c:v>0.71</c:v>
                </c:pt>
                <c:pt idx="1">
                  <c:v>0.96875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42240"/>
        <c:axId val="109243776"/>
      </c:barChart>
      <c:catAx>
        <c:axId val="10924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243776"/>
        <c:crosses val="autoZero"/>
        <c:auto val="1"/>
        <c:lblAlgn val="ctr"/>
        <c:lblOffset val="100"/>
        <c:noMultiLvlLbl val="1"/>
      </c:catAx>
      <c:valAx>
        <c:axId val="10924377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24224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Planeado</c:v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_-\$* #,##0.00_-;"-$"* #,##0.00_-;_-\$* \-??_-;_-@_-</c:formatCode>
                <c:ptCount val="1"/>
                <c:pt idx="0">
                  <c:v>202000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Real</c:v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_-\$* #,##0.00_-;"-$"* #,##0.00_-;_-\$* \-??_-;_-@_-</c:formatCode>
                <c:ptCount val="1"/>
                <c:pt idx="0">
                  <c:v>130775.29999999999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04064"/>
        <c:axId val="113639424"/>
      </c:barChart>
      <c:catAx>
        <c:axId val="10930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639424"/>
        <c:crosses val="autoZero"/>
        <c:auto val="1"/>
        <c:lblAlgn val="ctr"/>
        <c:lblOffset val="100"/>
        <c:noMultiLvlLbl val="1"/>
      </c:catAx>
      <c:valAx>
        <c:axId val="1136394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304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ventas'!$G$15</c:f>
              <c:numCache>
                <c:formatCode>_-\$* #,##0.00_-;"-$"* #,##0.00_-;_-\$* \-??_-;_-@_-</c:formatCode>
                <c:ptCount val="1"/>
                <c:pt idx="0">
                  <c:v>2424000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ventas'!$H$15</c:f>
              <c:numCache>
                <c:formatCode>_-\$* #,##0.00_-;"-$"* #,##0.00_-;_-\$* \-??_-;_-@_-</c:formatCode>
                <c:ptCount val="1"/>
                <c:pt idx="0">
                  <c:v>130775.3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81536"/>
        <c:axId val="113683072"/>
      </c:barChart>
      <c:catAx>
        <c:axId val="11368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683072"/>
        <c:crosses val="autoZero"/>
        <c:auto val="1"/>
        <c:lblAlgn val="ctr"/>
        <c:lblOffset val="100"/>
        <c:noMultiLvlLbl val="1"/>
      </c:catAx>
      <c:valAx>
        <c:axId val="113683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6815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54818.400000000001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75956.899999999994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3721344"/>
        <c:axId val="113722880"/>
      </c:barChart>
      <c:catAx>
        <c:axId val="11372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722880"/>
        <c:crosses val="autoZero"/>
        <c:auto val="1"/>
        <c:lblAlgn val="ctr"/>
        <c:lblOffset val="100"/>
        <c:noMultiLvlLbl val="1"/>
      </c:catAx>
      <c:valAx>
        <c:axId val="1137228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noFill/>
          </a:ln>
        </c:spPr>
        <c:crossAx val="1137213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11-dic-15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_-\$* #,##0.00_-;"-$"* #,##0.00_-;_-\$* \-??_-;_-@_-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11-dic-15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\$#,##0.00;[Red]"-$"#,##0.00</c:formatCode>
                <c:ptCount val="3"/>
                <c:pt idx="0" formatCode="_-\$* #,##0.00_-;&quot;-$&quot;* #,##0.00_-;_-\$* \-??_-;_-@_-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65376"/>
        <c:axId val="113382144"/>
      </c:barChart>
      <c:catAx>
        <c:axId val="113765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382144"/>
        <c:crosses val="autoZero"/>
        <c:auto val="1"/>
        <c:lblAlgn val="ctr"/>
        <c:lblOffset val="100"/>
        <c:noMultiLvlLbl val="1"/>
      </c:catAx>
      <c:valAx>
        <c:axId val="1133821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7653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2220588.2000000002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06336"/>
        <c:axId val="113407872"/>
      </c:barChart>
      <c:catAx>
        <c:axId val="113406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407872"/>
        <c:crosses val="autoZero"/>
        <c:auto val="1"/>
        <c:lblAlgn val="ctr"/>
        <c:lblOffset val="100"/>
        <c:noMultiLvlLbl val="1"/>
      </c:catAx>
      <c:valAx>
        <c:axId val="113407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34063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esfuerzo'!$E$119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esfuerzo'!$E$120:$E$125</c:f>
              <c:numCache>
                <c:formatCode>0%</c:formatCode>
                <c:ptCount val="6"/>
                <c:pt idx="0">
                  <c:v>1</c:v>
                </c:pt>
                <c:pt idx="1">
                  <c:v>0.37142857142857144</c:v>
                </c:pt>
                <c:pt idx="2">
                  <c:v>1</c:v>
                </c:pt>
                <c:pt idx="3">
                  <c:v>-0.17391304347826086</c:v>
                </c:pt>
                <c:pt idx="4">
                  <c:v>0.98888888888888893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12512"/>
        <c:axId val="91314048"/>
      </c:barChart>
      <c:catAx>
        <c:axId val="913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1314048"/>
        <c:crosses val="autoZero"/>
        <c:auto val="1"/>
        <c:lblAlgn val="ctr"/>
        <c:lblOffset val="100"/>
        <c:noMultiLvlLbl val="0"/>
      </c:catAx>
      <c:valAx>
        <c:axId val="913140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31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'Crecimiento anual de ventas'!$B$58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'Crecimiento anual de ventas'!$A$60:$A$61</c:f>
              <c:strCache>
                <c:ptCount val="2"/>
                <c:pt idx="0">
                  <c:v>Oriana</c:v>
                </c:pt>
                <c:pt idx="1">
                  <c:v>Marisol</c:v>
                </c:pt>
              </c:strCache>
            </c:strRef>
          </c:cat>
          <c:val>
            <c:numRef>
              <c:f>'Crecimiento anual de ventas'!$B$60:$C$60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206889.8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ventas'!$C$58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'Crecimiento anual de ventas'!$A$60:$A$61</c:f>
              <c:strCache>
                <c:ptCount val="2"/>
                <c:pt idx="0">
                  <c:v>Oriana</c:v>
                </c:pt>
                <c:pt idx="1">
                  <c:v>Marisol</c:v>
                </c:pt>
              </c:strCache>
            </c:strRef>
          </c:cat>
          <c:val>
            <c:numRef>
              <c:f>'Crecimiento anual de ventas'!$B$61:$C$61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79141.899999999994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64384"/>
        <c:axId val="176068480"/>
      </c:barChart>
      <c:catAx>
        <c:axId val="17606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68480"/>
        <c:crosses val="autoZero"/>
        <c:auto val="1"/>
        <c:lblAlgn val="ctr"/>
        <c:lblOffset val="100"/>
        <c:noMultiLvlLbl val="0"/>
      </c:catAx>
      <c:valAx>
        <c:axId val="17606848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760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'Crecimiento anual de ventas'!$G$59:$H$59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ventas'!$G$60:$H$60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2206649.9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52000"/>
        <c:axId val="144353536"/>
      </c:barChart>
      <c:catAx>
        <c:axId val="1443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353536"/>
        <c:crosses val="autoZero"/>
        <c:auto val="1"/>
        <c:lblAlgn val="ctr"/>
        <c:lblOffset val="100"/>
        <c:noMultiLvlLbl val="0"/>
      </c:catAx>
      <c:valAx>
        <c:axId val="14435353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4435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'Indice de Satisfacción'!$C$2:$F$3</c:f>
              <c:multiLvlStrCache>
                <c:ptCount val="4"/>
                <c:lvl>
                  <c:pt idx="0">
                    <c:v>27-nov-15</c:v>
                  </c:pt>
                  <c:pt idx="1">
                    <c:v>11-dic-15</c:v>
                  </c:pt>
                  <c:pt idx="2">
                    <c:v>01-ene-16</c:v>
                  </c:pt>
                  <c:pt idx="3">
                    <c:v>03-ene-16</c:v>
                  </c:pt>
                </c:lvl>
                <c:lvl>
                  <c:pt idx="0">
                    <c:v>Noviembre</c:v>
                  </c:pt>
                  <c:pt idx="1">
                    <c:v>Diciembre</c:v>
                  </c:pt>
                  <c:pt idx="2">
                    <c:v>P1364</c:v>
                  </c:pt>
                  <c:pt idx="3">
                    <c:v>P1378</c:v>
                  </c:pt>
                </c:lvl>
              </c:multiLvlStrCache>
            </c:multiLvlStrRef>
          </c:cat>
          <c:val>
            <c:numRef>
              <c:f>'Indice de Satisfacción'!$C$4:$F$4</c:f>
              <c:numCache>
                <c:formatCode>0.00%</c:formatCode>
                <c:ptCount val="4"/>
                <c:pt idx="1">
                  <c:v>1</c:v>
                </c:pt>
                <c:pt idx="2">
                  <c:v>0.97140000000000004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'Indice de Satisfacción'!$C$2:$F$3</c:f>
              <c:multiLvlStrCache>
                <c:ptCount val="4"/>
                <c:lvl>
                  <c:pt idx="0">
                    <c:v>27-nov-15</c:v>
                  </c:pt>
                  <c:pt idx="1">
                    <c:v>11-dic-15</c:v>
                  </c:pt>
                  <c:pt idx="2">
                    <c:v>01-ene-16</c:v>
                  </c:pt>
                  <c:pt idx="3">
                    <c:v>03-ene-16</c:v>
                  </c:pt>
                </c:lvl>
                <c:lvl>
                  <c:pt idx="0">
                    <c:v>Noviembre</c:v>
                  </c:pt>
                  <c:pt idx="1">
                    <c:v>Diciembre</c:v>
                  </c:pt>
                  <c:pt idx="2">
                    <c:v>P1364</c:v>
                  </c:pt>
                  <c:pt idx="3">
                    <c:v>P1378</c:v>
                  </c:pt>
                </c:lvl>
              </c:multiLvlStrCache>
            </c:multiLvlStrRef>
          </c:cat>
          <c:val>
            <c:numRef>
              <c:f>'Indice de Satisfacción'!$C$5:$F$5</c:f>
              <c:numCache>
                <c:formatCode>0.00%</c:formatCode>
                <c:ptCount val="4"/>
              </c:numCache>
            </c:numRef>
          </c:val>
        </c:ser>
        <c:ser>
          <c:idx val="2"/>
          <c:order val="2"/>
          <c:invertIfNegative val="0"/>
          <c:cat>
            <c:multiLvlStrRef>
              <c:f>'Indice de Satisfacción'!$C$2:$F$3</c:f>
              <c:multiLvlStrCache>
                <c:ptCount val="4"/>
                <c:lvl>
                  <c:pt idx="0">
                    <c:v>27-nov-15</c:v>
                  </c:pt>
                  <c:pt idx="1">
                    <c:v>11-dic-15</c:v>
                  </c:pt>
                  <c:pt idx="2">
                    <c:v>01-ene-16</c:v>
                  </c:pt>
                  <c:pt idx="3">
                    <c:v>03-ene-16</c:v>
                  </c:pt>
                </c:lvl>
                <c:lvl>
                  <c:pt idx="0">
                    <c:v>Noviembre</c:v>
                  </c:pt>
                  <c:pt idx="1">
                    <c:v>Diciembre</c:v>
                  </c:pt>
                  <c:pt idx="2">
                    <c:v>P1364</c:v>
                  </c:pt>
                  <c:pt idx="3">
                    <c:v>P1378</c:v>
                  </c:pt>
                </c:lvl>
              </c:multiLvlStrCache>
            </c:multiLvlStrRef>
          </c:cat>
          <c:val>
            <c:numRef>
              <c:f>'Indice de Satisfacción'!$C$6:$F$6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65568"/>
        <c:axId val="138381952"/>
      </c:barChart>
      <c:catAx>
        <c:axId val="13836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81952"/>
        <c:crosses val="autoZero"/>
        <c:auto val="1"/>
        <c:lblAlgn val="ctr"/>
        <c:lblOffset val="100"/>
        <c:noMultiLvlLbl val="0"/>
      </c:catAx>
      <c:valAx>
        <c:axId val="138381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836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esfuerzo'!$C$134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esfuerzo'!$C$135:$C$140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esfuerzo'!$D$134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esfuerzo'!$D$135:$D$140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55776"/>
        <c:axId val="91492736"/>
      </c:barChart>
      <c:catAx>
        <c:axId val="913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1492736"/>
        <c:crosses val="autoZero"/>
        <c:auto val="1"/>
        <c:lblAlgn val="ctr"/>
        <c:lblOffset val="100"/>
        <c:noMultiLvlLbl val="0"/>
      </c:catAx>
      <c:valAx>
        <c:axId val="914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5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esfuerzo'!$E$134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esfuerzo'!$E$135:$E$140</c:f>
              <c:numCache>
                <c:formatCode>0%</c:formatCode>
                <c:ptCount val="6"/>
                <c:pt idx="0">
                  <c:v>0.80392156862745101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0.70422535211267601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12832"/>
        <c:axId val="91514368"/>
      </c:barChart>
      <c:catAx>
        <c:axId val="915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91514368"/>
        <c:crosses val="autoZero"/>
        <c:auto val="1"/>
        <c:lblAlgn val="ctr"/>
        <c:lblOffset val="100"/>
        <c:noMultiLvlLbl val="0"/>
      </c:catAx>
      <c:valAx>
        <c:axId val="91514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5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esfuerzo'!$C$147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esfuerzo'!$C$148:$C$153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esfuerzo'!$D$147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esfuerzo'!$D$148:$D$153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</c:v>
                </c:pt>
                <c:pt idx="5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43808"/>
        <c:axId val="91549696"/>
      </c:barChart>
      <c:catAx>
        <c:axId val="9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1549696"/>
        <c:crosses val="autoZero"/>
        <c:auto val="1"/>
        <c:lblAlgn val="ctr"/>
        <c:lblOffset val="100"/>
        <c:noMultiLvlLbl val="0"/>
      </c:catAx>
      <c:valAx>
        <c:axId val="915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4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esfuerzo'!$C$21:$C$26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esfuerzo'!$D$21:$D$26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15040"/>
        <c:axId val="83416576"/>
      </c:barChart>
      <c:catAx>
        <c:axId val="83415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16576"/>
        <c:crosses val="autoZero"/>
        <c:auto val="1"/>
        <c:lblAlgn val="ctr"/>
        <c:lblOffset val="100"/>
        <c:noMultiLvlLbl val="1"/>
      </c:catAx>
      <c:valAx>
        <c:axId val="83416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150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esfuerzo'!$E$147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esfuerzo'!$E$148:$E$153</c:f>
              <c:numCache>
                <c:formatCode>0%</c:formatCode>
                <c:ptCount val="6"/>
                <c:pt idx="0">
                  <c:v>0.90196078431372551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-0.25555555555555554</c:v>
                </c:pt>
                <c:pt idx="5">
                  <c:v>0.323943661971831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05824"/>
        <c:axId val="92632192"/>
      </c:barChart>
      <c:catAx>
        <c:axId val="926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2632192"/>
        <c:crosses val="autoZero"/>
        <c:auto val="1"/>
        <c:lblAlgn val="ctr"/>
        <c:lblOffset val="100"/>
        <c:noMultiLvlLbl val="0"/>
      </c:catAx>
      <c:valAx>
        <c:axId val="92632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6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esfuerzo'!$C$162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esfuerzo'!$C$163:$C$168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esfuerzo'!$D$162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esfuerzo'!$D$163:$D$168</c:f>
              <c:numCache>
                <c:formatCode>General</c:formatCode>
                <c:ptCount val="6"/>
                <c:pt idx="0">
                  <c:v>51</c:v>
                </c:pt>
                <c:pt idx="1">
                  <c:v>209</c:v>
                </c:pt>
                <c:pt idx="2">
                  <c:v>43</c:v>
                </c:pt>
                <c:pt idx="3">
                  <c:v>4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57920"/>
        <c:axId val="93782016"/>
      </c:barChart>
      <c:catAx>
        <c:axId val="926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93782016"/>
        <c:crosses val="autoZero"/>
        <c:auto val="1"/>
        <c:lblAlgn val="ctr"/>
        <c:lblOffset val="100"/>
        <c:noMultiLvlLbl val="0"/>
      </c:catAx>
      <c:valAx>
        <c:axId val="937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esfuerzo'!$E$162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esfuerzo'!$E$163:$E$168</c:f>
              <c:numCache>
                <c:formatCode>0%</c:formatCode>
                <c:ptCount val="6"/>
                <c:pt idx="0">
                  <c:v>0</c:v>
                </c:pt>
                <c:pt idx="1">
                  <c:v>-4.9714285714285715</c:v>
                </c:pt>
                <c:pt idx="2">
                  <c:v>0.46250000000000002</c:v>
                </c:pt>
                <c:pt idx="3">
                  <c:v>0.82608695652173914</c:v>
                </c:pt>
                <c:pt idx="4">
                  <c:v>1</c:v>
                </c:pt>
                <c:pt idx="5">
                  <c:v>0.78873239436619713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93664"/>
        <c:axId val="93799552"/>
      </c:barChart>
      <c:catAx>
        <c:axId val="937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3799552"/>
        <c:crosses val="autoZero"/>
        <c:auto val="1"/>
        <c:lblAlgn val="ctr"/>
        <c:lblOffset val="100"/>
        <c:noMultiLvlLbl val="0"/>
      </c:catAx>
      <c:valAx>
        <c:axId val="93799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379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esfuerzo'!$C$174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esfuerzo'!$C$175:$C$180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esfuerzo'!$D$174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esfuerzo'!$D$175:$D$180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110</c:v>
                </c:pt>
                <c:pt idx="5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28992"/>
        <c:axId val="93830528"/>
      </c:barChart>
      <c:catAx>
        <c:axId val="9382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3830528"/>
        <c:crosses val="autoZero"/>
        <c:auto val="1"/>
        <c:lblAlgn val="ctr"/>
        <c:lblOffset val="100"/>
        <c:noMultiLvlLbl val="0"/>
      </c:catAx>
      <c:valAx>
        <c:axId val="938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2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esfuerzo'!$E$174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esfuerzo'!$E$175:$E$180</c:f>
              <c:numCache>
                <c:formatCode>0%</c:formatCode>
                <c:ptCount val="6"/>
                <c:pt idx="0">
                  <c:v>0.80392156862745101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-0.22222222222222221</c:v>
                </c:pt>
                <c:pt idx="5">
                  <c:v>0.70422535211267601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46528"/>
        <c:axId val="93872896"/>
      </c:barChart>
      <c:catAx>
        <c:axId val="938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3872896"/>
        <c:crosses val="autoZero"/>
        <c:auto val="1"/>
        <c:lblAlgn val="ctr"/>
        <c:lblOffset val="100"/>
        <c:noMultiLvlLbl val="0"/>
      </c:catAx>
      <c:valAx>
        <c:axId val="93872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38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esfuerzo'!$C$189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esfuerzo'!$C$190:$C$195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esfuerzo'!$D$189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esfuerzo'!$D$190:$D$195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97856"/>
        <c:axId val="93899392"/>
      </c:barChart>
      <c:catAx>
        <c:axId val="9389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3899392"/>
        <c:crosses val="autoZero"/>
        <c:auto val="1"/>
        <c:lblAlgn val="ctr"/>
        <c:lblOffset val="100"/>
        <c:noMultiLvlLbl val="0"/>
      </c:catAx>
      <c:valAx>
        <c:axId val="938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9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esfuerzo'!$E$189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esfuerzo'!$E$190:$E$195</c:f>
              <c:numCache>
                <c:formatCode>0%</c:formatCode>
                <c:ptCount val="6"/>
                <c:pt idx="0">
                  <c:v>0.76470588235294112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0.52222222222222225</c:v>
                </c:pt>
                <c:pt idx="5">
                  <c:v>0.97887323943661975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81632"/>
        <c:axId val="94187520"/>
      </c:barChart>
      <c:catAx>
        <c:axId val="941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94187520"/>
        <c:crosses val="autoZero"/>
        <c:auto val="1"/>
        <c:lblAlgn val="ctr"/>
        <c:lblOffset val="100"/>
        <c:noMultiLvlLbl val="0"/>
      </c:catAx>
      <c:valAx>
        <c:axId val="94187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18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esfuerzo'!$C$204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esfuerzo'!$C$205:$C$210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esfuerzo'!$D$204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esfuerzo'!$D$205:$D$210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08768"/>
        <c:axId val="94210304"/>
      </c:barChart>
      <c:catAx>
        <c:axId val="9420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4210304"/>
        <c:crosses val="autoZero"/>
        <c:auto val="1"/>
        <c:lblAlgn val="ctr"/>
        <c:lblOffset val="100"/>
        <c:noMultiLvlLbl val="0"/>
      </c:catAx>
      <c:valAx>
        <c:axId val="942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esfuerzo'!$E$204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esfuerzo'!$E$205:$E$210</c:f>
              <c:numCache>
                <c:formatCode>0%</c:formatCode>
                <c:ptCount val="6"/>
                <c:pt idx="0">
                  <c:v>0.94117647058823528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0.94444444444444442</c:v>
                </c:pt>
                <c:pt idx="5">
                  <c:v>0.97887323943661975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30784"/>
        <c:axId val="94326784"/>
      </c:barChart>
      <c:catAx>
        <c:axId val="9423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94326784"/>
        <c:crosses val="autoZero"/>
        <c:auto val="1"/>
        <c:lblAlgn val="ctr"/>
        <c:lblOffset val="100"/>
        <c:noMultiLvlLbl val="0"/>
      </c:catAx>
      <c:valAx>
        <c:axId val="94326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2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esfuerzo'!$C$220:$C$225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esfuerzo'!$D$219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esfuerzo'!$D$220:$D$225</c:f>
              <c:numCache>
                <c:formatCode>General</c:formatCode>
                <c:ptCount val="6"/>
                <c:pt idx="0">
                  <c:v>601</c:v>
                </c:pt>
                <c:pt idx="1">
                  <c:v>57</c:v>
                </c:pt>
                <c:pt idx="2">
                  <c:v>317</c:v>
                </c:pt>
                <c:pt idx="3">
                  <c:v>11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48032"/>
        <c:axId val="94349568"/>
      </c:barChart>
      <c:catAx>
        <c:axId val="943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94349568"/>
        <c:crosses val="autoZero"/>
        <c:auto val="1"/>
        <c:lblAlgn val="ctr"/>
        <c:lblOffset val="100"/>
        <c:noMultiLvlLbl val="0"/>
      </c:catAx>
      <c:valAx>
        <c:axId val="943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esfuerzo'!$C$38:$C$43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esfuerzo'!$D$38:$D$43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69216"/>
        <c:axId val="83770752"/>
      </c:barChart>
      <c:catAx>
        <c:axId val="837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770752"/>
        <c:crosses val="autoZero"/>
        <c:auto val="1"/>
        <c:lblAlgn val="ctr"/>
        <c:lblOffset val="100"/>
        <c:noMultiLvlLbl val="0"/>
      </c:catAx>
      <c:valAx>
        <c:axId val="837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esfuerzo'!$E$219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esfuerzo'!$E$220:$E$225</c:f>
              <c:numCache>
                <c:formatCode>0%</c:formatCode>
                <c:ptCount val="6"/>
                <c:pt idx="0">
                  <c:v>-10.784313725490197</c:v>
                </c:pt>
                <c:pt idx="1">
                  <c:v>-0.62857142857142856</c:v>
                </c:pt>
                <c:pt idx="2">
                  <c:v>-0.32083333333333336</c:v>
                </c:pt>
                <c:pt idx="3">
                  <c:v>0.52173913043478259</c:v>
                </c:pt>
                <c:pt idx="4">
                  <c:v>1</c:v>
                </c:pt>
                <c:pt idx="5">
                  <c:v>0.852112676056338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69664"/>
        <c:axId val="94371200"/>
      </c:barChart>
      <c:catAx>
        <c:axId val="943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371200"/>
        <c:crosses val="autoZero"/>
        <c:auto val="1"/>
        <c:lblAlgn val="ctr"/>
        <c:lblOffset val="100"/>
        <c:noMultiLvlLbl val="0"/>
      </c:catAx>
      <c:valAx>
        <c:axId val="943712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36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esfuerzo'!$C$231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esfuerzo'!$C$232:$C$237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esfuerzo'!$D$231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esfuerzo'!$D$232:$D$237</c:f>
              <c:numCache>
                <c:formatCode>General</c:formatCode>
                <c:ptCount val="6"/>
                <c:pt idx="0">
                  <c:v>14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50720"/>
        <c:axId val="97552256"/>
      </c:barChart>
      <c:catAx>
        <c:axId val="975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552256"/>
        <c:crosses val="autoZero"/>
        <c:auto val="1"/>
        <c:lblAlgn val="ctr"/>
        <c:lblOffset val="100"/>
        <c:noMultiLvlLbl val="0"/>
      </c:catAx>
      <c:valAx>
        <c:axId val="975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5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esfuerzo'!$E$231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esfuerzo'!$E$232:$E$237</c:f>
              <c:numCache>
                <c:formatCode>0%</c:formatCode>
                <c:ptCount val="6"/>
                <c:pt idx="0">
                  <c:v>0.72549019607843135</c:v>
                </c:pt>
                <c:pt idx="1">
                  <c:v>-1.5714285714285714</c:v>
                </c:pt>
                <c:pt idx="2">
                  <c:v>-0.1125</c:v>
                </c:pt>
                <c:pt idx="3">
                  <c:v>0.65217391304347827</c:v>
                </c:pt>
                <c:pt idx="4">
                  <c:v>1</c:v>
                </c:pt>
                <c:pt idx="5">
                  <c:v>0.92253521126760563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6448"/>
        <c:axId val="97577984"/>
      </c:barChart>
      <c:catAx>
        <c:axId val="975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7577984"/>
        <c:crosses val="autoZero"/>
        <c:auto val="1"/>
        <c:lblAlgn val="ctr"/>
        <c:lblOffset val="100"/>
        <c:noMultiLvlLbl val="0"/>
      </c:catAx>
      <c:valAx>
        <c:axId val="97577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75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esfuerzo'!$C$246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esfuerzo'!$C$247:$C$252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esfuerzo'!$D$246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esfuerzo'!$D$247:$D$252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43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85504"/>
        <c:axId val="97687040"/>
      </c:barChart>
      <c:catAx>
        <c:axId val="976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7687040"/>
        <c:crosses val="autoZero"/>
        <c:auto val="1"/>
        <c:lblAlgn val="ctr"/>
        <c:lblOffset val="100"/>
        <c:noMultiLvlLbl val="0"/>
      </c:catAx>
      <c:valAx>
        <c:axId val="976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8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esfuerzo'!$E$246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esfuerzo'!$E$247:$E$252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0.56521739130434778</c:v>
                </c:pt>
                <c:pt idx="4">
                  <c:v>0.52222222222222225</c:v>
                </c:pt>
                <c:pt idx="5">
                  <c:v>0.96478873239436624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07136"/>
        <c:axId val="97708672"/>
      </c:barChart>
      <c:catAx>
        <c:axId val="9770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97708672"/>
        <c:crosses val="autoZero"/>
        <c:auto val="1"/>
        <c:lblAlgn val="ctr"/>
        <c:lblOffset val="100"/>
        <c:noMultiLvlLbl val="0"/>
      </c:catAx>
      <c:valAx>
        <c:axId val="97708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770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esfuerzo'!$C$261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esfuerzo'!$C$262:$C$267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esfuerzo'!$D$261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esfuerzo'!$D$262:$D$267</c:f>
              <c:numCache>
                <c:formatCode>General</c:formatCode>
                <c:ptCount val="6"/>
                <c:pt idx="0">
                  <c:v>17</c:v>
                </c:pt>
                <c:pt idx="1">
                  <c:v>142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65280"/>
        <c:axId val="106083456"/>
      </c:barChart>
      <c:catAx>
        <c:axId val="10606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83456"/>
        <c:crosses val="autoZero"/>
        <c:auto val="1"/>
        <c:lblAlgn val="ctr"/>
        <c:lblOffset val="100"/>
        <c:noMultiLvlLbl val="0"/>
      </c:catAx>
      <c:valAx>
        <c:axId val="1060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esfuerzo'!$E$261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esfuerzo'!$E$262:$E$267</c:f>
              <c:numCache>
                <c:formatCode>0%</c:formatCode>
                <c:ptCount val="6"/>
                <c:pt idx="0">
                  <c:v>0.66666666666666663</c:v>
                </c:pt>
                <c:pt idx="1">
                  <c:v>-3.0571428571428569</c:v>
                </c:pt>
                <c:pt idx="2">
                  <c:v>1</c:v>
                </c:pt>
                <c:pt idx="3">
                  <c:v>0.78260869565217395</c:v>
                </c:pt>
                <c:pt idx="4">
                  <c:v>1</c:v>
                </c:pt>
                <c:pt idx="5">
                  <c:v>0.95774647887323938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41408"/>
        <c:axId val="105842944"/>
      </c:barChart>
      <c:catAx>
        <c:axId val="1058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42944"/>
        <c:crosses val="autoZero"/>
        <c:auto val="1"/>
        <c:lblAlgn val="ctr"/>
        <c:lblOffset val="100"/>
        <c:noMultiLvlLbl val="0"/>
      </c:catAx>
      <c:valAx>
        <c:axId val="105842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584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esfuerzo'!$C$273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esfuerzo'!$C$274:$C$279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esfuerzo'!$D$273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esfuerzo'!$D$274:$D$279</c:f>
              <c:numCache>
                <c:formatCode>General</c:formatCode>
                <c:ptCount val="6"/>
                <c:pt idx="0">
                  <c:v>9</c:v>
                </c:pt>
                <c:pt idx="1">
                  <c:v>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76864"/>
        <c:axId val="105878656"/>
      </c:barChart>
      <c:catAx>
        <c:axId val="1058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78656"/>
        <c:crosses val="autoZero"/>
        <c:auto val="1"/>
        <c:lblAlgn val="ctr"/>
        <c:lblOffset val="100"/>
        <c:noMultiLvlLbl val="0"/>
      </c:catAx>
      <c:valAx>
        <c:axId val="1058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esfuerzo'!$E$273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esfuerzo'!$E$274:$E$279</c:f>
              <c:numCache>
                <c:formatCode>0%</c:formatCode>
                <c:ptCount val="6"/>
                <c:pt idx="0">
                  <c:v>0.82352941176470584</c:v>
                </c:pt>
                <c:pt idx="1">
                  <c:v>-0.2</c:v>
                </c:pt>
                <c:pt idx="2">
                  <c:v>1</c:v>
                </c:pt>
                <c:pt idx="3">
                  <c:v>0.78260869565217395</c:v>
                </c:pt>
                <c:pt idx="4">
                  <c:v>1</c:v>
                </c:pt>
                <c:pt idx="5">
                  <c:v>0.89436619718309862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02848"/>
        <c:axId val="105904384"/>
      </c:barChart>
      <c:catAx>
        <c:axId val="1059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904384"/>
        <c:crosses val="autoZero"/>
        <c:auto val="1"/>
        <c:lblAlgn val="ctr"/>
        <c:lblOffset val="100"/>
        <c:noMultiLvlLbl val="0"/>
      </c:catAx>
      <c:valAx>
        <c:axId val="105904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590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esfuerzo'!$C$288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esfuerzo'!$C$289:$C$294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esfuerzo'!$D$288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esfuerzo'!$D$289:$D$294</c:f>
              <c:numCache>
                <c:formatCode>General</c:formatCode>
                <c:ptCount val="6"/>
                <c:pt idx="0">
                  <c:v>1</c:v>
                </c:pt>
                <c:pt idx="1">
                  <c:v>52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21536"/>
        <c:axId val="105931520"/>
      </c:barChart>
      <c:catAx>
        <c:axId val="1059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931520"/>
        <c:crosses val="autoZero"/>
        <c:auto val="1"/>
        <c:lblAlgn val="ctr"/>
        <c:lblOffset val="100"/>
        <c:noMultiLvlLbl val="0"/>
      </c:catAx>
      <c:valAx>
        <c:axId val="1059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esfuerzo'!$E$37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esfuerzo'!$E$38:$E$43</c:f>
              <c:numCache>
                <c:formatCode>0%</c:formatCode>
                <c:ptCount val="6"/>
                <c:pt idx="0">
                  <c:v>0.88235294117647056</c:v>
                </c:pt>
                <c:pt idx="1">
                  <c:v>0.4</c:v>
                </c:pt>
                <c:pt idx="2">
                  <c:v>1</c:v>
                </c:pt>
                <c:pt idx="3">
                  <c:v>0.47826086956521741</c:v>
                </c:pt>
                <c:pt idx="4">
                  <c:v>1</c:v>
                </c:pt>
                <c:pt idx="5">
                  <c:v>0.43661971830985913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03136"/>
        <c:axId val="83804928"/>
      </c:barChart>
      <c:catAx>
        <c:axId val="838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83804928"/>
        <c:crosses val="autoZero"/>
        <c:auto val="1"/>
        <c:lblAlgn val="ctr"/>
        <c:lblOffset val="100"/>
        <c:noMultiLvlLbl val="0"/>
      </c:catAx>
      <c:valAx>
        <c:axId val="83804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38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esfuerzo'!$E$288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esfuerzo'!$E$289:$E$294</c:f>
              <c:numCache>
                <c:formatCode>0%</c:formatCode>
                <c:ptCount val="6"/>
                <c:pt idx="0">
                  <c:v>0.98039215686274506</c:v>
                </c:pt>
                <c:pt idx="1">
                  <c:v>-0.48571428571428571</c:v>
                </c:pt>
                <c:pt idx="2">
                  <c:v>1</c:v>
                </c:pt>
                <c:pt idx="3">
                  <c:v>0.91304347826086951</c:v>
                </c:pt>
                <c:pt idx="4">
                  <c:v>1</c:v>
                </c:pt>
                <c:pt idx="5">
                  <c:v>0.91549295774647887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55712"/>
        <c:axId val="105957248"/>
      </c:barChart>
      <c:catAx>
        <c:axId val="10595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957248"/>
        <c:crosses val="autoZero"/>
        <c:auto val="1"/>
        <c:lblAlgn val="ctr"/>
        <c:lblOffset val="100"/>
        <c:noMultiLvlLbl val="0"/>
      </c:catAx>
      <c:valAx>
        <c:axId val="105957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595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esfuerzo'!$C$304:$C$309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esfuerzo'!$D$304:$D$309</c:f>
              <c:numCache>
                <c:formatCode>General</c:formatCode>
                <c:ptCount val="6"/>
                <c:pt idx="0">
                  <c:v>35</c:v>
                </c:pt>
                <c:pt idx="1">
                  <c:v>223</c:v>
                </c:pt>
                <c:pt idx="2">
                  <c:v>168</c:v>
                </c:pt>
                <c:pt idx="3">
                  <c:v>1</c:v>
                </c:pt>
                <c:pt idx="4">
                  <c:v>0</c:v>
                </c:pt>
                <c:pt idx="5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70304"/>
        <c:axId val="106140032"/>
      </c:barChart>
      <c:catAx>
        <c:axId val="1059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140032"/>
        <c:crosses val="autoZero"/>
        <c:auto val="1"/>
        <c:lblAlgn val="ctr"/>
        <c:lblOffset val="100"/>
        <c:noMultiLvlLbl val="0"/>
      </c:catAx>
      <c:valAx>
        <c:axId val="10614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esfuerzo'!$E$303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esfuerzo'!$E$304:$E$309</c:f>
              <c:numCache>
                <c:formatCode>0%</c:formatCode>
                <c:ptCount val="6"/>
                <c:pt idx="0">
                  <c:v>0.31372549019607843</c:v>
                </c:pt>
                <c:pt idx="1">
                  <c:v>-5.371428571428571</c:v>
                </c:pt>
                <c:pt idx="2">
                  <c:v>-1.1000000000000001</c:v>
                </c:pt>
                <c:pt idx="3">
                  <c:v>0.95652173913043481</c:v>
                </c:pt>
                <c:pt idx="4">
                  <c:v>1</c:v>
                </c:pt>
                <c:pt idx="5">
                  <c:v>0.64084507042253525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147200"/>
        <c:axId val="106165376"/>
      </c:barChart>
      <c:catAx>
        <c:axId val="1061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165376"/>
        <c:crosses val="autoZero"/>
        <c:auto val="1"/>
        <c:lblAlgn val="ctr"/>
        <c:lblOffset val="100"/>
        <c:noMultiLvlLbl val="0"/>
      </c:catAx>
      <c:valAx>
        <c:axId val="106165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14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esfuerzo'!$C$318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esfuerzo'!$C$319:$C$324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esfuerzo'!$D$318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esfuerzo'!$D$319:$D$324</c:f>
              <c:numCache>
                <c:formatCode>General</c:formatCode>
                <c:ptCount val="6"/>
                <c:pt idx="0">
                  <c:v>22</c:v>
                </c:pt>
                <c:pt idx="1">
                  <c:v>90</c:v>
                </c:pt>
                <c:pt idx="2">
                  <c:v>0</c:v>
                </c:pt>
                <c:pt idx="3">
                  <c:v>58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03008"/>
        <c:axId val="106204544"/>
      </c:barChart>
      <c:catAx>
        <c:axId val="10620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04544"/>
        <c:crosses val="autoZero"/>
        <c:auto val="1"/>
        <c:lblAlgn val="ctr"/>
        <c:lblOffset val="100"/>
        <c:noMultiLvlLbl val="0"/>
      </c:catAx>
      <c:valAx>
        <c:axId val="1062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0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esfuerzo'!$E$318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esfuerzo'!$E$319:$E$324</c:f>
              <c:numCache>
                <c:formatCode>0%</c:formatCode>
                <c:ptCount val="6"/>
                <c:pt idx="0">
                  <c:v>0.56862745098039214</c:v>
                </c:pt>
                <c:pt idx="1">
                  <c:v>-1.5714285714285714</c:v>
                </c:pt>
                <c:pt idx="2">
                  <c:v>1</c:v>
                </c:pt>
                <c:pt idx="3">
                  <c:v>-1.5217391304347827</c:v>
                </c:pt>
                <c:pt idx="4">
                  <c:v>1</c:v>
                </c:pt>
                <c:pt idx="5">
                  <c:v>0.91549295774647887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2352"/>
        <c:axId val="106222336"/>
      </c:barChart>
      <c:catAx>
        <c:axId val="1062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22336"/>
        <c:crosses val="autoZero"/>
        <c:auto val="1"/>
        <c:lblAlgn val="ctr"/>
        <c:lblOffset val="100"/>
        <c:noMultiLvlLbl val="0"/>
      </c:catAx>
      <c:valAx>
        <c:axId val="106222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21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esfuerzo'!$C$333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esfuerzo'!$C$334:$C$339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esfuerzo'!$D$333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esfuerzo'!$D$334:$D$339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9824"/>
        <c:axId val="106511360"/>
      </c:barChart>
      <c:catAx>
        <c:axId val="10650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11360"/>
        <c:crosses val="autoZero"/>
        <c:auto val="1"/>
        <c:lblAlgn val="ctr"/>
        <c:lblOffset val="100"/>
        <c:noMultiLvlLbl val="0"/>
      </c:catAx>
      <c:valAx>
        <c:axId val="1065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0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esfuerzo'!$E$333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esfuerzo'!$E$334:$E$339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0.971830985915493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19168"/>
        <c:axId val="106541440"/>
      </c:barChart>
      <c:catAx>
        <c:axId val="1065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41440"/>
        <c:crosses val="autoZero"/>
        <c:auto val="1"/>
        <c:lblAlgn val="ctr"/>
        <c:lblOffset val="100"/>
        <c:noMultiLvlLbl val="0"/>
      </c:catAx>
      <c:valAx>
        <c:axId val="106541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5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esfuerzo'!$C$348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esfuerzo'!$C$349:$C$354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esfuerzo'!$D$348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esfuerzo'!$D$349:$D$354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149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8352"/>
        <c:axId val="106309888"/>
      </c:barChart>
      <c:catAx>
        <c:axId val="1063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09888"/>
        <c:crosses val="autoZero"/>
        <c:auto val="1"/>
        <c:lblAlgn val="ctr"/>
        <c:lblOffset val="100"/>
        <c:noMultiLvlLbl val="0"/>
      </c:catAx>
      <c:valAx>
        <c:axId val="1063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758833655545335"/>
          <c:y val="0.23919036443984512"/>
          <c:w val="0.67680781149125635"/>
          <c:h val="0.61840322522168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esfuerzo'!$E$348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esfuerzo'!$E$349:$E$354</c:f>
              <c:numCache>
                <c:formatCode>0%</c:formatCode>
                <c:ptCount val="6"/>
                <c:pt idx="0">
                  <c:v>0.98039215686274506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0.37916666666666665</c:v>
                </c:pt>
                <c:pt idx="5">
                  <c:v>0.95774647887323938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50464"/>
        <c:axId val="106352000"/>
      </c:barChart>
      <c:catAx>
        <c:axId val="1063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52000"/>
        <c:crosses val="autoZero"/>
        <c:auto val="1"/>
        <c:lblAlgn val="ctr"/>
        <c:lblOffset val="100"/>
        <c:noMultiLvlLbl val="0"/>
      </c:catAx>
      <c:valAx>
        <c:axId val="106352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3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esfuerzo'!$C$363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esfuerzo'!$C$364:$C$369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esfuerzo'!$D$363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esfuerzo'!$D$364:$D$369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47232"/>
        <c:axId val="106448768"/>
      </c:barChart>
      <c:catAx>
        <c:axId val="1064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48768"/>
        <c:crosses val="autoZero"/>
        <c:auto val="1"/>
        <c:lblAlgn val="ctr"/>
        <c:lblOffset val="100"/>
        <c:noMultiLvlLbl val="0"/>
      </c:catAx>
      <c:valAx>
        <c:axId val="1064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esfuerzo'!$C$50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esfuerzo'!$C$51:$C$56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esfuerzo'!$D$50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esfuerzo'!$D$51:$D$56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244</c:v>
                </c:pt>
                <c:pt idx="3">
                  <c:v>15</c:v>
                </c:pt>
                <c:pt idx="4">
                  <c:v>0</c:v>
                </c:pt>
                <c:pt idx="5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23616"/>
        <c:axId val="83841792"/>
      </c:barChart>
      <c:catAx>
        <c:axId val="838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841792"/>
        <c:crosses val="autoZero"/>
        <c:auto val="1"/>
        <c:lblAlgn val="ctr"/>
        <c:lblOffset val="100"/>
        <c:noMultiLvlLbl val="0"/>
      </c:catAx>
      <c:valAx>
        <c:axId val="838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2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esfuerzo'!$E$363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esfuerzo'!$E$364:$E$369</c:f>
              <c:numCache>
                <c:formatCode>0%</c:formatCode>
                <c:ptCount val="6"/>
                <c:pt idx="0">
                  <c:v>0.90196078431372551</c:v>
                </c:pt>
                <c:pt idx="1">
                  <c:v>0.65714285714285714</c:v>
                </c:pt>
                <c:pt idx="2">
                  <c:v>1</c:v>
                </c:pt>
                <c:pt idx="3">
                  <c:v>1</c:v>
                </c:pt>
                <c:pt idx="4">
                  <c:v>0.51111111111111107</c:v>
                </c:pt>
                <c:pt idx="5">
                  <c:v>0.94366197183098588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72960"/>
        <c:axId val="106474496"/>
      </c:barChart>
      <c:catAx>
        <c:axId val="1064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74496"/>
        <c:crosses val="autoZero"/>
        <c:auto val="1"/>
        <c:lblAlgn val="ctr"/>
        <c:lblOffset val="100"/>
        <c:noMultiLvlLbl val="0"/>
      </c:catAx>
      <c:valAx>
        <c:axId val="106474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4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esfuerzo'!$C$378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esfuerzo'!$C$379:$C$384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esfuerzo'!$D$378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esfuerzo'!$D$379:$D$384</c:f>
              <c:numCache>
                <c:formatCode>General</c:formatCode>
                <c:ptCount val="6"/>
                <c:pt idx="0">
                  <c:v>105</c:v>
                </c:pt>
                <c:pt idx="1">
                  <c:v>102</c:v>
                </c:pt>
                <c:pt idx="2">
                  <c:v>0</c:v>
                </c:pt>
                <c:pt idx="3">
                  <c:v>5</c:v>
                </c:pt>
                <c:pt idx="4">
                  <c:v>249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73824"/>
        <c:axId val="106575360"/>
      </c:barChart>
      <c:catAx>
        <c:axId val="1065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75360"/>
        <c:crosses val="autoZero"/>
        <c:auto val="1"/>
        <c:lblAlgn val="ctr"/>
        <c:lblOffset val="100"/>
        <c:noMultiLvlLbl val="0"/>
      </c:catAx>
      <c:valAx>
        <c:axId val="1065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7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esfuerzo'!$E$378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esfuerzo'!$E$379:$E$384</c:f>
              <c:numCache>
                <c:formatCode>0%</c:formatCode>
                <c:ptCount val="6"/>
                <c:pt idx="0">
                  <c:v>-1.0588235294117647</c:v>
                </c:pt>
                <c:pt idx="1">
                  <c:v>-1.9142857142857144</c:v>
                </c:pt>
                <c:pt idx="2">
                  <c:v>1</c:v>
                </c:pt>
                <c:pt idx="3">
                  <c:v>0.78260869565217395</c:v>
                </c:pt>
                <c:pt idx="4">
                  <c:v>-3.7499999999999999E-2</c:v>
                </c:pt>
                <c:pt idx="5">
                  <c:v>0.95774647887323938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95456"/>
        <c:axId val="106596992"/>
      </c:barChart>
      <c:catAx>
        <c:axId val="1065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96992"/>
        <c:crosses val="autoZero"/>
        <c:auto val="1"/>
        <c:lblAlgn val="ctr"/>
        <c:lblOffset val="100"/>
        <c:noMultiLvlLbl val="0"/>
      </c:catAx>
      <c:valAx>
        <c:axId val="106596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59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esfuerzo'!$C$393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esfuerzo'!$C$394:$C$399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esfuerzo'!$D$393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esfuerzo'!$D$394:$D$399</c:f>
              <c:numCache>
                <c:formatCode>General</c:formatCode>
                <c:ptCount val="6"/>
                <c:pt idx="0">
                  <c:v>2340</c:v>
                </c:pt>
                <c:pt idx="1">
                  <c:v>3960</c:v>
                </c:pt>
                <c:pt idx="2">
                  <c:v>0</c:v>
                </c:pt>
                <c:pt idx="3">
                  <c:v>6</c:v>
                </c:pt>
                <c:pt idx="4">
                  <c:v>171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00160"/>
        <c:axId val="106710144"/>
      </c:barChart>
      <c:catAx>
        <c:axId val="1067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710144"/>
        <c:crosses val="autoZero"/>
        <c:auto val="1"/>
        <c:lblAlgn val="ctr"/>
        <c:lblOffset val="100"/>
        <c:noMultiLvlLbl val="0"/>
      </c:catAx>
      <c:valAx>
        <c:axId val="1067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0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esfuerzo'!$E$393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esfuerzo'!$E$394:$E$399</c:f>
              <c:numCache>
                <c:formatCode>0%</c:formatCode>
                <c:ptCount val="6"/>
                <c:pt idx="0">
                  <c:v>-44.882352941176471</c:v>
                </c:pt>
                <c:pt idx="1">
                  <c:v>-112.14285714285714</c:v>
                </c:pt>
                <c:pt idx="2">
                  <c:v>1</c:v>
                </c:pt>
                <c:pt idx="3">
                  <c:v>0.73913043478260865</c:v>
                </c:pt>
                <c:pt idx="4">
                  <c:v>0.28749999999999998</c:v>
                </c:pt>
                <c:pt idx="5">
                  <c:v>0.95774647887323938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6144"/>
        <c:axId val="106727680"/>
      </c:barChart>
      <c:catAx>
        <c:axId val="1067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727680"/>
        <c:crosses val="autoZero"/>
        <c:auto val="1"/>
        <c:lblAlgn val="ctr"/>
        <c:lblOffset val="100"/>
        <c:noMultiLvlLbl val="0"/>
      </c:catAx>
      <c:valAx>
        <c:axId val="106727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72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esfuerzo'!$C$408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esfuerzo'!$C$409:$C$414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esfuerzo'!$D$408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esfuerzo'!$D$409:$D$414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</c:v>
                </c:pt>
                <c:pt idx="4">
                  <c:v>90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30848"/>
        <c:axId val="106832640"/>
      </c:barChart>
      <c:catAx>
        <c:axId val="1068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32640"/>
        <c:crosses val="autoZero"/>
        <c:auto val="1"/>
        <c:lblAlgn val="ctr"/>
        <c:lblOffset val="100"/>
        <c:noMultiLvlLbl val="0"/>
      </c:catAx>
      <c:valAx>
        <c:axId val="1068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3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esfuerzo'!$E$408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esfuerzo'!$E$409:$E$414</c:f>
              <c:numCache>
                <c:formatCode>0%</c:formatCode>
                <c:ptCount val="6"/>
                <c:pt idx="0">
                  <c:v>1</c:v>
                </c:pt>
                <c:pt idx="1">
                  <c:v>0.48571428571428571</c:v>
                </c:pt>
                <c:pt idx="2">
                  <c:v>1</c:v>
                </c:pt>
                <c:pt idx="3">
                  <c:v>0.95652173913043481</c:v>
                </c:pt>
                <c:pt idx="4">
                  <c:v>0.625</c:v>
                </c:pt>
                <c:pt idx="5">
                  <c:v>0.95774647887323938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52736"/>
        <c:axId val="106854272"/>
      </c:barChart>
      <c:catAx>
        <c:axId val="1068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54272"/>
        <c:crosses val="autoZero"/>
        <c:auto val="1"/>
        <c:lblAlgn val="ctr"/>
        <c:lblOffset val="100"/>
        <c:noMultiLvlLbl val="0"/>
      </c:catAx>
      <c:valAx>
        <c:axId val="106854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8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esfuerzo'!$C$423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esfuerzo'!$C$424:$C$429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esfuerzo'!$D$423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esfuerzo'!$D$424:$D$429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79616"/>
        <c:axId val="106885504"/>
      </c:barChart>
      <c:catAx>
        <c:axId val="1068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85504"/>
        <c:crosses val="autoZero"/>
        <c:auto val="1"/>
        <c:lblAlgn val="ctr"/>
        <c:lblOffset val="100"/>
        <c:noMultiLvlLbl val="0"/>
      </c:catAx>
      <c:valAx>
        <c:axId val="1068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esfuerzo'!$E$423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esfuerzo'!$E$424:$E$429</c:f>
              <c:numCache>
                <c:formatCode>0%</c:formatCode>
                <c:ptCount val="6"/>
                <c:pt idx="0">
                  <c:v>0.88235294117647056</c:v>
                </c:pt>
                <c:pt idx="1">
                  <c:v>0.91428571428571426</c:v>
                </c:pt>
                <c:pt idx="2">
                  <c:v>1</c:v>
                </c:pt>
                <c:pt idx="3">
                  <c:v>0.47826086956521741</c:v>
                </c:pt>
                <c:pt idx="4">
                  <c:v>1</c:v>
                </c:pt>
                <c:pt idx="5">
                  <c:v>0.8098591549295775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54144"/>
        <c:axId val="107255680"/>
      </c:barChart>
      <c:catAx>
        <c:axId val="10725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255680"/>
        <c:crosses val="autoZero"/>
        <c:auto val="1"/>
        <c:lblAlgn val="ctr"/>
        <c:lblOffset val="100"/>
        <c:noMultiLvlLbl val="0"/>
      </c:catAx>
      <c:valAx>
        <c:axId val="107255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2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esfuerzo'!$C$438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esfuerzo'!$C$439:$C$444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esfuerzo'!$D$438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esfuerzo'!$D$439:$D$444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64640"/>
        <c:axId val="107282816"/>
      </c:barChart>
      <c:catAx>
        <c:axId val="1072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282816"/>
        <c:crosses val="autoZero"/>
        <c:auto val="1"/>
        <c:lblAlgn val="ctr"/>
        <c:lblOffset val="100"/>
        <c:noMultiLvlLbl val="0"/>
      </c:catAx>
      <c:valAx>
        <c:axId val="1072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6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esfuerzo'!$E$50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esfuerzo'!$E$51:$E$56</c:f>
              <c:numCache>
                <c:formatCode>0%</c:formatCode>
                <c:ptCount val="6"/>
                <c:pt idx="0">
                  <c:v>0.88235294117647056</c:v>
                </c:pt>
                <c:pt idx="1">
                  <c:v>0.5714285714285714</c:v>
                </c:pt>
                <c:pt idx="2">
                  <c:v>-1.6666666666666666E-2</c:v>
                </c:pt>
                <c:pt idx="3">
                  <c:v>0.34782608695652173</c:v>
                </c:pt>
                <c:pt idx="4">
                  <c:v>1</c:v>
                </c:pt>
                <c:pt idx="5">
                  <c:v>0.53521126760563376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74176"/>
        <c:axId val="83875712"/>
      </c:barChart>
      <c:catAx>
        <c:axId val="8387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3875712"/>
        <c:crosses val="autoZero"/>
        <c:auto val="1"/>
        <c:lblAlgn val="ctr"/>
        <c:lblOffset val="100"/>
        <c:noMultiLvlLbl val="0"/>
      </c:catAx>
      <c:valAx>
        <c:axId val="838757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38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esfuerzo'!$E$438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esfuerzo'!$E$439:$E$444</c:f>
              <c:numCache>
                <c:formatCode>0%</c:formatCode>
                <c:ptCount val="6"/>
                <c:pt idx="0">
                  <c:v>0.96078431372549022</c:v>
                </c:pt>
                <c:pt idx="1">
                  <c:v>0.91428571428571426</c:v>
                </c:pt>
                <c:pt idx="2">
                  <c:v>1</c:v>
                </c:pt>
                <c:pt idx="3">
                  <c:v>0.43478260869565216</c:v>
                </c:pt>
                <c:pt idx="4">
                  <c:v>1</c:v>
                </c:pt>
                <c:pt idx="5">
                  <c:v>0.89436619718309862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19296"/>
        <c:axId val="107320832"/>
      </c:barChart>
      <c:catAx>
        <c:axId val="10731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320832"/>
        <c:crosses val="autoZero"/>
        <c:auto val="1"/>
        <c:lblAlgn val="ctr"/>
        <c:lblOffset val="100"/>
        <c:noMultiLvlLbl val="0"/>
      </c:catAx>
      <c:valAx>
        <c:axId val="107320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31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esfuerzo'!$C$453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esfuerzo'!$C$454:$C$459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esfuerzo'!$D$453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esfuerzo'!$D$454:$D$459</c:f>
              <c:numCache>
                <c:formatCode>General</c:formatCode>
                <c:ptCount val="6"/>
                <c:pt idx="0">
                  <c:v>55</c:v>
                </c:pt>
                <c:pt idx="1">
                  <c:v>39</c:v>
                </c:pt>
                <c:pt idx="2">
                  <c:v>41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50272"/>
        <c:axId val="107356160"/>
      </c:barChart>
      <c:catAx>
        <c:axId val="1073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356160"/>
        <c:crosses val="autoZero"/>
        <c:auto val="1"/>
        <c:lblAlgn val="ctr"/>
        <c:lblOffset val="100"/>
        <c:noMultiLvlLbl val="0"/>
      </c:catAx>
      <c:valAx>
        <c:axId val="1073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esfuerzo'!$E$453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esfuerzo'!$E$454:$E$459</c:f>
              <c:numCache>
                <c:formatCode>0%</c:formatCode>
                <c:ptCount val="6"/>
                <c:pt idx="0">
                  <c:v>-7.8431372549019607E-2</c:v>
                </c:pt>
                <c:pt idx="1">
                  <c:v>-0.11428571428571428</c:v>
                </c:pt>
                <c:pt idx="2">
                  <c:v>0.82916666666666672</c:v>
                </c:pt>
                <c:pt idx="3">
                  <c:v>0.82608695652173914</c:v>
                </c:pt>
                <c:pt idx="4">
                  <c:v>1</c:v>
                </c:pt>
                <c:pt idx="5">
                  <c:v>0.95774647887323938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63712"/>
        <c:axId val="107369600"/>
      </c:barChart>
      <c:catAx>
        <c:axId val="10736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369600"/>
        <c:crosses val="autoZero"/>
        <c:auto val="1"/>
        <c:lblAlgn val="ctr"/>
        <c:lblOffset val="100"/>
        <c:noMultiLvlLbl val="0"/>
      </c:catAx>
      <c:valAx>
        <c:axId val="107369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36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esfuerzo'!$C$468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esfuerzo'!$C$469:$C$474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esfuerzo'!$D$468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esfuerzo'!$D$469:$D$474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07232"/>
        <c:axId val="107408768"/>
      </c:barChart>
      <c:catAx>
        <c:axId val="1074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08768"/>
        <c:crosses val="autoZero"/>
        <c:auto val="1"/>
        <c:lblAlgn val="ctr"/>
        <c:lblOffset val="100"/>
        <c:noMultiLvlLbl val="0"/>
      </c:catAx>
      <c:valAx>
        <c:axId val="1074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0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esfuerzo'!$E$468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esfuerzo'!$E$469:$E$474</c:f>
              <c:numCache>
                <c:formatCode>0%</c:formatCode>
                <c:ptCount val="6"/>
                <c:pt idx="0">
                  <c:v>0.90196078431372551</c:v>
                </c:pt>
                <c:pt idx="1">
                  <c:v>0.94285714285714284</c:v>
                </c:pt>
                <c:pt idx="2">
                  <c:v>1</c:v>
                </c:pt>
                <c:pt idx="3">
                  <c:v>0.82608695652173914</c:v>
                </c:pt>
                <c:pt idx="4">
                  <c:v>1</c:v>
                </c:pt>
                <c:pt idx="5">
                  <c:v>0.92957746478873238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82112"/>
        <c:axId val="107516672"/>
      </c:barChart>
      <c:catAx>
        <c:axId val="1074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516672"/>
        <c:crosses val="autoZero"/>
        <c:auto val="1"/>
        <c:lblAlgn val="ctr"/>
        <c:lblOffset val="100"/>
        <c:noMultiLvlLbl val="0"/>
      </c:catAx>
      <c:valAx>
        <c:axId val="107516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48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esfuerzo'!$C$483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esfuerzo'!$C$484:$C$489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esfuerzo'!$D$483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esfuerzo'!$D$484:$D$489</c:f>
              <c:numCache>
                <c:formatCode>General</c:formatCode>
                <c:ptCount val="6"/>
                <c:pt idx="0">
                  <c:v>101</c:v>
                </c:pt>
                <c:pt idx="1">
                  <c:v>20</c:v>
                </c:pt>
                <c:pt idx="2">
                  <c:v>0</c:v>
                </c:pt>
                <c:pt idx="3">
                  <c:v>12</c:v>
                </c:pt>
                <c:pt idx="4">
                  <c:v>1094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46112"/>
        <c:axId val="107547648"/>
      </c:barChart>
      <c:catAx>
        <c:axId val="10754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547648"/>
        <c:crosses val="autoZero"/>
        <c:auto val="1"/>
        <c:lblAlgn val="ctr"/>
        <c:lblOffset val="100"/>
        <c:noMultiLvlLbl val="0"/>
      </c:catAx>
      <c:valAx>
        <c:axId val="10754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4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esfuerzo'!$E$483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esfuerzo'!$E$484:$E$489</c:f>
              <c:numCache>
                <c:formatCode>0%</c:formatCode>
                <c:ptCount val="6"/>
                <c:pt idx="0">
                  <c:v>-0.98039215686274506</c:v>
                </c:pt>
                <c:pt idx="1">
                  <c:v>0.42857142857142855</c:v>
                </c:pt>
                <c:pt idx="2">
                  <c:v>1</c:v>
                </c:pt>
                <c:pt idx="3">
                  <c:v>0.47826086956521741</c:v>
                </c:pt>
                <c:pt idx="4">
                  <c:v>-11.155555555555555</c:v>
                </c:pt>
                <c:pt idx="5">
                  <c:v>0.95774647887323938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67744"/>
        <c:axId val="107573632"/>
      </c:barChart>
      <c:catAx>
        <c:axId val="1075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573632"/>
        <c:crosses val="autoZero"/>
        <c:auto val="1"/>
        <c:lblAlgn val="ctr"/>
        <c:lblOffset val="100"/>
        <c:noMultiLvlLbl val="0"/>
      </c:catAx>
      <c:valAx>
        <c:axId val="107573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5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esfuerzo'!$C$497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esfuerzo'!$C$498:$C$503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esfuerzo'!$D$497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esfuerzo'!$D$498:$D$503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101</c:v>
                </c:pt>
                <c:pt idx="3">
                  <c:v>5441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86688"/>
        <c:axId val="107588224"/>
      </c:barChart>
      <c:catAx>
        <c:axId val="1075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588224"/>
        <c:crosses val="autoZero"/>
        <c:auto val="1"/>
        <c:lblAlgn val="ctr"/>
        <c:lblOffset val="100"/>
        <c:noMultiLvlLbl val="0"/>
      </c:catAx>
      <c:valAx>
        <c:axId val="1075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8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esfuerzo'!$E$497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esfuerzo'!$E$498:$E$503</c:f>
              <c:numCache>
                <c:formatCode>0%</c:formatCode>
                <c:ptCount val="6"/>
                <c:pt idx="0">
                  <c:v>0.86274509803921573</c:v>
                </c:pt>
                <c:pt idx="1">
                  <c:v>0.8571428571428571</c:v>
                </c:pt>
                <c:pt idx="2">
                  <c:v>0.57916666666666672</c:v>
                </c:pt>
                <c:pt idx="3">
                  <c:v>-235.56521739130434</c:v>
                </c:pt>
                <c:pt idx="4">
                  <c:v>1</c:v>
                </c:pt>
                <c:pt idx="5">
                  <c:v>0.92253521126760563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48288"/>
        <c:axId val="107950080"/>
      </c:barChart>
      <c:catAx>
        <c:axId val="10794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50080"/>
        <c:crosses val="autoZero"/>
        <c:auto val="1"/>
        <c:lblAlgn val="ctr"/>
        <c:lblOffset val="100"/>
        <c:noMultiLvlLbl val="0"/>
      </c:catAx>
      <c:valAx>
        <c:axId val="107950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94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esfuerzo'!$C$512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esfuerzo'!$C$513:$C$518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esfuerzo'!$D$512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esfuerzo'!$D$513:$D$518</c:f>
              <c:numCache>
                <c:formatCode>General</c:formatCode>
                <c:ptCount val="6"/>
                <c:pt idx="0">
                  <c:v>33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79520"/>
        <c:axId val="107981056"/>
      </c:barChart>
      <c:catAx>
        <c:axId val="1079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1056"/>
        <c:crosses val="autoZero"/>
        <c:auto val="1"/>
        <c:lblAlgn val="ctr"/>
        <c:lblOffset val="100"/>
        <c:noMultiLvlLbl val="0"/>
      </c:catAx>
      <c:valAx>
        <c:axId val="1079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7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esfuerzo'!$C$65:$C$70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esfuerzo'!$D$65:$D$70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76</c:v>
                </c:pt>
                <c:pt idx="3">
                  <c:v>23</c:v>
                </c:pt>
                <c:pt idx="4">
                  <c:v>0</c:v>
                </c:pt>
                <c:pt idx="5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23104"/>
        <c:axId val="84224640"/>
      </c:barChart>
      <c:catAx>
        <c:axId val="842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4224640"/>
        <c:crosses val="autoZero"/>
        <c:auto val="1"/>
        <c:lblAlgn val="ctr"/>
        <c:lblOffset val="100"/>
        <c:noMultiLvlLbl val="0"/>
      </c:catAx>
      <c:valAx>
        <c:axId val="842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2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esfuerzo'!$E$512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esfuerzo'!$E$513:$E$518</c:f>
              <c:numCache>
                <c:formatCode>0%</c:formatCode>
                <c:ptCount val="6"/>
                <c:pt idx="0">
                  <c:v>0.35294117647058826</c:v>
                </c:pt>
                <c:pt idx="1">
                  <c:v>-0.6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0.95774647887323938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57536"/>
        <c:axId val="109059072"/>
      </c:barChart>
      <c:catAx>
        <c:axId val="1090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59072"/>
        <c:crosses val="autoZero"/>
        <c:auto val="1"/>
        <c:lblAlgn val="ctr"/>
        <c:lblOffset val="100"/>
        <c:noMultiLvlLbl val="0"/>
      </c:catAx>
      <c:valAx>
        <c:axId val="1090590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05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esfuerzo'!$C$527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esfuerzo'!$C$528:$C$533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esfuerzo'!$D$527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esfuerzo'!$D$528:$D$533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170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92864"/>
        <c:axId val="109094400"/>
      </c:barChart>
      <c:catAx>
        <c:axId val="1090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94400"/>
        <c:crosses val="autoZero"/>
        <c:auto val="1"/>
        <c:lblAlgn val="ctr"/>
        <c:lblOffset val="100"/>
        <c:noMultiLvlLbl val="0"/>
      </c:catAx>
      <c:valAx>
        <c:axId val="1090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9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esfuerzo'!$E$527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esfuerzo'!$E$528:$E$533</c:f>
              <c:numCache>
                <c:formatCode>0%</c:formatCode>
                <c:ptCount val="6"/>
                <c:pt idx="0">
                  <c:v>0.84313725490196079</c:v>
                </c:pt>
                <c:pt idx="1">
                  <c:v>0.91428571428571426</c:v>
                </c:pt>
                <c:pt idx="2">
                  <c:v>1</c:v>
                </c:pt>
                <c:pt idx="3">
                  <c:v>1</c:v>
                </c:pt>
                <c:pt idx="4">
                  <c:v>0.29166666666666669</c:v>
                </c:pt>
                <c:pt idx="5">
                  <c:v>0.95070422535211263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14496"/>
        <c:axId val="109116032"/>
      </c:barChart>
      <c:catAx>
        <c:axId val="1091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16032"/>
        <c:crosses val="autoZero"/>
        <c:auto val="1"/>
        <c:lblAlgn val="ctr"/>
        <c:lblOffset val="100"/>
        <c:noMultiLvlLbl val="0"/>
      </c:catAx>
      <c:valAx>
        <c:axId val="109116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11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esfuerzo'!$C$7:$C$12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esfuerzo'!$D$7:$D$12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22464"/>
        <c:axId val="107828352"/>
      </c:barChart>
      <c:catAx>
        <c:axId val="1078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28352"/>
        <c:crosses val="autoZero"/>
        <c:auto val="1"/>
        <c:lblAlgn val="ctr"/>
        <c:lblOffset val="100"/>
        <c:noMultiLvlLbl val="0"/>
      </c:catAx>
      <c:valAx>
        <c:axId val="1078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esfuerzo'!$E$7:$E$12</c:f>
              <c:numCache>
                <c:formatCode>0%</c:formatCode>
                <c:ptCount val="6"/>
                <c:pt idx="0">
                  <c:v>-2.8235294117647061</c:v>
                </c:pt>
                <c:pt idx="1">
                  <c:v>1</c:v>
                </c:pt>
                <c:pt idx="2">
                  <c:v>0.4375</c:v>
                </c:pt>
                <c:pt idx="3">
                  <c:v>-5.3913043478260869</c:v>
                </c:pt>
                <c:pt idx="4">
                  <c:v>1</c:v>
                </c:pt>
                <c:pt idx="5">
                  <c:v>0.12676056338028169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52544"/>
        <c:axId val="107854080"/>
      </c:barChart>
      <c:catAx>
        <c:axId val="1078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54080"/>
        <c:crosses val="autoZero"/>
        <c:auto val="1"/>
        <c:lblAlgn val="ctr"/>
        <c:lblOffset val="100"/>
        <c:noMultiLvlLbl val="0"/>
      </c:catAx>
      <c:valAx>
        <c:axId val="107854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85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costos'!$C$19:$C$24</c:f>
              <c:numCache>
                <c:formatCode>_-\$* #,##0.00_-;"-$"* #,##0.00_-;_-\$* \-??_-;_-@_-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19.399999999999999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costos'!$D$19:$D$24</c:f>
              <c:numCache>
                <c:formatCode>_-\$* #,##0.00_-;"-$"* #,##0.00_-;_-\$* \-??_-;_-@_-</c:formatCode>
                <c:ptCount val="6"/>
                <c:pt idx="0">
                  <c:v>17.933399999999999</c:v>
                </c:pt>
                <c:pt idx="1">
                  <c:v>13.122</c:v>
                </c:pt>
                <c:pt idx="2">
                  <c:v>9.7686000000000011</c:v>
                </c:pt>
                <c:pt idx="3">
                  <c:v>10.935</c:v>
                </c:pt>
                <c:pt idx="4">
                  <c:v>45.489600000000003</c:v>
                </c:pt>
                <c:pt idx="5">
                  <c:v>105.4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60064"/>
        <c:axId val="82761600"/>
      </c:barChart>
      <c:catAx>
        <c:axId val="8276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761600"/>
        <c:crosses val="autoZero"/>
        <c:auto val="1"/>
        <c:lblAlgn val="ctr"/>
        <c:lblOffset val="100"/>
        <c:noMultiLvlLbl val="1"/>
      </c:catAx>
      <c:valAx>
        <c:axId val="82761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760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costos'!$E$19:$E$24</c:f>
              <c:numCache>
                <c:formatCode>0%</c:formatCode>
                <c:ptCount val="6"/>
                <c:pt idx="0">
                  <c:v>0.79922301836094933</c:v>
                </c:pt>
                <c:pt idx="1">
                  <c:v>0.1715909090909091</c:v>
                </c:pt>
                <c:pt idx="2">
                  <c:v>0.49646391752577312</c:v>
                </c:pt>
                <c:pt idx="3">
                  <c:v>0.50295454545454543</c:v>
                </c:pt>
                <c:pt idx="4">
                  <c:v>-0.56860689655172425</c:v>
                </c:pt>
                <c:pt idx="5">
                  <c:v>-0.17111111111111119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24192"/>
        <c:axId val="80825728"/>
      </c:barChart>
      <c:catAx>
        <c:axId val="80824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825728"/>
        <c:crosses val="autoZero"/>
        <c:auto val="1"/>
        <c:lblAlgn val="ctr"/>
        <c:lblOffset val="100"/>
        <c:noMultiLvlLbl val="1"/>
      </c:catAx>
      <c:valAx>
        <c:axId val="80825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8241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costos'!$C$37:$C$42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costos'!$D$37:$D$42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5.1029999999999998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11.82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67712"/>
        <c:axId val="80869248"/>
      </c:barChart>
      <c:catAx>
        <c:axId val="8086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0869248"/>
        <c:crosses val="autoZero"/>
        <c:auto val="1"/>
        <c:lblAlgn val="ctr"/>
        <c:lblOffset val="100"/>
        <c:noMultiLvlLbl val="0"/>
      </c:catAx>
      <c:valAx>
        <c:axId val="8086924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8086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costos'!$E$36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costos'!$E$37:$E$42</c:f>
              <c:numCache>
                <c:formatCode>0%</c:formatCode>
                <c:ptCount val="6"/>
                <c:pt idx="0">
                  <c:v>0.93470667263770724</c:v>
                </c:pt>
                <c:pt idx="1">
                  <c:v>-0.28863636363636358</c:v>
                </c:pt>
                <c:pt idx="2">
                  <c:v>1</c:v>
                </c:pt>
                <c:pt idx="3">
                  <c:v>0.46981818181818175</c:v>
                </c:pt>
                <c:pt idx="4">
                  <c:v>1</c:v>
                </c:pt>
                <c:pt idx="5">
                  <c:v>0.47466666666666668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95968"/>
        <c:axId val="107797504"/>
      </c:barChart>
      <c:catAx>
        <c:axId val="1077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97504"/>
        <c:crosses val="autoZero"/>
        <c:auto val="1"/>
        <c:lblAlgn val="ctr"/>
        <c:lblOffset val="100"/>
        <c:noMultiLvlLbl val="0"/>
      </c:catAx>
      <c:valAx>
        <c:axId val="107797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7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costos'!$C$49:$C$54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costos'!$D$49:$D$54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3.645</c:v>
                </c:pt>
                <c:pt idx="2">
                  <c:v>59.291999999999994</c:v>
                </c:pt>
                <c:pt idx="3">
                  <c:v>3.645</c:v>
                </c:pt>
                <c:pt idx="4">
                  <c:v>0</c:v>
                </c:pt>
                <c:pt idx="5">
                  <c:v>10.72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41728"/>
        <c:axId val="109643264"/>
      </c:barChart>
      <c:catAx>
        <c:axId val="1096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43264"/>
        <c:crosses val="autoZero"/>
        <c:auto val="1"/>
        <c:lblAlgn val="ctr"/>
        <c:lblOffset val="100"/>
        <c:noMultiLvlLbl val="0"/>
      </c:catAx>
      <c:valAx>
        <c:axId val="10964326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0964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esfuerzo'!$E$64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esfuerzo'!$E$65:$E$70</c:f>
              <c:numCache>
                <c:formatCode>0%</c:formatCode>
                <c:ptCount val="6"/>
                <c:pt idx="0">
                  <c:v>0.86274509803921573</c:v>
                </c:pt>
                <c:pt idx="1">
                  <c:v>0.7142857142857143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  <c:pt idx="5">
                  <c:v>0.4859154929577465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36544"/>
        <c:axId val="84250624"/>
      </c:barChart>
      <c:catAx>
        <c:axId val="842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84250624"/>
        <c:crosses val="autoZero"/>
        <c:auto val="1"/>
        <c:lblAlgn val="ctr"/>
        <c:lblOffset val="100"/>
        <c:noMultiLvlLbl val="0"/>
      </c:catAx>
      <c:valAx>
        <c:axId val="84250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423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costos'!$E$48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costos'!$E$49:$E$54</c:f>
              <c:numCache>
                <c:formatCode>0%</c:formatCode>
                <c:ptCount val="6"/>
                <c:pt idx="0">
                  <c:v>0.93470667263770724</c:v>
                </c:pt>
                <c:pt idx="1">
                  <c:v>7.954545454545453E-2</c:v>
                </c:pt>
                <c:pt idx="2">
                  <c:v>-2.0562886597938146</c:v>
                </c:pt>
                <c:pt idx="3">
                  <c:v>0.33727272727272728</c:v>
                </c:pt>
                <c:pt idx="4">
                  <c:v>1</c:v>
                </c:pt>
                <c:pt idx="5">
                  <c:v>0.52355555555555555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83840"/>
        <c:axId val="109685376"/>
      </c:barChart>
      <c:catAx>
        <c:axId val="1096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85376"/>
        <c:crosses val="autoZero"/>
        <c:auto val="1"/>
        <c:lblAlgn val="ctr"/>
        <c:lblOffset val="100"/>
        <c:noMultiLvlLbl val="0"/>
      </c:catAx>
      <c:valAx>
        <c:axId val="109685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6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costos'!$C$64:$C$69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costos'!$D$64:$D$69</c:f>
              <c:numCache>
                <c:formatCode>_-\$* #,##0.00_-;"-$"* #,##0.00_-;_-\$* \-??_-;_-@_-</c:formatCode>
                <c:ptCount val="6"/>
                <c:pt idx="0">
                  <c:v>1.7010000000000001</c:v>
                </c:pt>
                <c:pt idx="1">
                  <c:v>2.4299999999999997</c:v>
                </c:pt>
                <c:pt idx="2">
                  <c:v>18.468</c:v>
                </c:pt>
                <c:pt idx="3">
                  <c:v>5.5890000000000004</c:v>
                </c:pt>
                <c:pt idx="4">
                  <c:v>0</c:v>
                </c:pt>
                <c:pt idx="5">
                  <c:v>12.3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80352"/>
        <c:axId val="109782144"/>
      </c:barChart>
      <c:catAx>
        <c:axId val="10978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782144"/>
        <c:crosses val="autoZero"/>
        <c:auto val="1"/>
        <c:lblAlgn val="ctr"/>
        <c:lblOffset val="100"/>
        <c:noMultiLvlLbl val="0"/>
      </c:catAx>
      <c:valAx>
        <c:axId val="10978214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097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costos'!$E$64:$E$69</c:f>
              <c:numCache>
                <c:formatCode>0%</c:formatCode>
                <c:ptCount val="6"/>
                <c:pt idx="0">
                  <c:v>0.92382445141065828</c:v>
                </c:pt>
                <c:pt idx="1">
                  <c:v>0.38636363636363641</c:v>
                </c:pt>
                <c:pt idx="2">
                  <c:v>4.8041237113401997E-2</c:v>
                </c:pt>
                <c:pt idx="3">
                  <c:v>-1.6181818181818255E-2</c:v>
                </c:pt>
                <c:pt idx="4">
                  <c:v>1</c:v>
                </c:pt>
                <c:pt idx="5">
                  <c:v>0.45333333333333331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10432"/>
        <c:axId val="109811968"/>
      </c:barChart>
      <c:catAx>
        <c:axId val="1098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11968"/>
        <c:crosses val="autoZero"/>
        <c:auto val="1"/>
        <c:lblAlgn val="ctr"/>
        <c:lblOffset val="100"/>
        <c:noMultiLvlLbl val="0"/>
      </c:catAx>
      <c:valAx>
        <c:axId val="109811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8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costos'!$C$78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costos'!$C$79:$C$84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costos'!$D$78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costos'!$D$79:$D$84</c:f>
              <c:numCache>
                <c:formatCode>_-\$* #,##0.00_-;"-$"* #,##0.00_-;_-\$* \-??_-;_-@_-</c:formatCode>
                <c:ptCount val="6"/>
                <c:pt idx="0">
                  <c:v>240.08399999999997</c:v>
                </c:pt>
                <c:pt idx="1">
                  <c:v>3.645</c:v>
                </c:pt>
                <c:pt idx="2">
                  <c:v>0</c:v>
                </c:pt>
                <c:pt idx="3">
                  <c:v>9.963000000000001</c:v>
                </c:pt>
                <c:pt idx="4">
                  <c:v>0</c:v>
                </c:pt>
                <c:pt idx="5">
                  <c:v>10.58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37312"/>
        <c:axId val="109855488"/>
      </c:barChart>
      <c:catAx>
        <c:axId val="1098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55488"/>
        <c:crosses val="autoZero"/>
        <c:auto val="1"/>
        <c:lblAlgn val="ctr"/>
        <c:lblOffset val="100"/>
        <c:noMultiLvlLbl val="0"/>
      </c:catAx>
      <c:valAx>
        <c:axId val="10985548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098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costos'!$E$78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costos'!$E$79:$E$84</c:f>
              <c:numCache>
                <c:formatCode>0%</c:formatCode>
                <c:ptCount val="6"/>
                <c:pt idx="0">
                  <c:v>-9.7516345723242264</c:v>
                </c:pt>
                <c:pt idx="1">
                  <c:v>7.954545454545453E-2</c:v>
                </c:pt>
                <c:pt idx="2">
                  <c:v>1</c:v>
                </c:pt>
                <c:pt idx="3">
                  <c:v>-0.81145454545454565</c:v>
                </c:pt>
                <c:pt idx="4">
                  <c:v>1</c:v>
                </c:pt>
                <c:pt idx="5">
                  <c:v>0.52977777777777779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75584"/>
        <c:axId val="109877120"/>
      </c:barChart>
      <c:catAx>
        <c:axId val="1098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77120"/>
        <c:crosses val="autoZero"/>
        <c:auto val="1"/>
        <c:lblAlgn val="ctr"/>
        <c:lblOffset val="100"/>
        <c:noMultiLvlLbl val="0"/>
      </c:catAx>
      <c:valAx>
        <c:axId val="109877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87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costos'!$C$93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costos'!$C$94:$C$99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costos'!$D$93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costos'!$D$94:$D$99</c:f>
              <c:numCache>
                <c:formatCode>_-\$* #,##0.00_-;"-$"* #,##0.00_-;_-\$* \-??_-;_-@_-</c:formatCode>
                <c:ptCount val="6"/>
                <c:pt idx="0">
                  <c:v>3.645</c:v>
                </c:pt>
                <c:pt idx="1">
                  <c:v>21.87</c:v>
                </c:pt>
                <c:pt idx="2">
                  <c:v>21.627000000000002</c:v>
                </c:pt>
                <c:pt idx="3">
                  <c:v>1.944</c:v>
                </c:pt>
                <c:pt idx="4">
                  <c:v>0</c:v>
                </c:pt>
                <c:pt idx="5">
                  <c:v>2.38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98368"/>
        <c:axId val="109973888"/>
      </c:barChart>
      <c:catAx>
        <c:axId val="1098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73888"/>
        <c:crosses val="autoZero"/>
        <c:auto val="1"/>
        <c:lblAlgn val="ctr"/>
        <c:lblOffset val="100"/>
        <c:noMultiLvlLbl val="0"/>
      </c:catAx>
      <c:valAx>
        <c:axId val="10997388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0989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costos'!$E$93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costos'!$E$94:$E$99</c:f>
              <c:numCache>
                <c:formatCode>0%</c:formatCode>
                <c:ptCount val="6"/>
                <c:pt idx="0">
                  <c:v>0.83676668159426781</c:v>
                </c:pt>
                <c:pt idx="1">
                  <c:v>-4.5227272727272725</c:v>
                </c:pt>
                <c:pt idx="2">
                  <c:v>-0.1147938144329899</c:v>
                </c:pt>
                <c:pt idx="3">
                  <c:v>0.64654545454545453</c:v>
                </c:pt>
                <c:pt idx="4">
                  <c:v>1</c:v>
                </c:pt>
                <c:pt idx="5">
                  <c:v>0.89422222222222225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10368"/>
        <c:axId val="110011904"/>
      </c:barChart>
      <c:catAx>
        <c:axId val="1100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11904"/>
        <c:crosses val="autoZero"/>
        <c:auto val="1"/>
        <c:lblAlgn val="ctr"/>
        <c:lblOffset val="100"/>
        <c:noMultiLvlLbl val="0"/>
      </c:catAx>
      <c:valAx>
        <c:axId val="110011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0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costos'!$C$108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costos'!$C$109:$C$114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costos'!$D$108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costos'!$D$109:$D$114</c:f>
              <c:numCache>
                <c:formatCode>_-\$* #,##0.00_-;"-$"* #,##0.00_-;_-\$* \-??_-;_-@_-</c:formatCode>
                <c:ptCount val="6"/>
                <c:pt idx="0">
                  <c:v>4.8599999999999994</c:v>
                </c:pt>
                <c:pt idx="1">
                  <c:v>1.2149999999999999</c:v>
                </c:pt>
                <c:pt idx="2">
                  <c:v>0</c:v>
                </c:pt>
                <c:pt idx="3">
                  <c:v>2.4299999999999997</c:v>
                </c:pt>
                <c:pt idx="4">
                  <c:v>0</c:v>
                </c:pt>
                <c:pt idx="5">
                  <c:v>4.53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41344"/>
        <c:axId val="110043136"/>
      </c:barChart>
      <c:catAx>
        <c:axId val="1100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43136"/>
        <c:crosses val="autoZero"/>
        <c:auto val="1"/>
        <c:lblAlgn val="ctr"/>
        <c:lblOffset val="100"/>
        <c:noMultiLvlLbl val="0"/>
      </c:catAx>
      <c:valAx>
        <c:axId val="11004313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0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costos'!$E$108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costos'!$E$109:$E$114</c:f>
              <c:numCache>
                <c:formatCode>0%</c:formatCode>
                <c:ptCount val="6"/>
                <c:pt idx="0">
                  <c:v>0.78235557545902379</c:v>
                </c:pt>
                <c:pt idx="1">
                  <c:v>0.69318181818181823</c:v>
                </c:pt>
                <c:pt idx="2">
                  <c:v>1</c:v>
                </c:pt>
                <c:pt idx="3">
                  <c:v>0.55818181818181822</c:v>
                </c:pt>
                <c:pt idx="4">
                  <c:v>1</c:v>
                </c:pt>
                <c:pt idx="5">
                  <c:v>0.79866666666666664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58880"/>
        <c:axId val="110072960"/>
      </c:barChart>
      <c:catAx>
        <c:axId val="1100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72960"/>
        <c:crosses val="autoZero"/>
        <c:auto val="1"/>
        <c:lblAlgn val="ctr"/>
        <c:lblOffset val="100"/>
        <c:noMultiLvlLbl val="0"/>
      </c:catAx>
      <c:valAx>
        <c:axId val="110072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costos'!$C$123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costos'!$C$124:$C$129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costos'!$D$123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costos'!$D$124:$D$129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5.3460000000000001</c:v>
                </c:pt>
                <c:pt idx="2">
                  <c:v>0</c:v>
                </c:pt>
                <c:pt idx="3">
                  <c:v>6.5609999999999999</c:v>
                </c:pt>
                <c:pt idx="4">
                  <c:v>0.24299999999999999</c:v>
                </c:pt>
                <c:pt idx="5">
                  <c:v>0.48599999999999999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90112"/>
        <c:axId val="110091648"/>
      </c:barChart>
      <c:catAx>
        <c:axId val="1100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91648"/>
        <c:crosses val="autoZero"/>
        <c:auto val="1"/>
        <c:lblAlgn val="ctr"/>
        <c:lblOffset val="100"/>
        <c:noMultiLvlLbl val="0"/>
      </c:catAx>
      <c:valAx>
        <c:axId val="11009164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09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esfuerzo'!$C$78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esfuerzo'!$C$79:$C$84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esfuerzo'!$D$78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esfuerzo'!$D$79:$D$84</c:f>
              <c:numCache>
                <c:formatCode>General</c:formatCode>
                <c:ptCount val="6"/>
                <c:pt idx="0">
                  <c:v>988</c:v>
                </c:pt>
                <c:pt idx="1">
                  <c:v>15</c:v>
                </c:pt>
                <c:pt idx="2">
                  <c:v>0</c:v>
                </c:pt>
                <c:pt idx="3">
                  <c:v>41</c:v>
                </c:pt>
                <c:pt idx="4">
                  <c:v>0</c:v>
                </c:pt>
                <c:pt idx="5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66624"/>
        <c:axId val="89868160"/>
      </c:barChart>
      <c:catAx>
        <c:axId val="8986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9868160"/>
        <c:crosses val="autoZero"/>
        <c:auto val="1"/>
        <c:lblAlgn val="ctr"/>
        <c:lblOffset val="100"/>
        <c:noMultiLvlLbl val="0"/>
      </c:catAx>
      <c:valAx>
        <c:axId val="898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6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costos'!$E$123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costos'!$E$124:$E$129</c:f>
              <c:numCache>
                <c:formatCode>0%</c:formatCode>
                <c:ptCount val="6"/>
                <c:pt idx="0">
                  <c:v>1</c:v>
                </c:pt>
                <c:pt idx="1">
                  <c:v>-0.35000000000000003</c:v>
                </c:pt>
                <c:pt idx="2">
                  <c:v>1</c:v>
                </c:pt>
                <c:pt idx="3">
                  <c:v>-0.19290909090909089</c:v>
                </c:pt>
                <c:pt idx="4">
                  <c:v>0.99162068965517247</c:v>
                </c:pt>
                <c:pt idx="5">
                  <c:v>0.97839999999999994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11744"/>
        <c:axId val="110134016"/>
      </c:barChart>
      <c:catAx>
        <c:axId val="1101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34016"/>
        <c:crosses val="autoZero"/>
        <c:auto val="1"/>
        <c:lblAlgn val="ctr"/>
        <c:lblOffset val="100"/>
        <c:noMultiLvlLbl val="0"/>
      </c:catAx>
      <c:valAx>
        <c:axId val="110134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11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costos'!$C$138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costos'!$C$139:$C$144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costos'!$D$138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costos'!$D$139:$D$144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63456"/>
        <c:axId val="110164992"/>
      </c:barChart>
      <c:catAx>
        <c:axId val="11016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64992"/>
        <c:crosses val="autoZero"/>
        <c:auto val="1"/>
        <c:lblAlgn val="ctr"/>
        <c:lblOffset val="100"/>
        <c:noMultiLvlLbl val="0"/>
      </c:catAx>
      <c:valAx>
        <c:axId val="11016499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1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costos'!$E$138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costos'!$E$139:$E$144</c:f>
              <c:numCache>
                <c:formatCode>0%</c:formatCode>
                <c:ptCount val="6"/>
                <c:pt idx="0">
                  <c:v>0.89117778772951184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0.69022222222222229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93280"/>
        <c:axId val="110199168"/>
      </c:barChart>
      <c:catAx>
        <c:axId val="11019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99168"/>
        <c:crosses val="autoZero"/>
        <c:auto val="1"/>
        <c:lblAlgn val="ctr"/>
        <c:lblOffset val="100"/>
        <c:noMultiLvlLbl val="0"/>
      </c:catAx>
      <c:valAx>
        <c:axId val="1101991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1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costos'!$C$153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costos'!$C$154:$C$159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costos'!$D$153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costos'!$D$154:$D$159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27.459</c:v>
                </c:pt>
                <c:pt idx="5">
                  <c:v>16.29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28608"/>
        <c:axId val="110230144"/>
      </c:barChart>
      <c:catAx>
        <c:axId val="1102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230144"/>
        <c:crosses val="autoZero"/>
        <c:auto val="1"/>
        <c:lblAlgn val="ctr"/>
        <c:lblOffset val="100"/>
        <c:noMultiLvlLbl val="0"/>
      </c:catAx>
      <c:valAx>
        <c:axId val="11023014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2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costos'!$E$153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costos'!$E$154:$E$159</c:f>
              <c:numCache>
                <c:formatCode>0%</c:formatCode>
                <c:ptCount val="6"/>
                <c:pt idx="0">
                  <c:v>0.94558889386475597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5.313793103448277E-2</c:v>
                </c:pt>
                <c:pt idx="5">
                  <c:v>0.27600000000000002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94176"/>
        <c:axId val="109408256"/>
      </c:barChart>
      <c:catAx>
        <c:axId val="1093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08256"/>
        <c:crosses val="autoZero"/>
        <c:auto val="1"/>
        <c:lblAlgn val="ctr"/>
        <c:lblOffset val="100"/>
        <c:noMultiLvlLbl val="0"/>
      </c:catAx>
      <c:valAx>
        <c:axId val="109408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39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costos'!$C$167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costos'!$C$168:$C$173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costos'!$D$167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costos'!$D$168:$D$173</c:f>
              <c:numCache>
                <c:formatCode>_-\$* #,##0.00_-;"-$"* #,##0.00_-;_-\$* \-??_-;_-@_-</c:formatCode>
                <c:ptCount val="6"/>
                <c:pt idx="0">
                  <c:v>12.392999999999999</c:v>
                </c:pt>
                <c:pt idx="1">
                  <c:v>50.786999999999999</c:v>
                </c:pt>
                <c:pt idx="2">
                  <c:v>10.449</c:v>
                </c:pt>
                <c:pt idx="3">
                  <c:v>0.97199999999999998</c:v>
                </c:pt>
                <c:pt idx="4">
                  <c:v>0</c:v>
                </c:pt>
                <c:pt idx="5">
                  <c:v>4.8899999999999997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38080"/>
        <c:axId val="109439616"/>
      </c:barChart>
      <c:catAx>
        <c:axId val="10943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39616"/>
        <c:crosses val="autoZero"/>
        <c:auto val="1"/>
        <c:lblAlgn val="ctr"/>
        <c:lblOffset val="100"/>
        <c:noMultiLvlLbl val="0"/>
      </c:catAx>
      <c:valAx>
        <c:axId val="10943961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0943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costos'!$E$167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costos'!$E$168:$E$173</c:f>
              <c:numCache>
                <c:formatCode>0%</c:formatCode>
                <c:ptCount val="6"/>
                <c:pt idx="0">
                  <c:v>0.44500671742051051</c:v>
                </c:pt>
                <c:pt idx="1">
                  <c:v>-11.824999999999999</c:v>
                </c:pt>
                <c:pt idx="2">
                  <c:v>0.46139175257731957</c:v>
                </c:pt>
                <c:pt idx="3">
                  <c:v>0.82327272727272738</c:v>
                </c:pt>
                <c:pt idx="4">
                  <c:v>1</c:v>
                </c:pt>
                <c:pt idx="5">
                  <c:v>0.78266666666666662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51520"/>
        <c:axId val="109477888"/>
      </c:barChart>
      <c:catAx>
        <c:axId val="10945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77888"/>
        <c:crosses val="autoZero"/>
        <c:auto val="1"/>
        <c:lblAlgn val="ctr"/>
        <c:lblOffset val="100"/>
        <c:noMultiLvlLbl val="0"/>
      </c:catAx>
      <c:valAx>
        <c:axId val="109477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45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costos'!$C$182:$C$187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costos'!$D$181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costos'!$D$182:$D$187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26.73</c:v>
                </c:pt>
                <c:pt idx="5">
                  <c:v>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03232"/>
        <c:axId val="109504768"/>
      </c:barChart>
      <c:catAx>
        <c:axId val="1095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04768"/>
        <c:crosses val="autoZero"/>
        <c:auto val="1"/>
        <c:lblAlgn val="ctr"/>
        <c:lblOffset val="100"/>
        <c:noMultiLvlLbl val="0"/>
      </c:catAx>
      <c:valAx>
        <c:axId val="10950476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095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costos'!$E$182:$E$187</c:f>
              <c:numCache>
                <c:formatCode>0%</c:formatCode>
                <c:ptCount val="6"/>
                <c:pt idx="0">
                  <c:v>0.89117778772951184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7.8275862068965502E-2</c:v>
                </c:pt>
                <c:pt idx="5">
                  <c:v>0.69022222222222229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16672"/>
        <c:axId val="109518208"/>
      </c:barChart>
      <c:catAx>
        <c:axId val="10951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18208"/>
        <c:crosses val="autoZero"/>
        <c:auto val="1"/>
        <c:lblAlgn val="ctr"/>
        <c:lblOffset val="100"/>
        <c:noMultiLvlLbl val="0"/>
      </c:catAx>
      <c:valAx>
        <c:axId val="109518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51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costos'!$C$196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costos'!$C$197:$C$202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costos'!$D$196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costos'!$D$197:$D$202</c:f>
              <c:numCache>
                <c:formatCode>_-\$* #,##0.00_-;"-$"* #,##0.00_-;_-\$* \-??_-;_-@_-</c:formatCode>
                <c:ptCount val="6"/>
                <c:pt idx="0">
                  <c:v>2.9160000000000004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10.449</c:v>
                </c:pt>
                <c:pt idx="5">
                  <c:v>0.36450000000000005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59232"/>
        <c:axId val="110560768"/>
      </c:barChart>
      <c:catAx>
        <c:axId val="11055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60768"/>
        <c:crosses val="autoZero"/>
        <c:auto val="1"/>
        <c:lblAlgn val="ctr"/>
        <c:lblOffset val="100"/>
        <c:noMultiLvlLbl val="0"/>
      </c:catAx>
      <c:valAx>
        <c:axId val="11056076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1055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9" Type="http://schemas.openxmlformats.org/officeDocument/2006/relationships/chart" Target="../charts/chart113.xml"/><Relationship Id="rId21" Type="http://schemas.openxmlformats.org/officeDocument/2006/relationships/chart" Target="../charts/chart95.xml"/><Relationship Id="rId34" Type="http://schemas.openxmlformats.org/officeDocument/2006/relationships/chart" Target="../charts/chart108.xml"/><Relationship Id="rId42" Type="http://schemas.openxmlformats.org/officeDocument/2006/relationships/chart" Target="../charts/chart116.xml"/><Relationship Id="rId47" Type="http://schemas.openxmlformats.org/officeDocument/2006/relationships/chart" Target="../charts/chart121.xml"/><Relationship Id="rId50" Type="http://schemas.openxmlformats.org/officeDocument/2006/relationships/chart" Target="../charts/chart124.xml"/><Relationship Id="rId55" Type="http://schemas.openxmlformats.org/officeDocument/2006/relationships/chart" Target="../charts/chart129.xml"/><Relationship Id="rId63" Type="http://schemas.openxmlformats.org/officeDocument/2006/relationships/chart" Target="../charts/chart137.xml"/><Relationship Id="rId68" Type="http://schemas.openxmlformats.org/officeDocument/2006/relationships/chart" Target="../charts/chart142.xml"/><Relationship Id="rId7" Type="http://schemas.openxmlformats.org/officeDocument/2006/relationships/chart" Target="../charts/chart81.xml"/><Relationship Id="rId71" Type="http://schemas.openxmlformats.org/officeDocument/2006/relationships/chart" Target="../charts/chart145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9" Type="http://schemas.openxmlformats.org/officeDocument/2006/relationships/chart" Target="../charts/chart103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32" Type="http://schemas.openxmlformats.org/officeDocument/2006/relationships/chart" Target="../charts/chart106.xml"/><Relationship Id="rId37" Type="http://schemas.openxmlformats.org/officeDocument/2006/relationships/chart" Target="../charts/chart111.xml"/><Relationship Id="rId40" Type="http://schemas.openxmlformats.org/officeDocument/2006/relationships/chart" Target="../charts/chart114.xml"/><Relationship Id="rId45" Type="http://schemas.openxmlformats.org/officeDocument/2006/relationships/chart" Target="../charts/chart119.xml"/><Relationship Id="rId53" Type="http://schemas.openxmlformats.org/officeDocument/2006/relationships/chart" Target="../charts/chart127.xml"/><Relationship Id="rId58" Type="http://schemas.openxmlformats.org/officeDocument/2006/relationships/chart" Target="../charts/chart132.xml"/><Relationship Id="rId66" Type="http://schemas.openxmlformats.org/officeDocument/2006/relationships/chart" Target="../charts/chart140.xml"/><Relationship Id="rId74" Type="http://schemas.openxmlformats.org/officeDocument/2006/relationships/chart" Target="../charts/chart148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36" Type="http://schemas.openxmlformats.org/officeDocument/2006/relationships/chart" Target="../charts/chart110.xml"/><Relationship Id="rId49" Type="http://schemas.openxmlformats.org/officeDocument/2006/relationships/chart" Target="../charts/chart123.xml"/><Relationship Id="rId57" Type="http://schemas.openxmlformats.org/officeDocument/2006/relationships/chart" Target="../charts/chart131.xml"/><Relationship Id="rId61" Type="http://schemas.openxmlformats.org/officeDocument/2006/relationships/chart" Target="../charts/chart135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31" Type="http://schemas.openxmlformats.org/officeDocument/2006/relationships/chart" Target="../charts/chart105.xml"/><Relationship Id="rId44" Type="http://schemas.openxmlformats.org/officeDocument/2006/relationships/chart" Target="../charts/chart118.xml"/><Relationship Id="rId52" Type="http://schemas.openxmlformats.org/officeDocument/2006/relationships/chart" Target="../charts/chart126.xml"/><Relationship Id="rId60" Type="http://schemas.openxmlformats.org/officeDocument/2006/relationships/chart" Target="../charts/chart134.xml"/><Relationship Id="rId65" Type="http://schemas.openxmlformats.org/officeDocument/2006/relationships/chart" Target="../charts/chart139.xml"/><Relationship Id="rId73" Type="http://schemas.openxmlformats.org/officeDocument/2006/relationships/chart" Target="../charts/chart147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Relationship Id="rId35" Type="http://schemas.openxmlformats.org/officeDocument/2006/relationships/chart" Target="../charts/chart109.xml"/><Relationship Id="rId43" Type="http://schemas.openxmlformats.org/officeDocument/2006/relationships/chart" Target="../charts/chart117.xml"/><Relationship Id="rId48" Type="http://schemas.openxmlformats.org/officeDocument/2006/relationships/chart" Target="../charts/chart122.xml"/><Relationship Id="rId56" Type="http://schemas.openxmlformats.org/officeDocument/2006/relationships/chart" Target="../charts/chart130.xml"/><Relationship Id="rId64" Type="http://schemas.openxmlformats.org/officeDocument/2006/relationships/chart" Target="../charts/chart138.xml"/><Relationship Id="rId69" Type="http://schemas.openxmlformats.org/officeDocument/2006/relationships/chart" Target="../charts/chart143.xml"/><Relationship Id="rId8" Type="http://schemas.openxmlformats.org/officeDocument/2006/relationships/chart" Target="../charts/chart82.xml"/><Relationship Id="rId51" Type="http://schemas.openxmlformats.org/officeDocument/2006/relationships/chart" Target="../charts/chart125.xml"/><Relationship Id="rId72" Type="http://schemas.openxmlformats.org/officeDocument/2006/relationships/chart" Target="../charts/chart146.xml"/><Relationship Id="rId3" Type="http://schemas.openxmlformats.org/officeDocument/2006/relationships/chart" Target="../charts/chart77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33" Type="http://schemas.openxmlformats.org/officeDocument/2006/relationships/chart" Target="../charts/chart107.xml"/><Relationship Id="rId38" Type="http://schemas.openxmlformats.org/officeDocument/2006/relationships/chart" Target="../charts/chart112.xml"/><Relationship Id="rId46" Type="http://schemas.openxmlformats.org/officeDocument/2006/relationships/chart" Target="../charts/chart120.xml"/><Relationship Id="rId59" Type="http://schemas.openxmlformats.org/officeDocument/2006/relationships/chart" Target="../charts/chart133.xml"/><Relationship Id="rId67" Type="http://schemas.openxmlformats.org/officeDocument/2006/relationships/chart" Target="../charts/chart141.xml"/><Relationship Id="rId20" Type="http://schemas.openxmlformats.org/officeDocument/2006/relationships/chart" Target="../charts/chart94.xml"/><Relationship Id="rId41" Type="http://schemas.openxmlformats.org/officeDocument/2006/relationships/chart" Target="../charts/chart115.xml"/><Relationship Id="rId54" Type="http://schemas.openxmlformats.org/officeDocument/2006/relationships/chart" Target="../charts/chart128.xml"/><Relationship Id="rId62" Type="http://schemas.openxmlformats.org/officeDocument/2006/relationships/chart" Target="../charts/chart136.xml"/><Relationship Id="rId70" Type="http://schemas.openxmlformats.org/officeDocument/2006/relationships/chart" Target="../charts/chart144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0.xml"/><Relationship Id="rId1" Type="http://schemas.openxmlformats.org/officeDocument/2006/relationships/chart" Target="../charts/chart14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7.xml"/><Relationship Id="rId7" Type="http://schemas.openxmlformats.org/officeDocument/2006/relationships/chart" Target="../charts/chart161.xml"/><Relationship Id="rId2" Type="http://schemas.openxmlformats.org/officeDocument/2006/relationships/chart" Target="../charts/chart156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5" Type="http://schemas.openxmlformats.org/officeDocument/2006/relationships/chart" Target="../charts/chart159.xml"/><Relationship Id="rId4" Type="http://schemas.openxmlformats.org/officeDocument/2006/relationships/chart" Target="../charts/chart15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603249</xdr:colOff>
      <xdr:row>18</xdr:row>
      <xdr:rowOff>42693</xdr:rowOff>
    </xdr:from>
    <xdr:to>
      <xdr:col>18</xdr:col>
      <xdr:colOff>524232</xdr:colOff>
      <xdr:row>29</xdr:row>
      <xdr:rowOff>169333</xdr:rowOff>
    </xdr:to>
    <xdr:graphicFrame macro="">
      <xdr:nvGraphicFramePr>
        <xdr:cNvPr id="4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376324</xdr:colOff>
      <xdr:row>18</xdr:row>
      <xdr:rowOff>21526</xdr:rowOff>
    </xdr:from>
    <xdr:to>
      <xdr:col>12</xdr:col>
      <xdr:colOff>84667</xdr:colOff>
      <xdr:row>29</xdr:row>
      <xdr:rowOff>95250</xdr:rowOff>
    </xdr:to>
    <xdr:graphicFrame macro="">
      <xdr:nvGraphicFramePr>
        <xdr:cNvPr id="5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275166</xdr:colOff>
      <xdr:row>33</xdr:row>
      <xdr:rowOff>83608</xdr:rowOff>
    </xdr:from>
    <xdr:to>
      <xdr:col>12</xdr:col>
      <xdr:colOff>317500</xdr:colOff>
      <xdr:row>45</xdr:row>
      <xdr:rowOff>21167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359833</xdr:colOff>
      <xdr:row>33</xdr:row>
      <xdr:rowOff>73024</xdr:rowOff>
    </xdr:from>
    <xdr:to>
      <xdr:col>19</xdr:col>
      <xdr:colOff>211666</xdr:colOff>
      <xdr:row>44</xdr:row>
      <xdr:rowOff>137583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222249</xdr:colOff>
      <xdr:row>48</xdr:row>
      <xdr:rowOff>73025</xdr:rowOff>
    </xdr:from>
    <xdr:to>
      <xdr:col>11</xdr:col>
      <xdr:colOff>380999</xdr:colOff>
      <xdr:row>58</xdr:row>
      <xdr:rowOff>84667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211666</xdr:colOff>
      <xdr:row>48</xdr:row>
      <xdr:rowOff>233891</xdr:rowOff>
    </xdr:from>
    <xdr:to>
      <xdr:col>17</xdr:col>
      <xdr:colOff>31750</xdr:colOff>
      <xdr:row>57</xdr:row>
      <xdr:rowOff>169333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317500</xdr:colOff>
      <xdr:row>62</xdr:row>
      <xdr:rowOff>9526</xdr:rowOff>
    </xdr:from>
    <xdr:to>
      <xdr:col>11</xdr:col>
      <xdr:colOff>402166</xdr:colOff>
      <xdr:row>74</xdr:row>
      <xdr:rowOff>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63501</xdr:colOff>
      <xdr:row>61</xdr:row>
      <xdr:rowOff>178858</xdr:rowOff>
    </xdr:from>
    <xdr:to>
      <xdr:col>17</xdr:col>
      <xdr:colOff>201085</xdr:colOff>
      <xdr:row>73</xdr:row>
      <xdr:rowOff>148167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296333</xdr:colOff>
      <xdr:row>76</xdr:row>
      <xdr:rowOff>41275</xdr:rowOff>
    </xdr:from>
    <xdr:to>
      <xdr:col>11</xdr:col>
      <xdr:colOff>190500</xdr:colOff>
      <xdr:row>87</xdr:row>
      <xdr:rowOff>21167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423333</xdr:colOff>
      <xdr:row>75</xdr:row>
      <xdr:rowOff>178858</xdr:rowOff>
    </xdr:from>
    <xdr:to>
      <xdr:col>17</xdr:col>
      <xdr:colOff>529167</xdr:colOff>
      <xdr:row>87</xdr:row>
      <xdr:rowOff>42333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338667</xdr:colOff>
      <xdr:row>88</xdr:row>
      <xdr:rowOff>147109</xdr:rowOff>
    </xdr:from>
    <xdr:to>
      <xdr:col>11</xdr:col>
      <xdr:colOff>550333</xdr:colOff>
      <xdr:row>100</xdr:row>
      <xdr:rowOff>1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254000</xdr:colOff>
      <xdr:row>88</xdr:row>
      <xdr:rowOff>125941</xdr:rowOff>
    </xdr:from>
    <xdr:to>
      <xdr:col>18</xdr:col>
      <xdr:colOff>201084</xdr:colOff>
      <xdr:row>100</xdr:row>
      <xdr:rowOff>63500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306917</xdr:colOff>
      <xdr:row>101</xdr:row>
      <xdr:rowOff>137583</xdr:rowOff>
    </xdr:from>
    <xdr:to>
      <xdr:col>11</xdr:col>
      <xdr:colOff>698499</xdr:colOff>
      <xdr:row>113</xdr:row>
      <xdr:rowOff>137583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254000</xdr:colOff>
      <xdr:row>101</xdr:row>
      <xdr:rowOff>179917</xdr:rowOff>
    </xdr:from>
    <xdr:to>
      <xdr:col>18</xdr:col>
      <xdr:colOff>285750</xdr:colOff>
      <xdr:row>113</xdr:row>
      <xdr:rowOff>158750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285750</xdr:colOff>
      <xdr:row>116</xdr:row>
      <xdr:rowOff>0</xdr:rowOff>
    </xdr:from>
    <xdr:to>
      <xdr:col>11</xdr:col>
      <xdr:colOff>264583</xdr:colOff>
      <xdr:row>126</xdr:row>
      <xdr:rowOff>148167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21167</xdr:colOff>
      <xdr:row>115</xdr:row>
      <xdr:rowOff>189441</xdr:rowOff>
    </xdr:from>
    <xdr:to>
      <xdr:col>18</xdr:col>
      <xdr:colOff>84667</xdr:colOff>
      <xdr:row>126</xdr:row>
      <xdr:rowOff>179917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201084</xdr:colOff>
      <xdr:row>130</xdr:row>
      <xdr:rowOff>10582</xdr:rowOff>
    </xdr:from>
    <xdr:to>
      <xdr:col>11</xdr:col>
      <xdr:colOff>285750</xdr:colOff>
      <xdr:row>141</xdr:row>
      <xdr:rowOff>1057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10584</xdr:colOff>
      <xdr:row>129</xdr:row>
      <xdr:rowOff>169332</xdr:rowOff>
    </xdr:from>
    <xdr:to>
      <xdr:col>17</xdr:col>
      <xdr:colOff>709084</xdr:colOff>
      <xdr:row>140</xdr:row>
      <xdr:rowOff>169333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275167</xdr:colOff>
      <xdr:row>143</xdr:row>
      <xdr:rowOff>157691</xdr:rowOff>
    </xdr:from>
    <xdr:to>
      <xdr:col>11</xdr:col>
      <xdr:colOff>709083</xdr:colOff>
      <xdr:row>155</xdr:row>
      <xdr:rowOff>116416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137583</xdr:colOff>
      <xdr:row>143</xdr:row>
      <xdr:rowOff>179917</xdr:rowOff>
    </xdr:from>
    <xdr:to>
      <xdr:col>17</xdr:col>
      <xdr:colOff>508000</xdr:colOff>
      <xdr:row>155</xdr:row>
      <xdr:rowOff>159807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243417</xdr:colOff>
      <xdr:row>157</xdr:row>
      <xdr:rowOff>147108</xdr:rowOff>
    </xdr:from>
    <xdr:to>
      <xdr:col>11</xdr:col>
      <xdr:colOff>402166</xdr:colOff>
      <xdr:row>168</xdr:row>
      <xdr:rowOff>169333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687916</xdr:colOff>
      <xdr:row>157</xdr:row>
      <xdr:rowOff>158749</xdr:rowOff>
    </xdr:from>
    <xdr:to>
      <xdr:col>17</xdr:col>
      <xdr:colOff>455083</xdr:colOff>
      <xdr:row>168</xdr:row>
      <xdr:rowOff>95251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296334</xdr:colOff>
      <xdr:row>171</xdr:row>
      <xdr:rowOff>116417</xdr:rowOff>
    </xdr:from>
    <xdr:to>
      <xdr:col>11</xdr:col>
      <xdr:colOff>508000</xdr:colOff>
      <xdr:row>182</xdr:row>
      <xdr:rowOff>10583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709083</xdr:colOff>
      <xdr:row>171</xdr:row>
      <xdr:rowOff>52917</xdr:rowOff>
    </xdr:from>
    <xdr:to>
      <xdr:col>17</xdr:col>
      <xdr:colOff>158751</xdr:colOff>
      <xdr:row>182</xdr:row>
      <xdr:rowOff>42333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359832</xdr:colOff>
      <xdr:row>186</xdr:row>
      <xdr:rowOff>116415</xdr:rowOff>
    </xdr:from>
    <xdr:to>
      <xdr:col>11</xdr:col>
      <xdr:colOff>582082</xdr:colOff>
      <xdr:row>197</xdr:row>
      <xdr:rowOff>64557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222250</xdr:colOff>
      <xdr:row>186</xdr:row>
      <xdr:rowOff>116416</xdr:rowOff>
    </xdr:from>
    <xdr:to>
      <xdr:col>17</xdr:col>
      <xdr:colOff>751417</xdr:colOff>
      <xdr:row>197</xdr:row>
      <xdr:rowOff>117474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306916</xdr:colOff>
      <xdr:row>200</xdr:row>
      <xdr:rowOff>169333</xdr:rowOff>
    </xdr:from>
    <xdr:to>
      <xdr:col>11</xdr:col>
      <xdr:colOff>687916</xdr:colOff>
      <xdr:row>212</xdr:row>
      <xdr:rowOff>74084</xdr:rowOff>
    </xdr:to>
    <xdr:graphicFrame macro="">
      <xdr:nvGraphicFramePr>
        <xdr:cNvPr id="3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254000</xdr:colOff>
      <xdr:row>200</xdr:row>
      <xdr:rowOff>105833</xdr:rowOff>
    </xdr:from>
    <xdr:to>
      <xdr:col>18</xdr:col>
      <xdr:colOff>254000</xdr:colOff>
      <xdr:row>211</xdr:row>
      <xdr:rowOff>149224</xdr:rowOff>
    </xdr:to>
    <xdr:graphicFrame macro="">
      <xdr:nvGraphicFramePr>
        <xdr:cNvPr id="3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179917</xdr:colOff>
      <xdr:row>215</xdr:row>
      <xdr:rowOff>137582</xdr:rowOff>
    </xdr:from>
    <xdr:to>
      <xdr:col>11</xdr:col>
      <xdr:colOff>709083</xdr:colOff>
      <xdr:row>226</xdr:row>
      <xdr:rowOff>53973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127000</xdr:colOff>
      <xdr:row>215</xdr:row>
      <xdr:rowOff>105834</xdr:rowOff>
    </xdr:from>
    <xdr:to>
      <xdr:col>17</xdr:col>
      <xdr:colOff>529167</xdr:colOff>
      <xdr:row>226</xdr:row>
      <xdr:rowOff>1058</xdr:rowOff>
    </xdr:to>
    <xdr:graphicFrame macro="">
      <xdr:nvGraphicFramePr>
        <xdr:cNvPr id="33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296334</xdr:colOff>
      <xdr:row>228</xdr:row>
      <xdr:rowOff>10583</xdr:rowOff>
    </xdr:from>
    <xdr:to>
      <xdr:col>11</xdr:col>
      <xdr:colOff>529167</xdr:colOff>
      <xdr:row>239</xdr:row>
      <xdr:rowOff>138641</xdr:rowOff>
    </xdr:to>
    <xdr:graphicFrame macro="">
      <xdr:nvGraphicFramePr>
        <xdr:cNvPr id="3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709083</xdr:colOff>
      <xdr:row>227</xdr:row>
      <xdr:rowOff>179916</xdr:rowOff>
    </xdr:from>
    <xdr:to>
      <xdr:col>17</xdr:col>
      <xdr:colOff>624417</xdr:colOff>
      <xdr:row>239</xdr:row>
      <xdr:rowOff>158750</xdr:rowOff>
    </xdr:to>
    <xdr:graphicFrame macro="">
      <xdr:nvGraphicFramePr>
        <xdr:cNvPr id="3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190500</xdr:colOff>
      <xdr:row>242</xdr:row>
      <xdr:rowOff>137582</xdr:rowOff>
    </xdr:from>
    <xdr:to>
      <xdr:col>11</xdr:col>
      <xdr:colOff>381000</xdr:colOff>
      <xdr:row>254</xdr:row>
      <xdr:rowOff>95249</xdr:rowOff>
    </xdr:to>
    <xdr:graphicFrame macro="">
      <xdr:nvGraphicFramePr>
        <xdr:cNvPr id="36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529166</xdr:colOff>
      <xdr:row>243</xdr:row>
      <xdr:rowOff>10584</xdr:rowOff>
    </xdr:from>
    <xdr:to>
      <xdr:col>17</xdr:col>
      <xdr:colOff>529167</xdr:colOff>
      <xdr:row>254</xdr:row>
      <xdr:rowOff>158750</xdr:rowOff>
    </xdr:to>
    <xdr:graphicFrame macro="">
      <xdr:nvGraphicFramePr>
        <xdr:cNvPr id="37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211666</xdr:colOff>
      <xdr:row>257</xdr:row>
      <xdr:rowOff>137584</xdr:rowOff>
    </xdr:from>
    <xdr:to>
      <xdr:col>11</xdr:col>
      <xdr:colOff>571499</xdr:colOff>
      <xdr:row>269</xdr:row>
      <xdr:rowOff>1058</xdr:rowOff>
    </xdr:to>
    <xdr:graphicFrame macro="">
      <xdr:nvGraphicFramePr>
        <xdr:cNvPr id="38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21166</xdr:colOff>
      <xdr:row>257</xdr:row>
      <xdr:rowOff>169333</xdr:rowOff>
    </xdr:from>
    <xdr:to>
      <xdr:col>17</xdr:col>
      <xdr:colOff>635000</xdr:colOff>
      <xdr:row>269</xdr:row>
      <xdr:rowOff>22224</xdr:rowOff>
    </xdr:to>
    <xdr:graphicFrame macro="">
      <xdr:nvGraphicFramePr>
        <xdr:cNvPr id="39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264584</xdr:colOff>
      <xdr:row>270</xdr:row>
      <xdr:rowOff>126999</xdr:rowOff>
    </xdr:from>
    <xdr:to>
      <xdr:col>11</xdr:col>
      <xdr:colOff>338667</xdr:colOff>
      <xdr:row>282</xdr:row>
      <xdr:rowOff>53974</xdr:rowOff>
    </xdr:to>
    <xdr:graphicFrame macro="">
      <xdr:nvGraphicFramePr>
        <xdr:cNvPr id="40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10583</xdr:colOff>
      <xdr:row>270</xdr:row>
      <xdr:rowOff>148166</xdr:rowOff>
    </xdr:from>
    <xdr:to>
      <xdr:col>17</xdr:col>
      <xdr:colOff>539750</xdr:colOff>
      <xdr:row>282</xdr:row>
      <xdr:rowOff>42333</xdr:rowOff>
    </xdr:to>
    <xdr:graphicFrame macro="">
      <xdr:nvGraphicFramePr>
        <xdr:cNvPr id="4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232833</xdr:colOff>
      <xdr:row>286</xdr:row>
      <xdr:rowOff>42332</xdr:rowOff>
    </xdr:from>
    <xdr:to>
      <xdr:col>11</xdr:col>
      <xdr:colOff>317499</xdr:colOff>
      <xdr:row>297</xdr:row>
      <xdr:rowOff>32807</xdr:rowOff>
    </xdr:to>
    <xdr:graphicFrame macro="">
      <xdr:nvGraphicFramePr>
        <xdr:cNvPr id="42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10584</xdr:colOff>
      <xdr:row>286</xdr:row>
      <xdr:rowOff>74082</xdr:rowOff>
    </xdr:from>
    <xdr:to>
      <xdr:col>17</xdr:col>
      <xdr:colOff>402168</xdr:colOff>
      <xdr:row>297</xdr:row>
      <xdr:rowOff>52917</xdr:rowOff>
    </xdr:to>
    <xdr:graphicFrame macro="">
      <xdr:nvGraphicFramePr>
        <xdr:cNvPr id="43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222250</xdr:colOff>
      <xdr:row>299</xdr:row>
      <xdr:rowOff>190499</xdr:rowOff>
    </xdr:from>
    <xdr:to>
      <xdr:col>11</xdr:col>
      <xdr:colOff>285750</xdr:colOff>
      <xdr:row>311</xdr:row>
      <xdr:rowOff>22224</xdr:rowOff>
    </xdr:to>
    <xdr:graphicFrame macro="">
      <xdr:nvGraphicFramePr>
        <xdr:cNvPr id="44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645582</xdr:colOff>
      <xdr:row>300</xdr:row>
      <xdr:rowOff>0</xdr:rowOff>
    </xdr:from>
    <xdr:to>
      <xdr:col>17</xdr:col>
      <xdr:colOff>613833</xdr:colOff>
      <xdr:row>311</xdr:row>
      <xdr:rowOff>1058</xdr:rowOff>
    </xdr:to>
    <xdr:graphicFrame macro="">
      <xdr:nvGraphicFramePr>
        <xdr:cNvPr id="45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264583</xdr:colOff>
      <xdr:row>314</xdr:row>
      <xdr:rowOff>21166</xdr:rowOff>
    </xdr:from>
    <xdr:to>
      <xdr:col>11</xdr:col>
      <xdr:colOff>507999</xdr:colOff>
      <xdr:row>325</xdr:row>
      <xdr:rowOff>128057</xdr:rowOff>
    </xdr:to>
    <xdr:graphicFrame macro="">
      <xdr:nvGraphicFramePr>
        <xdr:cNvPr id="4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709082</xdr:colOff>
      <xdr:row>314</xdr:row>
      <xdr:rowOff>10582</xdr:rowOff>
    </xdr:from>
    <xdr:to>
      <xdr:col>17</xdr:col>
      <xdr:colOff>719666</xdr:colOff>
      <xdr:row>325</xdr:row>
      <xdr:rowOff>22223</xdr:rowOff>
    </xdr:to>
    <xdr:graphicFrame macro="">
      <xdr:nvGraphicFramePr>
        <xdr:cNvPr id="4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222250</xdr:colOff>
      <xdr:row>328</xdr:row>
      <xdr:rowOff>148165</xdr:rowOff>
    </xdr:from>
    <xdr:to>
      <xdr:col>11</xdr:col>
      <xdr:colOff>455083</xdr:colOff>
      <xdr:row>340</xdr:row>
      <xdr:rowOff>138640</xdr:rowOff>
    </xdr:to>
    <xdr:graphicFrame macro="">
      <xdr:nvGraphicFramePr>
        <xdr:cNvPr id="4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328</xdr:row>
      <xdr:rowOff>148167</xdr:rowOff>
    </xdr:from>
    <xdr:to>
      <xdr:col>18</xdr:col>
      <xdr:colOff>31750</xdr:colOff>
      <xdr:row>341</xdr:row>
      <xdr:rowOff>31750</xdr:rowOff>
    </xdr:to>
    <xdr:graphicFrame macro="">
      <xdr:nvGraphicFramePr>
        <xdr:cNvPr id="4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232833</xdr:colOff>
      <xdr:row>343</xdr:row>
      <xdr:rowOff>190499</xdr:rowOff>
    </xdr:from>
    <xdr:to>
      <xdr:col>11</xdr:col>
      <xdr:colOff>582083</xdr:colOff>
      <xdr:row>355</xdr:row>
      <xdr:rowOff>75140</xdr:rowOff>
    </xdr:to>
    <xdr:graphicFrame macro="">
      <xdr:nvGraphicFramePr>
        <xdr:cNvPr id="5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31752</xdr:colOff>
      <xdr:row>344</xdr:row>
      <xdr:rowOff>21167</xdr:rowOff>
    </xdr:from>
    <xdr:to>
      <xdr:col>18</xdr:col>
      <xdr:colOff>666752</xdr:colOff>
      <xdr:row>358</xdr:row>
      <xdr:rowOff>126999</xdr:rowOff>
    </xdr:to>
    <xdr:graphicFrame macro="">
      <xdr:nvGraphicFramePr>
        <xdr:cNvPr id="51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137583</xdr:colOff>
      <xdr:row>360</xdr:row>
      <xdr:rowOff>169332</xdr:rowOff>
    </xdr:from>
    <xdr:to>
      <xdr:col>11</xdr:col>
      <xdr:colOff>412749</xdr:colOff>
      <xdr:row>372</xdr:row>
      <xdr:rowOff>149223</xdr:rowOff>
    </xdr:to>
    <xdr:graphicFrame macro="">
      <xdr:nvGraphicFramePr>
        <xdr:cNvPr id="5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677333</xdr:colOff>
      <xdr:row>361</xdr:row>
      <xdr:rowOff>74082</xdr:rowOff>
    </xdr:from>
    <xdr:to>
      <xdr:col>17</xdr:col>
      <xdr:colOff>698501</xdr:colOff>
      <xdr:row>372</xdr:row>
      <xdr:rowOff>64557</xdr:rowOff>
    </xdr:to>
    <xdr:graphicFrame macro="">
      <xdr:nvGraphicFramePr>
        <xdr:cNvPr id="5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148167</xdr:colOff>
      <xdr:row>375</xdr:row>
      <xdr:rowOff>52916</xdr:rowOff>
    </xdr:from>
    <xdr:to>
      <xdr:col>11</xdr:col>
      <xdr:colOff>518583</xdr:colOff>
      <xdr:row>387</xdr:row>
      <xdr:rowOff>1057</xdr:rowOff>
    </xdr:to>
    <xdr:graphicFrame macro="">
      <xdr:nvGraphicFramePr>
        <xdr:cNvPr id="5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</xdr:col>
      <xdr:colOff>677333</xdr:colOff>
      <xdr:row>375</xdr:row>
      <xdr:rowOff>52916</xdr:rowOff>
    </xdr:from>
    <xdr:to>
      <xdr:col>17</xdr:col>
      <xdr:colOff>730251</xdr:colOff>
      <xdr:row>386</xdr:row>
      <xdr:rowOff>148167</xdr:rowOff>
    </xdr:to>
    <xdr:graphicFrame macro="">
      <xdr:nvGraphicFramePr>
        <xdr:cNvPr id="5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127000</xdr:colOff>
      <xdr:row>389</xdr:row>
      <xdr:rowOff>137584</xdr:rowOff>
    </xdr:from>
    <xdr:to>
      <xdr:col>11</xdr:col>
      <xdr:colOff>560916</xdr:colOff>
      <xdr:row>401</xdr:row>
      <xdr:rowOff>138642</xdr:rowOff>
    </xdr:to>
    <xdr:graphicFrame macro="">
      <xdr:nvGraphicFramePr>
        <xdr:cNvPr id="59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31750</xdr:colOff>
      <xdr:row>389</xdr:row>
      <xdr:rowOff>179917</xdr:rowOff>
    </xdr:from>
    <xdr:to>
      <xdr:col>18</xdr:col>
      <xdr:colOff>52917</xdr:colOff>
      <xdr:row>401</xdr:row>
      <xdr:rowOff>116417</xdr:rowOff>
    </xdr:to>
    <xdr:graphicFrame macro="">
      <xdr:nvGraphicFramePr>
        <xdr:cNvPr id="62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264583</xdr:colOff>
      <xdr:row>406</xdr:row>
      <xdr:rowOff>31749</xdr:rowOff>
    </xdr:from>
    <xdr:to>
      <xdr:col>11</xdr:col>
      <xdr:colOff>666749</xdr:colOff>
      <xdr:row>417</xdr:row>
      <xdr:rowOff>117474</xdr:rowOff>
    </xdr:to>
    <xdr:graphicFrame macro="">
      <xdr:nvGraphicFramePr>
        <xdr:cNvPr id="63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74083</xdr:colOff>
      <xdr:row>405</xdr:row>
      <xdr:rowOff>42332</xdr:rowOff>
    </xdr:from>
    <xdr:to>
      <xdr:col>18</xdr:col>
      <xdr:colOff>190500</xdr:colOff>
      <xdr:row>417</xdr:row>
      <xdr:rowOff>137583</xdr:rowOff>
    </xdr:to>
    <xdr:graphicFrame macro="">
      <xdr:nvGraphicFramePr>
        <xdr:cNvPr id="64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179916</xdr:colOff>
      <xdr:row>419</xdr:row>
      <xdr:rowOff>148167</xdr:rowOff>
    </xdr:from>
    <xdr:to>
      <xdr:col>11</xdr:col>
      <xdr:colOff>698499</xdr:colOff>
      <xdr:row>431</xdr:row>
      <xdr:rowOff>149225</xdr:rowOff>
    </xdr:to>
    <xdr:graphicFrame macro="">
      <xdr:nvGraphicFramePr>
        <xdr:cNvPr id="65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264583</xdr:colOff>
      <xdr:row>419</xdr:row>
      <xdr:rowOff>148167</xdr:rowOff>
    </xdr:from>
    <xdr:to>
      <xdr:col>18</xdr:col>
      <xdr:colOff>328083</xdr:colOff>
      <xdr:row>431</xdr:row>
      <xdr:rowOff>117475</xdr:rowOff>
    </xdr:to>
    <xdr:graphicFrame macro="">
      <xdr:nvGraphicFramePr>
        <xdr:cNvPr id="6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137584</xdr:colOff>
      <xdr:row>435</xdr:row>
      <xdr:rowOff>21166</xdr:rowOff>
    </xdr:from>
    <xdr:to>
      <xdr:col>11</xdr:col>
      <xdr:colOff>486834</xdr:colOff>
      <xdr:row>446</xdr:row>
      <xdr:rowOff>75141</xdr:rowOff>
    </xdr:to>
    <xdr:graphicFrame macro="">
      <xdr:nvGraphicFramePr>
        <xdr:cNvPr id="67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698500</xdr:colOff>
      <xdr:row>434</xdr:row>
      <xdr:rowOff>169332</xdr:rowOff>
    </xdr:from>
    <xdr:to>
      <xdr:col>18</xdr:col>
      <xdr:colOff>74084</xdr:colOff>
      <xdr:row>447</xdr:row>
      <xdr:rowOff>1057</xdr:rowOff>
    </xdr:to>
    <xdr:graphicFrame macro="">
      <xdr:nvGraphicFramePr>
        <xdr:cNvPr id="68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5</xdr:col>
      <xdr:colOff>243416</xdr:colOff>
      <xdr:row>449</xdr:row>
      <xdr:rowOff>148166</xdr:rowOff>
    </xdr:from>
    <xdr:to>
      <xdr:col>11</xdr:col>
      <xdr:colOff>645582</xdr:colOff>
      <xdr:row>461</xdr:row>
      <xdr:rowOff>64557</xdr:rowOff>
    </xdr:to>
    <xdr:graphicFrame macro="">
      <xdr:nvGraphicFramePr>
        <xdr:cNvPr id="69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232833</xdr:colOff>
      <xdr:row>449</xdr:row>
      <xdr:rowOff>116416</xdr:rowOff>
    </xdr:from>
    <xdr:to>
      <xdr:col>18</xdr:col>
      <xdr:colOff>338667</xdr:colOff>
      <xdr:row>461</xdr:row>
      <xdr:rowOff>149224</xdr:rowOff>
    </xdr:to>
    <xdr:graphicFrame macro="">
      <xdr:nvGraphicFramePr>
        <xdr:cNvPr id="70" name="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</xdr:col>
      <xdr:colOff>402167</xdr:colOff>
      <xdr:row>465</xdr:row>
      <xdr:rowOff>52916</xdr:rowOff>
    </xdr:from>
    <xdr:to>
      <xdr:col>12</xdr:col>
      <xdr:colOff>84667</xdr:colOff>
      <xdr:row>477</xdr:row>
      <xdr:rowOff>32807</xdr:rowOff>
    </xdr:to>
    <xdr:graphicFrame macro="">
      <xdr:nvGraphicFramePr>
        <xdr:cNvPr id="71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328083</xdr:colOff>
      <xdr:row>465</xdr:row>
      <xdr:rowOff>63500</xdr:rowOff>
    </xdr:from>
    <xdr:to>
      <xdr:col>18</xdr:col>
      <xdr:colOff>338667</xdr:colOff>
      <xdr:row>477</xdr:row>
      <xdr:rowOff>1058</xdr:rowOff>
    </xdr:to>
    <xdr:graphicFrame macro="">
      <xdr:nvGraphicFramePr>
        <xdr:cNvPr id="72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264582</xdr:colOff>
      <xdr:row>480</xdr:row>
      <xdr:rowOff>10582</xdr:rowOff>
    </xdr:from>
    <xdr:to>
      <xdr:col>11</xdr:col>
      <xdr:colOff>719665</xdr:colOff>
      <xdr:row>491</xdr:row>
      <xdr:rowOff>159807</xdr:rowOff>
    </xdr:to>
    <xdr:graphicFrame macro="">
      <xdr:nvGraphicFramePr>
        <xdr:cNvPr id="73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</xdr:col>
      <xdr:colOff>243417</xdr:colOff>
      <xdr:row>480</xdr:row>
      <xdr:rowOff>0</xdr:rowOff>
    </xdr:from>
    <xdr:to>
      <xdr:col>18</xdr:col>
      <xdr:colOff>179917</xdr:colOff>
      <xdr:row>492</xdr:row>
      <xdr:rowOff>0</xdr:rowOff>
    </xdr:to>
    <xdr:graphicFrame macro="">
      <xdr:nvGraphicFramePr>
        <xdr:cNvPr id="74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5</xdr:col>
      <xdr:colOff>201084</xdr:colOff>
      <xdr:row>494</xdr:row>
      <xdr:rowOff>179916</xdr:rowOff>
    </xdr:from>
    <xdr:to>
      <xdr:col>11</xdr:col>
      <xdr:colOff>635000</xdr:colOff>
      <xdr:row>506</xdr:row>
      <xdr:rowOff>117474</xdr:rowOff>
    </xdr:to>
    <xdr:graphicFrame macro="">
      <xdr:nvGraphicFramePr>
        <xdr:cNvPr id="75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12</xdr:col>
      <xdr:colOff>222249</xdr:colOff>
      <xdr:row>495</xdr:row>
      <xdr:rowOff>10582</xdr:rowOff>
    </xdr:from>
    <xdr:to>
      <xdr:col>18</xdr:col>
      <xdr:colOff>338666</xdr:colOff>
      <xdr:row>506</xdr:row>
      <xdr:rowOff>128057</xdr:rowOff>
    </xdr:to>
    <xdr:graphicFrame macro="">
      <xdr:nvGraphicFramePr>
        <xdr:cNvPr id="76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</xdr:col>
      <xdr:colOff>328084</xdr:colOff>
      <xdr:row>509</xdr:row>
      <xdr:rowOff>42334</xdr:rowOff>
    </xdr:from>
    <xdr:to>
      <xdr:col>11</xdr:col>
      <xdr:colOff>709084</xdr:colOff>
      <xdr:row>520</xdr:row>
      <xdr:rowOff>180974</xdr:rowOff>
    </xdr:to>
    <xdr:graphicFrame macro="">
      <xdr:nvGraphicFramePr>
        <xdr:cNvPr id="77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12</xdr:col>
      <xdr:colOff>370417</xdr:colOff>
      <xdr:row>509</xdr:row>
      <xdr:rowOff>63499</xdr:rowOff>
    </xdr:from>
    <xdr:to>
      <xdr:col>18</xdr:col>
      <xdr:colOff>476251</xdr:colOff>
      <xdr:row>520</xdr:row>
      <xdr:rowOff>117474</xdr:rowOff>
    </xdr:to>
    <xdr:graphicFrame macro="">
      <xdr:nvGraphicFramePr>
        <xdr:cNvPr id="78" name="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5</xdr:col>
      <xdr:colOff>190499</xdr:colOff>
      <xdr:row>524</xdr:row>
      <xdr:rowOff>148165</xdr:rowOff>
    </xdr:from>
    <xdr:to>
      <xdr:col>11</xdr:col>
      <xdr:colOff>709082</xdr:colOff>
      <xdr:row>536</xdr:row>
      <xdr:rowOff>43390</xdr:rowOff>
    </xdr:to>
    <xdr:graphicFrame macro="">
      <xdr:nvGraphicFramePr>
        <xdr:cNvPr id="79" name="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12</xdr:col>
      <xdr:colOff>158750</xdr:colOff>
      <xdr:row>524</xdr:row>
      <xdr:rowOff>158748</xdr:rowOff>
    </xdr:from>
    <xdr:to>
      <xdr:col>18</xdr:col>
      <xdr:colOff>285750</xdr:colOff>
      <xdr:row>536</xdr:row>
      <xdr:rowOff>52917</xdr:rowOff>
    </xdr:to>
    <xdr:graphicFrame macro="">
      <xdr:nvGraphicFramePr>
        <xdr:cNvPr id="80" name="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</xdr:col>
      <xdr:colOff>222250</xdr:colOff>
      <xdr:row>3</xdr:row>
      <xdr:rowOff>63499</xdr:rowOff>
    </xdr:from>
    <xdr:to>
      <xdr:col>11</xdr:col>
      <xdr:colOff>465666</xdr:colOff>
      <xdr:row>14</xdr:row>
      <xdr:rowOff>75140</xdr:rowOff>
    </xdr:to>
    <xdr:graphicFrame macro="">
      <xdr:nvGraphicFramePr>
        <xdr:cNvPr id="81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12</xdr:col>
      <xdr:colOff>42332</xdr:colOff>
      <xdr:row>3</xdr:row>
      <xdr:rowOff>42333</xdr:rowOff>
    </xdr:from>
    <xdr:to>
      <xdr:col>18</xdr:col>
      <xdr:colOff>190499</xdr:colOff>
      <xdr:row>14</xdr:row>
      <xdr:rowOff>85724</xdr:rowOff>
    </xdr:to>
    <xdr:graphicFrame macro="">
      <xdr:nvGraphicFramePr>
        <xdr:cNvPr id="82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280936</xdr:colOff>
      <xdr:row>15</xdr:row>
      <xdr:rowOff>158750</xdr:rowOff>
    </xdr:from>
    <xdr:to>
      <xdr:col>11</xdr:col>
      <xdr:colOff>571499</xdr:colOff>
      <xdr:row>27</xdr:row>
      <xdr:rowOff>28227</xdr:rowOff>
    </xdr:to>
    <xdr:graphicFrame macro="">
      <xdr:nvGraphicFramePr>
        <xdr:cNvPr id="6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433917</xdr:colOff>
      <xdr:row>15</xdr:row>
      <xdr:rowOff>127000</xdr:rowOff>
    </xdr:from>
    <xdr:to>
      <xdr:col>18</xdr:col>
      <xdr:colOff>195763</xdr:colOff>
      <xdr:row>27</xdr:row>
      <xdr:rowOff>81001</xdr:rowOff>
    </xdr:to>
    <xdr:graphicFrame macro="">
      <xdr:nvGraphicFramePr>
        <xdr:cNvPr id="7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560916</xdr:colOff>
      <xdr:row>33</xdr:row>
      <xdr:rowOff>115357</xdr:rowOff>
    </xdr:from>
    <xdr:to>
      <xdr:col>11</xdr:col>
      <xdr:colOff>338666</xdr:colOff>
      <xdr:row>43</xdr:row>
      <xdr:rowOff>148166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33</xdr:row>
      <xdr:rowOff>115357</xdr:rowOff>
    </xdr:from>
    <xdr:to>
      <xdr:col>17</xdr:col>
      <xdr:colOff>529167</xdr:colOff>
      <xdr:row>43</xdr:row>
      <xdr:rowOff>179916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264583</xdr:colOff>
      <xdr:row>45</xdr:row>
      <xdr:rowOff>148166</xdr:rowOff>
    </xdr:from>
    <xdr:to>
      <xdr:col>11</xdr:col>
      <xdr:colOff>317500</xdr:colOff>
      <xdr:row>57</xdr:row>
      <xdr:rowOff>105834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666750</xdr:colOff>
      <xdr:row>45</xdr:row>
      <xdr:rowOff>158749</xdr:rowOff>
    </xdr:from>
    <xdr:to>
      <xdr:col>17</xdr:col>
      <xdr:colOff>486834</xdr:colOff>
      <xdr:row>57</xdr:row>
      <xdr:rowOff>116417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275166</xdr:colOff>
      <xdr:row>60</xdr:row>
      <xdr:rowOff>42333</xdr:rowOff>
    </xdr:from>
    <xdr:to>
      <xdr:col>11</xdr:col>
      <xdr:colOff>402166</xdr:colOff>
      <xdr:row>72</xdr:row>
      <xdr:rowOff>32807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698499</xdr:colOff>
      <xdr:row>60</xdr:row>
      <xdr:rowOff>52917</xdr:rowOff>
    </xdr:from>
    <xdr:to>
      <xdr:col>17</xdr:col>
      <xdr:colOff>666749</xdr:colOff>
      <xdr:row>72</xdr:row>
      <xdr:rowOff>170391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243416</xdr:colOff>
      <xdr:row>76</xdr:row>
      <xdr:rowOff>42332</xdr:rowOff>
    </xdr:from>
    <xdr:to>
      <xdr:col>11</xdr:col>
      <xdr:colOff>370416</xdr:colOff>
      <xdr:row>87</xdr:row>
      <xdr:rowOff>180973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624416</xdr:colOff>
      <xdr:row>76</xdr:row>
      <xdr:rowOff>0</xdr:rowOff>
    </xdr:from>
    <xdr:to>
      <xdr:col>17</xdr:col>
      <xdr:colOff>391583</xdr:colOff>
      <xdr:row>88</xdr:row>
      <xdr:rowOff>10584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232832</xdr:colOff>
      <xdr:row>90</xdr:row>
      <xdr:rowOff>126999</xdr:rowOff>
    </xdr:from>
    <xdr:to>
      <xdr:col>11</xdr:col>
      <xdr:colOff>402166</xdr:colOff>
      <xdr:row>102</xdr:row>
      <xdr:rowOff>11640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592665</xdr:colOff>
      <xdr:row>90</xdr:row>
      <xdr:rowOff>158750</xdr:rowOff>
    </xdr:from>
    <xdr:to>
      <xdr:col>17</xdr:col>
      <xdr:colOff>518582</xdr:colOff>
      <xdr:row>102</xdr:row>
      <xdr:rowOff>96308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275166</xdr:colOff>
      <xdr:row>105</xdr:row>
      <xdr:rowOff>10582</xdr:rowOff>
    </xdr:from>
    <xdr:to>
      <xdr:col>11</xdr:col>
      <xdr:colOff>560916</xdr:colOff>
      <xdr:row>116</xdr:row>
      <xdr:rowOff>180973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169333</xdr:colOff>
      <xdr:row>104</xdr:row>
      <xdr:rowOff>169332</xdr:rowOff>
    </xdr:from>
    <xdr:to>
      <xdr:col>18</xdr:col>
      <xdr:colOff>42333</xdr:colOff>
      <xdr:row>117</xdr:row>
      <xdr:rowOff>53973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179915</xdr:colOff>
      <xdr:row>120</xdr:row>
      <xdr:rowOff>31750</xdr:rowOff>
    </xdr:from>
    <xdr:to>
      <xdr:col>11</xdr:col>
      <xdr:colOff>423332</xdr:colOff>
      <xdr:row>132</xdr:row>
      <xdr:rowOff>1058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761999</xdr:colOff>
      <xdr:row>120</xdr:row>
      <xdr:rowOff>10583</xdr:rowOff>
    </xdr:from>
    <xdr:to>
      <xdr:col>17</xdr:col>
      <xdr:colOff>666749</xdr:colOff>
      <xdr:row>132</xdr:row>
      <xdr:rowOff>53974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349249</xdr:colOff>
      <xdr:row>135</xdr:row>
      <xdr:rowOff>0</xdr:rowOff>
    </xdr:from>
    <xdr:to>
      <xdr:col>11</xdr:col>
      <xdr:colOff>433916</xdr:colOff>
      <xdr:row>147</xdr:row>
      <xdr:rowOff>1058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719666</xdr:colOff>
      <xdr:row>134</xdr:row>
      <xdr:rowOff>179916</xdr:rowOff>
    </xdr:from>
    <xdr:to>
      <xdr:col>17</xdr:col>
      <xdr:colOff>571500</xdr:colOff>
      <xdr:row>147</xdr:row>
      <xdr:rowOff>42333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275166</xdr:colOff>
      <xdr:row>150</xdr:row>
      <xdr:rowOff>0</xdr:rowOff>
    </xdr:from>
    <xdr:to>
      <xdr:col>11</xdr:col>
      <xdr:colOff>508000</xdr:colOff>
      <xdr:row>162</xdr:row>
      <xdr:rowOff>21168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709083</xdr:colOff>
      <xdr:row>149</xdr:row>
      <xdr:rowOff>179916</xdr:rowOff>
    </xdr:from>
    <xdr:to>
      <xdr:col>17</xdr:col>
      <xdr:colOff>613833</xdr:colOff>
      <xdr:row>161</xdr:row>
      <xdr:rowOff>179917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253999</xdr:colOff>
      <xdr:row>164</xdr:row>
      <xdr:rowOff>127000</xdr:rowOff>
    </xdr:from>
    <xdr:to>
      <xdr:col>11</xdr:col>
      <xdr:colOff>412749</xdr:colOff>
      <xdr:row>176</xdr:row>
      <xdr:rowOff>96308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677332</xdr:colOff>
      <xdr:row>164</xdr:row>
      <xdr:rowOff>52916</xdr:rowOff>
    </xdr:from>
    <xdr:to>
      <xdr:col>17</xdr:col>
      <xdr:colOff>486832</xdr:colOff>
      <xdr:row>176</xdr:row>
      <xdr:rowOff>43391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275166</xdr:colOff>
      <xdr:row>178</xdr:row>
      <xdr:rowOff>190498</xdr:rowOff>
    </xdr:from>
    <xdr:to>
      <xdr:col>11</xdr:col>
      <xdr:colOff>433916</xdr:colOff>
      <xdr:row>190</xdr:row>
      <xdr:rowOff>180973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751416</xdr:colOff>
      <xdr:row>178</xdr:row>
      <xdr:rowOff>179917</xdr:rowOff>
    </xdr:from>
    <xdr:to>
      <xdr:col>17</xdr:col>
      <xdr:colOff>560916</xdr:colOff>
      <xdr:row>190</xdr:row>
      <xdr:rowOff>149225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306915</xdr:colOff>
      <xdr:row>193</xdr:row>
      <xdr:rowOff>21165</xdr:rowOff>
    </xdr:from>
    <xdr:to>
      <xdr:col>11</xdr:col>
      <xdr:colOff>550332</xdr:colOff>
      <xdr:row>205</xdr:row>
      <xdr:rowOff>75140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31749</xdr:colOff>
      <xdr:row>193</xdr:row>
      <xdr:rowOff>21166</xdr:rowOff>
    </xdr:from>
    <xdr:to>
      <xdr:col>17</xdr:col>
      <xdr:colOff>592666</xdr:colOff>
      <xdr:row>205</xdr:row>
      <xdr:rowOff>53974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317499</xdr:colOff>
      <xdr:row>208</xdr:row>
      <xdr:rowOff>10584</xdr:rowOff>
    </xdr:from>
    <xdr:to>
      <xdr:col>11</xdr:col>
      <xdr:colOff>486833</xdr:colOff>
      <xdr:row>220</xdr:row>
      <xdr:rowOff>75142</xdr:rowOff>
    </xdr:to>
    <xdr:graphicFrame macro="">
      <xdr:nvGraphicFramePr>
        <xdr:cNvPr id="3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137583</xdr:colOff>
      <xdr:row>207</xdr:row>
      <xdr:rowOff>136525</xdr:rowOff>
    </xdr:from>
    <xdr:to>
      <xdr:col>17</xdr:col>
      <xdr:colOff>751416</xdr:colOff>
      <xdr:row>220</xdr:row>
      <xdr:rowOff>84667</xdr:rowOff>
    </xdr:to>
    <xdr:graphicFrame macro="">
      <xdr:nvGraphicFramePr>
        <xdr:cNvPr id="3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338666</xdr:colOff>
      <xdr:row>223</xdr:row>
      <xdr:rowOff>31750</xdr:rowOff>
    </xdr:from>
    <xdr:to>
      <xdr:col>11</xdr:col>
      <xdr:colOff>508000</xdr:colOff>
      <xdr:row>235</xdr:row>
      <xdr:rowOff>64557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74083</xdr:colOff>
      <xdr:row>223</xdr:row>
      <xdr:rowOff>0</xdr:rowOff>
    </xdr:from>
    <xdr:to>
      <xdr:col>17</xdr:col>
      <xdr:colOff>709084</xdr:colOff>
      <xdr:row>235</xdr:row>
      <xdr:rowOff>42333</xdr:rowOff>
    </xdr:to>
    <xdr:graphicFrame macro="">
      <xdr:nvGraphicFramePr>
        <xdr:cNvPr id="33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508000</xdr:colOff>
      <xdr:row>238</xdr:row>
      <xdr:rowOff>158750</xdr:rowOff>
    </xdr:from>
    <xdr:to>
      <xdr:col>11</xdr:col>
      <xdr:colOff>275166</xdr:colOff>
      <xdr:row>252</xdr:row>
      <xdr:rowOff>1058</xdr:rowOff>
    </xdr:to>
    <xdr:graphicFrame macro="">
      <xdr:nvGraphicFramePr>
        <xdr:cNvPr id="3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529165</xdr:colOff>
      <xdr:row>238</xdr:row>
      <xdr:rowOff>190499</xdr:rowOff>
    </xdr:from>
    <xdr:to>
      <xdr:col>17</xdr:col>
      <xdr:colOff>391582</xdr:colOff>
      <xdr:row>251</xdr:row>
      <xdr:rowOff>211667</xdr:rowOff>
    </xdr:to>
    <xdr:graphicFrame macro="">
      <xdr:nvGraphicFramePr>
        <xdr:cNvPr id="3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296333</xdr:colOff>
      <xdr:row>253</xdr:row>
      <xdr:rowOff>179915</xdr:rowOff>
    </xdr:from>
    <xdr:to>
      <xdr:col>11</xdr:col>
      <xdr:colOff>455083</xdr:colOff>
      <xdr:row>266</xdr:row>
      <xdr:rowOff>43390</xdr:rowOff>
    </xdr:to>
    <xdr:graphicFrame macro="">
      <xdr:nvGraphicFramePr>
        <xdr:cNvPr id="36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254</xdr:row>
      <xdr:rowOff>42332</xdr:rowOff>
    </xdr:from>
    <xdr:to>
      <xdr:col>17</xdr:col>
      <xdr:colOff>603250</xdr:colOff>
      <xdr:row>266</xdr:row>
      <xdr:rowOff>117473</xdr:rowOff>
    </xdr:to>
    <xdr:graphicFrame macro="">
      <xdr:nvGraphicFramePr>
        <xdr:cNvPr id="37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232833</xdr:colOff>
      <xdr:row>269</xdr:row>
      <xdr:rowOff>21166</xdr:rowOff>
    </xdr:from>
    <xdr:to>
      <xdr:col>11</xdr:col>
      <xdr:colOff>105833</xdr:colOff>
      <xdr:row>281</xdr:row>
      <xdr:rowOff>1057</xdr:rowOff>
    </xdr:to>
    <xdr:graphicFrame macro="">
      <xdr:nvGraphicFramePr>
        <xdr:cNvPr id="38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391583</xdr:colOff>
      <xdr:row>268</xdr:row>
      <xdr:rowOff>179916</xdr:rowOff>
    </xdr:from>
    <xdr:to>
      <xdr:col>17</xdr:col>
      <xdr:colOff>328083</xdr:colOff>
      <xdr:row>281</xdr:row>
      <xdr:rowOff>31750</xdr:rowOff>
    </xdr:to>
    <xdr:graphicFrame macro="">
      <xdr:nvGraphicFramePr>
        <xdr:cNvPr id="39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306916</xdr:colOff>
      <xdr:row>284</xdr:row>
      <xdr:rowOff>42333</xdr:rowOff>
    </xdr:from>
    <xdr:to>
      <xdr:col>11</xdr:col>
      <xdr:colOff>529166</xdr:colOff>
      <xdr:row>296</xdr:row>
      <xdr:rowOff>106891</xdr:rowOff>
    </xdr:to>
    <xdr:graphicFrame macro="">
      <xdr:nvGraphicFramePr>
        <xdr:cNvPr id="40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772582</xdr:colOff>
      <xdr:row>284</xdr:row>
      <xdr:rowOff>52917</xdr:rowOff>
    </xdr:from>
    <xdr:to>
      <xdr:col>17</xdr:col>
      <xdr:colOff>624415</xdr:colOff>
      <xdr:row>296</xdr:row>
      <xdr:rowOff>96309</xdr:rowOff>
    </xdr:to>
    <xdr:graphicFrame macro="">
      <xdr:nvGraphicFramePr>
        <xdr:cNvPr id="4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391583</xdr:colOff>
      <xdr:row>298</xdr:row>
      <xdr:rowOff>158748</xdr:rowOff>
    </xdr:from>
    <xdr:to>
      <xdr:col>11</xdr:col>
      <xdr:colOff>539750</xdr:colOff>
      <xdr:row>310</xdr:row>
      <xdr:rowOff>180973</xdr:rowOff>
    </xdr:to>
    <xdr:graphicFrame macro="">
      <xdr:nvGraphicFramePr>
        <xdr:cNvPr id="42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306916</xdr:colOff>
      <xdr:row>298</xdr:row>
      <xdr:rowOff>105834</xdr:rowOff>
    </xdr:from>
    <xdr:to>
      <xdr:col>18</xdr:col>
      <xdr:colOff>211666</xdr:colOff>
      <xdr:row>310</xdr:row>
      <xdr:rowOff>170392</xdr:rowOff>
    </xdr:to>
    <xdr:graphicFrame macro="">
      <xdr:nvGraphicFramePr>
        <xdr:cNvPr id="43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380999</xdr:colOff>
      <xdr:row>313</xdr:row>
      <xdr:rowOff>148165</xdr:rowOff>
    </xdr:from>
    <xdr:to>
      <xdr:col>11</xdr:col>
      <xdr:colOff>465666</xdr:colOff>
      <xdr:row>325</xdr:row>
      <xdr:rowOff>138640</xdr:rowOff>
    </xdr:to>
    <xdr:graphicFrame macro="">
      <xdr:nvGraphicFramePr>
        <xdr:cNvPr id="44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687916</xdr:colOff>
      <xdr:row>313</xdr:row>
      <xdr:rowOff>158750</xdr:rowOff>
    </xdr:from>
    <xdr:to>
      <xdr:col>17</xdr:col>
      <xdr:colOff>486833</xdr:colOff>
      <xdr:row>325</xdr:row>
      <xdr:rowOff>170391</xdr:rowOff>
    </xdr:to>
    <xdr:graphicFrame macro="">
      <xdr:nvGraphicFramePr>
        <xdr:cNvPr id="45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285749</xdr:colOff>
      <xdr:row>329</xdr:row>
      <xdr:rowOff>1</xdr:rowOff>
    </xdr:from>
    <xdr:to>
      <xdr:col>11</xdr:col>
      <xdr:colOff>539749</xdr:colOff>
      <xdr:row>340</xdr:row>
      <xdr:rowOff>170391</xdr:rowOff>
    </xdr:to>
    <xdr:graphicFrame macro="">
      <xdr:nvGraphicFramePr>
        <xdr:cNvPr id="4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21167</xdr:colOff>
      <xdr:row>329</xdr:row>
      <xdr:rowOff>21166</xdr:rowOff>
    </xdr:from>
    <xdr:to>
      <xdr:col>17</xdr:col>
      <xdr:colOff>560917</xdr:colOff>
      <xdr:row>341</xdr:row>
      <xdr:rowOff>64557</xdr:rowOff>
    </xdr:to>
    <xdr:graphicFrame macro="">
      <xdr:nvGraphicFramePr>
        <xdr:cNvPr id="4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264583</xdr:colOff>
      <xdr:row>344</xdr:row>
      <xdr:rowOff>42332</xdr:rowOff>
    </xdr:from>
    <xdr:to>
      <xdr:col>11</xdr:col>
      <xdr:colOff>433917</xdr:colOff>
      <xdr:row>355</xdr:row>
      <xdr:rowOff>159807</xdr:rowOff>
    </xdr:to>
    <xdr:graphicFrame macro="">
      <xdr:nvGraphicFramePr>
        <xdr:cNvPr id="4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52916</xdr:colOff>
      <xdr:row>344</xdr:row>
      <xdr:rowOff>74083</xdr:rowOff>
    </xdr:from>
    <xdr:to>
      <xdr:col>17</xdr:col>
      <xdr:colOff>497416</xdr:colOff>
      <xdr:row>356</xdr:row>
      <xdr:rowOff>31751</xdr:rowOff>
    </xdr:to>
    <xdr:graphicFrame macro="">
      <xdr:nvGraphicFramePr>
        <xdr:cNvPr id="4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306916</xdr:colOff>
      <xdr:row>358</xdr:row>
      <xdr:rowOff>116416</xdr:rowOff>
    </xdr:from>
    <xdr:to>
      <xdr:col>11</xdr:col>
      <xdr:colOff>275166</xdr:colOff>
      <xdr:row>371</xdr:row>
      <xdr:rowOff>32807</xdr:rowOff>
    </xdr:to>
    <xdr:graphicFrame macro="">
      <xdr:nvGraphicFramePr>
        <xdr:cNvPr id="5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550333</xdr:colOff>
      <xdr:row>358</xdr:row>
      <xdr:rowOff>95250</xdr:rowOff>
    </xdr:from>
    <xdr:to>
      <xdr:col>17</xdr:col>
      <xdr:colOff>275167</xdr:colOff>
      <xdr:row>370</xdr:row>
      <xdr:rowOff>64558</xdr:rowOff>
    </xdr:to>
    <xdr:graphicFrame macro="">
      <xdr:nvGraphicFramePr>
        <xdr:cNvPr id="51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275166</xdr:colOff>
      <xdr:row>373</xdr:row>
      <xdr:rowOff>63499</xdr:rowOff>
    </xdr:from>
    <xdr:to>
      <xdr:col>11</xdr:col>
      <xdr:colOff>52916</xdr:colOff>
      <xdr:row>385</xdr:row>
      <xdr:rowOff>138640</xdr:rowOff>
    </xdr:to>
    <xdr:graphicFrame macro="">
      <xdr:nvGraphicFramePr>
        <xdr:cNvPr id="5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264582</xdr:colOff>
      <xdr:row>373</xdr:row>
      <xdr:rowOff>31750</xdr:rowOff>
    </xdr:from>
    <xdr:to>
      <xdr:col>17</xdr:col>
      <xdr:colOff>10582</xdr:colOff>
      <xdr:row>385</xdr:row>
      <xdr:rowOff>96308</xdr:rowOff>
    </xdr:to>
    <xdr:graphicFrame macro="">
      <xdr:nvGraphicFramePr>
        <xdr:cNvPr id="5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275166</xdr:colOff>
      <xdr:row>387</xdr:row>
      <xdr:rowOff>148167</xdr:rowOff>
    </xdr:from>
    <xdr:to>
      <xdr:col>11</xdr:col>
      <xdr:colOff>391583</xdr:colOff>
      <xdr:row>399</xdr:row>
      <xdr:rowOff>31750</xdr:rowOff>
    </xdr:to>
    <xdr:graphicFrame macro="">
      <xdr:nvGraphicFramePr>
        <xdr:cNvPr id="5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</xdr:col>
      <xdr:colOff>761999</xdr:colOff>
      <xdr:row>387</xdr:row>
      <xdr:rowOff>169332</xdr:rowOff>
    </xdr:from>
    <xdr:to>
      <xdr:col>17</xdr:col>
      <xdr:colOff>560916</xdr:colOff>
      <xdr:row>399</xdr:row>
      <xdr:rowOff>21167</xdr:rowOff>
    </xdr:to>
    <xdr:graphicFrame macro="">
      <xdr:nvGraphicFramePr>
        <xdr:cNvPr id="5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179916</xdr:colOff>
      <xdr:row>401</xdr:row>
      <xdr:rowOff>179915</xdr:rowOff>
    </xdr:from>
    <xdr:to>
      <xdr:col>11</xdr:col>
      <xdr:colOff>296333</xdr:colOff>
      <xdr:row>413</xdr:row>
      <xdr:rowOff>138640</xdr:rowOff>
    </xdr:to>
    <xdr:graphicFrame macro="">
      <xdr:nvGraphicFramePr>
        <xdr:cNvPr id="56" name="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</xdr:col>
      <xdr:colOff>518582</xdr:colOff>
      <xdr:row>402</xdr:row>
      <xdr:rowOff>10583</xdr:rowOff>
    </xdr:from>
    <xdr:to>
      <xdr:col>17</xdr:col>
      <xdr:colOff>370416</xdr:colOff>
      <xdr:row>414</xdr:row>
      <xdr:rowOff>85724</xdr:rowOff>
    </xdr:to>
    <xdr:graphicFrame macro="">
      <xdr:nvGraphicFramePr>
        <xdr:cNvPr id="57" name="5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232833</xdr:colOff>
      <xdr:row>417</xdr:row>
      <xdr:rowOff>84666</xdr:rowOff>
    </xdr:from>
    <xdr:to>
      <xdr:col>11</xdr:col>
      <xdr:colOff>381000</xdr:colOff>
      <xdr:row>429</xdr:row>
      <xdr:rowOff>64557</xdr:rowOff>
    </xdr:to>
    <xdr:graphicFrame macro="">
      <xdr:nvGraphicFramePr>
        <xdr:cNvPr id="58" name="5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</xdr:col>
      <xdr:colOff>762000</xdr:colOff>
      <xdr:row>417</xdr:row>
      <xdr:rowOff>42334</xdr:rowOff>
    </xdr:from>
    <xdr:to>
      <xdr:col>17</xdr:col>
      <xdr:colOff>582084</xdr:colOff>
      <xdr:row>429</xdr:row>
      <xdr:rowOff>106892</xdr:rowOff>
    </xdr:to>
    <xdr:graphicFrame macro="">
      <xdr:nvGraphicFramePr>
        <xdr:cNvPr id="59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158750</xdr:colOff>
      <xdr:row>432</xdr:row>
      <xdr:rowOff>42334</xdr:rowOff>
    </xdr:from>
    <xdr:to>
      <xdr:col>11</xdr:col>
      <xdr:colOff>317500</xdr:colOff>
      <xdr:row>444</xdr:row>
      <xdr:rowOff>21168</xdr:rowOff>
    </xdr:to>
    <xdr:graphicFrame macro="">
      <xdr:nvGraphicFramePr>
        <xdr:cNvPr id="60" name="5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</xdr:col>
      <xdr:colOff>698500</xdr:colOff>
      <xdr:row>432</xdr:row>
      <xdr:rowOff>10582</xdr:rowOff>
    </xdr:from>
    <xdr:to>
      <xdr:col>17</xdr:col>
      <xdr:colOff>497417</xdr:colOff>
      <xdr:row>444</xdr:row>
      <xdr:rowOff>10584</xdr:rowOff>
    </xdr:to>
    <xdr:graphicFrame macro="">
      <xdr:nvGraphicFramePr>
        <xdr:cNvPr id="61" name="6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359833</xdr:colOff>
      <xdr:row>446</xdr:row>
      <xdr:rowOff>137582</xdr:rowOff>
    </xdr:from>
    <xdr:to>
      <xdr:col>11</xdr:col>
      <xdr:colOff>560917</xdr:colOff>
      <xdr:row>458</xdr:row>
      <xdr:rowOff>159807</xdr:rowOff>
    </xdr:to>
    <xdr:graphicFrame macro="">
      <xdr:nvGraphicFramePr>
        <xdr:cNvPr id="62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52916</xdr:colOff>
      <xdr:row>446</xdr:row>
      <xdr:rowOff>179917</xdr:rowOff>
    </xdr:from>
    <xdr:to>
      <xdr:col>17</xdr:col>
      <xdr:colOff>656166</xdr:colOff>
      <xdr:row>459</xdr:row>
      <xdr:rowOff>22225</xdr:rowOff>
    </xdr:to>
    <xdr:graphicFrame macro="">
      <xdr:nvGraphicFramePr>
        <xdr:cNvPr id="63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5</xdr:col>
      <xdr:colOff>285749</xdr:colOff>
      <xdr:row>461</xdr:row>
      <xdr:rowOff>95249</xdr:rowOff>
    </xdr:from>
    <xdr:to>
      <xdr:col>11</xdr:col>
      <xdr:colOff>423333</xdr:colOff>
      <xdr:row>473</xdr:row>
      <xdr:rowOff>11640</xdr:rowOff>
    </xdr:to>
    <xdr:graphicFrame macro="">
      <xdr:nvGraphicFramePr>
        <xdr:cNvPr id="64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84667</xdr:colOff>
      <xdr:row>461</xdr:row>
      <xdr:rowOff>10583</xdr:rowOff>
    </xdr:from>
    <xdr:to>
      <xdr:col>17</xdr:col>
      <xdr:colOff>677334</xdr:colOff>
      <xdr:row>472</xdr:row>
      <xdr:rowOff>149224</xdr:rowOff>
    </xdr:to>
    <xdr:graphicFrame macro="">
      <xdr:nvGraphicFramePr>
        <xdr:cNvPr id="65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</xdr:col>
      <xdr:colOff>211666</xdr:colOff>
      <xdr:row>475</xdr:row>
      <xdr:rowOff>179915</xdr:rowOff>
    </xdr:from>
    <xdr:to>
      <xdr:col>11</xdr:col>
      <xdr:colOff>275166</xdr:colOff>
      <xdr:row>487</xdr:row>
      <xdr:rowOff>170390</xdr:rowOff>
    </xdr:to>
    <xdr:graphicFrame macro="">
      <xdr:nvGraphicFramePr>
        <xdr:cNvPr id="6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656166</xdr:colOff>
      <xdr:row>475</xdr:row>
      <xdr:rowOff>148166</xdr:rowOff>
    </xdr:from>
    <xdr:to>
      <xdr:col>17</xdr:col>
      <xdr:colOff>465666</xdr:colOff>
      <xdr:row>488</xdr:row>
      <xdr:rowOff>32807</xdr:rowOff>
    </xdr:to>
    <xdr:graphicFrame macro="">
      <xdr:nvGraphicFramePr>
        <xdr:cNvPr id="67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275166</xdr:colOff>
      <xdr:row>489</xdr:row>
      <xdr:rowOff>148165</xdr:rowOff>
    </xdr:from>
    <xdr:to>
      <xdr:col>11</xdr:col>
      <xdr:colOff>306916</xdr:colOff>
      <xdr:row>501</xdr:row>
      <xdr:rowOff>75140</xdr:rowOff>
    </xdr:to>
    <xdr:graphicFrame macro="">
      <xdr:nvGraphicFramePr>
        <xdr:cNvPr id="68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11</xdr:col>
      <xdr:colOff>772582</xdr:colOff>
      <xdr:row>489</xdr:row>
      <xdr:rowOff>179915</xdr:rowOff>
    </xdr:from>
    <xdr:to>
      <xdr:col>17</xdr:col>
      <xdr:colOff>539749</xdr:colOff>
      <xdr:row>501</xdr:row>
      <xdr:rowOff>170390</xdr:rowOff>
    </xdr:to>
    <xdr:graphicFrame macro="">
      <xdr:nvGraphicFramePr>
        <xdr:cNvPr id="69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5</xdr:col>
      <xdr:colOff>158749</xdr:colOff>
      <xdr:row>504</xdr:row>
      <xdr:rowOff>179917</xdr:rowOff>
    </xdr:from>
    <xdr:to>
      <xdr:col>11</xdr:col>
      <xdr:colOff>74082</xdr:colOff>
      <xdr:row>517</xdr:row>
      <xdr:rowOff>22225</xdr:rowOff>
    </xdr:to>
    <xdr:graphicFrame macro="">
      <xdr:nvGraphicFramePr>
        <xdr:cNvPr id="70" name="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11</xdr:col>
      <xdr:colOff>465665</xdr:colOff>
      <xdr:row>505</xdr:row>
      <xdr:rowOff>10582</xdr:rowOff>
    </xdr:from>
    <xdr:to>
      <xdr:col>17</xdr:col>
      <xdr:colOff>328082</xdr:colOff>
      <xdr:row>517</xdr:row>
      <xdr:rowOff>1057</xdr:rowOff>
    </xdr:to>
    <xdr:graphicFrame macro="">
      <xdr:nvGraphicFramePr>
        <xdr:cNvPr id="71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</xdr:col>
      <xdr:colOff>328083</xdr:colOff>
      <xdr:row>520</xdr:row>
      <xdr:rowOff>232832</xdr:rowOff>
    </xdr:from>
    <xdr:to>
      <xdr:col>11</xdr:col>
      <xdr:colOff>95249</xdr:colOff>
      <xdr:row>533</xdr:row>
      <xdr:rowOff>64557</xdr:rowOff>
    </xdr:to>
    <xdr:graphicFrame macro="">
      <xdr:nvGraphicFramePr>
        <xdr:cNvPr id="72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11</xdr:col>
      <xdr:colOff>455083</xdr:colOff>
      <xdr:row>521</xdr:row>
      <xdr:rowOff>31748</xdr:rowOff>
    </xdr:from>
    <xdr:to>
      <xdr:col>17</xdr:col>
      <xdr:colOff>264583</xdr:colOff>
      <xdr:row>533</xdr:row>
      <xdr:rowOff>75140</xdr:rowOff>
    </xdr:to>
    <xdr:graphicFrame macro="">
      <xdr:nvGraphicFramePr>
        <xdr:cNvPr id="73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5</xdr:col>
      <xdr:colOff>486833</xdr:colOff>
      <xdr:row>536</xdr:row>
      <xdr:rowOff>42333</xdr:rowOff>
    </xdr:from>
    <xdr:to>
      <xdr:col>11</xdr:col>
      <xdr:colOff>603250</xdr:colOff>
      <xdr:row>548</xdr:row>
      <xdr:rowOff>11641</xdr:rowOff>
    </xdr:to>
    <xdr:graphicFrame macro="">
      <xdr:nvGraphicFramePr>
        <xdr:cNvPr id="74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12</xdr:col>
      <xdr:colOff>201083</xdr:colOff>
      <xdr:row>536</xdr:row>
      <xdr:rowOff>21167</xdr:rowOff>
    </xdr:from>
    <xdr:to>
      <xdr:col>17</xdr:col>
      <xdr:colOff>762000</xdr:colOff>
      <xdr:row>548</xdr:row>
      <xdr:rowOff>1</xdr:rowOff>
    </xdr:to>
    <xdr:graphicFrame macro="">
      <xdr:nvGraphicFramePr>
        <xdr:cNvPr id="75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</xdr:col>
      <xdr:colOff>285749</xdr:colOff>
      <xdr:row>1</xdr:row>
      <xdr:rowOff>63500</xdr:rowOff>
    </xdr:from>
    <xdr:to>
      <xdr:col>11</xdr:col>
      <xdr:colOff>476249</xdr:colOff>
      <xdr:row>13</xdr:row>
      <xdr:rowOff>43391</xdr:rowOff>
    </xdr:to>
    <xdr:graphicFrame macro="">
      <xdr:nvGraphicFramePr>
        <xdr:cNvPr id="76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11</xdr:col>
      <xdr:colOff>761999</xdr:colOff>
      <xdr:row>0</xdr:row>
      <xdr:rowOff>169334</xdr:rowOff>
    </xdr:from>
    <xdr:to>
      <xdr:col>17</xdr:col>
      <xdr:colOff>592666</xdr:colOff>
      <xdr:row>12</xdr:row>
      <xdr:rowOff>149225</xdr:rowOff>
    </xdr:to>
    <xdr:graphicFrame macro="">
      <xdr:nvGraphicFramePr>
        <xdr:cNvPr id="77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59040</xdr:colOff>
      <xdr:row>15</xdr:row>
      <xdr:rowOff>88200</xdr:rowOff>
    </xdr:from>
    <xdr:to>
      <xdr:col>11</xdr:col>
      <xdr:colOff>57225</xdr:colOff>
      <xdr:row>30</xdr:row>
      <xdr:rowOff>10080</xdr:rowOff>
    </xdr:to>
    <xdr:graphicFrame macro="">
      <xdr:nvGraphicFramePr>
        <xdr:cNvPr id="8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468000</xdr:colOff>
      <xdr:row>14</xdr:row>
      <xdr:rowOff>155160</xdr:rowOff>
    </xdr:from>
    <xdr:to>
      <xdr:col>50</xdr:col>
      <xdr:colOff>771060</xdr:colOff>
      <xdr:row>29</xdr:row>
      <xdr:rowOff>67680</xdr:rowOff>
    </xdr:to>
    <xdr:graphicFrame macro="">
      <xdr:nvGraphicFramePr>
        <xdr:cNvPr id="9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59040</xdr:colOff>
      <xdr:row>14</xdr:row>
      <xdr:rowOff>2520</xdr:rowOff>
    </xdr:from>
    <xdr:to>
      <xdr:col>6</xdr:col>
      <xdr:colOff>266400</xdr:colOff>
      <xdr:row>29</xdr:row>
      <xdr:rowOff>660</xdr:rowOff>
    </xdr:to>
    <xdr:graphicFrame macro="">
      <xdr:nvGraphicFramePr>
        <xdr:cNvPr id="1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41</xdr:col>
      <xdr:colOff>392040</xdr:colOff>
      <xdr:row>13</xdr:row>
      <xdr:rowOff>154800</xdr:rowOff>
    </xdr:from>
    <xdr:to>
      <xdr:col>47</xdr:col>
      <xdr:colOff>352080</xdr:colOff>
      <xdr:row>28</xdr:row>
      <xdr:rowOff>153000</xdr:rowOff>
    </xdr:to>
    <xdr:graphicFrame macro="">
      <xdr:nvGraphicFramePr>
        <xdr:cNvPr id="11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135000</xdr:colOff>
      <xdr:row>7</xdr:row>
      <xdr:rowOff>2520</xdr:rowOff>
    </xdr:from>
    <xdr:to>
      <xdr:col>5</xdr:col>
      <xdr:colOff>590400</xdr:colOff>
      <xdr:row>22</xdr:row>
      <xdr:rowOff>660</xdr:rowOff>
    </xdr:to>
    <xdr:graphicFrame macro="">
      <xdr:nvGraphicFramePr>
        <xdr:cNvPr id="1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51480</xdr:colOff>
      <xdr:row>7</xdr:row>
      <xdr:rowOff>33120</xdr:rowOff>
    </xdr:from>
    <xdr:to>
      <xdr:col>5</xdr:col>
      <xdr:colOff>575280</xdr:colOff>
      <xdr:row>22</xdr:row>
      <xdr:rowOff>31320</xdr:rowOff>
    </xdr:to>
    <xdr:graphicFrame macro="">
      <xdr:nvGraphicFramePr>
        <xdr:cNvPr id="1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135000</xdr:colOff>
      <xdr:row>0</xdr:row>
      <xdr:rowOff>31320</xdr:rowOff>
    </xdr:from>
    <xdr:to>
      <xdr:col>3</xdr:col>
      <xdr:colOff>628245</xdr:colOff>
      <xdr:row>12</xdr:row>
      <xdr:rowOff>144000</xdr:rowOff>
    </xdr:to>
    <xdr:graphicFrame macro="">
      <xdr:nvGraphicFramePr>
        <xdr:cNvPr id="1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144360</xdr:colOff>
      <xdr:row>15</xdr:row>
      <xdr:rowOff>132120</xdr:rowOff>
    </xdr:from>
    <xdr:to>
      <xdr:col>11</xdr:col>
      <xdr:colOff>28080</xdr:colOff>
      <xdr:row>30</xdr:row>
      <xdr:rowOff>46800</xdr:rowOff>
    </xdr:to>
    <xdr:graphicFrame macro="">
      <xdr:nvGraphicFramePr>
        <xdr:cNvPr id="1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1135080</xdr:colOff>
      <xdr:row>0</xdr:row>
      <xdr:rowOff>40680</xdr:rowOff>
    </xdr:from>
    <xdr:to>
      <xdr:col>11</xdr:col>
      <xdr:colOff>647640</xdr:colOff>
      <xdr:row>11</xdr:row>
      <xdr:rowOff>29520</xdr:rowOff>
    </xdr:to>
    <xdr:graphicFrame macro="">
      <xdr:nvGraphicFramePr>
        <xdr:cNvPr id="16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579600</xdr:colOff>
      <xdr:row>38</xdr:row>
      <xdr:rowOff>119520</xdr:rowOff>
    </xdr:from>
    <xdr:to>
      <xdr:col>4</xdr:col>
      <xdr:colOff>293445</xdr:colOff>
      <xdr:row>53</xdr:row>
      <xdr:rowOff>5040</xdr:rowOff>
    </xdr:to>
    <xdr:graphicFrame macro="">
      <xdr:nvGraphicFramePr>
        <xdr:cNvPr id="1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1055880</xdr:colOff>
      <xdr:row>39</xdr:row>
      <xdr:rowOff>14760</xdr:rowOff>
    </xdr:from>
    <xdr:to>
      <xdr:col>10</xdr:col>
      <xdr:colOff>455400</xdr:colOff>
      <xdr:row>53</xdr:row>
      <xdr:rowOff>90720</xdr:rowOff>
    </xdr:to>
    <xdr:graphicFrame macro="">
      <xdr:nvGraphicFramePr>
        <xdr:cNvPr id="18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247650</xdr:colOff>
      <xdr:row>63</xdr:row>
      <xdr:rowOff>4762</xdr:rowOff>
    </xdr:from>
    <xdr:to>
      <xdr:col>4</xdr:col>
      <xdr:colOff>695325</xdr:colOff>
      <xdr:row>73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1276350</xdr:colOff>
      <xdr:row>62</xdr:row>
      <xdr:rowOff>61912</xdr:rowOff>
    </xdr:from>
    <xdr:to>
      <xdr:col>10</xdr:col>
      <xdr:colOff>695325</xdr:colOff>
      <xdr:row>72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90487</xdr:rowOff>
    </xdr:from>
    <xdr:to>
      <xdr:col>7</xdr:col>
      <xdr:colOff>533400</xdr:colOff>
      <xdr:row>21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3"/>
  <sheetViews>
    <sheetView tabSelected="1" zoomScale="90" zoomScaleNormal="90" workbookViewId="0"/>
  </sheetViews>
  <sheetFormatPr baseColWidth="10" defaultColWidth="9.140625" defaultRowHeight="15" x14ac:dyDescent="0.25"/>
  <cols>
    <col min="1" max="1" width="2.28515625"/>
    <col min="2" max="2" width="45" bestFit="1" customWidth="1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pans="1:11" x14ac:dyDescent="0.25">
      <c r="A1" s="1"/>
      <c r="B1" s="1" t="s">
        <v>0</v>
      </c>
      <c r="K1" s="1" t="s">
        <v>1</v>
      </c>
    </row>
    <row r="2" spans="1:11" ht="14.45" customHeight="1" x14ac:dyDescent="0.25">
      <c r="A2" s="1"/>
    </row>
    <row r="3" spans="1:11" ht="18.75" customHeight="1" x14ac:dyDescent="0.25">
      <c r="A3" s="1"/>
    </row>
    <row r="4" spans="1:11" x14ac:dyDescent="0.25">
      <c r="A4" s="1"/>
    </row>
    <row r="5" spans="1:11" x14ac:dyDescent="0.25">
      <c r="A5" s="1"/>
    </row>
    <row r="6" spans="1:11" ht="21" x14ac:dyDescent="0.25">
      <c r="A6" s="1"/>
      <c r="B6" s="48">
        <v>42335</v>
      </c>
      <c r="C6" s="2" t="s">
        <v>2</v>
      </c>
      <c r="D6" s="2" t="s">
        <v>3</v>
      </c>
      <c r="E6" s="2" t="s">
        <v>4</v>
      </c>
    </row>
    <row r="7" spans="1:11" x14ac:dyDescent="0.25">
      <c r="A7" s="1"/>
      <c r="B7" s="3" t="s">
        <v>5</v>
      </c>
      <c r="C7" s="4">
        <v>51</v>
      </c>
      <c r="D7" s="4">
        <v>195</v>
      </c>
      <c r="E7" s="5">
        <f t="shared" ref="E7:E12" si="0">(C7-D7)/C7</f>
        <v>-2.8235294117647061</v>
      </c>
    </row>
    <row r="8" spans="1:11" x14ac:dyDescent="0.25">
      <c r="A8" s="1"/>
      <c r="B8" s="6" t="s">
        <v>6</v>
      </c>
      <c r="C8" s="7">
        <v>35</v>
      </c>
      <c r="D8" s="7">
        <v>0</v>
      </c>
      <c r="E8" s="8">
        <f t="shared" si="0"/>
        <v>1</v>
      </c>
    </row>
    <row r="9" spans="1:11" x14ac:dyDescent="0.25">
      <c r="A9" s="1"/>
      <c r="B9" s="6" t="s">
        <v>7</v>
      </c>
      <c r="C9" s="7">
        <v>80</v>
      </c>
      <c r="D9" s="7">
        <v>45</v>
      </c>
      <c r="E9" s="8">
        <f t="shared" si="0"/>
        <v>0.4375</v>
      </c>
    </row>
    <row r="10" spans="1:11" x14ac:dyDescent="0.25">
      <c r="A10" s="1"/>
      <c r="B10" s="6" t="s">
        <v>8</v>
      </c>
      <c r="C10" s="7">
        <v>23</v>
      </c>
      <c r="D10" s="7">
        <v>147</v>
      </c>
      <c r="E10" s="8">
        <f t="shared" si="0"/>
        <v>-5.3913043478260869</v>
      </c>
    </row>
    <row r="11" spans="1:11" x14ac:dyDescent="0.25">
      <c r="A11" s="1"/>
      <c r="B11" s="6" t="s">
        <v>9</v>
      </c>
      <c r="C11" s="7">
        <v>90</v>
      </c>
      <c r="D11" s="7">
        <v>0</v>
      </c>
      <c r="E11" s="8">
        <f t="shared" si="0"/>
        <v>1</v>
      </c>
    </row>
    <row r="12" spans="1:11" x14ac:dyDescent="0.25">
      <c r="B12" s="6" t="s">
        <v>10</v>
      </c>
      <c r="C12" s="7">
        <v>142</v>
      </c>
      <c r="D12" s="7">
        <v>124</v>
      </c>
      <c r="E12" s="8">
        <f t="shared" si="0"/>
        <v>0.12676056338028169</v>
      </c>
    </row>
    <row r="13" spans="1:11" x14ac:dyDescent="0.25">
      <c r="C13" s="9"/>
      <c r="D13" s="10"/>
    </row>
    <row r="14" spans="1:11" ht="32.25" customHeight="1" x14ac:dyDescent="0.25">
      <c r="C14" s="9"/>
      <c r="D14" s="10"/>
    </row>
    <row r="15" spans="1:11" ht="18.75" customHeight="1" x14ac:dyDescent="0.25">
      <c r="C15" s="9"/>
      <c r="D15" s="10"/>
    </row>
    <row r="16" spans="1:11" ht="18.75" customHeight="1" x14ac:dyDescent="0.25">
      <c r="C16" s="9"/>
      <c r="D16" s="10"/>
    </row>
    <row r="17" spans="2:5" x14ac:dyDescent="0.25">
      <c r="C17" s="9"/>
      <c r="D17" s="10"/>
    </row>
    <row r="18" spans="2:5" s="53" customFormat="1" x14ac:dyDescent="0.25">
      <c r="C18" s="54"/>
    </row>
    <row r="20" spans="2:5" ht="21" x14ac:dyDescent="0.25">
      <c r="B20" s="48">
        <v>42349</v>
      </c>
      <c r="C20" s="2" t="s">
        <v>2</v>
      </c>
      <c r="D20" s="2" t="s">
        <v>3</v>
      </c>
      <c r="E20" s="2" t="s">
        <v>4</v>
      </c>
    </row>
    <row r="21" spans="2:5" x14ac:dyDescent="0.25">
      <c r="B21" s="3" t="s">
        <v>5</v>
      </c>
      <c r="C21" s="4">
        <f>51*4</f>
        <v>204</v>
      </c>
      <c r="D21" s="4">
        <v>74</v>
      </c>
      <c r="E21" s="5">
        <f t="shared" ref="E21:E26" si="1">(C21-D21)/C21</f>
        <v>0.63725490196078427</v>
      </c>
    </row>
    <row r="22" spans="2:5" x14ac:dyDescent="0.25">
      <c r="B22" s="6" t="s">
        <v>6</v>
      </c>
      <c r="C22" s="7">
        <f>35*4</f>
        <v>140</v>
      </c>
      <c r="D22" s="7">
        <v>54</v>
      </c>
      <c r="E22" s="8">
        <f t="shared" si="1"/>
        <v>0.61428571428571432</v>
      </c>
    </row>
    <row r="23" spans="2:5" x14ac:dyDescent="0.25">
      <c r="B23" s="6" t="s">
        <v>7</v>
      </c>
      <c r="C23" s="7">
        <v>80</v>
      </c>
      <c r="D23" s="7">
        <v>40</v>
      </c>
      <c r="E23" s="8">
        <f t="shared" si="1"/>
        <v>0.5</v>
      </c>
    </row>
    <row r="24" spans="2:5" x14ac:dyDescent="0.25">
      <c r="B24" s="6" t="s">
        <v>8</v>
      </c>
      <c r="C24" s="7">
        <f>23*4</f>
        <v>92</v>
      </c>
      <c r="D24" s="7">
        <v>45</v>
      </c>
      <c r="E24" s="8">
        <f t="shared" si="1"/>
        <v>0.51086956521739135</v>
      </c>
    </row>
    <row r="25" spans="2:5" x14ac:dyDescent="0.25">
      <c r="B25" s="6" t="s">
        <v>9</v>
      </c>
      <c r="C25" s="7">
        <v>90</v>
      </c>
      <c r="D25" s="7">
        <v>187</v>
      </c>
      <c r="E25" s="8">
        <f t="shared" si="1"/>
        <v>-1.0777777777777777</v>
      </c>
    </row>
    <row r="26" spans="2:5" x14ac:dyDescent="0.25">
      <c r="B26" s="6" t="s">
        <v>10</v>
      </c>
      <c r="C26" s="7">
        <f>142*4</f>
        <v>568</v>
      </c>
      <c r="D26" s="7">
        <v>463</v>
      </c>
      <c r="E26" s="8">
        <f t="shared" si="1"/>
        <v>0.18485915492957747</v>
      </c>
    </row>
    <row r="32" spans="2:5" s="53" customFormat="1" x14ac:dyDescent="0.25"/>
    <row r="34" spans="2:5" s="10" customFormat="1" x14ac:dyDescent="0.25"/>
    <row r="36" spans="2:5" ht="18.75" x14ac:dyDescent="0.3">
      <c r="B36" s="56" t="s">
        <v>44</v>
      </c>
    </row>
    <row r="37" spans="2:5" ht="21" x14ac:dyDescent="0.25">
      <c r="B37" s="48">
        <v>42366</v>
      </c>
      <c r="C37" s="55" t="s">
        <v>2</v>
      </c>
      <c r="D37" s="55" t="s">
        <v>3</v>
      </c>
      <c r="E37" s="55" t="s">
        <v>4</v>
      </c>
    </row>
    <row r="38" spans="2:5" x14ac:dyDescent="0.25">
      <c r="B38" s="3" t="s">
        <v>5</v>
      </c>
      <c r="C38" s="4">
        <v>51</v>
      </c>
      <c r="D38" s="4">
        <v>6</v>
      </c>
      <c r="E38" s="5">
        <f t="shared" ref="E38:E43" si="2">(C38-D38)/C38</f>
        <v>0.88235294117647056</v>
      </c>
    </row>
    <row r="39" spans="2:5" x14ac:dyDescent="0.25">
      <c r="B39" s="6" t="s">
        <v>6</v>
      </c>
      <c r="C39" s="7">
        <v>35</v>
      </c>
      <c r="D39" s="7">
        <v>21</v>
      </c>
      <c r="E39" s="8">
        <f t="shared" si="2"/>
        <v>0.4</v>
      </c>
    </row>
    <row r="40" spans="2:5" x14ac:dyDescent="0.25">
      <c r="B40" s="6" t="s">
        <v>7</v>
      </c>
      <c r="C40" s="7">
        <v>80</v>
      </c>
      <c r="D40" s="7">
        <v>0</v>
      </c>
      <c r="E40" s="8">
        <f t="shared" si="2"/>
        <v>1</v>
      </c>
    </row>
    <row r="41" spans="2:5" x14ac:dyDescent="0.25">
      <c r="B41" s="6" t="s">
        <v>8</v>
      </c>
      <c r="C41" s="7">
        <v>23</v>
      </c>
      <c r="D41" s="7">
        <v>12</v>
      </c>
      <c r="E41" s="8">
        <f t="shared" si="2"/>
        <v>0.47826086956521741</v>
      </c>
    </row>
    <row r="42" spans="2:5" x14ac:dyDescent="0.25">
      <c r="B42" s="6" t="s">
        <v>9</v>
      </c>
      <c r="C42" s="7">
        <v>90</v>
      </c>
      <c r="D42" s="7">
        <v>0</v>
      </c>
      <c r="E42" s="8">
        <f t="shared" si="2"/>
        <v>1</v>
      </c>
    </row>
    <row r="43" spans="2:5" x14ac:dyDescent="0.25">
      <c r="B43" s="6" t="s">
        <v>10</v>
      </c>
      <c r="C43" s="7">
        <v>142</v>
      </c>
      <c r="D43" s="7">
        <f>39+41</f>
        <v>80</v>
      </c>
      <c r="E43" s="8">
        <f t="shared" si="2"/>
        <v>0.43661971830985913</v>
      </c>
    </row>
    <row r="48" spans="2:5" s="53" customFormat="1" x14ac:dyDescent="0.25"/>
    <row r="49" spans="2:5" ht="18.75" x14ac:dyDescent="0.3">
      <c r="B49" s="50" t="s">
        <v>45</v>
      </c>
    </row>
    <row r="50" spans="2:5" ht="21" x14ac:dyDescent="0.25">
      <c r="B50" s="48">
        <v>42335</v>
      </c>
      <c r="C50" s="2" t="s">
        <v>2</v>
      </c>
      <c r="D50" s="2" t="s">
        <v>3</v>
      </c>
      <c r="E50" s="2" t="s">
        <v>4</v>
      </c>
    </row>
    <row r="51" spans="2:5" x14ac:dyDescent="0.25">
      <c r="B51" s="3" t="s">
        <v>5</v>
      </c>
      <c r="C51" s="4">
        <v>51</v>
      </c>
      <c r="D51" s="4">
        <v>6</v>
      </c>
      <c r="E51" s="5">
        <f t="shared" ref="E51:E56" si="3">(C51-D51)/C51</f>
        <v>0.88235294117647056</v>
      </c>
    </row>
    <row r="52" spans="2:5" x14ac:dyDescent="0.25">
      <c r="B52" s="6" t="s">
        <v>6</v>
      </c>
      <c r="C52" s="7">
        <v>35</v>
      </c>
      <c r="D52" s="7">
        <v>15</v>
      </c>
      <c r="E52" s="8">
        <f t="shared" si="3"/>
        <v>0.5714285714285714</v>
      </c>
    </row>
    <row r="53" spans="2:5" x14ac:dyDescent="0.25">
      <c r="B53" s="6" t="s">
        <v>7</v>
      </c>
      <c r="C53" s="7">
        <v>240</v>
      </c>
      <c r="D53" s="7">
        <v>244</v>
      </c>
      <c r="E53" s="8">
        <f t="shared" si="3"/>
        <v>-1.6666666666666666E-2</v>
      </c>
    </row>
    <row r="54" spans="2:5" x14ac:dyDescent="0.25">
      <c r="B54" s="6" t="s">
        <v>8</v>
      </c>
      <c r="C54" s="7">
        <v>23</v>
      </c>
      <c r="D54" s="7">
        <v>15</v>
      </c>
      <c r="E54" s="8">
        <f t="shared" si="3"/>
        <v>0.34782608695652173</v>
      </c>
    </row>
    <row r="55" spans="2:5" x14ac:dyDescent="0.25">
      <c r="B55" s="6" t="s">
        <v>9</v>
      </c>
      <c r="C55" s="7">
        <v>90</v>
      </c>
      <c r="D55" s="7">
        <v>0</v>
      </c>
      <c r="E55" s="8">
        <f t="shared" si="3"/>
        <v>1</v>
      </c>
    </row>
    <row r="56" spans="2:5" x14ac:dyDescent="0.25">
      <c r="B56" s="6" t="s">
        <v>10</v>
      </c>
      <c r="C56" s="7">
        <v>142</v>
      </c>
      <c r="D56" s="7">
        <v>66</v>
      </c>
      <c r="E56" s="8">
        <f t="shared" si="3"/>
        <v>0.53521126760563376</v>
      </c>
    </row>
    <row r="62" spans="2:5" s="53" customFormat="1" x14ac:dyDescent="0.25"/>
    <row r="63" spans="2:5" ht="18.75" x14ac:dyDescent="0.3">
      <c r="B63" s="50" t="s">
        <v>46</v>
      </c>
    </row>
    <row r="64" spans="2:5" ht="21" x14ac:dyDescent="0.25">
      <c r="B64" s="48">
        <v>42335</v>
      </c>
      <c r="C64" s="2" t="s">
        <v>2</v>
      </c>
      <c r="D64" s="2" t="s">
        <v>3</v>
      </c>
      <c r="E64" s="2" t="s">
        <v>4</v>
      </c>
    </row>
    <row r="65" spans="2:5" x14ac:dyDescent="0.25">
      <c r="B65" s="3" t="s">
        <v>5</v>
      </c>
      <c r="C65" s="4">
        <v>51</v>
      </c>
      <c r="D65" s="4">
        <v>7</v>
      </c>
      <c r="E65" s="5">
        <f t="shared" ref="E65:E70" si="4">(C65-D65)/C65</f>
        <v>0.86274509803921573</v>
      </c>
    </row>
    <row r="66" spans="2:5" x14ac:dyDescent="0.25">
      <c r="B66" s="6" t="s">
        <v>6</v>
      </c>
      <c r="C66" s="7">
        <v>35</v>
      </c>
      <c r="D66" s="7">
        <v>10</v>
      </c>
      <c r="E66" s="8">
        <f t="shared" si="4"/>
        <v>0.7142857142857143</v>
      </c>
    </row>
    <row r="67" spans="2:5" x14ac:dyDescent="0.25">
      <c r="B67" s="6" t="s">
        <v>7</v>
      </c>
      <c r="C67" s="7">
        <v>80</v>
      </c>
      <c r="D67" s="7">
        <v>76</v>
      </c>
      <c r="E67" s="8">
        <f t="shared" si="4"/>
        <v>0.05</v>
      </c>
    </row>
    <row r="68" spans="2:5" x14ac:dyDescent="0.25">
      <c r="B68" s="6" t="s">
        <v>8</v>
      </c>
      <c r="C68" s="7">
        <v>23</v>
      </c>
      <c r="D68" s="7">
        <v>23</v>
      </c>
      <c r="E68" s="8">
        <f t="shared" si="4"/>
        <v>0</v>
      </c>
    </row>
    <row r="69" spans="2:5" x14ac:dyDescent="0.25">
      <c r="B69" s="6" t="s">
        <v>9</v>
      </c>
      <c r="C69" s="7">
        <v>90</v>
      </c>
      <c r="D69" s="7">
        <v>0</v>
      </c>
      <c r="E69" s="8">
        <f t="shared" si="4"/>
        <v>1</v>
      </c>
    </row>
    <row r="70" spans="2:5" x14ac:dyDescent="0.25">
      <c r="B70" s="6" t="s">
        <v>10</v>
      </c>
      <c r="C70" s="7">
        <v>142</v>
      </c>
      <c r="D70" s="7">
        <v>73</v>
      </c>
      <c r="E70" s="8">
        <f t="shared" si="4"/>
        <v>0.4859154929577465</v>
      </c>
    </row>
    <row r="76" spans="2:5" s="53" customFormat="1" x14ac:dyDescent="0.25"/>
    <row r="77" spans="2:5" ht="18.75" x14ac:dyDescent="0.3">
      <c r="B77" s="50" t="s">
        <v>47</v>
      </c>
    </row>
    <row r="78" spans="2:5" ht="21" x14ac:dyDescent="0.25">
      <c r="B78" s="48">
        <v>42335</v>
      </c>
      <c r="C78" s="2" t="s">
        <v>2</v>
      </c>
      <c r="D78" s="2" t="s">
        <v>3</v>
      </c>
      <c r="E78" s="2" t="s">
        <v>4</v>
      </c>
    </row>
    <row r="79" spans="2:5" x14ac:dyDescent="0.25">
      <c r="B79" s="3" t="s">
        <v>5</v>
      </c>
      <c r="C79" s="4">
        <v>51</v>
      </c>
      <c r="D79" s="4">
        <v>988</v>
      </c>
      <c r="E79" s="5">
        <f t="shared" ref="E79:E84" si="5">(C79-D79)/C79</f>
        <v>-18.372549019607842</v>
      </c>
    </row>
    <row r="80" spans="2:5" x14ac:dyDescent="0.25">
      <c r="B80" s="6" t="s">
        <v>6</v>
      </c>
      <c r="C80" s="7">
        <v>35</v>
      </c>
      <c r="D80" s="7">
        <v>15</v>
      </c>
      <c r="E80" s="8">
        <f t="shared" si="5"/>
        <v>0.5714285714285714</v>
      </c>
    </row>
    <row r="81" spans="2:5" x14ac:dyDescent="0.25">
      <c r="B81" s="6" t="s">
        <v>7</v>
      </c>
      <c r="C81" s="7">
        <v>80</v>
      </c>
      <c r="D81" s="7">
        <v>0</v>
      </c>
      <c r="E81" s="8">
        <f t="shared" si="5"/>
        <v>1</v>
      </c>
    </row>
    <row r="82" spans="2:5" x14ac:dyDescent="0.25">
      <c r="B82" s="6" t="s">
        <v>8</v>
      </c>
      <c r="C82" s="7">
        <v>23</v>
      </c>
      <c r="D82" s="7">
        <v>41</v>
      </c>
      <c r="E82" s="8">
        <f t="shared" si="5"/>
        <v>-0.78260869565217395</v>
      </c>
    </row>
    <row r="83" spans="2:5" x14ac:dyDescent="0.25">
      <c r="B83" s="6" t="s">
        <v>9</v>
      </c>
      <c r="C83" s="7">
        <v>90</v>
      </c>
      <c r="D83" s="7">
        <v>0</v>
      </c>
      <c r="E83" s="8">
        <f t="shared" si="5"/>
        <v>1</v>
      </c>
    </row>
    <row r="84" spans="2:5" x14ac:dyDescent="0.25">
      <c r="B84" s="6" t="s">
        <v>10</v>
      </c>
      <c r="C84" s="7">
        <v>142</v>
      </c>
      <c r="D84" s="7">
        <v>64</v>
      </c>
      <c r="E84" s="8">
        <f t="shared" si="5"/>
        <v>0.54929577464788737</v>
      </c>
    </row>
    <row r="89" spans="2:5" s="53" customFormat="1" x14ac:dyDescent="0.25"/>
    <row r="90" spans="2:5" ht="18.75" x14ac:dyDescent="0.3">
      <c r="B90" s="50" t="s">
        <v>48</v>
      </c>
    </row>
    <row r="91" spans="2:5" ht="21" x14ac:dyDescent="0.25">
      <c r="B91" s="48">
        <v>42335</v>
      </c>
      <c r="C91" s="2" t="s">
        <v>2</v>
      </c>
      <c r="D91" s="2" t="s">
        <v>3</v>
      </c>
      <c r="E91" s="2" t="s">
        <v>4</v>
      </c>
    </row>
    <row r="92" spans="2:5" x14ac:dyDescent="0.25">
      <c r="B92" s="3" t="s">
        <v>5</v>
      </c>
      <c r="C92" s="4">
        <v>51</v>
      </c>
      <c r="D92" s="4">
        <v>15</v>
      </c>
      <c r="E92" s="5">
        <f t="shared" ref="E92:E97" si="6">(C92-D92)/C92</f>
        <v>0.70588235294117652</v>
      </c>
    </row>
    <row r="93" spans="2:5" x14ac:dyDescent="0.25">
      <c r="B93" s="6" t="s">
        <v>6</v>
      </c>
      <c r="C93" s="7">
        <v>35</v>
      </c>
      <c r="D93" s="7">
        <v>90</v>
      </c>
      <c r="E93" s="8">
        <f t="shared" si="6"/>
        <v>-1.5714285714285714</v>
      </c>
    </row>
    <row r="94" spans="2:5" x14ac:dyDescent="0.25">
      <c r="B94" s="6" t="s">
        <v>7</v>
      </c>
      <c r="C94" s="7">
        <v>80</v>
      </c>
      <c r="D94" s="7">
        <v>89</v>
      </c>
      <c r="E94" s="8">
        <f t="shared" si="6"/>
        <v>-0.1125</v>
      </c>
    </row>
    <row r="95" spans="2:5" x14ac:dyDescent="0.25">
      <c r="B95" s="6" t="s">
        <v>8</v>
      </c>
      <c r="C95" s="7">
        <v>23</v>
      </c>
      <c r="D95" s="7">
        <v>8</v>
      </c>
      <c r="E95" s="8">
        <f t="shared" si="6"/>
        <v>0.65217391304347827</v>
      </c>
    </row>
    <row r="96" spans="2:5" x14ac:dyDescent="0.25">
      <c r="B96" s="6" t="s">
        <v>9</v>
      </c>
      <c r="C96" s="7">
        <v>90</v>
      </c>
      <c r="D96" s="7">
        <v>0</v>
      </c>
      <c r="E96" s="8">
        <f t="shared" si="6"/>
        <v>1</v>
      </c>
    </row>
    <row r="97" spans="2:5" x14ac:dyDescent="0.25">
      <c r="B97" s="6" t="s">
        <v>10</v>
      </c>
      <c r="C97" s="7">
        <v>142</v>
      </c>
      <c r="D97" s="7">
        <v>17</v>
      </c>
      <c r="E97" s="8">
        <f t="shared" si="6"/>
        <v>0.88028169014084512</v>
      </c>
    </row>
    <row r="102" spans="2:5" s="53" customFormat="1" x14ac:dyDescent="0.25"/>
    <row r="104" spans="2:5" ht="18.75" x14ac:dyDescent="0.3">
      <c r="B104" s="50" t="s">
        <v>49</v>
      </c>
    </row>
    <row r="105" spans="2:5" ht="21" x14ac:dyDescent="0.25">
      <c r="B105" s="48">
        <v>42335</v>
      </c>
      <c r="C105" s="2" t="s">
        <v>2</v>
      </c>
      <c r="D105" s="2" t="s">
        <v>3</v>
      </c>
      <c r="E105" s="2" t="s">
        <v>4</v>
      </c>
    </row>
    <row r="106" spans="2:5" x14ac:dyDescent="0.25">
      <c r="B106" s="3" t="s">
        <v>5</v>
      </c>
      <c r="C106" s="4">
        <v>51</v>
      </c>
      <c r="D106" s="4">
        <v>20</v>
      </c>
      <c r="E106" s="5">
        <f t="shared" ref="E106:E111" si="7">(C106-D106)/C106</f>
        <v>0.60784313725490191</v>
      </c>
    </row>
    <row r="107" spans="2:5" x14ac:dyDescent="0.25">
      <c r="B107" s="6" t="s">
        <v>6</v>
      </c>
      <c r="C107" s="7">
        <v>35</v>
      </c>
      <c r="D107" s="7">
        <v>5</v>
      </c>
      <c r="E107" s="8">
        <f t="shared" si="7"/>
        <v>0.8571428571428571</v>
      </c>
    </row>
    <row r="108" spans="2:5" x14ac:dyDescent="0.25">
      <c r="B108" s="6" t="s">
        <v>7</v>
      </c>
      <c r="C108" s="7">
        <v>80</v>
      </c>
      <c r="D108" s="7">
        <v>0</v>
      </c>
      <c r="E108" s="8">
        <f t="shared" si="7"/>
        <v>1</v>
      </c>
    </row>
    <row r="109" spans="2:5" x14ac:dyDescent="0.25">
      <c r="B109" s="6" t="s">
        <v>8</v>
      </c>
      <c r="C109" s="7">
        <v>23</v>
      </c>
      <c r="D109" s="7">
        <v>10</v>
      </c>
      <c r="E109" s="8">
        <f t="shared" si="7"/>
        <v>0.56521739130434778</v>
      </c>
    </row>
    <row r="110" spans="2:5" x14ac:dyDescent="0.25">
      <c r="B110" s="6" t="s">
        <v>9</v>
      </c>
      <c r="C110" s="7">
        <v>90</v>
      </c>
      <c r="D110" s="7">
        <v>0</v>
      </c>
      <c r="E110" s="8">
        <f t="shared" si="7"/>
        <v>1</v>
      </c>
    </row>
    <row r="111" spans="2:5" x14ac:dyDescent="0.25">
      <c r="B111" s="6" t="s">
        <v>10</v>
      </c>
      <c r="C111" s="7">
        <v>142</v>
      </c>
      <c r="D111" s="7">
        <v>27</v>
      </c>
      <c r="E111" s="8">
        <f t="shared" si="7"/>
        <v>0.8098591549295775</v>
      </c>
    </row>
    <row r="116" spans="2:5" s="53" customFormat="1" x14ac:dyDescent="0.25"/>
    <row r="118" spans="2:5" ht="18.75" x14ac:dyDescent="0.3">
      <c r="B118" s="50" t="s">
        <v>50</v>
      </c>
    </row>
    <row r="119" spans="2:5" ht="21" x14ac:dyDescent="0.25">
      <c r="B119" s="48">
        <v>42335</v>
      </c>
      <c r="C119" s="2" t="s">
        <v>2</v>
      </c>
      <c r="D119" s="2" t="s">
        <v>3</v>
      </c>
      <c r="E119" s="2" t="s">
        <v>4</v>
      </c>
    </row>
    <row r="120" spans="2:5" x14ac:dyDescent="0.25">
      <c r="B120" s="3" t="s">
        <v>5</v>
      </c>
      <c r="C120" s="4">
        <v>51</v>
      </c>
      <c r="D120" s="4">
        <v>0</v>
      </c>
      <c r="E120" s="5">
        <f t="shared" ref="E120:E125" si="8">(C120-D120)/C120</f>
        <v>1</v>
      </c>
    </row>
    <row r="121" spans="2:5" x14ac:dyDescent="0.25">
      <c r="B121" s="6" t="s">
        <v>6</v>
      </c>
      <c r="C121" s="7">
        <v>35</v>
      </c>
      <c r="D121" s="7">
        <v>22</v>
      </c>
      <c r="E121" s="8">
        <f t="shared" si="8"/>
        <v>0.37142857142857144</v>
      </c>
    </row>
    <row r="122" spans="2:5" x14ac:dyDescent="0.25">
      <c r="B122" s="6" t="s">
        <v>7</v>
      </c>
      <c r="C122" s="7">
        <v>80</v>
      </c>
      <c r="D122" s="7">
        <v>0</v>
      </c>
      <c r="E122" s="8">
        <f t="shared" si="8"/>
        <v>1</v>
      </c>
    </row>
    <row r="123" spans="2:5" x14ac:dyDescent="0.25">
      <c r="B123" s="6" t="s">
        <v>8</v>
      </c>
      <c r="C123" s="7">
        <v>23</v>
      </c>
      <c r="D123" s="7">
        <v>27</v>
      </c>
      <c r="E123" s="8">
        <f t="shared" si="8"/>
        <v>-0.17391304347826086</v>
      </c>
    </row>
    <row r="124" spans="2:5" x14ac:dyDescent="0.25">
      <c r="B124" s="6" t="s">
        <v>9</v>
      </c>
      <c r="C124" s="7">
        <v>90</v>
      </c>
      <c r="D124" s="7">
        <v>1</v>
      </c>
      <c r="E124" s="8">
        <f t="shared" si="8"/>
        <v>0.98888888888888893</v>
      </c>
    </row>
    <row r="125" spans="2:5" x14ac:dyDescent="0.25">
      <c r="B125" s="6" t="s">
        <v>10</v>
      </c>
      <c r="C125" s="7">
        <v>142</v>
      </c>
      <c r="D125" s="7">
        <v>0</v>
      </c>
      <c r="E125" s="8">
        <f t="shared" si="8"/>
        <v>1</v>
      </c>
    </row>
    <row r="130" spans="2:5" s="53" customFormat="1" x14ac:dyDescent="0.25"/>
    <row r="133" spans="2:5" ht="18.75" x14ac:dyDescent="0.3">
      <c r="B133" s="50" t="s">
        <v>51</v>
      </c>
    </row>
    <row r="134" spans="2:5" ht="21" x14ac:dyDescent="0.25">
      <c r="B134" s="48">
        <v>42335</v>
      </c>
      <c r="C134" s="2" t="s">
        <v>2</v>
      </c>
      <c r="D134" s="2" t="s">
        <v>3</v>
      </c>
      <c r="E134" s="2" t="s">
        <v>4</v>
      </c>
    </row>
    <row r="135" spans="2:5" x14ac:dyDescent="0.25">
      <c r="B135" s="3" t="s">
        <v>5</v>
      </c>
      <c r="C135" s="4">
        <v>51</v>
      </c>
      <c r="D135" s="4">
        <v>10</v>
      </c>
      <c r="E135" s="5">
        <f t="shared" ref="E135:E140" si="9">(C135-D135)/C135</f>
        <v>0.80392156862745101</v>
      </c>
    </row>
    <row r="136" spans="2:5" x14ac:dyDescent="0.25">
      <c r="B136" s="6" t="s">
        <v>6</v>
      </c>
      <c r="C136" s="7">
        <v>35</v>
      </c>
      <c r="D136" s="7">
        <v>0</v>
      </c>
      <c r="E136" s="8">
        <f t="shared" si="9"/>
        <v>1</v>
      </c>
    </row>
    <row r="137" spans="2:5" x14ac:dyDescent="0.25">
      <c r="B137" s="6" t="s">
        <v>7</v>
      </c>
      <c r="C137" s="7">
        <v>80</v>
      </c>
      <c r="D137" s="7">
        <v>0</v>
      </c>
      <c r="E137" s="8">
        <f t="shared" si="9"/>
        <v>1</v>
      </c>
    </row>
    <row r="138" spans="2:5" x14ac:dyDescent="0.25">
      <c r="B138" s="6" t="s">
        <v>8</v>
      </c>
      <c r="C138" s="7">
        <v>23</v>
      </c>
      <c r="D138" s="7">
        <v>0</v>
      </c>
      <c r="E138" s="8">
        <f t="shared" si="9"/>
        <v>1</v>
      </c>
    </row>
    <row r="139" spans="2:5" x14ac:dyDescent="0.25">
      <c r="B139" s="6" t="s">
        <v>9</v>
      </c>
      <c r="C139" s="7">
        <v>90</v>
      </c>
      <c r="D139" s="7">
        <v>0</v>
      </c>
      <c r="E139" s="8">
        <f t="shared" si="9"/>
        <v>1</v>
      </c>
    </row>
    <row r="140" spans="2:5" x14ac:dyDescent="0.25">
      <c r="B140" s="6" t="s">
        <v>10</v>
      </c>
      <c r="C140" s="7">
        <v>142</v>
      </c>
      <c r="D140" s="7">
        <v>42</v>
      </c>
      <c r="E140" s="8">
        <f t="shared" si="9"/>
        <v>0.70422535211267601</v>
      </c>
    </row>
    <row r="143" spans="2:5" s="53" customFormat="1" x14ac:dyDescent="0.25"/>
    <row r="146" spans="2:5" ht="18.75" x14ac:dyDescent="0.3">
      <c r="B146" s="50" t="s">
        <v>52</v>
      </c>
    </row>
    <row r="147" spans="2:5" ht="21" x14ac:dyDescent="0.25">
      <c r="B147" s="48">
        <v>42335</v>
      </c>
      <c r="C147" s="2" t="s">
        <v>2</v>
      </c>
      <c r="D147" s="2" t="s">
        <v>3</v>
      </c>
      <c r="E147" s="2" t="s">
        <v>4</v>
      </c>
    </row>
    <row r="148" spans="2:5" x14ac:dyDescent="0.25">
      <c r="B148" s="3" t="s">
        <v>5</v>
      </c>
      <c r="C148" s="4">
        <v>51</v>
      </c>
      <c r="D148" s="4">
        <v>5</v>
      </c>
      <c r="E148" s="5">
        <f t="shared" ref="E148:E153" si="10">(C148-D148)/C148</f>
        <v>0.90196078431372551</v>
      </c>
    </row>
    <row r="149" spans="2:5" x14ac:dyDescent="0.25">
      <c r="B149" s="6" t="s">
        <v>6</v>
      </c>
      <c r="C149" s="7">
        <v>35</v>
      </c>
      <c r="D149" s="7">
        <v>0</v>
      </c>
      <c r="E149" s="8">
        <f t="shared" si="10"/>
        <v>1</v>
      </c>
    </row>
    <row r="150" spans="2:5" x14ac:dyDescent="0.25">
      <c r="B150" s="6" t="s">
        <v>7</v>
      </c>
      <c r="C150" s="7">
        <v>80</v>
      </c>
      <c r="D150" s="7">
        <v>0</v>
      </c>
      <c r="E150" s="8">
        <f t="shared" si="10"/>
        <v>1</v>
      </c>
    </row>
    <row r="151" spans="2:5" x14ac:dyDescent="0.25">
      <c r="B151" s="6" t="s">
        <v>8</v>
      </c>
      <c r="C151" s="7">
        <v>23</v>
      </c>
      <c r="D151" s="7">
        <v>0</v>
      </c>
      <c r="E151" s="8">
        <f t="shared" si="10"/>
        <v>1</v>
      </c>
    </row>
    <row r="152" spans="2:5" x14ac:dyDescent="0.25">
      <c r="B152" s="6" t="s">
        <v>9</v>
      </c>
      <c r="C152" s="7">
        <v>90</v>
      </c>
      <c r="D152" s="7">
        <v>113</v>
      </c>
      <c r="E152" s="8">
        <f t="shared" si="10"/>
        <v>-0.25555555555555554</v>
      </c>
    </row>
    <row r="153" spans="2:5" x14ac:dyDescent="0.25">
      <c r="B153" s="6" t="s">
        <v>10</v>
      </c>
      <c r="C153" s="7">
        <v>142</v>
      </c>
      <c r="D153" s="7">
        <v>96</v>
      </c>
      <c r="E153" s="8">
        <f t="shared" si="10"/>
        <v>0.323943661971831</v>
      </c>
    </row>
    <row r="158" spans="2:5" s="53" customFormat="1" x14ac:dyDescent="0.25"/>
    <row r="161" spans="2:5" ht="18.75" x14ac:dyDescent="0.3">
      <c r="B161" s="50" t="s">
        <v>53</v>
      </c>
    </row>
    <row r="162" spans="2:5" ht="21" x14ac:dyDescent="0.25">
      <c r="B162" s="48">
        <v>42335</v>
      </c>
      <c r="C162" s="2" t="s">
        <v>2</v>
      </c>
      <c r="D162" s="2" t="s">
        <v>3</v>
      </c>
      <c r="E162" s="2" t="s">
        <v>4</v>
      </c>
    </row>
    <row r="163" spans="2:5" x14ac:dyDescent="0.25">
      <c r="B163" s="3" t="s">
        <v>5</v>
      </c>
      <c r="C163" s="4">
        <v>51</v>
      </c>
      <c r="D163" s="4">
        <v>51</v>
      </c>
      <c r="E163" s="5">
        <f t="shared" ref="E163:E168" si="11">(C163-D163)/C163</f>
        <v>0</v>
      </c>
    </row>
    <row r="164" spans="2:5" x14ac:dyDescent="0.25">
      <c r="B164" s="6" t="s">
        <v>6</v>
      </c>
      <c r="C164" s="7">
        <v>35</v>
      </c>
      <c r="D164" s="7">
        <v>209</v>
      </c>
      <c r="E164" s="8">
        <f t="shared" si="11"/>
        <v>-4.9714285714285715</v>
      </c>
    </row>
    <row r="165" spans="2:5" x14ac:dyDescent="0.25">
      <c r="B165" s="6" t="s">
        <v>7</v>
      </c>
      <c r="C165" s="7">
        <v>80</v>
      </c>
      <c r="D165" s="7">
        <v>43</v>
      </c>
      <c r="E165" s="8">
        <f t="shared" si="11"/>
        <v>0.46250000000000002</v>
      </c>
    </row>
    <row r="166" spans="2:5" x14ac:dyDescent="0.25">
      <c r="B166" s="6" t="s">
        <v>8</v>
      </c>
      <c r="C166" s="7">
        <v>23</v>
      </c>
      <c r="D166" s="7">
        <v>4</v>
      </c>
      <c r="E166" s="8">
        <f t="shared" si="11"/>
        <v>0.82608695652173914</v>
      </c>
    </row>
    <row r="167" spans="2:5" x14ac:dyDescent="0.25">
      <c r="B167" s="6" t="s">
        <v>9</v>
      </c>
      <c r="C167" s="7">
        <v>90</v>
      </c>
      <c r="D167" s="7">
        <v>0</v>
      </c>
      <c r="E167" s="8">
        <f t="shared" si="11"/>
        <v>1</v>
      </c>
    </row>
    <row r="168" spans="2:5" x14ac:dyDescent="0.25">
      <c r="B168" s="6" t="s">
        <v>10</v>
      </c>
      <c r="C168" s="7">
        <v>142</v>
      </c>
      <c r="D168" s="7">
        <v>30</v>
      </c>
      <c r="E168" s="8">
        <f t="shared" si="11"/>
        <v>0.78873239436619713</v>
      </c>
    </row>
    <row r="171" spans="2:5" s="53" customFormat="1" x14ac:dyDescent="0.25"/>
    <row r="173" spans="2:5" ht="18.75" x14ac:dyDescent="0.3">
      <c r="B173" s="50" t="s">
        <v>54</v>
      </c>
    </row>
    <row r="174" spans="2:5" ht="21" x14ac:dyDescent="0.25">
      <c r="B174" s="48">
        <v>42335</v>
      </c>
      <c r="C174" s="2" t="s">
        <v>2</v>
      </c>
      <c r="D174" s="2" t="s">
        <v>3</v>
      </c>
      <c r="E174" s="2" t="s">
        <v>4</v>
      </c>
    </row>
    <row r="175" spans="2:5" x14ac:dyDescent="0.25">
      <c r="B175" s="3" t="s">
        <v>5</v>
      </c>
      <c r="C175" s="4">
        <v>51</v>
      </c>
      <c r="D175" s="4">
        <v>10</v>
      </c>
      <c r="E175" s="5">
        <f t="shared" ref="E175:E180" si="12">(C175-D175)/C175</f>
        <v>0.80392156862745101</v>
      </c>
    </row>
    <row r="176" spans="2:5" x14ac:dyDescent="0.25">
      <c r="B176" s="6" t="s">
        <v>6</v>
      </c>
      <c r="C176" s="7">
        <v>35</v>
      </c>
      <c r="D176" s="7">
        <v>0</v>
      </c>
      <c r="E176" s="8">
        <f t="shared" si="12"/>
        <v>1</v>
      </c>
    </row>
    <row r="177" spans="2:5" x14ac:dyDescent="0.25">
      <c r="B177" s="6" t="s">
        <v>7</v>
      </c>
      <c r="C177" s="7">
        <v>80</v>
      </c>
      <c r="D177" s="7">
        <v>0</v>
      </c>
      <c r="E177" s="8">
        <f t="shared" si="12"/>
        <v>1</v>
      </c>
    </row>
    <row r="178" spans="2:5" x14ac:dyDescent="0.25">
      <c r="B178" s="6" t="s">
        <v>8</v>
      </c>
      <c r="C178" s="7">
        <v>23</v>
      </c>
      <c r="D178" s="7">
        <v>0</v>
      </c>
      <c r="E178" s="8">
        <f t="shared" si="12"/>
        <v>1</v>
      </c>
    </row>
    <row r="179" spans="2:5" x14ac:dyDescent="0.25">
      <c r="B179" s="6" t="s">
        <v>9</v>
      </c>
      <c r="C179" s="7">
        <v>90</v>
      </c>
      <c r="D179" s="7">
        <v>110</v>
      </c>
      <c r="E179" s="8">
        <f t="shared" si="12"/>
        <v>-0.22222222222222221</v>
      </c>
    </row>
    <row r="180" spans="2:5" x14ac:dyDescent="0.25">
      <c r="B180" s="6" t="s">
        <v>10</v>
      </c>
      <c r="C180" s="7">
        <v>142</v>
      </c>
      <c r="D180" s="7">
        <v>42</v>
      </c>
      <c r="E180" s="8">
        <f t="shared" si="12"/>
        <v>0.70422535211267601</v>
      </c>
    </row>
    <row r="186" spans="2:5" s="53" customFormat="1" x14ac:dyDescent="0.25"/>
    <row r="187" spans="2:5" ht="15.75" customHeight="1" x14ac:dyDescent="0.25"/>
    <row r="188" spans="2:5" ht="18.75" x14ac:dyDescent="0.3">
      <c r="B188" s="50" t="s">
        <v>55</v>
      </c>
    </row>
    <row r="189" spans="2:5" ht="21" x14ac:dyDescent="0.25">
      <c r="B189" s="48">
        <v>42335</v>
      </c>
      <c r="C189" s="2" t="s">
        <v>2</v>
      </c>
      <c r="D189" s="2" t="s">
        <v>3</v>
      </c>
      <c r="E189" s="2" t="s">
        <v>4</v>
      </c>
    </row>
    <row r="190" spans="2:5" x14ac:dyDescent="0.25">
      <c r="B190" s="3" t="s">
        <v>5</v>
      </c>
      <c r="C190" s="4">
        <v>51</v>
      </c>
      <c r="D190" s="4">
        <v>12</v>
      </c>
      <c r="E190" s="5">
        <f t="shared" ref="E190:E195" si="13">(C190-D190)/C190</f>
        <v>0.76470588235294112</v>
      </c>
    </row>
    <row r="191" spans="2:5" x14ac:dyDescent="0.25">
      <c r="B191" s="6" t="s">
        <v>6</v>
      </c>
      <c r="C191" s="7">
        <v>35</v>
      </c>
      <c r="D191" s="7">
        <v>0</v>
      </c>
      <c r="E191" s="8">
        <f t="shared" si="13"/>
        <v>1</v>
      </c>
    </row>
    <row r="192" spans="2:5" x14ac:dyDescent="0.25">
      <c r="B192" s="6" t="s">
        <v>7</v>
      </c>
      <c r="C192" s="7">
        <v>80</v>
      </c>
      <c r="D192" s="7">
        <v>0</v>
      </c>
      <c r="E192" s="8">
        <f t="shared" si="13"/>
        <v>1</v>
      </c>
    </row>
    <row r="193" spans="2:5" x14ac:dyDescent="0.25">
      <c r="B193" s="6" t="s">
        <v>8</v>
      </c>
      <c r="C193" s="7">
        <v>23</v>
      </c>
      <c r="D193" s="7">
        <v>0</v>
      </c>
      <c r="E193" s="8">
        <f t="shared" si="13"/>
        <v>1</v>
      </c>
    </row>
    <row r="194" spans="2:5" x14ac:dyDescent="0.25">
      <c r="B194" s="6" t="s">
        <v>9</v>
      </c>
      <c r="C194" s="7">
        <v>90</v>
      </c>
      <c r="D194" s="7">
        <v>43</v>
      </c>
      <c r="E194" s="8">
        <f t="shared" si="13"/>
        <v>0.52222222222222225</v>
      </c>
    </row>
    <row r="195" spans="2:5" x14ac:dyDescent="0.25">
      <c r="B195" s="6" t="s">
        <v>10</v>
      </c>
      <c r="C195" s="7">
        <v>142</v>
      </c>
      <c r="D195" s="7">
        <v>3</v>
      </c>
      <c r="E195" s="8">
        <f t="shared" si="13"/>
        <v>0.97887323943661975</v>
      </c>
    </row>
    <row r="200" spans="2:5" s="53" customFormat="1" x14ac:dyDescent="0.25"/>
    <row r="203" spans="2:5" ht="18.75" x14ac:dyDescent="0.3">
      <c r="B203" s="50" t="s">
        <v>56</v>
      </c>
    </row>
    <row r="204" spans="2:5" ht="21" x14ac:dyDescent="0.25">
      <c r="B204" s="48">
        <v>42335</v>
      </c>
      <c r="C204" s="2" t="s">
        <v>2</v>
      </c>
      <c r="D204" s="2" t="s">
        <v>3</v>
      </c>
      <c r="E204" s="2" t="s">
        <v>4</v>
      </c>
    </row>
    <row r="205" spans="2:5" x14ac:dyDescent="0.25">
      <c r="B205" s="3" t="s">
        <v>5</v>
      </c>
      <c r="C205" s="4">
        <v>51</v>
      </c>
      <c r="D205" s="4">
        <v>3</v>
      </c>
      <c r="E205" s="5">
        <f t="shared" ref="E205:E210" si="14">(C205-D205)/C205</f>
        <v>0.94117647058823528</v>
      </c>
    </row>
    <row r="206" spans="2:5" x14ac:dyDescent="0.25">
      <c r="B206" s="6" t="s">
        <v>6</v>
      </c>
      <c r="C206" s="7">
        <v>35</v>
      </c>
      <c r="D206" s="7">
        <v>0</v>
      </c>
      <c r="E206" s="8">
        <f t="shared" si="14"/>
        <v>1</v>
      </c>
    </row>
    <row r="207" spans="2:5" x14ac:dyDescent="0.25">
      <c r="B207" s="6" t="s">
        <v>7</v>
      </c>
      <c r="C207" s="7">
        <v>80</v>
      </c>
      <c r="D207" s="7">
        <v>0</v>
      </c>
      <c r="E207" s="8">
        <f t="shared" si="14"/>
        <v>1</v>
      </c>
    </row>
    <row r="208" spans="2:5" x14ac:dyDescent="0.25">
      <c r="B208" s="6" t="s">
        <v>8</v>
      </c>
      <c r="C208" s="7">
        <v>23</v>
      </c>
      <c r="D208" s="7">
        <v>0</v>
      </c>
      <c r="E208" s="8">
        <f t="shared" si="14"/>
        <v>1</v>
      </c>
    </row>
    <row r="209" spans="2:5" x14ac:dyDescent="0.25">
      <c r="B209" s="6" t="s">
        <v>9</v>
      </c>
      <c r="C209" s="7">
        <v>90</v>
      </c>
      <c r="D209" s="7">
        <v>5</v>
      </c>
      <c r="E209" s="8">
        <f t="shared" si="14"/>
        <v>0.94444444444444442</v>
      </c>
    </row>
    <row r="210" spans="2:5" x14ac:dyDescent="0.25">
      <c r="B210" s="6" t="s">
        <v>10</v>
      </c>
      <c r="C210" s="7">
        <v>142</v>
      </c>
      <c r="D210" s="7">
        <v>3</v>
      </c>
      <c r="E210" s="8">
        <f t="shared" si="14"/>
        <v>0.97887323943661975</v>
      </c>
    </row>
    <row r="215" spans="2:5" s="53" customFormat="1" x14ac:dyDescent="0.25"/>
    <row r="218" spans="2:5" ht="18.75" x14ac:dyDescent="0.3">
      <c r="B218" s="50" t="s">
        <v>57</v>
      </c>
    </row>
    <row r="219" spans="2:5" ht="21" x14ac:dyDescent="0.25">
      <c r="B219" s="48">
        <v>42335</v>
      </c>
      <c r="C219" s="2" t="s">
        <v>2</v>
      </c>
      <c r="D219" s="2" t="s">
        <v>3</v>
      </c>
      <c r="E219" s="2" t="s">
        <v>4</v>
      </c>
    </row>
    <row r="220" spans="2:5" x14ac:dyDescent="0.25">
      <c r="B220" s="3" t="s">
        <v>5</v>
      </c>
      <c r="C220" s="4">
        <v>51</v>
      </c>
      <c r="D220" s="4">
        <v>601</v>
      </c>
      <c r="E220" s="5">
        <f t="shared" ref="E220:E225" si="15">(C220-D220)/C220</f>
        <v>-10.784313725490197</v>
      </c>
    </row>
    <row r="221" spans="2:5" x14ac:dyDescent="0.25">
      <c r="B221" s="6" t="s">
        <v>6</v>
      </c>
      <c r="C221" s="7">
        <v>35</v>
      </c>
      <c r="D221" s="7">
        <v>57</v>
      </c>
      <c r="E221" s="8">
        <f t="shared" si="15"/>
        <v>-0.62857142857142856</v>
      </c>
    </row>
    <row r="222" spans="2:5" x14ac:dyDescent="0.25">
      <c r="B222" s="6" t="s">
        <v>7</v>
      </c>
      <c r="C222" s="7">
        <v>240</v>
      </c>
      <c r="D222" s="7">
        <v>317</v>
      </c>
      <c r="E222" s="8">
        <f t="shared" si="15"/>
        <v>-0.32083333333333336</v>
      </c>
    </row>
    <row r="223" spans="2:5" x14ac:dyDescent="0.25">
      <c r="B223" s="6" t="s">
        <v>8</v>
      </c>
      <c r="C223" s="7">
        <v>23</v>
      </c>
      <c r="D223" s="7">
        <v>11</v>
      </c>
      <c r="E223" s="8">
        <f t="shared" si="15"/>
        <v>0.52173913043478259</v>
      </c>
    </row>
    <row r="224" spans="2:5" x14ac:dyDescent="0.25">
      <c r="B224" s="6" t="s">
        <v>9</v>
      </c>
      <c r="C224" s="7">
        <v>90</v>
      </c>
      <c r="D224" s="7">
        <v>0</v>
      </c>
      <c r="E224" s="8">
        <f t="shared" si="15"/>
        <v>1</v>
      </c>
    </row>
    <row r="225" spans="2:5" x14ac:dyDescent="0.25">
      <c r="B225" s="6" t="s">
        <v>10</v>
      </c>
      <c r="C225" s="7">
        <v>142</v>
      </c>
      <c r="D225" s="7">
        <v>21</v>
      </c>
      <c r="E225" s="8">
        <f t="shared" si="15"/>
        <v>0.852112676056338</v>
      </c>
    </row>
    <row r="228" spans="2:5" s="53" customFormat="1" x14ac:dyDescent="0.25"/>
    <row r="230" spans="2:5" ht="18.75" x14ac:dyDescent="0.3">
      <c r="B230" s="50" t="s">
        <v>48</v>
      </c>
    </row>
    <row r="231" spans="2:5" ht="21" x14ac:dyDescent="0.25">
      <c r="B231" s="48">
        <v>42335</v>
      </c>
      <c r="C231" s="2" t="s">
        <v>2</v>
      </c>
      <c r="D231" s="2" t="s">
        <v>3</v>
      </c>
      <c r="E231" s="2" t="s">
        <v>4</v>
      </c>
    </row>
    <row r="232" spans="2:5" x14ac:dyDescent="0.25">
      <c r="B232" s="3" t="s">
        <v>5</v>
      </c>
      <c r="C232" s="4">
        <v>51</v>
      </c>
      <c r="D232" s="4">
        <v>14</v>
      </c>
      <c r="E232" s="5">
        <f t="shared" ref="E232:E237" si="16">(C232-D232)/C232</f>
        <v>0.72549019607843135</v>
      </c>
    </row>
    <row r="233" spans="2:5" x14ac:dyDescent="0.25">
      <c r="B233" s="6" t="s">
        <v>6</v>
      </c>
      <c r="C233" s="7">
        <v>35</v>
      </c>
      <c r="D233" s="7">
        <v>90</v>
      </c>
      <c r="E233" s="8">
        <f t="shared" si="16"/>
        <v>-1.5714285714285714</v>
      </c>
    </row>
    <row r="234" spans="2:5" x14ac:dyDescent="0.25">
      <c r="B234" s="6" t="s">
        <v>7</v>
      </c>
      <c r="C234" s="7">
        <v>80</v>
      </c>
      <c r="D234" s="7">
        <v>89</v>
      </c>
      <c r="E234" s="8">
        <f t="shared" si="16"/>
        <v>-0.1125</v>
      </c>
    </row>
    <row r="235" spans="2:5" x14ac:dyDescent="0.25">
      <c r="B235" s="6" t="s">
        <v>8</v>
      </c>
      <c r="C235" s="7">
        <v>23</v>
      </c>
      <c r="D235" s="7">
        <v>8</v>
      </c>
      <c r="E235" s="8">
        <f t="shared" si="16"/>
        <v>0.65217391304347827</v>
      </c>
    </row>
    <row r="236" spans="2:5" x14ac:dyDescent="0.25">
      <c r="B236" s="6" t="s">
        <v>9</v>
      </c>
      <c r="C236" s="7">
        <v>90</v>
      </c>
      <c r="D236" s="7">
        <v>0</v>
      </c>
      <c r="E236" s="8">
        <f t="shared" si="16"/>
        <v>1</v>
      </c>
    </row>
    <row r="237" spans="2:5" x14ac:dyDescent="0.25">
      <c r="B237" s="6" t="s">
        <v>10</v>
      </c>
      <c r="C237" s="7">
        <v>142</v>
      </c>
      <c r="D237" s="7">
        <v>11</v>
      </c>
      <c r="E237" s="8">
        <f t="shared" si="16"/>
        <v>0.92253521126760563</v>
      </c>
    </row>
    <row r="242" spans="2:5" s="53" customFormat="1" x14ac:dyDescent="0.25"/>
    <row r="245" spans="2:5" ht="18.75" x14ac:dyDescent="0.3">
      <c r="B245" s="50" t="s">
        <v>58</v>
      </c>
    </row>
    <row r="246" spans="2:5" ht="21" x14ac:dyDescent="0.25">
      <c r="B246" s="48">
        <v>42335</v>
      </c>
      <c r="C246" s="2" t="s">
        <v>2</v>
      </c>
      <c r="D246" s="2" t="s">
        <v>3</v>
      </c>
      <c r="E246" s="2" t="s">
        <v>4</v>
      </c>
    </row>
    <row r="247" spans="2:5" x14ac:dyDescent="0.25">
      <c r="B247" s="3" t="s">
        <v>5</v>
      </c>
      <c r="C247" s="4">
        <v>51</v>
      </c>
      <c r="D247" s="4">
        <v>0</v>
      </c>
      <c r="E247" s="5">
        <f t="shared" ref="E247:E252" si="17">(C247-D247)/C247</f>
        <v>1</v>
      </c>
    </row>
    <row r="248" spans="2:5" x14ac:dyDescent="0.25">
      <c r="B248" s="6" t="s">
        <v>6</v>
      </c>
      <c r="C248" s="7">
        <v>35</v>
      </c>
      <c r="D248" s="7">
        <v>0</v>
      </c>
      <c r="E248" s="8">
        <f t="shared" si="17"/>
        <v>1</v>
      </c>
    </row>
    <row r="249" spans="2:5" x14ac:dyDescent="0.25">
      <c r="B249" s="6" t="s">
        <v>7</v>
      </c>
      <c r="C249" s="7">
        <v>80</v>
      </c>
      <c r="D249" s="7">
        <v>0</v>
      </c>
      <c r="E249" s="8">
        <f t="shared" si="17"/>
        <v>1</v>
      </c>
    </row>
    <row r="250" spans="2:5" x14ac:dyDescent="0.25">
      <c r="B250" s="6" t="s">
        <v>8</v>
      </c>
      <c r="C250" s="7">
        <v>23</v>
      </c>
      <c r="D250" s="7">
        <v>10</v>
      </c>
      <c r="E250" s="8">
        <f t="shared" si="17"/>
        <v>0.56521739130434778</v>
      </c>
    </row>
    <row r="251" spans="2:5" x14ac:dyDescent="0.25">
      <c r="B251" s="6" t="s">
        <v>9</v>
      </c>
      <c r="C251" s="7">
        <v>90</v>
      </c>
      <c r="D251" s="7">
        <v>43</v>
      </c>
      <c r="E251" s="8">
        <f t="shared" si="17"/>
        <v>0.52222222222222225</v>
      </c>
    </row>
    <row r="252" spans="2:5" x14ac:dyDescent="0.25">
      <c r="B252" s="6" t="s">
        <v>10</v>
      </c>
      <c r="C252" s="7">
        <v>142</v>
      </c>
      <c r="D252" s="7">
        <v>5</v>
      </c>
      <c r="E252" s="8">
        <f t="shared" si="17"/>
        <v>0.96478873239436624</v>
      </c>
    </row>
    <row r="253" spans="2:5" ht="14.25" customHeight="1" x14ac:dyDescent="0.25"/>
    <row r="254" spans="2:5" ht="14.25" customHeight="1" x14ac:dyDescent="0.25"/>
    <row r="255" spans="2:5" ht="14.25" customHeight="1" x14ac:dyDescent="0.25"/>
    <row r="256" spans="2:5" ht="14.25" customHeight="1" x14ac:dyDescent="0.25"/>
    <row r="257" spans="2:5" s="53" customFormat="1" x14ac:dyDescent="0.25"/>
    <row r="260" spans="2:5" ht="18.75" x14ac:dyDescent="0.3">
      <c r="B260" s="50" t="s">
        <v>59</v>
      </c>
    </row>
    <row r="261" spans="2:5" ht="21" x14ac:dyDescent="0.25">
      <c r="B261" s="48">
        <v>42335</v>
      </c>
      <c r="C261" s="2" t="s">
        <v>2</v>
      </c>
      <c r="D261" s="2" t="s">
        <v>3</v>
      </c>
      <c r="E261" s="2" t="s">
        <v>4</v>
      </c>
    </row>
    <row r="262" spans="2:5" x14ac:dyDescent="0.25">
      <c r="B262" s="3" t="s">
        <v>5</v>
      </c>
      <c r="C262" s="4">
        <v>51</v>
      </c>
      <c r="D262" s="4">
        <v>17</v>
      </c>
      <c r="E262" s="5">
        <f t="shared" ref="E262:E267" si="18">(C262-D262)/C262</f>
        <v>0.66666666666666663</v>
      </c>
    </row>
    <row r="263" spans="2:5" x14ac:dyDescent="0.25">
      <c r="B263" s="6" t="s">
        <v>6</v>
      </c>
      <c r="C263" s="7">
        <v>35</v>
      </c>
      <c r="D263" s="7">
        <v>142</v>
      </c>
      <c r="E263" s="8">
        <f t="shared" si="18"/>
        <v>-3.0571428571428569</v>
      </c>
    </row>
    <row r="264" spans="2:5" x14ac:dyDescent="0.25">
      <c r="B264" s="6" t="s">
        <v>7</v>
      </c>
      <c r="C264" s="7">
        <v>80</v>
      </c>
      <c r="D264" s="7">
        <v>0</v>
      </c>
      <c r="E264" s="8">
        <f t="shared" si="18"/>
        <v>1</v>
      </c>
    </row>
    <row r="265" spans="2:5" x14ac:dyDescent="0.25">
      <c r="B265" s="6" t="s">
        <v>8</v>
      </c>
      <c r="C265" s="7">
        <v>23</v>
      </c>
      <c r="D265" s="7">
        <v>5</v>
      </c>
      <c r="E265" s="8">
        <f t="shared" si="18"/>
        <v>0.78260869565217395</v>
      </c>
    </row>
    <row r="266" spans="2:5" x14ac:dyDescent="0.25">
      <c r="B266" s="6" t="s">
        <v>9</v>
      </c>
      <c r="C266" s="7">
        <v>90</v>
      </c>
      <c r="D266" s="7">
        <v>0</v>
      </c>
      <c r="E266" s="8">
        <f t="shared" si="18"/>
        <v>1</v>
      </c>
    </row>
    <row r="267" spans="2:5" x14ac:dyDescent="0.25">
      <c r="B267" s="6" t="s">
        <v>10</v>
      </c>
      <c r="C267" s="7">
        <v>142</v>
      </c>
      <c r="D267" s="7">
        <v>6</v>
      </c>
      <c r="E267" s="8">
        <f t="shared" si="18"/>
        <v>0.95774647887323938</v>
      </c>
    </row>
    <row r="271" spans="2:5" s="53" customFormat="1" x14ac:dyDescent="0.25"/>
    <row r="272" spans="2:5" ht="18.75" x14ac:dyDescent="0.3">
      <c r="B272" s="50" t="s">
        <v>60</v>
      </c>
    </row>
    <row r="273" spans="2:5" ht="21" x14ac:dyDescent="0.25">
      <c r="B273" s="48">
        <v>42335</v>
      </c>
      <c r="C273" s="2" t="s">
        <v>2</v>
      </c>
      <c r="D273" s="2" t="s">
        <v>3</v>
      </c>
      <c r="E273" s="2" t="s">
        <v>4</v>
      </c>
    </row>
    <row r="274" spans="2:5" x14ac:dyDescent="0.25">
      <c r="B274" s="3" t="s">
        <v>5</v>
      </c>
      <c r="C274" s="4">
        <v>51</v>
      </c>
      <c r="D274" s="4">
        <v>9</v>
      </c>
      <c r="E274" s="5">
        <f t="shared" ref="E274:E279" si="19">(C274-D274)/C274</f>
        <v>0.82352941176470584</v>
      </c>
    </row>
    <row r="275" spans="2:5" x14ac:dyDescent="0.25">
      <c r="B275" s="6" t="s">
        <v>6</v>
      </c>
      <c r="C275" s="7">
        <v>35</v>
      </c>
      <c r="D275" s="7">
        <v>42</v>
      </c>
      <c r="E275" s="8">
        <f t="shared" si="19"/>
        <v>-0.2</v>
      </c>
    </row>
    <row r="276" spans="2:5" x14ac:dyDescent="0.25">
      <c r="B276" s="6" t="s">
        <v>7</v>
      </c>
      <c r="C276" s="7">
        <v>80</v>
      </c>
      <c r="D276" s="7">
        <v>0</v>
      </c>
      <c r="E276" s="8">
        <f t="shared" si="19"/>
        <v>1</v>
      </c>
    </row>
    <row r="277" spans="2:5" x14ac:dyDescent="0.25">
      <c r="B277" s="6" t="s">
        <v>8</v>
      </c>
      <c r="C277" s="7">
        <v>23</v>
      </c>
      <c r="D277" s="7">
        <v>5</v>
      </c>
      <c r="E277" s="8">
        <f t="shared" si="19"/>
        <v>0.78260869565217395</v>
      </c>
    </row>
    <row r="278" spans="2:5" x14ac:dyDescent="0.25">
      <c r="B278" s="6" t="s">
        <v>9</v>
      </c>
      <c r="C278" s="7">
        <v>90</v>
      </c>
      <c r="D278" s="7">
        <v>0</v>
      </c>
      <c r="E278" s="8">
        <f t="shared" si="19"/>
        <v>1</v>
      </c>
    </row>
    <row r="279" spans="2:5" x14ac:dyDescent="0.25">
      <c r="B279" s="6" t="s">
        <v>10</v>
      </c>
      <c r="C279" s="7">
        <v>142</v>
      </c>
      <c r="D279" s="7">
        <v>15</v>
      </c>
      <c r="E279" s="8">
        <f t="shared" si="19"/>
        <v>0.89436619718309862</v>
      </c>
    </row>
    <row r="285" spans="2:5" s="53" customFormat="1" x14ac:dyDescent="0.25"/>
    <row r="287" spans="2:5" ht="18.75" x14ac:dyDescent="0.3">
      <c r="B287" s="50" t="s">
        <v>61</v>
      </c>
    </row>
    <row r="288" spans="2:5" ht="21" x14ac:dyDescent="0.25">
      <c r="B288" s="48">
        <v>42335</v>
      </c>
      <c r="C288" s="2" t="s">
        <v>2</v>
      </c>
      <c r="D288" s="2" t="s">
        <v>3</v>
      </c>
      <c r="E288" s="2" t="s">
        <v>4</v>
      </c>
    </row>
    <row r="289" spans="2:5" x14ac:dyDescent="0.25">
      <c r="B289" s="3" t="s">
        <v>5</v>
      </c>
      <c r="C289" s="4">
        <v>51</v>
      </c>
      <c r="D289" s="4">
        <v>1</v>
      </c>
      <c r="E289" s="5">
        <f t="shared" ref="E289:E294" si="20">(C289-D289)/C289</f>
        <v>0.98039215686274506</v>
      </c>
    </row>
    <row r="290" spans="2:5" x14ac:dyDescent="0.25">
      <c r="B290" s="6" t="s">
        <v>6</v>
      </c>
      <c r="C290" s="7">
        <v>35</v>
      </c>
      <c r="D290" s="7">
        <v>52</v>
      </c>
      <c r="E290" s="8">
        <f t="shared" si="20"/>
        <v>-0.48571428571428571</v>
      </c>
    </row>
    <row r="291" spans="2:5" x14ac:dyDescent="0.25">
      <c r="B291" s="6" t="s">
        <v>7</v>
      </c>
      <c r="C291" s="7">
        <v>80</v>
      </c>
      <c r="D291" s="7">
        <v>0</v>
      </c>
      <c r="E291" s="8">
        <f t="shared" si="20"/>
        <v>1</v>
      </c>
    </row>
    <row r="292" spans="2:5" x14ac:dyDescent="0.25">
      <c r="B292" s="6" t="s">
        <v>8</v>
      </c>
      <c r="C292" s="7">
        <v>23</v>
      </c>
      <c r="D292" s="7">
        <v>2</v>
      </c>
      <c r="E292" s="8">
        <f t="shared" si="20"/>
        <v>0.91304347826086951</v>
      </c>
    </row>
    <row r="293" spans="2:5" x14ac:dyDescent="0.25">
      <c r="B293" s="6" t="s">
        <v>9</v>
      </c>
      <c r="C293" s="7">
        <v>90</v>
      </c>
      <c r="D293" s="7">
        <v>0</v>
      </c>
      <c r="E293" s="8">
        <f t="shared" si="20"/>
        <v>1</v>
      </c>
    </row>
    <row r="294" spans="2:5" x14ac:dyDescent="0.25">
      <c r="B294" s="6" t="s">
        <v>10</v>
      </c>
      <c r="C294" s="7">
        <v>142</v>
      </c>
      <c r="D294" s="7">
        <v>12</v>
      </c>
      <c r="E294" s="8">
        <f t="shared" si="20"/>
        <v>0.91549295774647887</v>
      </c>
    </row>
    <row r="300" spans="2:5" s="53" customFormat="1" x14ac:dyDescent="0.25"/>
    <row r="302" spans="2:5" ht="18.75" x14ac:dyDescent="0.3">
      <c r="B302" s="50" t="s">
        <v>62</v>
      </c>
    </row>
    <row r="303" spans="2:5" ht="21" x14ac:dyDescent="0.25">
      <c r="B303" s="48">
        <v>42335</v>
      </c>
      <c r="C303" s="2" t="s">
        <v>2</v>
      </c>
      <c r="D303" s="2" t="s">
        <v>3</v>
      </c>
      <c r="E303" s="2" t="s">
        <v>4</v>
      </c>
    </row>
    <row r="304" spans="2:5" x14ac:dyDescent="0.25">
      <c r="B304" s="3" t="s">
        <v>5</v>
      </c>
      <c r="C304" s="4">
        <v>51</v>
      </c>
      <c r="D304" s="4">
        <v>35</v>
      </c>
      <c r="E304" s="5">
        <f t="shared" ref="E304:E309" si="21">(C304-D304)/C304</f>
        <v>0.31372549019607843</v>
      </c>
    </row>
    <row r="305" spans="2:5" x14ac:dyDescent="0.25">
      <c r="B305" s="6" t="s">
        <v>6</v>
      </c>
      <c r="C305" s="7">
        <v>35</v>
      </c>
      <c r="D305" s="7">
        <v>223</v>
      </c>
      <c r="E305" s="8">
        <f t="shared" si="21"/>
        <v>-5.371428571428571</v>
      </c>
    </row>
    <row r="306" spans="2:5" x14ac:dyDescent="0.25">
      <c r="B306" s="6" t="s">
        <v>7</v>
      </c>
      <c r="C306" s="7">
        <v>80</v>
      </c>
      <c r="D306" s="7">
        <v>168</v>
      </c>
      <c r="E306" s="8">
        <f t="shared" si="21"/>
        <v>-1.1000000000000001</v>
      </c>
    </row>
    <row r="307" spans="2:5" x14ac:dyDescent="0.25">
      <c r="B307" s="6" t="s">
        <v>8</v>
      </c>
      <c r="C307" s="7">
        <v>23</v>
      </c>
      <c r="D307" s="7">
        <v>1</v>
      </c>
      <c r="E307" s="8">
        <f t="shared" si="21"/>
        <v>0.95652173913043481</v>
      </c>
    </row>
    <row r="308" spans="2:5" x14ac:dyDescent="0.25">
      <c r="B308" s="6" t="s">
        <v>9</v>
      </c>
      <c r="C308" s="7">
        <v>90</v>
      </c>
      <c r="D308" s="7">
        <v>0</v>
      </c>
      <c r="E308" s="8">
        <f t="shared" si="21"/>
        <v>1</v>
      </c>
    </row>
    <row r="309" spans="2:5" x14ac:dyDescent="0.25">
      <c r="B309" s="6" t="s">
        <v>10</v>
      </c>
      <c r="C309" s="7">
        <v>142</v>
      </c>
      <c r="D309" s="7">
        <v>51</v>
      </c>
      <c r="E309" s="8">
        <f t="shared" si="21"/>
        <v>0.64084507042253525</v>
      </c>
    </row>
    <row r="314" spans="2:5" s="53" customFormat="1" x14ac:dyDescent="0.25"/>
    <row r="317" spans="2:5" ht="18.75" x14ac:dyDescent="0.3">
      <c r="B317" s="50" t="s">
        <v>63</v>
      </c>
    </row>
    <row r="318" spans="2:5" ht="21" x14ac:dyDescent="0.25">
      <c r="B318" s="48">
        <v>42335</v>
      </c>
      <c r="C318" s="2" t="s">
        <v>2</v>
      </c>
      <c r="D318" s="2" t="s">
        <v>3</v>
      </c>
      <c r="E318" s="2" t="s">
        <v>4</v>
      </c>
    </row>
    <row r="319" spans="2:5" x14ac:dyDescent="0.25">
      <c r="B319" s="3" t="s">
        <v>5</v>
      </c>
      <c r="C319" s="4">
        <v>51</v>
      </c>
      <c r="D319" s="4">
        <v>22</v>
      </c>
      <c r="E319" s="5">
        <f t="shared" ref="E319:E324" si="22">(C319-D319)/C319</f>
        <v>0.56862745098039214</v>
      </c>
    </row>
    <row r="320" spans="2:5" x14ac:dyDescent="0.25">
      <c r="B320" s="6" t="s">
        <v>6</v>
      </c>
      <c r="C320" s="7">
        <v>35</v>
      </c>
      <c r="D320" s="7">
        <v>90</v>
      </c>
      <c r="E320" s="8">
        <f t="shared" si="22"/>
        <v>-1.5714285714285714</v>
      </c>
    </row>
    <row r="321" spans="2:5" x14ac:dyDescent="0.25">
      <c r="B321" s="6" t="s">
        <v>7</v>
      </c>
      <c r="C321" s="7">
        <v>80</v>
      </c>
      <c r="D321" s="7">
        <v>0</v>
      </c>
      <c r="E321" s="8">
        <f t="shared" si="22"/>
        <v>1</v>
      </c>
    </row>
    <row r="322" spans="2:5" x14ac:dyDescent="0.25">
      <c r="B322" s="6" t="s">
        <v>8</v>
      </c>
      <c r="C322" s="7">
        <v>23</v>
      </c>
      <c r="D322" s="7">
        <v>58</v>
      </c>
      <c r="E322" s="8">
        <f t="shared" si="22"/>
        <v>-1.5217391304347827</v>
      </c>
    </row>
    <row r="323" spans="2:5" x14ac:dyDescent="0.25">
      <c r="B323" s="6" t="s">
        <v>9</v>
      </c>
      <c r="C323" s="7">
        <v>90</v>
      </c>
      <c r="D323" s="7">
        <v>0</v>
      </c>
      <c r="E323" s="8">
        <f t="shared" si="22"/>
        <v>1</v>
      </c>
    </row>
    <row r="324" spans="2:5" x14ac:dyDescent="0.25">
      <c r="B324" s="6" t="s">
        <v>10</v>
      </c>
      <c r="C324" s="7">
        <v>142</v>
      </c>
      <c r="D324" s="7">
        <v>12</v>
      </c>
      <c r="E324" s="8">
        <f t="shared" si="22"/>
        <v>0.91549295774647887</v>
      </c>
    </row>
    <row r="329" spans="2:5" s="53" customFormat="1" x14ac:dyDescent="0.25"/>
    <row r="332" spans="2:5" ht="18.75" x14ac:dyDescent="0.3">
      <c r="B332" s="50" t="s">
        <v>64</v>
      </c>
    </row>
    <row r="333" spans="2:5" ht="21" x14ac:dyDescent="0.25">
      <c r="B333" s="48">
        <v>42335</v>
      </c>
      <c r="C333" s="2" t="s">
        <v>2</v>
      </c>
      <c r="D333" s="2" t="s">
        <v>3</v>
      </c>
      <c r="E333" s="2" t="s">
        <v>4</v>
      </c>
    </row>
    <row r="334" spans="2:5" x14ac:dyDescent="0.25">
      <c r="B334" s="3" t="s">
        <v>5</v>
      </c>
      <c r="C334" s="4">
        <v>51</v>
      </c>
      <c r="D334" s="4">
        <v>0</v>
      </c>
      <c r="E334" s="5">
        <f t="shared" ref="E334:E339" si="23">(C334-D334)/C334</f>
        <v>1</v>
      </c>
    </row>
    <row r="335" spans="2:5" x14ac:dyDescent="0.25">
      <c r="B335" s="6" t="s">
        <v>6</v>
      </c>
      <c r="C335" s="7">
        <v>35</v>
      </c>
      <c r="D335" s="7">
        <v>0</v>
      </c>
      <c r="E335" s="8">
        <f t="shared" si="23"/>
        <v>1</v>
      </c>
    </row>
    <row r="336" spans="2:5" x14ac:dyDescent="0.25">
      <c r="B336" s="6" t="s">
        <v>7</v>
      </c>
      <c r="C336" s="7">
        <v>80</v>
      </c>
      <c r="D336" s="7">
        <v>0</v>
      </c>
      <c r="E336" s="8">
        <f t="shared" si="23"/>
        <v>1</v>
      </c>
    </row>
    <row r="337" spans="2:5" x14ac:dyDescent="0.25">
      <c r="B337" s="6" t="s">
        <v>8</v>
      </c>
      <c r="C337" s="7">
        <v>23</v>
      </c>
      <c r="D337" s="7">
        <v>0</v>
      </c>
      <c r="E337" s="8">
        <f t="shared" si="23"/>
        <v>1</v>
      </c>
    </row>
    <row r="338" spans="2:5" x14ac:dyDescent="0.25">
      <c r="B338" s="6" t="s">
        <v>9</v>
      </c>
      <c r="C338" s="7">
        <v>90</v>
      </c>
      <c r="D338" s="7">
        <v>45</v>
      </c>
      <c r="E338" s="8">
        <f t="shared" si="23"/>
        <v>0.5</v>
      </c>
    </row>
    <row r="339" spans="2:5" x14ac:dyDescent="0.25">
      <c r="B339" s="6" t="s">
        <v>10</v>
      </c>
      <c r="C339" s="7">
        <v>142</v>
      </c>
      <c r="D339" s="7">
        <v>4</v>
      </c>
      <c r="E339" s="8">
        <f t="shared" si="23"/>
        <v>0.971830985915493</v>
      </c>
    </row>
    <row r="344" spans="2:5" s="53" customFormat="1" x14ac:dyDescent="0.25"/>
    <row r="347" spans="2:5" ht="18.75" x14ac:dyDescent="0.3">
      <c r="B347" s="50" t="s">
        <v>65</v>
      </c>
    </row>
    <row r="348" spans="2:5" ht="21" x14ac:dyDescent="0.25">
      <c r="B348" s="48">
        <v>42335</v>
      </c>
      <c r="C348" s="2" t="s">
        <v>2</v>
      </c>
      <c r="D348" s="2" t="s">
        <v>3</v>
      </c>
      <c r="E348" s="2" t="s">
        <v>4</v>
      </c>
    </row>
    <row r="349" spans="2:5" x14ac:dyDescent="0.25">
      <c r="B349" s="3" t="s">
        <v>5</v>
      </c>
      <c r="C349" s="4">
        <v>51</v>
      </c>
      <c r="D349" s="4">
        <v>1</v>
      </c>
      <c r="E349" s="5">
        <f t="shared" ref="E349:E354" si="24">(C349-D349)/C349</f>
        <v>0.98039215686274506</v>
      </c>
    </row>
    <row r="350" spans="2:5" x14ac:dyDescent="0.25">
      <c r="B350" s="6" t="s">
        <v>6</v>
      </c>
      <c r="C350" s="7">
        <v>35</v>
      </c>
      <c r="D350" s="7">
        <v>10</v>
      </c>
      <c r="E350" s="8">
        <f t="shared" si="24"/>
        <v>0.7142857142857143</v>
      </c>
    </row>
    <row r="351" spans="2:5" x14ac:dyDescent="0.25">
      <c r="B351" s="6" t="s">
        <v>7</v>
      </c>
      <c r="C351" s="7">
        <v>80</v>
      </c>
      <c r="D351" s="7">
        <v>0</v>
      </c>
      <c r="E351" s="8">
        <f t="shared" si="24"/>
        <v>1</v>
      </c>
    </row>
    <row r="352" spans="2:5" x14ac:dyDescent="0.25">
      <c r="B352" s="6" t="s">
        <v>8</v>
      </c>
      <c r="C352" s="7">
        <v>23</v>
      </c>
      <c r="D352" s="7">
        <v>0</v>
      </c>
      <c r="E352" s="8">
        <f t="shared" si="24"/>
        <v>1</v>
      </c>
    </row>
    <row r="353" spans="2:5" x14ac:dyDescent="0.25">
      <c r="B353" s="6" t="s">
        <v>9</v>
      </c>
      <c r="C353" s="7">
        <v>240</v>
      </c>
      <c r="D353" s="7">
        <v>149</v>
      </c>
      <c r="E353" s="8">
        <f t="shared" si="24"/>
        <v>0.37916666666666665</v>
      </c>
    </row>
    <row r="354" spans="2:5" x14ac:dyDescent="0.25">
      <c r="B354" s="6" t="s">
        <v>10</v>
      </c>
      <c r="C354" s="7">
        <v>142</v>
      </c>
      <c r="D354" s="7">
        <v>6</v>
      </c>
      <c r="E354" s="8">
        <f t="shared" si="24"/>
        <v>0.95774647887323938</v>
      </c>
    </row>
    <row r="361" spans="2:5" s="53" customFormat="1" x14ac:dyDescent="0.25"/>
    <row r="362" spans="2:5" ht="18.75" x14ac:dyDescent="0.3">
      <c r="B362" s="50" t="s">
        <v>66</v>
      </c>
    </row>
    <row r="363" spans="2:5" ht="21" x14ac:dyDescent="0.25">
      <c r="B363" s="48">
        <v>42335</v>
      </c>
      <c r="C363" s="2" t="s">
        <v>2</v>
      </c>
      <c r="D363" s="2" t="s">
        <v>3</v>
      </c>
      <c r="E363" s="2" t="s">
        <v>4</v>
      </c>
    </row>
    <row r="364" spans="2:5" x14ac:dyDescent="0.25">
      <c r="B364" s="3" t="s">
        <v>5</v>
      </c>
      <c r="C364" s="4">
        <v>51</v>
      </c>
      <c r="D364" s="4">
        <v>5</v>
      </c>
      <c r="E364" s="5">
        <f t="shared" ref="E364:E369" si="25">(C364-D364)/C364</f>
        <v>0.90196078431372551</v>
      </c>
    </row>
    <row r="365" spans="2:5" x14ac:dyDescent="0.25">
      <c r="B365" s="6" t="s">
        <v>6</v>
      </c>
      <c r="C365" s="7">
        <v>35</v>
      </c>
      <c r="D365" s="7">
        <v>12</v>
      </c>
      <c r="E365" s="8">
        <f t="shared" si="25"/>
        <v>0.65714285714285714</v>
      </c>
    </row>
    <row r="366" spans="2:5" x14ac:dyDescent="0.25">
      <c r="B366" s="6" t="s">
        <v>7</v>
      </c>
      <c r="C366" s="7">
        <v>80</v>
      </c>
      <c r="D366" s="7">
        <v>0</v>
      </c>
      <c r="E366" s="8">
        <f t="shared" si="25"/>
        <v>1</v>
      </c>
    </row>
    <row r="367" spans="2:5" x14ac:dyDescent="0.25">
      <c r="B367" s="6" t="s">
        <v>8</v>
      </c>
      <c r="C367" s="7">
        <v>23</v>
      </c>
      <c r="D367" s="7">
        <v>0</v>
      </c>
      <c r="E367" s="8">
        <f t="shared" si="25"/>
        <v>1</v>
      </c>
    </row>
    <row r="368" spans="2:5" x14ac:dyDescent="0.25">
      <c r="B368" s="6" t="s">
        <v>9</v>
      </c>
      <c r="C368" s="7">
        <v>90</v>
      </c>
      <c r="D368" s="7">
        <v>44</v>
      </c>
      <c r="E368" s="8">
        <f t="shared" si="25"/>
        <v>0.51111111111111107</v>
      </c>
    </row>
    <row r="369" spans="2:5" x14ac:dyDescent="0.25">
      <c r="B369" s="6" t="s">
        <v>10</v>
      </c>
      <c r="C369" s="7">
        <v>142</v>
      </c>
      <c r="D369" s="7">
        <v>8</v>
      </c>
      <c r="E369" s="8">
        <f t="shared" si="25"/>
        <v>0.94366197183098588</v>
      </c>
    </row>
    <row r="375" spans="2:5" s="53" customFormat="1" x14ac:dyDescent="0.25"/>
    <row r="377" spans="2:5" ht="18.75" x14ac:dyDescent="0.3">
      <c r="B377" s="50" t="s">
        <v>67</v>
      </c>
    </row>
    <row r="378" spans="2:5" ht="21" x14ac:dyDescent="0.25">
      <c r="B378" s="48">
        <v>42335</v>
      </c>
      <c r="C378" s="2" t="s">
        <v>2</v>
      </c>
      <c r="D378" s="2" t="s">
        <v>3</v>
      </c>
      <c r="E378" s="2" t="s">
        <v>4</v>
      </c>
    </row>
    <row r="379" spans="2:5" x14ac:dyDescent="0.25">
      <c r="B379" s="3" t="s">
        <v>5</v>
      </c>
      <c r="C379" s="4">
        <v>51</v>
      </c>
      <c r="D379" s="4">
        <v>105</v>
      </c>
      <c r="E379" s="5">
        <f t="shared" ref="E379:E384" si="26">(C379-D379)/C379</f>
        <v>-1.0588235294117647</v>
      </c>
    </row>
    <row r="380" spans="2:5" x14ac:dyDescent="0.25">
      <c r="B380" s="6" t="s">
        <v>6</v>
      </c>
      <c r="C380" s="7">
        <v>35</v>
      </c>
      <c r="D380" s="7">
        <v>102</v>
      </c>
      <c r="E380" s="8">
        <f t="shared" si="26"/>
        <v>-1.9142857142857144</v>
      </c>
    </row>
    <row r="381" spans="2:5" x14ac:dyDescent="0.25">
      <c r="B381" s="6" t="s">
        <v>7</v>
      </c>
      <c r="C381" s="7">
        <v>80</v>
      </c>
      <c r="D381" s="7">
        <v>0</v>
      </c>
      <c r="E381" s="8">
        <f t="shared" si="26"/>
        <v>1</v>
      </c>
    </row>
    <row r="382" spans="2:5" x14ac:dyDescent="0.25">
      <c r="B382" s="6" t="s">
        <v>8</v>
      </c>
      <c r="C382" s="7">
        <v>23</v>
      </c>
      <c r="D382" s="7">
        <v>5</v>
      </c>
      <c r="E382" s="8">
        <f t="shared" si="26"/>
        <v>0.78260869565217395</v>
      </c>
    </row>
    <row r="383" spans="2:5" x14ac:dyDescent="0.25">
      <c r="B383" s="6" t="s">
        <v>9</v>
      </c>
      <c r="C383" s="7">
        <v>240</v>
      </c>
      <c r="D383" s="7">
        <v>249</v>
      </c>
      <c r="E383" s="8">
        <f t="shared" si="26"/>
        <v>-3.7499999999999999E-2</v>
      </c>
    </row>
    <row r="384" spans="2:5" x14ac:dyDescent="0.25">
      <c r="B384" s="6" t="s">
        <v>10</v>
      </c>
      <c r="C384" s="7">
        <v>142</v>
      </c>
      <c r="D384" s="7">
        <v>6</v>
      </c>
      <c r="E384" s="8">
        <f t="shared" si="26"/>
        <v>0.95774647887323938</v>
      </c>
    </row>
    <row r="390" spans="2:5" s="53" customFormat="1" x14ac:dyDescent="0.25"/>
    <row r="392" spans="2:5" ht="18.75" x14ac:dyDescent="0.3">
      <c r="B392" s="50" t="s">
        <v>68</v>
      </c>
    </row>
    <row r="393" spans="2:5" ht="21" x14ac:dyDescent="0.25">
      <c r="B393" s="48">
        <v>42335</v>
      </c>
      <c r="C393" s="2" t="s">
        <v>2</v>
      </c>
      <c r="D393" s="2" t="s">
        <v>3</v>
      </c>
      <c r="E393" s="2" t="s">
        <v>4</v>
      </c>
    </row>
    <row r="394" spans="2:5" x14ac:dyDescent="0.25">
      <c r="B394" s="3" t="s">
        <v>5</v>
      </c>
      <c r="C394" s="4">
        <v>51</v>
      </c>
      <c r="D394" s="4">
        <v>2340</v>
      </c>
      <c r="E394" s="5">
        <f t="shared" ref="E394:E399" si="27">(C394-D394)/C394</f>
        <v>-44.882352941176471</v>
      </c>
    </row>
    <row r="395" spans="2:5" x14ac:dyDescent="0.25">
      <c r="B395" s="6" t="s">
        <v>6</v>
      </c>
      <c r="C395" s="7">
        <v>35</v>
      </c>
      <c r="D395" s="7">
        <v>3960</v>
      </c>
      <c r="E395" s="8">
        <f t="shared" si="27"/>
        <v>-112.14285714285714</v>
      </c>
    </row>
    <row r="396" spans="2:5" x14ac:dyDescent="0.25">
      <c r="B396" s="6" t="s">
        <v>7</v>
      </c>
      <c r="C396" s="7">
        <v>80</v>
      </c>
      <c r="D396" s="7">
        <v>0</v>
      </c>
      <c r="E396" s="8">
        <f t="shared" si="27"/>
        <v>1</v>
      </c>
    </row>
    <row r="397" spans="2:5" x14ac:dyDescent="0.25">
      <c r="B397" s="6" t="s">
        <v>8</v>
      </c>
      <c r="C397" s="7">
        <v>23</v>
      </c>
      <c r="D397" s="7">
        <v>6</v>
      </c>
      <c r="E397" s="8">
        <f t="shared" si="27"/>
        <v>0.73913043478260865</v>
      </c>
    </row>
    <row r="398" spans="2:5" x14ac:dyDescent="0.25">
      <c r="B398" s="6" t="s">
        <v>9</v>
      </c>
      <c r="C398" s="7">
        <v>240</v>
      </c>
      <c r="D398" s="7">
        <v>171</v>
      </c>
      <c r="E398" s="8">
        <f t="shared" si="27"/>
        <v>0.28749999999999998</v>
      </c>
    </row>
    <row r="399" spans="2:5" x14ac:dyDescent="0.25">
      <c r="B399" s="6" t="s">
        <v>10</v>
      </c>
      <c r="C399" s="7">
        <v>142</v>
      </c>
      <c r="D399" s="7">
        <v>6</v>
      </c>
      <c r="E399" s="8">
        <f t="shared" si="27"/>
        <v>0.95774647887323938</v>
      </c>
    </row>
    <row r="405" spans="2:5" s="53" customFormat="1" x14ac:dyDescent="0.25"/>
    <row r="407" spans="2:5" ht="18.75" x14ac:dyDescent="0.3">
      <c r="B407" s="50" t="s">
        <v>69</v>
      </c>
    </row>
    <row r="408" spans="2:5" ht="21" x14ac:dyDescent="0.25">
      <c r="B408" s="48">
        <v>42335</v>
      </c>
      <c r="C408" s="2" t="s">
        <v>2</v>
      </c>
      <c r="D408" s="2" t="s">
        <v>3</v>
      </c>
      <c r="E408" s="2" t="s">
        <v>4</v>
      </c>
    </row>
    <row r="409" spans="2:5" x14ac:dyDescent="0.25">
      <c r="B409" s="3" t="s">
        <v>5</v>
      </c>
      <c r="C409" s="4">
        <v>51</v>
      </c>
      <c r="D409" s="4">
        <v>0</v>
      </c>
      <c r="E409" s="5">
        <f t="shared" ref="E409:E414" si="28">(C409-D409)/C409</f>
        <v>1</v>
      </c>
    </row>
    <row r="410" spans="2:5" x14ac:dyDescent="0.25">
      <c r="B410" s="6" t="s">
        <v>6</v>
      </c>
      <c r="C410" s="7">
        <v>35</v>
      </c>
      <c r="D410" s="7">
        <v>18</v>
      </c>
      <c r="E410" s="8">
        <f t="shared" si="28"/>
        <v>0.48571428571428571</v>
      </c>
    </row>
    <row r="411" spans="2:5" x14ac:dyDescent="0.25">
      <c r="B411" s="6" t="s">
        <v>7</v>
      </c>
      <c r="C411" s="7">
        <v>80</v>
      </c>
      <c r="D411" s="7">
        <v>0</v>
      </c>
      <c r="E411" s="8">
        <f t="shared" si="28"/>
        <v>1</v>
      </c>
    </row>
    <row r="412" spans="2:5" x14ac:dyDescent="0.25">
      <c r="B412" s="6" t="s">
        <v>8</v>
      </c>
      <c r="C412" s="7">
        <v>23</v>
      </c>
      <c r="D412" s="7">
        <v>1</v>
      </c>
      <c r="E412" s="8">
        <f t="shared" si="28"/>
        <v>0.95652173913043481</v>
      </c>
    </row>
    <row r="413" spans="2:5" x14ac:dyDescent="0.25">
      <c r="B413" s="6" t="s">
        <v>9</v>
      </c>
      <c r="C413" s="7">
        <v>240</v>
      </c>
      <c r="D413" s="7">
        <v>90</v>
      </c>
      <c r="E413" s="8">
        <f t="shared" si="28"/>
        <v>0.625</v>
      </c>
    </row>
    <row r="414" spans="2:5" x14ac:dyDescent="0.25">
      <c r="B414" s="6" t="s">
        <v>10</v>
      </c>
      <c r="C414" s="7">
        <v>142</v>
      </c>
      <c r="D414" s="7">
        <v>6</v>
      </c>
      <c r="E414" s="8">
        <f t="shared" si="28"/>
        <v>0.95774647887323938</v>
      </c>
    </row>
    <row r="420" spans="2:5" s="53" customFormat="1" x14ac:dyDescent="0.25"/>
    <row r="422" spans="2:5" ht="20.25" customHeight="1" x14ac:dyDescent="0.3">
      <c r="B422" s="50" t="s">
        <v>70</v>
      </c>
    </row>
    <row r="423" spans="2:5" ht="20.25" customHeight="1" x14ac:dyDescent="0.25">
      <c r="B423" s="48">
        <v>42335</v>
      </c>
      <c r="C423" s="2" t="s">
        <v>2</v>
      </c>
      <c r="D423" s="2" t="s">
        <v>3</v>
      </c>
      <c r="E423" s="2" t="s">
        <v>4</v>
      </c>
    </row>
    <row r="424" spans="2:5" x14ac:dyDescent="0.25">
      <c r="B424" s="3" t="s">
        <v>5</v>
      </c>
      <c r="C424" s="4">
        <v>51</v>
      </c>
      <c r="D424" s="4">
        <v>6</v>
      </c>
      <c r="E424" s="5">
        <f t="shared" ref="E424:E429" si="29">(C424-D424)/C424</f>
        <v>0.88235294117647056</v>
      </c>
    </row>
    <row r="425" spans="2:5" x14ac:dyDescent="0.25">
      <c r="B425" s="6" t="s">
        <v>6</v>
      </c>
      <c r="C425" s="7">
        <v>35</v>
      </c>
      <c r="D425" s="7">
        <v>3</v>
      </c>
      <c r="E425" s="8">
        <f t="shared" si="29"/>
        <v>0.91428571428571426</v>
      </c>
    </row>
    <row r="426" spans="2:5" x14ac:dyDescent="0.25">
      <c r="B426" s="6" t="s">
        <v>7</v>
      </c>
      <c r="C426" s="7">
        <v>80</v>
      </c>
      <c r="D426" s="7">
        <v>0</v>
      </c>
      <c r="E426" s="8">
        <f t="shared" si="29"/>
        <v>1</v>
      </c>
    </row>
    <row r="427" spans="2:5" x14ac:dyDescent="0.25">
      <c r="B427" s="6" t="s">
        <v>8</v>
      </c>
      <c r="C427" s="7">
        <v>23</v>
      </c>
      <c r="D427" s="7">
        <v>12</v>
      </c>
      <c r="E427" s="8">
        <f t="shared" si="29"/>
        <v>0.47826086956521741</v>
      </c>
    </row>
    <row r="428" spans="2:5" x14ac:dyDescent="0.25">
      <c r="B428" s="6" t="s">
        <v>9</v>
      </c>
      <c r="C428" s="7">
        <v>90</v>
      </c>
      <c r="D428" s="7">
        <v>0</v>
      </c>
      <c r="E428" s="8">
        <f t="shared" si="29"/>
        <v>1</v>
      </c>
    </row>
    <row r="429" spans="2:5" x14ac:dyDescent="0.25">
      <c r="B429" s="6" t="s">
        <v>10</v>
      </c>
      <c r="C429" s="7">
        <v>142</v>
      </c>
      <c r="D429" s="7">
        <v>27</v>
      </c>
      <c r="E429" s="8">
        <f t="shared" si="29"/>
        <v>0.8098591549295775</v>
      </c>
    </row>
    <row r="435" spans="2:5" s="53" customFormat="1" x14ac:dyDescent="0.25"/>
    <row r="437" spans="2:5" ht="18.75" x14ac:dyDescent="0.3">
      <c r="B437" s="50" t="s">
        <v>71</v>
      </c>
    </row>
    <row r="438" spans="2:5" ht="21" x14ac:dyDescent="0.25">
      <c r="B438" s="48">
        <v>42335</v>
      </c>
      <c r="C438" s="2" t="s">
        <v>2</v>
      </c>
      <c r="D438" s="2" t="s">
        <v>3</v>
      </c>
      <c r="E438" s="2" t="s">
        <v>4</v>
      </c>
    </row>
    <row r="439" spans="2:5" x14ac:dyDescent="0.25">
      <c r="B439" s="3" t="s">
        <v>5</v>
      </c>
      <c r="C439" s="4">
        <v>51</v>
      </c>
      <c r="D439" s="4">
        <v>2</v>
      </c>
      <c r="E439" s="5">
        <f t="shared" ref="E439:E444" si="30">(C439-D439)/C439</f>
        <v>0.96078431372549022</v>
      </c>
    </row>
    <row r="440" spans="2:5" x14ac:dyDescent="0.25">
      <c r="B440" s="6" t="s">
        <v>6</v>
      </c>
      <c r="C440" s="7">
        <v>35</v>
      </c>
      <c r="D440" s="7">
        <v>3</v>
      </c>
      <c r="E440" s="8">
        <f t="shared" si="30"/>
        <v>0.91428571428571426</v>
      </c>
    </row>
    <row r="441" spans="2:5" x14ac:dyDescent="0.25">
      <c r="B441" s="6" t="s">
        <v>7</v>
      </c>
      <c r="C441" s="7">
        <v>80</v>
      </c>
      <c r="D441" s="7">
        <v>0</v>
      </c>
      <c r="E441" s="8">
        <f t="shared" si="30"/>
        <v>1</v>
      </c>
    </row>
    <row r="442" spans="2:5" x14ac:dyDescent="0.25">
      <c r="B442" s="6" t="s">
        <v>8</v>
      </c>
      <c r="C442" s="7">
        <v>23</v>
      </c>
      <c r="D442" s="7">
        <v>13</v>
      </c>
      <c r="E442" s="8">
        <f t="shared" si="30"/>
        <v>0.43478260869565216</v>
      </c>
    </row>
    <row r="443" spans="2:5" x14ac:dyDescent="0.25">
      <c r="B443" s="6" t="s">
        <v>9</v>
      </c>
      <c r="C443" s="7">
        <v>90</v>
      </c>
      <c r="D443" s="7">
        <v>0</v>
      </c>
      <c r="E443" s="8">
        <f t="shared" si="30"/>
        <v>1</v>
      </c>
    </row>
    <row r="444" spans="2:5" x14ac:dyDescent="0.25">
      <c r="B444" s="6" t="s">
        <v>10</v>
      </c>
      <c r="C444" s="7">
        <v>142</v>
      </c>
      <c r="D444" s="7">
        <v>15</v>
      </c>
      <c r="E444" s="8">
        <f t="shared" si="30"/>
        <v>0.89436619718309862</v>
      </c>
    </row>
    <row r="450" spans="2:5" s="53" customFormat="1" x14ac:dyDescent="0.25"/>
    <row r="452" spans="2:5" ht="18.75" x14ac:dyDescent="0.3">
      <c r="B452" s="50" t="s">
        <v>72</v>
      </c>
    </row>
    <row r="453" spans="2:5" ht="21" x14ac:dyDescent="0.25">
      <c r="B453" s="48">
        <v>42335</v>
      </c>
      <c r="C453" s="2" t="s">
        <v>2</v>
      </c>
      <c r="D453" s="2" t="s">
        <v>3</v>
      </c>
      <c r="E453" s="2" t="s">
        <v>4</v>
      </c>
    </row>
    <row r="454" spans="2:5" x14ac:dyDescent="0.25">
      <c r="B454" s="3" t="s">
        <v>5</v>
      </c>
      <c r="C454" s="4">
        <v>51</v>
      </c>
      <c r="D454" s="4">
        <v>55</v>
      </c>
      <c r="E454" s="5">
        <f t="shared" ref="E454:E459" si="31">(C454-D454)/C454</f>
        <v>-7.8431372549019607E-2</v>
      </c>
    </row>
    <row r="455" spans="2:5" x14ac:dyDescent="0.25">
      <c r="B455" s="6" t="s">
        <v>6</v>
      </c>
      <c r="C455" s="7">
        <v>35</v>
      </c>
      <c r="D455" s="7">
        <v>39</v>
      </c>
      <c r="E455" s="8">
        <f t="shared" si="31"/>
        <v>-0.11428571428571428</v>
      </c>
    </row>
    <row r="456" spans="2:5" x14ac:dyDescent="0.25">
      <c r="B456" s="6" t="s">
        <v>7</v>
      </c>
      <c r="C456" s="7">
        <v>240</v>
      </c>
      <c r="D456" s="7">
        <v>41</v>
      </c>
      <c r="E456" s="8">
        <f t="shared" si="31"/>
        <v>0.82916666666666672</v>
      </c>
    </row>
    <row r="457" spans="2:5" x14ac:dyDescent="0.25">
      <c r="B457" s="6" t="s">
        <v>8</v>
      </c>
      <c r="C457" s="7">
        <v>23</v>
      </c>
      <c r="D457" s="7">
        <v>4</v>
      </c>
      <c r="E457" s="8">
        <f t="shared" si="31"/>
        <v>0.82608695652173914</v>
      </c>
    </row>
    <row r="458" spans="2:5" x14ac:dyDescent="0.25">
      <c r="B458" s="6" t="s">
        <v>9</v>
      </c>
      <c r="C458" s="7">
        <v>90</v>
      </c>
      <c r="D458" s="7">
        <v>0</v>
      </c>
      <c r="E458" s="8">
        <f t="shared" si="31"/>
        <v>1</v>
      </c>
    </row>
    <row r="459" spans="2:5" x14ac:dyDescent="0.25">
      <c r="B459" s="6" t="s">
        <v>10</v>
      </c>
      <c r="C459" s="7">
        <v>142</v>
      </c>
      <c r="D459" s="7">
        <v>6</v>
      </c>
      <c r="E459" s="8">
        <f t="shared" si="31"/>
        <v>0.95774647887323938</v>
      </c>
    </row>
    <row r="465" spans="2:5" s="53" customFormat="1" x14ac:dyDescent="0.25"/>
    <row r="467" spans="2:5" ht="18.75" x14ac:dyDescent="0.3">
      <c r="B467" s="50" t="s">
        <v>73</v>
      </c>
    </row>
    <row r="468" spans="2:5" ht="21" x14ac:dyDescent="0.25">
      <c r="B468" s="48">
        <v>42335</v>
      </c>
      <c r="C468" s="2" t="s">
        <v>2</v>
      </c>
      <c r="D468" s="2" t="s">
        <v>3</v>
      </c>
      <c r="E468" s="2" t="s">
        <v>4</v>
      </c>
    </row>
    <row r="469" spans="2:5" x14ac:dyDescent="0.25">
      <c r="B469" s="3" t="s">
        <v>5</v>
      </c>
      <c r="C469" s="4">
        <v>51</v>
      </c>
      <c r="D469" s="4">
        <v>5</v>
      </c>
      <c r="E469" s="5">
        <f t="shared" ref="E469:E474" si="32">(C469-D469)/C469</f>
        <v>0.90196078431372551</v>
      </c>
    </row>
    <row r="470" spans="2:5" x14ac:dyDescent="0.25">
      <c r="B470" s="6" t="s">
        <v>6</v>
      </c>
      <c r="C470" s="7">
        <v>35</v>
      </c>
      <c r="D470" s="7">
        <v>2</v>
      </c>
      <c r="E470" s="8">
        <f t="shared" si="32"/>
        <v>0.94285714285714284</v>
      </c>
    </row>
    <row r="471" spans="2:5" x14ac:dyDescent="0.25">
      <c r="B471" s="6" t="s">
        <v>7</v>
      </c>
      <c r="C471" s="7">
        <v>240</v>
      </c>
      <c r="D471" s="7">
        <v>0</v>
      </c>
      <c r="E471" s="8">
        <f t="shared" si="32"/>
        <v>1</v>
      </c>
    </row>
    <row r="472" spans="2:5" x14ac:dyDescent="0.25">
      <c r="B472" s="6" t="s">
        <v>8</v>
      </c>
      <c r="C472" s="7">
        <v>23</v>
      </c>
      <c r="D472" s="7">
        <v>4</v>
      </c>
      <c r="E472" s="8">
        <f t="shared" si="32"/>
        <v>0.82608695652173914</v>
      </c>
    </row>
    <row r="473" spans="2:5" x14ac:dyDescent="0.25">
      <c r="B473" s="6" t="s">
        <v>9</v>
      </c>
      <c r="C473" s="7">
        <v>90</v>
      </c>
      <c r="D473" s="7">
        <v>0</v>
      </c>
      <c r="E473" s="8">
        <f t="shared" si="32"/>
        <v>1</v>
      </c>
    </row>
    <row r="474" spans="2:5" x14ac:dyDescent="0.25">
      <c r="B474" s="6" t="s">
        <v>10</v>
      </c>
      <c r="C474" s="7">
        <v>142</v>
      </c>
      <c r="D474" s="7">
        <v>10</v>
      </c>
      <c r="E474" s="8">
        <f t="shared" si="32"/>
        <v>0.92957746478873238</v>
      </c>
    </row>
    <row r="480" spans="2:5" s="53" customFormat="1" x14ac:dyDescent="0.25"/>
    <row r="482" spans="2:5" ht="18.75" x14ac:dyDescent="0.3">
      <c r="B482" s="50" t="s">
        <v>74</v>
      </c>
    </row>
    <row r="483" spans="2:5" ht="21" x14ac:dyDescent="0.25">
      <c r="B483" s="48">
        <v>42335</v>
      </c>
      <c r="C483" s="2" t="s">
        <v>2</v>
      </c>
      <c r="D483" s="2" t="s">
        <v>3</v>
      </c>
      <c r="E483" s="2" t="s">
        <v>4</v>
      </c>
    </row>
    <row r="484" spans="2:5" x14ac:dyDescent="0.25">
      <c r="B484" s="3" t="s">
        <v>5</v>
      </c>
      <c r="C484" s="4">
        <v>51</v>
      </c>
      <c r="D484" s="4">
        <v>101</v>
      </c>
      <c r="E484" s="5">
        <f t="shared" ref="E484:E489" si="33">(C484-D484)/C484</f>
        <v>-0.98039215686274506</v>
      </c>
    </row>
    <row r="485" spans="2:5" x14ac:dyDescent="0.25">
      <c r="B485" s="6" t="s">
        <v>6</v>
      </c>
      <c r="C485" s="7">
        <v>35</v>
      </c>
      <c r="D485" s="7">
        <v>20</v>
      </c>
      <c r="E485" s="8">
        <f t="shared" si="33"/>
        <v>0.42857142857142855</v>
      </c>
    </row>
    <row r="486" spans="2:5" x14ac:dyDescent="0.25">
      <c r="B486" s="6" t="s">
        <v>7</v>
      </c>
      <c r="C486" s="7">
        <v>80</v>
      </c>
      <c r="D486" s="7">
        <v>0</v>
      </c>
      <c r="E486" s="8">
        <f t="shared" si="33"/>
        <v>1</v>
      </c>
    </row>
    <row r="487" spans="2:5" x14ac:dyDescent="0.25">
      <c r="B487" s="6" t="s">
        <v>8</v>
      </c>
      <c r="C487" s="7">
        <v>23</v>
      </c>
      <c r="D487" s="7">
        <v>12</v>
      </c>
      <c r="E487" s="8">
        <f t="shared" si="33"/>
        <v>0.47826086956521741</v>
      </c>
    </row>
    <row r="488" spans="2:5" x14ac:dyDescent="0.25">
      <c r="B488" s="6" t="s">
        <v>9</v>
      </c>
      <c r="C488" s="7">
        <v>90</v>
      </c>
      <c r="D488" s="7">
        <v>1094</v>
      </c>
      <c r="E488" s="8">
        <f t="shared" si="33"/>
        <v>-11.155555555555555</v>
      </c>
    </row>
    <row r="489" spans="2:5" x14ac:dyDescent="0.25">
      <c r="B489" s="6" t="s">
        <v>10</v>
      </c>
      <c r="C489" s="7">
        <v>142</v>
      </c>
      <c r="D489" s="7">
        <v>6</v>
      </c>
      <c r="E489" s="8">
        <f t="shared" si="33"/>
        <v>0.95774647887323938</v>
      </c>
    </row>
    <row r="495" spans="2:5" s="53" customFormat="1" x14ac:dyDescent="0.25"/>
    <row r="496" spans="2:5" ht="18.75" x14ac:dyDescent="0.3">
      <c r="B496" s="50" t="s">
        <v>75</v>
      </c>
    </row>
    <row r="497" spans="2:5" ht="21" x14ac:dyDescent="0.25">
      <c r="B497" s="48">
        <v>42335</v>
      </c>
      <c r="C497" s="2" t="s">
        <v>2</v>
      </c>
      <c r="D497" s="2" t="s">
        <v>3</v>
      </c>
      <c r="E497" s="2" t="s">
        <v>4</v>
      </c>
    </row>
    <row r="498" spans="2:5" x14ac:dyDescent="0.25">
      <c r="B498" s="3" t="s">
        <v>5</v>
      </c>
      <c r="C498" s="4">
        <v>51</v>
      </c>
      <c r="D498" s="4">
        <v>7</v>
      </c>
      <c r="E498" s="5">
        <f t="shared" ref="E498:E503" si="34">(C498-D498)/C498</f>
        <v>0.86274509803921573</v>
      </c>
    </row>
    <row r="499" spans="2:5" x14ac:dyDescent="0.25">
      <c r="B499" s="6" t="s">
        <v>6</v>
      </c>
      <c r="C499" s="7">
        <v>35</v>
      </c>
      <c r="D499" s="7">
        <v>5</v>
      </c>
      <c r="E499" s="8">
        <f t="shared" si="34"/>
        <v>0.8571428571428571</v>
      </c>
    </row>
    <row r="500" spans="2:5" x14ac:dyDescent="0.25">
      <c r="B500" s="6" t="s">
        <v>7</v>
      </c>
      <c r="C500" s="7">
        <v>240</v>
      </c>
      <c r="D500" s="7">
        <v>101</v>
      </c>
      <c r="E500" s="8">
        <f t="shared" si="34"/>
        <v>0.57916666666666672</v>
      </c>
    </row>
    <row r="501" spans="2:5" x14ac:dyDescent="0.25">
      <c r="B501" s="6" t="s">
        <v>8</v>
      </c>
      <c r="C501" s="7">
        <v>23</v>
      </c>
      <c r="D501" s="7">
        <v>5441</v>
      </c>
      <c r="E501" s="8">
        <f t="shared" si="34"/>
        <v>-235.56521739130434</v>
      </c>
    </row>
    <row r="502" spans="2:5" x14ac:dyDescent="0.25">
      <c r="B502" s="6" t="s">
        <v>9</v>
      </c>
      <c r="C502" s="7">
        <v>90</v>
      </c>
      <c r="D502" s="7">
        <v>0</v>
      </c>
      <c r="E502" s="8">
        <f t="shared" si="34"/>
        <v>1</v>
      </c>
    </row>
    <row r="503" spans="2:5" x14ac:dyDescent="0.25">
      <c r="B503" s="6" t="s">
        <v>10</v>
      </c>
      <c r="C503" s="7">
        <v>142</v>
      </c>
      <c r="D503" s="7">
        <v>11</v>
      </c>
      <c r="E503" s="8">
        <f t="shared" si="34"/>
        <v>0.92253521126760563</v>
      </c>
    </row>
    <row r="509" spans="2:5" s="53" customFormat="1" x14ac:dyDescent="0.25"/>
    <row r="511" spans="2:5" ht="18.75" x14ac:dyDescent="0.3">
      <c r="B511" s="50" t="s">
        <v>76</v>
      </c>
    </row>
    <row r="512" spans="2:5" ht="21" x14ac:dyDescent="0.25">
      <c r="B512" s="48">
        <v>42335</v>
      </c>
      <c r="C512" s="2" t="s">
        <v>2</v>
      </c>
      <c r="D512" s="2" t="s">
        <v>3</v>
      </c>
      <c r="E512" s="2" t="s">
        <v>4</v>
      </c>
    </row>
    <row r="513" spans="2:5" x14ac:dyDescent="0.25">
      <c r="B513" s="3" t="s">
        <v>5</v>
      </c>
      <c r="C513" s="4">
        <v>51</v>
      </c>
      <c r="D513" s="4">
        <v>33</v>
      </c>
      <c r="E513" s="5">
        <f t="shared" ref="E513:E518" si="35">(C513-D513)/C513</f>
        <v>0.35294117647058826</v>
      </c>
    </row>
    <row r="514" spans="2:5" x14ac:dyDescent="0.25">
      <c r="B514" s="6" t="s">
        <v>6</v>
      </c>
      <c r="C514" s="7">
        <v>35</v>
      </c>
      <c r="D514" s="7">
        <v>56</v>
      </c>
      <c r="E514" s="8">
        <f t="shared" si="35"/>
        <v>-0.6</v>
      </c>
    </row>
    <row r="515" spans="2:5" x14ac:dyDescent="0.25">
      <c r="B515" s="6" t="s">
        <v>7</v>
      </c>
      <c r="C515" s="7">
        <v>80</v>
      </c>
      <c r="D515" s="7">
        <v>0</v>
      </c>
      <c r="E515" s="8">
        <f t="shared" si="35"/>
        <v>1</v>
      </c>
    </row>
    <row r="516" spans="2:5" x14ac:dyDescent="0.25">
      <c r="B516" s="6" t="s">
        <v>8</v>
      </c>
      <c r="C516" s="7">
        <v>23</v>
      </c>
      <c r="D516" s="7">
        <v>0</v>
      </c>
      <c r="E516" s="8">
        <f t="shared" si="35"/>
        <v>1</v>
      </c>
    </row>
    <row r="517" spans="2:5" x14ac:dyDescent="0.25">
      <c r="B517" s="6" t="s">
        <v>9</v>
      </c>
      <c r="C517" s="7">
        <v>90</v>
      </c>
      <c r="D517" s="7">
        <v>0</v>
      </c>
      <c r="E517" s="8">
        <f t="shared" si="35"/>
        <v>1</v>
      </c>
    </row>
    <row r="518" spans="2:5" x14ac:dyDescent="0.25">
      <c r="B518" s="6" t="s">
        <v>10</v>
      </c>
      <c r="C518" s="7">
        <v>142</v>
      </c>
      <c r="D518" s="7">
        <v>6</v>
      </c>
      <c r="E518" s="8">
        <f t="shared" si="35"/>
        <v>0.95774647887323938</v>
      </c>
    </row>
    <row r="524" spans="2:5" s="53" customFormat="1" x14ac:dyDescent="0.25"/>
    <row r="526" spans="2:5" ht="18.75" x14ac:dyDescent="0.3">
      <c r="B526" s="50" t="s">
        <v>77</v>
      </c>
    </row>
    <row r="527" spans="2:5" ht="21" x14ac:dyDescent="0.25">
      <c r="B527" s="48">
        <v>42335</v>
      </c>
      <c r="C527" s="2" t="s">
        <v>2</v>
      </c>
      <c r="D527" s="2" t="s">
        <v>3</v>
      </c>
      <c r="E527" s="2" t="s">
        <v>4</v>
      </c>
    </row>
    <row r="528" spans="2:5" x14ac:dyDescent="0.25">
      <c r="B528" s="3" t="s">
        <v>5</v>
      </c>
      <c r="C528" s="4">
        <v>51</v>
      </c>
      <c r="D528" s="4">
        <v>8</v>
      </c>
      <c r="E528" s="5">
        <f t="shared" ref="E528:E533" si="36">(C528-D528)/C528</f>
        <v>0.84313725490196079</v>
      </c>
    </row>
    <row r="529" spans="2:5" x14ac:dyDescent="0.25">
      <c r="B529" s="6" t="s">
        <v>6</v>
      </c>
      <c r="C529" s="7">
        <v>35</v>
      </c>
      <c r="D529" s="7">
        <v>3</v>
      </c>
      <c r="E529" s="8">
        <f t="shared" si="36"/>
        <v>0.91428571428571426</v>
      </c>
    </row>
    <row r="530" spans="2:5" x14ac:dyDescent="0.25">
      <c r="B530" s="6" t="s">
        <v>7</v>
      </c>
      <c r="C530" s="7">
        <v>80</v>
      </c>
      <c r="D530" s="7">
        <v>0</v>
      </c>
      <c r="E530" s="8">
        <f t="shared" si="36"/>
        <v>1</v>
      </c>
    </row>
    <row r="531" spans="2:5" x14ac:dyDescent="0.25">
      <c r="B531" s="6" t="s">
        <v>8</v>
      </c>
      <c r="C531" s="7">
        <v>23</v>
      </c>
      <c r="D531" s="7">
        <v>0</v>
      </c>
      <c r="E531" s="8">
        <f t="shared" si="36"/>
        <v>1</v>
      </c>
    </row>
    <row r="532" spans="2:5" x14ac:dyDescent="0.25">
      <c r="B532" s="6" t="s">
        <v>9</v>
      </c>
      <c r="C532" s="7">
        <v>240</v>
      </c>
      <c r="D532" s="7">
        <v>170</v>
      </c>
      <c r="E532" s="8">
        <f t="shared" si="36"/>
        <v>0.29166666666666669</v>
      </c>
    </row>
    <row r="533" spans="2:5" x14ac:dyDescent="0.25">
      <c r="B533" s="6" t="s">
        <v>10</v>
      </c>
      <c r="C533" s="7">
        <v>142</v>
      </c>
      <c r="D533" s="7">
        <v>7</v>
      </c>
      <c r="E533" s="8">
        <f t="shared" si="36"/>
        <v>0.95070422535211263</v>
      </c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51"/>
  <sheetViews>
    <sheetView topLeftCell="A525" zoomScale="90" zoomScaleNormal="90" workbookViewId="0">
      <selection activeCell="C544" sqref="C544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4" spans="1:5" ht="19.5" customHeight="1" x14ac:dyDescent="0.25"/>
    <row r="5" spans="1:5" ht="17.25" customHeight="1" x14ac:dyDescent="0.25">
      <c r="A5" s="1"/>
      <c r="B5" s="48">
        <v>42335</v>
      </c>
      <c r="C5" s="11" t="s">
        <v>2</v>
      </c>
      <c r="D5" s="11" t="s">
        <v>3</v>
      </c>
      <c r="E5" s="11" t="s">
        <v>4</v>
      </c>
    </row>
    <row r="6" spans="1:5" x14ac:dyDescent="0.25">
      <c r="A6" s="1"/>
      <c r="B6" s="3" t="s">
        <v>5</v>
      </c>
      <c r="C6" s="12">
        <v>22.33</v>
      </c>
      <c r="D6" s="12">
        <v>47.4</v>
      </c>
      <c r="E6" s="13">
        <f t="shared" ref="E6:E11" si="0">(C6-D6)/C6</f>
        <v>-1.1227048813255711</v>
      </c>
    </row>
    <row r="7" spans="1:5" x14ac:dyDescent="0.25">
      <c r="A7" s="1"/>
      <c r="B7" s="6" t="s">
        <v>6</v>
      </c>
      <c r="C7" s="12">
        <v>3.96</v>
      </c>
      <c r="D7" s="12">
        <v>0</v>
      </c>
      <c r="E7" s="14">
        <f t="shared" si="0"/>
        <v>1</v>
      </c>
    </row>
    <row r="8" spans="1:5" x14ac:dyDescent="0.25">
      <c r="A8" s="1"/>
      <c r="B8" s="6" t="s">
        <v>7</v>
      </c>
      <c r="C8" s="12">
        <v>19.399999999999999</v>
      </c>
      <c r="D8" s="12">
        <v>10.94</v>
      </c>
      <c r="E8" s="14">
        <f t="shared" si="0"/>
        <v>0.43608247422680413</v>
      </c>
    </row>
    <row r="9" spans="1:5" x14ac:dyDescent="0.25">
      <c r="A9" s="1"/>
      <c r="B9" s="6" t="s">
        <v>8</v>
      </c>
      <c r="C9" s="12">
        <v>5.5</v>
      </c>
      <c r="D9" s="12">
        <v>35.700000000000003</v>
      </c>
      <c r="E9" s="13">
        <f t="shared" si="0"/>
        <v>-5.4909090909090912</v>
      </c>
    </row>
    <row r="10" spans="1:5" x14ac:dyDescent="0.25">
      <c r="A10" s="1"/>
      <c r="B10" s="6" t="s">
        <v>9</v>
      </c>
      <c r="C10" s="12">
        <v>29</v>
      </c>
      <c r="D10" s="12">
        <v>0</v>
      </c>
      <c r="E10" s="14">
        <f t="shared" si="0"/>
        <v>1</v>
      </c>
    </row>
    <row r="11" spans="1:5" x14ac:dyDescent="0.25">
      <c r="A11" s="1"/>
      <c r="B11" s="6" t="s">
        <v>10</v>
      </c>
      <c r="C11" s="12">
        <v>22.5</v>
      </c>
      <c r="D11" s="12">
        <v>18</v>
      </c>
      <c r="E11" s="13">
        <f t="shared" si="0"/>
        <v>0.2</v>
      </c>
    </row>
    <row r="12" spans="1:5" x14ac:dyDescent="0.25">
      <c r="A12" s="1"/>
      <c r="B12" s="61"/>
      <c r="C12" s="62"/>
      <c r="D12" s="62"/>
      <c r="E12" s="63"/>
    </row>
    <row r="13" spans="1:5" x14ac:dyDescent="0.25">
      <c r="A13" s="1"/>
      <c r="B13" s="61"/>
      <c r="C13" s="62"/>
      <c r="D13" s="62"/>
      <c r="E13" s="63"/>
    </row>
    <row r="14" spans="1:5" x14ac:dyDescent="0.25">
      <c r="A14" s="1"/>
    </row>
    <row r="15" spans="1:5" s="53" customFormat="1" x14ac:dyDescent="0.25">
      <c r="D15" s="57"/>
    </row>
    <row r="18" spans="2:5" ht="21" x14ac:dyDescent="0.25">
      <c r="B18" s="48">
        <v>42349</v>
      </c>
      <c r="C18" s="11" t="s">
        <v>2</v>
      </c>
      <c r="D18" s="11" t="s">
        <v>3</v>
      </c>
      <c r="E18" s="11" t="s">
        <v>4</v>
      </c>
    </row>
    <row r="19" spans="2:5" x14ac:dyDescent="0.25">
      <c r="B19" s="3" t="s">
        <v>5</v>
      </c>
      <c r="C19" s="12">
        <f>22.33*4</f>
        <v>89.32</v>
      </c>
      <c r="D19" s="12">
        <f>1.23*14.58</f>
        <v>17.933399999999999</v>
      </c>
      <c r="E19" s="13">
        <f t="shared" ref="E19:E24" si="1">(C19-D19)/C19</f>
        <v>0.79922301836094933</v>
      </c>
    </row>
    <row r="20" spans="2:5" x14ac:dyDescent="0.25">
      <c r="B20" s="6" t="s">
        <v>6</v>
      </c>
      <c r="C20" s="12">
        <f>3.96*4</f>
        <v>15.84</v>
      </c>
      <c r="D20" s="12">
        <f>0.9*14.58</f>
        <v>13.122</v>
      </c>
      <c r="E20" s="14">
        <f t="shared" si="1"/>
        <v>0.1715909090909091</v>
      </c>
    </row>
    <row r="21" spans="2:5" x14ac:dyDescent="0.25">
      <c r="B21" s="6" t="s">
        <v>7</v>
      </c>
      <c r="C21" s="12">
        <v>19.399999999999999</v>
      </c>
      <c r="D21" s="12">
        <f>0.67 * 14.58</f>
        <v>9.7686000000000011</v>
      </c>
      <c r="E21" s="14">
        <f t="shared" si="1"/>
        <v>0.49646391752577312</v>
      </c>
    </row>
    <row r="22" spans="2:5" x14ac:dyDescent="0.25">
      <c r="B22" s="6" t="s">
        <v>8</v>
      </c>
      <c r="C22" s="12">
        <f>5.5*4</f>
        <v>22</v>
      </c>
      <c r="D22" s="12">
        <f>0.75*14.58</f>
        <v>10.935</v>
      </c>
      <c r="E22" s="13">
        <f t="shared" si="1"/>
        <v>0.50295454545454543</v>
      </c>
    </row>
    <row r="23" spans="2:5" x14ac:dyDescent="0.25">
      <c r="B23" s="6" t="s">
        <v>9</v>
      </c>
      <c r="C23" s="12">
        <v>29</v>
      </c>
      <c r="D23" s="12">
        <f>3.12*14.58</f>
        <v>45.489600000000003</v>
      </c>
      <c r="E23" s="14">
        <f t="shared" si="1"/>
        <v>-0.56860689655172425</v>
      </c>
    </row>
    <row r="24" spans="2:5" x14ac:dyDescent="0.25">
      <c r="B24" s="6" t="s">
        <v>10</v>
      </c>
      <c r="C24" s="12">
        <f>22.5*4</f>
        <v>90</v>
      </c>
      <c r="D24" s="12">
        <v>105.4</v>
      </c>
      <c r="E24" s="13">
        <f t="shared" si="1"/>
        <v>-0.17111111111111119</v>
      </c>
    </row>
    <row r="31" spans="2:5" s="53" customFormat="1" x14ac:dyDescent="0.25"/>
    <row r="33" spans="2:7" x14ac:dyDescent="0.25">
      <c r="B33" t="s">
        <v>11</v>
      </c>
    </row>
    <row r="35" spans="2:7" ht="18.75" x14ac:dyDescent="0.3">
      <c r="B35" s="50" t="s">
        <v>44</v>
      </c>
    </row>
    <row r="36" spans="2:7" ht="21" x14ac:dyDescent="0.25">
      <c r="B36" s="48">
        <v>42367</v>
      </c>
      <c r="C36" s="11" t="s">
        <v>2</v>
      </c>
      <c r="D36" s="11" t="s">
        <v>3</v>
      </c>
      <c r="E36" s="11" t="s">
        <v>4</v>
      </c>
    </row>
    <row r="37" spans="2:7" x14ac:dyDescent="0.25">
      <c r="B37" s="3" t="s">
        <v>5</v>
      </c>
      <c r="C37" s="12">
        <v>22.33</v>
      </c>
      <c r="D37" s="12">
        <f>6/60*14.58</f>
        <v>1.4580000000000002</v>
      </c>
      <c r="E37" s="13">
        <f t="shared" ref="E37:E42" si="2">(C37-D37)/C37</f>
        <v>0.93470667263770724</v>
      </c>
    </row>
    <row r="38" spans="2:7" x14ac:dyDescent="0.25">
      <c r="B38" s="6" t="s">
        <v>6</v>
      </c>
      <c r="C38" s="12">
        <v>3.96</v>
      </c>
      <c r="D38" s="12">
        <f>21/60*14.58</f>
        <v>5.1029999999999998</v>
      </c>
      <c r="E38" s="14">
        <f t="shared" si="2"/>
        <v>-0.28863636363636358</v>
      </c>
    </row>
    <row r="39" spans="2:7" x14ac:dyDescent="0.25">
      <c r="B39" s="6" t="s">
        <v>7</v>
      </c>
      <c r="C39" s="12">
        <v>19.399999999999999</v>
      </c>
      <c r="D39" s="12">
        <v>0</v>
      </c>
      <c r="E39" s="14">
        <f t="shared" si="2"/>
        <v>1</v>
      </c>
    </row>
    <row r="40" spans="2:7" x14ac:dyDescent="0.25">
      <c r="B40" s="6" t="s">
        <v>8</v>
      </c>
      <c r="C40" s="12">
        <v>5.5</v>
      </c>
      <c r="D40" s="12">
        <f>12/60*14.58</f>
        <v>2.9160000000000004</v>
      </c>
      <c r="E40" s="13">
        <f t="shared" si="2"/>
        <v>0.46981818181818175</v>
      </c>
    </row>
    <row r="41" spans="2:7" x14ac:dyDescent="0.25">
      <c r="B41" s="6" t="s">
        <v>9</v>
      </c>
      <c r="C41" s="12">
        <v>29</v>
      </c>
      <c r="D41" s="12">
        <v>0</v>
      </c>
      <c r="E41" s="14">
        <f t="shared" si="2"/>
        <v>1</v>
      </c>
    </row>
    <row r="42" spans="2:7" x14ac:dyDescent="0.25">
      <c r="B42" s="6" t="s">
        <v>10</v>
      </c>
      <c r="C42" s="12">
        <v>22.5</v>
      </c>
      <c r="D42" s="12">
        <v>11.82</v>
      </c>
      <c r="E42" s="13">
        <f t="shared" si="2"/>
        <v>0.47466666666666668</v>
      </c>
    </row>
    <row r="44" spans="2:7" x14ac:dyDescent="0.25">
      <c r="C44" s="49"/>
    </row>
    <row r="45" spans="2:7" x14ac:dyDescent="0.25">
      <c r="C45" s="49"/>
    </row>
    <row r="46" spans="2:7" s="53" customFormat="1" x14ac:dyDescent="0.25">
      <c r="C46" s="58"/>
    </row>
    <row r="47" spans="2:7" ht="18.75" x14ac:dyDescent="0.3">
      <c r="B47" s="50" t="s">
        <v>45</v>
      </c>
      <c r="G47" s="52"/>
    </row>
    <row r="48" spans="2:7" ht="21" x14ac:dyDescent="0.25">
      <c r="B48" s="48">
        <v>42367</v>
      </c>
      <c r="C48" s="11" t="s">
        <v>2</v>
      </c>
      <c r="D48" s="11" t="s">
        <v>3</v>
      </c>
      <c r="E48" s="11" t="s">
        <v>4</v>
      </c>
      <c r="G48" s="52"/>
    </row>
    <row r="49" spans="2:7" x14ac:dyDescent="0.25">
      <c r="B49" s="3" t="s">
        <v>5</v>
      </c>
      <c r="C49" s="12">
        <v>22.33</v>
      </c>
      <c r="D49" s="12">
        <f>6/60*14.58</f>
        <v>1.4580000000000002</v>
      </c>
      <c r="E49" s="13">
        <f t="shared" ref="E49:E54" si="3">(C49-D49)/C49</f>
        <v>0.93470667263770724</v>
      </c>
      <c r="G49" s="49"/>
    </row>
    <row r="50" spans="2:7" x14ac:dyDescent="0.25">
      <c r="B50" s="6" t="s">
        <v>6</v>
      </c>
      <c r="C50" s="12">
        <v>3.96</v>
      </c>
      <c r="D50" s="12">
        <f>15/60*14.58</f>
        <v>3.645</v>
      </c>
      <c r="E50" s="14">
        <f t="shared" si="3"/>
        <v>7.954545454545453E-2</v>
      </c>
      <c r="G50" s="49"/>
    </row>
    <row r="51" spans="2:7" x14ac:dyDescent="0.25">
      <c r="B51" s="6" t="s">
        <v>7</v>
      </c>
      <c r="C51" s="12">
        <v>19.399999999999999</v>
      </c>
      <c r="D51" s="12">
        <f>244/60*14.58</f>
        <v>59.291999999999994</v>
      </c>
      <c r="E51" s="14">
        <f t="shared" si="3"/>
        <v>-2.0562886597938146</v>
      </c>
      <c r="G51" s="49"/>
    </row>
    <row r="52" spans="2:7" x14ac:dyDescent="0.25">
      <c r="B52" s="6" t="s">
        <v>8</v>
      </c>
      <c r="C52" s="12">
        <v>5.5</v>
      </c>
      <c r="D52" s="12">
        <f>15/60*14.58</f>
        <v>3.645</v>
      </c>
      <c r="E52" s="13">
        <f t="shared" si="3"/>
        <v>0.33727272727272728</v>
      </c>
      <c r="G52" s="49"/>
    </row>
    <row r="53" spans="2:7" x14ac:dyDescent="0.25">
      <c r="B53" s="6" t="s">
        <v>9</v>
      </c>
      <c r="C53" s="12">
        <v>29</v>
      </c>
      <c r="D53" s="12">
        <v>0</v>
      </c>
      <c r="E53" s="14">
        <f t="shared" si="3"/>
        <v>1</v>
      </c>
      <c r="G53" s="49"/>
    </row>
    <row r="54" spans="2:7" x14ac:dyDescent="0.25">
      <c r="B54" s="6" t="s">
        <v>10</v>
      </c>
      <c r="C54" s="12">
        <v>22.5</v>
      </c>
      <c r="D54" s="12">
        <v>10.72</v>
      </c>
      <c r="E54" s="13">
        <f t="shared" si="3"/>
        <v>0.52355555555555555</v>
      </c>
      <c r="G54" s="49"/>
    </row>
    <row r="55" spans="2:7" x14ac:dyDescent="0.25">
      <c r="G55" s="52"/>
    </row>
    <row r="56" spans="2:7" x14ac:dyDescent="0.25">
      <c r="G56" s="52"/>
    </row>
    <row r="57" spans="2:7" x14ac:dyDescent="0.25">
      <c r="G57" s="52"/>
    </row>
    <row r="58" spans="2:7" x14ac:dyDescent="0.25">
      <c r="G58" s="52"/>
    </row>
    <row r="59" spans="2:7" x14ac:dyDescent="0.25">
      <c r="G59" s="52"/>
    </row>
    <row r="60" spans="2:7" s="53" customFormat="1" x14ac:dyDescent="0.25">
      <c r="G60" s="59"/>
    </row>
    <row r="61" spans="2:7" ht="12.75" customHeight="1" x14ac:dyDescent="0.25">
      <c r="G61" s="49"/>
    </row>
    <row r="62" spans="2:7" ht="18.75" x14ac:dyDescent="0.3">
      <c r="B62" s="50" t="s">
        <v>46</v>
      </c>
      <c r="G62" s="49"/>
    </row>
    <row r="63" spans="2:7" ht="21" x14ac:dyDescent="0.25">
      <c r="B63" s="48">
        <v>42367</v>
      </c>
      <c r="C63" s="11" t="s">
        <v>2</v>
      </c>
      <c r="D63" s="11" t="s">
        <v>3</v>
      </c>
      <c r="E63" s="11" t="s">
        <v>4</v>
      </c>
      <c r="G63" s="49"/>
    </row>
    <row r="64" spans="2:7" x14ac:dyDescent="0.25">
      <c r="B64" s="3" t="s">
        <v>5</v>
      </c>
      <c r="C64" s="12">
        <v>22.33</v>
      </c>
      <c r="D64" s="12">
        <f>7/60*14.58</f>
        <v>1.7010000000000001</v>
      </c>
      <c r="E64" s="13">
        <f t="shared" ref="E64:E69" si="4">(C64-D64)/C64</f>
        <v>0.92382445141065828</v>
      </c>
      <c r="G64" s="49"/>
    </row>
    <row r="65" spans="2:7" x14ac:dyDescent="0.25">
      <c r="B65" s="6" t="s">
        <v>6</v>
      </c>
      <c r="C65" s="12">
        <v>3.96</v>
      </c>
      <c r="D65" s="12">
        <f>10/60*14.58</f>
        <v>2.4299999999999997</v>
      </c>
      <c r="E65" s="14">
        <f t="shared" si="4"/>
        <v>0.38636363636363641</v>
      </c>
      <c r="G65" s="52"/>
    </row>
    <row r="66" spans="2:7" x14ac:dyDescent="0.25">
      <c r="B66" s="6" t="s">
        <v>7</v>
      </c>
      <c r="C66" s="12">
        <v>19.399999999999999</v>
      </c>
      <c r="D66" s="12">
        <f>76/60*14.58</f>
        <v>18.468</v>
      </c>
      <c r="E66" s="14">
        <f t="shared" si="4"/>
        <v>4.8041237113401997E-2</v>
      </c>
      <c r="G66" s="52"/>
    </row>
    <row r="67" spans="2:7" x14ac:dyDescent="0.25">
      <c r="B67" s="6" t="s">
        <v>8</v>
      </c>
      <c r="C67" s="12">
        <v>5.5</v>
      </c>
      <c r="D67" s="12">
        <f>23/60*14.58</f>
        <v>5.5890000000000004</v>
      </c>
      <c r="E67" s="13">
        <f t="shared" si="4"/>
        <v>-1.6181818181818255E-2</v>
      </c>
      <c r="G67" s="52"/>
    </row>
    <row r="68" spans="2:7" x14ac:dyDescent="0.25">
      <c r="B68" s="6" t="s">
        <v>9</v>
      </c>
      <c r="C68" s="12">
        <v>29</v>
      </c>
      <c r="D68" s="12">
        <v>0</v>
      </c>
      <c r="E68" s="14">
        <f t="shared" si="4"/>
        <v>1</v>
      </c>
      <c r="G68" s="52"/>
    </row>
    <row r="69" spans="2:7" x14ac:dyDescent="0.25">
      <c r="B69" s="6" t="s">
        <v>10</v>
      </c>
      <c r="C69" s="12">
        <v>22.5</v>
      </c>
      <c r="D69" s="12">
        <v>12.3</v>
      </c>
      <c r="E69" s="13">
        <f t="shared" si="4"/>
        <v>0.45333333333333331</v>
      </c>
      <c r="G69" s="52"/>
    </row>
    <row r="70" spans="2:7" x14ac:dyDescent="0.25">
      <c r="G70" s="52"/>
    </row>
    <row r="71" spans="2:7" x14ac:dyDescent="0.25">
      <c r="G71" s="52"/>
    </row>
    <row r="72" spans="2:7" x14ac:dyDescent="0.25">
      <c r="G72" s="52"/>
    </row>
    <row r="73" spans="2:7" x14ac:dyDescent="0.25">
      <c r="G73" s="52"/>
    </row>
    <row r="74" spans="2:7" x14ac:dyDescent="0.25">
      <c r="G74" s="52"/>
    </row>
    <row r="75" spans="2:7" x14ac:dyDescent="0.25">
      <c r="G75" s="49"/>
    </row>
    <row r="76" spans="2:7" s="53" customFormat="1" x14ac:dyDescent="0.25">
      <c r="G76" s="58"/>
    </row>
    <row r="77" spans="2:7" ht="18.75" x14ac:dyDescent="0.3">
      <c r="B77" s="50" t="s">
        <v>47</v>
      </c>
      <c r="G77" s="49"/>
    </row>
    <row r="78" spans="2:7" ht="21" x14ac:dyDescent="0.25">
      <c r="B78" s="48">
        <v>42367</v>
      </c>
      <c r="C78" s="11" t="s">
        <v>2</v>
      </c>
      <c r="D78" s="11" t="s">
        <v>3</v>
      </c>
      <c r="E78" s="11" t="s">
        <v>4</v>
      </c>
      <c r="G78" s="49"/>
    </row>
    <row r="79" spans="2:7" x14ac:dyDescent="0.25">
      <c r="B79" s="3" t="s">
        <v>5</v>
      </c>
      <c r="C79" s="12">
        <v>22.33</v>
      </c>
      <c r="D79" s="12">
        <f>988/60*14.58</f>
        <v>240.08399999999997</v>
      </c>
      <c r="E79" s="13">
        <f t="shared" ref="E79:E84" si="5">(C79-D79)/C79</f>
        <v>-9.7516345723242264</v>
      </c>
      <c r="G79" s="52"/>
    </row>
    <row r="80" spans="2:7" x14ac:dyDescent="0.25">
      <c r="B80" s="6" t="s">
        <v>6</v>
      </c>
      <c r="C80" s="12">
        <v>3.96</v>
      </c>
      <c r="D80" s="12">
        <f>15/60*14.58</f>
        <v>3.645</v>
      </c>
      <c r="E80" s="14">
        <f t="shared" si="5"/>
        <v>7.954545454545453E-2</v>
      </c>
      <c r="G80" s="52"/>
    </row>
    <row r="81" spans="2:7" x14ac:dyDescent="0.25">
      <c r="B81" s="6" t="s">
        <v>7</v>
      </c>
      <c r="C81" s="12">
        <v>19.399999999999999</v>
      </c>
      <c r="D81" s="12">
        <v>0</v>
      </c>
      <c r="E81" s="14">
        <f t="shared" si="5"/>
        <v>1</v>
      </c>
      <c r="G81" s="52"/>
    </row>
    <row r="82" spans="2:7" x14ac:dyDescent="0.25">
      <c r="B82" s="6" t="s">
        <v>8</v>
      </c>
      <c r="C82" s="12">
        <v>5.5</v>
      </c>
      <c r="D82" s="12">
        <f>41/60*14.58</f>
        <v>9.963000000000001</v>
      </c>
      <c r="E82" s="13">
        <f t="shared" si="5"/>
        <v>-0.81145454545454565</v>
      </c>
      <c r="G82" s="52"/>
    </row>
    <row r="83" spans="2:7" x14ac:dyDescent="0.25">
      <c r="B83" s="6" t="s">
        <v>9</v>
      </c>
      <c r="C83" s="12">
        <v>29</v>
      </c>
      <c r="D83" s="12">
        <v>0</v>
      </c>
      <c r="E83" s="14">
        <f t="shared" si="5"/>
        <v>1</v>
      </c>
      <c r="G83" s="52"/>
    </row>
    <row r="84" spans="2:7" x14ac:dyDescent="0.25">
      <c r="B84" s="6" t="s">
        <v>10</v>
      </c>
      <c r="C84" s="12">
        <v>22.5</v>
      </c>
      <c r="D84" s="12">
        <v>10.58</v>
      </c>
      <c r="E84" s="13">
        <f t="shared" si="5"/>
        <v>0.52977777777777779</v>
      </c>
      <c r="G84" s="52"/>
    </row>
    <row r="85" spans="2:7" x14ac:dyDescent="0.25">
      <c r="G85" s="52"/>
    </row>
    <row r="86" spans="2:7" x14ac:dyDescent="0.25">
      <c r="G86" s="52"/>
    </row>
    <row r="87" spans="2:7" x14ac:dyDescent="0.25">
      <c r="G87" s="52"/>
    </row>
    <row r="88" spans="2:7" x14ac:dyDescent="0.25">
      <c r="G88" s="52"/>
    </row>
    <row r="89" spans="2:7" x14ac:dyDescent="0.25">
      <c r="G89" s="52"/>
    </row>
    <row r="90" spans="2:7" x14ac:dyDescent="0.25">
      <c r="F90" s="49"/>
      <c r="G90" s="52"/>
    </row>
    <row r="91" spans="2:7" s="53" customFormat="1" x14ac:dyDescent="0.25">
      <c r="F91" s="58"/>
      <c r="G91" s="59"/>
    </row>
    <row r="92" spans="2:7" ht="18.75" x14ac:dyDescent="0.3">
      <c r="B92" s="50" t="s">
        <v>48</v>
      </c>
      <c r="F92" s="49"/>
      <c r="G92" s="52"/>
    </row>
    <row r="93" spans="2:7" ht="21" x14ac:dyDescent="0.25">
      <c r="B93" s="48">
        <v>42367</v>
      </c>
      <c r="C93" s="11" t="s">
        <v>2</v>
      </c>
      <c r="D93" s="11" t="s">
        <v>3</v>
      </c>
      <c r="E93" s="51" t="s">
        <v>4</v>
      </c>
      <c r="F93" s="49"/>
      <c r="G93" s="52"/>
    </row>
    <row r="94" spans="2:7" x14ac:dyDescent="0.25">
      <c r="B94" s="3" t="s">
        <v>5</v>
      </c>
      <c r="C94" s="12">
        <v>22.33</v>
      </c>
      <c r="D94" s="12">
        <f>15/60*14.58</f>
        <v>3.645</v>
      </c>
      <c r="E94" s="13">
        <f t="shared" ref="E94:E99" si="6">(C94-D94)/C94</f>
        <v>0.83676668159426781</v>
      </c>
      <c r="G94" s="52"/>
    </row>
    <row r="95" spans="2:7" x14ac:dyDescent="0.25">
      <c r="B95" s="6" t="s">
        <v>6</v>
      </c>
      <c r="C95" s="12">
        <v>3.96</v>
      </c>
      <c r="D95" s="12">
        <f>90/60*14.58</f>
        <v>21.87</v>
      </c>
      <c r="E95" s="14">
        <f t="shared" si="6"/>
        <v>-4.5227272727272725</v>
      </c>
      <c r="G95" s="52"/>
    </row>
    <row r="96" spans="2:7" x14ac:dyDescent="0.25">
      <c r="B96" s="6" t="s">
        <v>7</v>
      </c>
      <c r="C96" s="12">
        <v>19.399999999999999</v>
      </c>
      <c r="D96" s="12">
        <f>89/60*14.58</f>
        <v>21.627000000000002</v>
      </c>
      <c r="E96" s="14">
        <f t="shared" si="6"/>
        <v>-0.1147938144329899</v>
      </c>
      <c r="G96" s="52"/>
    </row>
    <row r="97" spans="2:7" x14ac:dyDescent="0.25">
      <c r="B97" s="6" t="s">
        <v>8</v>
      </c>
      <c r="C97" s="12">
        <v>5.5</v>
      </c>
      <c r="D97" s="12">
        <f>8/60*14.58</f>
        <v>1.944</v>
      </c>
      <c r="E97" s="13">
        <f t="shared" si="6"/>
        <v>0.64654545454545453</v>
      </c>
      <c r="G97" s="52"/>
    </row>
    <row r="98" spans="2:7" x14ac:dyDescent="0.25">
      <c r="B98" s="6" t="s">
        <v>9</v>
      </c>
      <c r="C98" s="12">
        <v>29</v>
      </c>
      <c r="D98" s="12">
        <v>0</v>
      </c>
      <c r="E98" s="14">
        <f t="shared" si="6"/>
        <v>1</v>
      </c>
      <c r="G98" s="52"/>
    </row>
    <row r="99" spans="2:7" x14ac:dyDescent="0.25">
      <c r="B99" s="6" t="s">
        <v>10</v>
      </c>
      <c r="C99" s="12">
        <v>22.5</v>
      </c>
      <c r="D99" s="12">
        <v>2.38</v>
      </c>
      <c r="E99" s="13">
        <f t="shared" si="6"/>
        <v>0.89422222222222225</v>
      </c>
      <c r="G99" s="52"/>
    </row>
    <row r="100" spans="2:7" x14ac:dyDescent="0.25">
      <c r="G100" s="52"/>
    </row>
    <row r="101" spans="2:7" ht="18" customHeight="1" x14ac:dyDescent="0.25">
      <c r="G101" s="52"/>
    </row>
    <row r="102" spans="2:7" ht="18" customHeight="1" x14ac:dyDescent="0.25">
      <c r="G102" s="52"/>
    </row>
    <row r="103" spans="2:7" ht="18" customHeight="1" x14ac:dyDescent="0.25">
      <c r="G103" s="52"/>
    </row>
    <row r="104" spans="2:7" ht="18" customHeight="1" x14ac:dyDescent="0.25">
      <c r="G104" s="52"/>
    </row>
    <row r="105" spans="2:7" s="53" customFormat="1" x14ac:dyDescent="0.25">
      <c r="G105" s="59"/>
    </row>
    <row r="106" spans="2:7" x14ac:dyDescent="0.25">
      <c r="G106" s="52"/>
    </row>
    <row r="107" spans="2:7" ht="18.75" x14ac:dyDescent="0.3">
      <c r="B107" s="50" t="s">
        <v>49</v>
      </c>
      <c r="G107" s="52"/>
    </row>
    <row r="108" spans="2:7" ht="21" x14ac:dyDescent="0.25">
      <c r="B108" s="48">
        <v>42367</v>
      </c>
      <c r="C108" s="11" t="s">
        <v>2</v>
      </c>
      <c r="D108" s="11" t="s">
        <v>3</v>
      </c>
      <c r="E108" s="51" t="s">
        <v>4</v>
      </c>
      <c r="G108" s="52"/>
    </row>
    <row r="109" spans="2:7" x14ac:dyDescent="0.25">
      <c r="B109" s="3" t="s">
        <v>5</v>
      </c>
      <c r="C109" s="12">
        <v>22.33</v>
      </c>
      <c r="D109" s="12">
        <f>20/60*14.58</f>
        <v>4.8599999999999994</v>
      </c>
      <c r="E109" s="13">
        <f t="shared" ref="E109:E114" si="7">(C109-D109)/C109</f>
        <v>0.78235557545902379</v>
      </c>
      <c r="G109" s="49"/>
    </row>
    <row r="110" spans="2:7" x14ac:dyDescent="0.25">
      <c r="B110" s="6" t="s">
        <v>6</v>
      </c>
      <c r="C110" s="12">
        <v>3.96</v>
      </c>
      <c r="D110" s="12">
        <f>5/60*14.58</f>
        <v>1.2149999999999999</v>
      </c>
      <c r="E110" s="14">
        <f t="shared" si="7"/>
        <v>0.69318181818181823</v>
      </c>
      <c r="G110" s="49"/>
    </row>
    <row r="111" spans="2:7" x14ac:dyDescent="0.25">
      <c r="B111" s="6" t="s">
        <v>7</v>
      </c>
      <c r="C111" s="12">
        <v>19.399999999999999</v>
      </c>
      <c r="D111" s="12">
        <v>0</v>
      </c>
      <c r="E111" s="14">
        <f t="shared" si="7"/>
        <v>1</v>
      </c>
      <c r="G111" s="49"/>
    </row>
    <row r="112" spans="2:7" x14ac:dyDescent="0.25">
      <c r="B112" s="6" t="s">
        <v>8</v>
      </c>
      <c r="C112" s="12">
        <v>5.5</v>
      </c>
      <c r="D112" s="12">
        <f>10/60*14.58</f>
        <v>2.4299999999999997</v>
      </c>
      <c r="E112" s="13">
        <f t="shared" si="7"/>
        <v>0.55818181818181822</v>
      </c>
      <c r="G112" s="49"/>
    </row>
    <row r="113" spans="2:7" x14ac:dyDescent="0.25">
      <c r="B113" s="6" t="s">
        <v>9</v>
      </c>
      <c r="C113" s="12">
        <v>29</v>
      </c>
      <c r="D113" s="12">
        <v>0</v>
      </c>
      <c r="E113" s="14">
        <f t="shared" si="7"/>
        <v>1</v>
      </c>
      <c r="G113" s="49"/>
    </row>
    <row r="114" spans="2:7" x14ac:dyDescent="0.25">
      <c r="B114" s="6" t="s">
        <v>10</v>
      </c>
      <c r="C114" s="12">
        <v>22.5</v>
      </c>
      <c r="D114" s="12">
        <v>4.53</v>
      </c>
      <c r="E114" s="13">
        <f t="shared" si="7"/>
        <v>0.79866666666666664</v>
      </c>
      <c r="G114" s="52"/>
    </row>
    <row r="115" spans="2:7" x14ac:dyDescent="0.25">
      <c r="G115" s="52"/>
    </row>
    <row r="116" spans="2:7" x14ac:dyDescent="0.25">
      <c r="G116" s="52"/>
    </row>
    <row r="117" spans="2:7" x14ac:dyDescent="0.25">
      <c r="G117" s="52"/>
    </row>
    <row r="118" spans="2:7" x14ac:dyDescent="0.25">
      <c r="G118" s="52"/>
    </row>
    <row r="119" spans="2:7" x14ac:dyDescent="0.25">
      <c r="G119" s="52"/>
    </row>
    <row r="120" spans="2:7" s="53" customFormat="1" x14ac:dyDescent="0.25">
      <c r="G120" s="59"/>
    </row>
    <row r="121" spans="2:7" x14ac:dyDescent="0.25">
      <c r="G121" s="52"/>
    </row>
    <row r="122" spans="2:7" ht="18.75" x14ac:dyDescent="0.3">
      <c r="B122" s="50" t="s">
        <v>50</v>
      </c>
      <c r="G122" s="52"/>
    </row>
    <row r="123" spans="2:7" ht="21" x14ac:dyDescent="0.25">
      <c r="B123" s="48">
        <v>42367</v>
      </c>
      <c r="C123" s="11" t="s">
        <v>2</v>
      </c>
      <c r="D123" s="11" t="s">
        <v>3</v>
      </c>
      <c r="E123" s="51" t="s">
        <v>4</v>
      </c>
      <c r="G123" s="52"/>
    </row>
    <row r="124" spans="2:7" x14ac:dyDescent="0.25">
      <c r="B124" s="3" t="s">
        <v>5</v>
      </c>
      <c r="C124" s="12">
        <v>22.33</v>
      </c>
      <c r="D124" s="12">
        <v>0</v>
      </c>
      <c r="E124" s="13">
        <f t="shared" ref="E124:E129" si="8">(C124-D124)/C124</f>
        <v>1</v>
      </c>
      <c r="G124" s="49"/>
    </row>
    <row r="125" spans="2:7" x14ac:dyDescent="0.25">
      <c r="B125" s="6" t="s">
        <v>6</v>
      </c>
      <c r="C125" s="12">
        <v>3.96</v>
      </c>
      <c r="D125" s="12">
        <f>22/60*14.58</f>
        <v>5.3460000000000001</v>
      </c>
      <c r="E125" s="14">
        <f t="shared" si="8"/>
        <v>-0.35000000000000003</v>
      </c>
      <c r="G125" s="49"/>
    </row>
    <row r="126" spans="2:7" x14ac:dyDescent="0.25">
      <c r="B126" s="6" t="s">
        <v>7</v>
      </c>
      <c r="C126" s="12">
        <v>19.399999999999999</v>
      </c>
      <c r="D126" s="12">
        <v>0</v>
      </c>
      <c r="E126" s="14">
        <f t="shared" si="8"/>
        <v>1</v>
      </c>
      <c r="G126" s="49"/>
    </row>
    <row r="127" spans="2:7" x14ac:dyDescent="0.25">
      <c r="B127" s="6" t="s">
        <v>8</v>
      </c>
      <c r="C127" s="12">
        <v>5.5</v>
      </c>
      <c r="D127" s="12">
        <f>27/60*14.58</f>
        <v>6.5609999999999999</v>
      </c>
      <c r="E127" s="13">
        <f t="shared" si="8"/>
        <v>-0.19290909090909089</v>
      </c>
      <c r="G127" s="49"/>
    </row>
    <row r="128" spans="2:7" x14ac:dyDescent="0.25">
      <c r="B128" s="6" t="s">
        <v>9</v>
      </c>
      <c r="C128" s="12">
        <v>29</v>
      </c>
      <c r="D128" s="12">
        <f>1/60*14.58</f>
        <v>0.24299999999999999</v>
      </c>
      <c r="E128" s="14">
        <f t="shared" si="8"/>
        <v>0.99162068965517247</v>
      </c>
      <c r="G128" s="49"/>
    </row>
    <row r="129" spans="2:7" x14ac:dyDescent="0.25">
      <c r="B129" s="6" t="s">
        <v>10</v>
      </c>
      <c r="C129" s="12">
        <v>22.5</v>
      </c>
      <c r="D129" s="12">
        <f>4/60*7.29</f>
        <v>0.48599999999999999</v>
      </c>
      <c r="E129" s="13">
        <f t="shared" si="8"/>
        <v>0.97839999999999994</v>
      </c>
      <c r="G129" s="49"/>
    </row>
    <row r="130" spans="2:7" x14ac:dyDescent="0.25">
      <c r="G130" s="52"/>
    </row>
    <row r="131" spans="2:7" x14ac:dyDescent="0.25">
      <c r="G131" s="52"/>
    </row>
    <row r="132" spans="2:7" x14ac:dyDescent="0.25">
      <c r="G132" s="52"/>
    </row>
    <row r="133" spans="2:7" x14ac:dyDescent="0.25">
      <c r="G133" s="52"/>
    </row>
    <row r="134" spans="2:7" x14ac:dyDescent="0.25">
      <c r="G134" s="52"/>
    </row>
    <row r="135" spans="2:7" s="53" customFormat="1" x14ac:dyDescent="0.25">
      <c r="G135" s="59"/>
    </row>
    <row r="136" spans="2:7" x14ac:dyDescent="0.25">
      <c r="G136" s="52"/>
    </row>
    <row r="137" spans="2:7" ht="18.75" x14ac:dyDescent="0.3">
      <c r="B137" s="50" t="s">
        <v>51</v>
      </c>
      <c r="G137" s="52"/>
    </row>
    <row r="138" spans="2:7" ht="21" x14ac:dyDescent="0.25">
      <c r="B138" s="48">
        <v>42367</v>
      </c>
      <c r="C138" s="11" t="s">
        <v>2</v>
      </c>
      <c r="D138" s="11" t="s">
        <v>3</v>
      </c>
      <c r="E138" s="51" t="s">
        <v>4</v>
      </c>
      <c r="G138" s="52"/>
    </row>
    <row r="139" spans="2:7" x14ac:dyDescent="0.25">
      <c r="B139" s="3" t="s">
        <v>5</v>
      </c>
      <c r="C139" s="12">
        <v>22.33</v>
      </c>
      <c r="D139" s="12">
        <f>10/60*14.58</f>
        <v>2.4299999999999997</v>
      </c>
      <c r="E139" s="13">
        <f t="shared" ref="E139:E144" si="9">(C139-D139)/C139</f>
        <v>0.89117778772951184</v>
      </c>
      <c r="G139" s="52"/>
    </row>
    <row r="140" spans="2:7" x14ac:dyDescent="0.25">
      <c r="B140" s="6" t="s">
        <v>6</v>
      </c>
      <c r="C140" s="12">
        <v>3.96</v>
      </c>
      <c r="D140" s="12">
        <v>0</v>
      </c>
      <c r="E140" s="14">
        <f t="shared" si="9"/>
        <v>1</v>
      </c>
      <c r="G140" s="52"/>
    </row>
    <row r="141" spans="2:7" x14ac:dyDescent="0.25">
      <c r="B141" s="6" t="s">
        <v>7</v>
      </c>
      <c r="C141" s="12">
        <v>19.399999999999999</v>
      </c>
      <c r="D141" s="12">
        <v>0</v>
      </c>
      <c r="E141" s="14">
        <f t="shared" si="9"/>
        <v>1</v>
      </c>
      <c r="G141" s="52"/>
    </row>
    <row r="142" spans="2:7" x14ac:dyDescent="0.25">
      <c r="B142" s="6" t="s">
        <v>8</v>
      </c>
      <c r="C142" s="12">
        <v>5.5</v>
      </c>
      <c r="D142" s="12">
        <v>0</v>
      </c>
      <c r="E142" s="13">
        <f t="shared" si="9"/>
        <v>1</v>
      </c>
      <c r="G142" s="52"/>
    </row>
    <row r="143" spans="2:7" x14ac:dyDescent="0.25">
      <c r="B143" s="6" t="s">
        <v>9</v>
      </c>
      <c r="C143" s="12">
        <v>29</v>
      </c>
      <c r="D143" s="12">
        <v>0</v>
      </c>
      <c r="E143" s="14">
        <f t="shared" si="9"/>
        <v>1</v>
      </c>
      <c r="G143" s="52"/>
    </row>
    <row r="144" spans="2:7" x14ac:dyDescent="0.25">
      <c r="B144" s="6" t="s">
        <v>10</v>
      </c>
      <c r="C144" s="12">
        <v>22.5</v>
      </c>
      <c r="D144" s="12">
        <v>6.97</v>
      </c>
      <c r="E144" s="13">
        <f t="shared" si="9"/>
        <v>0.69022222222222229</v>
      </c>
      <c r="G144" s="52"/>
    </row>
    <row r="145" spans="2:7" x14ac:dyDescent="0.25">
      <c r="G145" s="52"/>
    </row>
    <row r="146" spans="2:7" x14ac:dyDescent="0.25">
      <c r="G146" s="52"/>
    </row>
    <row r="147" spans="2:7" x14ac:dyDescent="0.25">
      <c r="G147" s="52"/>
    </row>
    <row r="148" spans="2:7" x14ac:dyDescent="0.25">
      <c r="G148" s="52"/>
    </row>
    <row r="149" spans="2:7" x14ac:dyDescent="0.25">
      <c r="G149" s="52"/>
    </row>
    <row r="150" spans="2:7" s="53" customFormat="1" x14ac:dyDescent="0.25">
      <c r="G150" s="59"/>
    </row>
    <row r="151" spans="2:7" x14ac:dyDescent="0.25">
      <c r="G151" s="52"/>
    </row>
    <row r="152" spans="2:7" ht="18.75" x14ac:dyDescent="0.3">
      <c r="B152" s="50" t="s">
        <v>52</v>
      </c>
      <c r="G152" s="52"/>
    </row>
    <row r="153" spans="2:7" ht="21" x14ac:dyDescent="0.25">
      <c r="B153" s="48">
        <v>42367</v>
      </c>
      <c r="C153" s="11" t="s">
        <v>2</v>
      </c>
      <c r="D153" s="11" t="s">
        <v>3</v>
      </c>
      <c r="E153" s="51" t="s">
        <v>4</v>
      </c>
      <c r="G153" s="52"/>
    </row>
    <row r="154" spans="2:7" x14ac:dyDescent="0.25">
      <c r="B154" s="3" t="s">
        <v>5</v>
      </c>
      <c r="C154" s="12">
        <v>22.33</v>
      </c>
      <c r="D154" s="12">
        <f>5/60*14.58</f>
        <v>1.2149999999999999</v>
      </c>
      <c r="E154" s="13">
        <f t="shared" ref="E154:E159" si="10">(C154-D154)/C154</f>
        <v>0.94558889386475597</v>
      </c>
      <c r="G154" s="52"/>
    </row>
    <row r="155" spans="2:7" x14ac:dyDescent="0.25">
      <c r="B155" s="6" t="s">
        <v>6</v>
      </c>
      <c r="C155" s="12">
        <v>3.96</v>
      </c>
      <c r="D155" s="12">
        <v>0</v>
      </c>
      <c r="E155" s="14">
        <f t="shared" si="10"/>
        <v>1</v>
      </c>
      <c r="G155" s="52"/>
    </row>
    <row r="156" spans="2:7" x14ac:dyDescent="0.25">
      <c r="B156" s="6" t="s">
        <v>7</v>
      </c>
      <c r="C156" s="12">
        <v>19.399999999999999</v>
      </c>
      <c r="D156" s="12">
        <v>0</v>
      </c>
      <c r="E156" s="14">
        <f t="shared" si="10"/>
        <v>1</v>
      </c>
      <c r="G156" s="52"/>
    </row>
    <row r="157" spans="2:7" x14ac:dyDescent="0.25">
      <c r="B157" s="6" t="s">
        <v>8</v>
      </c>
      <c r="C157" s="12">
        <v>5.5</v>
      </c>
      <c r="D157" s="12">
        <v>0</v>
      </c>
      <c r="E157" s="13">
        <f t="shared" si="10"/>
        <v>1</v>
      </c>
      <c r="G157" s="52"/>
    </row>
    <row r="158" spans="2:7" x14ac:dyDescent="0.25">
      <c r="B158" s="6" t="s">
        <v>9</v>
      </c>
      <c r="C158" s="12">
        <v>29</v>
      </c>
      <c r="D158" s="12">
        <f>113/60*14.58</f>
        <v>27.459</v>
      </c>
      <c r="E158" s="14">
        <f t="shared" si="10"/>
        <v>5.313793103448277E-2</v>
      </c>
      <c r="G158" s="52"/>
    </row>
    <row r="159" spans="2:7" x14ac:dyDescent="0.25">
      <c r="B159" s="6" t="s">
        <v>10</v>
      </c>
      <c r="C159" s="12">
        <v>22.5</v>
      </c>
      <c r="D159" s="12">
        <v>16.29</v>
      </c>
      <c r="E159" s="13">
        <f t="shared" si="10"/>
        <v>0.27600000000000002</v>
      </c>
      <c r="G159" s="52"/>
    </row>
    <row r="160" spans="2:7" x14ac:dyDescent="0.25">
      <c r="G160" s="52"/>
    </row>
    <row r="161" spans="2:7" x14ac:dyDescent="0.25">
      <c r="G161" s="52"/>
    </row>
    <row r="162" spans="2:7" x14ac:dyDescent="0.25">
      <c r="G162" s="52"/>
    </row>
    <row r="163" spans="2:7" x14ac:dyDescent="0.25">
      <c r="G163" s="52"/>
    </row>
    <row r="164" spans="2:7" x14ac:dyDescent="0.25">
      <c r="G164" s="52"/>
    </row>
    <row r="165" spans="2:7" s="53" customFormat="1" x14ac:dyDescent="0.25">
      <c r="G165" s="59"/>
    </row>
    <row r="166" spans="2:7" ht="18.75" x14ac:dyDescent="0.3">
      <c r="B166" s="50" t="s">
        <v>53</v>
      </c>
      <c r="G166" s="52"/>
    </row>
    <row r="167" spans="2:7" ht="21" x14ac:dyDescent="0.25">
      <c r="B167" s="48">
        <v>42367</v>
      </c>
      <c r="C167" s="11" t="s">
        <v>2</v>
      </c>
      <c r="D167" s="11" t="s">
        <v>3</v>
      </c>
      <c r="E167" s="51" t="s">
        <v>4</v>
      </c>
      <c r="G167" s="52"/>
    </row>
    <row r="168" spans="2:7" x14ac:dyDescent="0.25">
      <c r="B168" s="3" t="s">
        <v>5</v>
      </c>
      <c r="C168" s="12">
        <v>22.33</v>
      </c>
      <c r="D168" s="12">
        <f>51/60*14.58</f>
        <v>12.392999999999999</v>
      </c>
      <c r="E168" s="13">
        <f t="shared" ref="E168:E173" si="11">(C168-D168)/C168</f>
        <v>0.44500671742051051</v>
      </c>
      <c r="G168" s="49"/>
    </row>
    <row r="169" spans="2:7" x14ac:dyDescent="0.25">
      <c r="B169" s="6" t="s">
        <v>6</v>
      </c>
      <c r="C169" s="12">
        <v>3.96</v>
      </c>
      <c r="D169" s="12">
        <f>209/60*14.58</f>
        <v>50.786999999999999</v>
      </c>
      <c r="E169" s="14">
        <f t="shared" si="11"/>
        <v>-11.824999999999999</v>
      </c>
      <c r="G169" s="49"/>
    </row>
    <row r="170" spans="2:7" x14ac:dyDescent="0.25">
      <c r="B170" s="6" t="s">
        <v>7</v>
      </c>
      <c r="C170" s="12">
        <v>19.399999999999999</v>
      </c>
      <c r="D170" s="12">
        <f>43/60*14.58</f>
        <v>10.449</v>
      </c>
      <c r="E170" s="14">
        <f t="shared" si="11"/>
        <v>0.46139175257731957</v>
      </c>
      <c r="G170" s="49"/>
    </row>
    <row r="171" spans="2:7" x14ac:dyDescent="0.25">
      <c r="B171" s="6" t="s">
        <v>8</v>
      </c>
      <c r="C171" s="12">
        <v>5.5</v>
      </c>
      <c r="D171" s="12">
        <f>4/60*14.58</f>
        <v>0.97199999999999998</v>
      </c>
      <c r="E171" s="13">
        <f t="shared" si="11"/>
        <v>0.82327272727272738</v>
      </c>
      <c r="G171" s="49"/>
    </row>
    <row r="172" spans="2:7" x14ac:dyDescent="0.25">
      <c r="B172" s="6" t="s">
        <v>9</v>
      </c>
      <c r="C172" s="12">
        <v>29</v>
      </c>
      <c r="D172" s="12">
        <v>0</v>
      </c>
      <c r="E172" s="14">
        <f t="shared" si="11"/>
        <v>1</v>
      </c>
      <c r="G172" s="49"/>
    </row>
    <row r="173" spans="2:7" x14ac:dyDescent="0.25">
      <c r="B173" s="6" t="s">
        <v>10</v>
      </c>
      <c r="C173" s="12">
        <v>22.5</v>
      </c>
      <c r="D173" s="12">
        <v>4.8899999999999997</v>
      </c>
      <c r="E173" s="13">
        <f t="shared" si="11"/>
        <v>0.78266666666666662</v>
      </c>
      <c r="G173" s="52"/>
    </row>
    <row r="174" spans="2:7" x14ac:dyDescent="0.25">
      <c r="G174" s="52"/>
    </row>
    <row r="175" spans="2:7" x14ac:dyDescent="0.25">
      <c r="G175" s="52"/>
    </row>
    <row r="176" spans="2:7" x14ac:dyDescent="0.25">
      <c r="G176" s="52"/>
    </row>
    <row r="177" spans="2:7" x14ac:dyDescent="0.25">
      <c r="G177" s="52"/>
    </row>
    <row r="178" spans="2:7" x14ac:dyDescent="0.25">
      <c r="G178" s="52"/>
    </row>
    <row r="179" spans="2:7" s="53" customFormat="1" x14ac:dyDescent="0.25">
      <c r="G179" s="59"/>
    </row>
    <row r="180" spans="2:7" ht="18.75" x14ac:dyDescent="0.3">
      <c r="B180" s="50" t="s">
        <v>54</v>
      </c>
      <c r="G180" s="52"/>
    </row>
    <row r="181" spans="2:7" ht="21" x14ac:dyDescent="0.25">
      <c r="B181" s="48">
        <v>42367</v>
      </c>
      <c r="C181" s="11" t="s">
        <v>2</v>
      </c>
      <c r="D181" s="11" t="s">
        <v>3</v>
      </c>
      <c r="E181" s="51" t="s">
        <v>4</v>
      </c>
      <c r="G181" s="52"/>
    </row>
    <row r="182" spans="2:7" x14ac:dyDescent="0.25">
      <c r="B182" s="3" t="s">
        <v>5</v>
      </c>
      <c r="C182" s="12">
        <v>22.33</v>
      </c>
      <c r="D182" s="12">
        <f>10/60*14.58</f>
        <v>2.4299999999999997</v>
      </c>
      <c r="E182" s="13">
        <f t="shared" ref="E182:E187" si="12">(C182-D182)/C182</f>
        <v>0.89117778772951184</v>
      </c>
      <c r="G182" s="52"/>
    </row>
    <row r="183" spans="2:7" x14ac:dyDescent="0.25">
      <c r="B183" s="6" t="s">
        <v>6</v>
      </c>
      <c r="C183" s="12">
        <v>3.96</v>
      </c>
      <c r="D183" s="12">
        <v>0</v>
      </c>
      <c r="E183" s="14">
        <f t="shared" si="12"/>
        <v>1</v>
      </c>
      <c r="G183" s="52"/>
    </row>
    <row r="184" spans="2:7" x14ac:dyDescent="0.25">
      <c r="B184" s="6" t="s">
        <v>7</v>
      </c>
      <c r="C184" s="12">
        <v>19.399999999999999</v>
      </c>
      <c r="D184" s="12">
        <v>0</v>
      </c>
      <c r="E184" s="14">
        <f t="shared" si="12"/>
        <v>1</v>
      </c>
      <c r="G184" s="52"/>
    </row>
    <row r="185" spans="2:7" x14ac:dyDescent="0.25">
      <c r="B185" s="6" t="s">
        <v>8</v>
      </c>
      <c r="C185" s="12">
        <v>5.5</v>
      </c>
      <c r="D185" s="12">
        <v>0</v>
      </c>
      <c r="E185" s="13">
        <f t="shared" si="12"/>
        <v>1</v>
      </c>
      <c r="G185" s="52"/>
    </row>
    <row r="186" spans="2:7" x14ac:dyDescent="0.25">
      <c r="B186" s="6" t="s">
        <v>9</v>
      </c>
      <c r="C186" s="12">
        <v>29</v>
      </c>
      <c r="D186" s="12">
        <f>110/60*14.58</f>
        <v>26.73</v>
      </c>
      <c r="E186" s="14">
        <f t="shared" si="12"/>
        <v>7.8275862068965502E-2</v>
      </c>
      <c r="G186" s="52"/>
    </row>
    <row r="187" spans="2:7" x14ac:dyDescent="0.25">
      <c r="B187" s="6" t="s">
        <v>10</v>
      </c>
      <c r="C187" s="12">
        <v>22.5</v>
      </c>
      <c r="D187" s="12">
        <v>6.97</v>
      </c>
      <c r="E187" s="13">
        <f t="shared" si="12"/>
        <v>0.69022222222222229</v>
      </c>
      <c r="G187" s="52"/>
    </row>
    <row r="188" spans="2:7" x14ac:dyDescent="0.25">
      <c r="G188" s="52"/>
    </row>
    <row r="189" spans="2:7" x14ac:dyDescent="0.25">
      <c r="G189" s="52"/>
    </row>
    <row r="190" spans="2:7" x14ac:dyDescent="0.25">
      <c r="G190" s="52"/>
    </row>
    <row r="191" spans="2:7" x14ac:dyDescent="0.25">
      <c r="G191" s="52"/>
    </row>
    <row r="192" spans="2:7" x14ac:dyDescent="0.25">
      <c r="G192" s="52"/>
    </row>
    <row r="193" spans="2:7" s="53" customFormat="1" x14ac:dyDescent="0.25">
      <c r="G193" s="59"/>
    </row>
    <row r="194" spans="2:7" x14ac:dyDescent="0.25">
      <c r="G194" s="52"/>
    </row>
    <row r="195" spans="2:7" ht="18.75" x14ac:dyDescent="0.3">
      <c r="B195" s="50" t="s">
        <v>55</v>
      </c>
      <c r="G195" s="52"/>
    </row>
    <row r="196" spans="2:7" ht="21" x14ac:dyDescent="0.25">
      <c r="B196" s="48">
        <v>42367</v>
      </c>
      <c r="C196" s="11" t="s">
        <v>2</v>
      </c>
      <c r="D196" s="11" t="s">
        <v>3</v>
      </c>
      <c r="E196" s="51" t="s">
        <v>4</v>
      </c>
      <c r="G196" s="52"/>
    </row>
    <row r="197" spans="2:7" x14ac:dyDescent="0.25">
      <c r="B197" s="3" t="s">
        <v>5</v>
      </c>
      <c r="C197" s="12">
        <v>22.33</v>
      </c>
      <c r="D197" s="12">
        <f>12/60*14.58</f>
        <v>2.9160000000000004</v>
      </c>
      <c r="E197" s="13">
        <f t="shared" ref="E197:E202" si="13">(C197-D197)/C197</f>
        <v>0.86941334527541425</v>
      </c>
      <c r="G197" s="52"/>
    </row>
    <row r="198" spans="2:7" x14ac:dyDescent="0.25">
      <c r="B198" s="6" t="s">
        <v>6</v>
      </c>
      <c r="C198" s="12">
        <v>3.96</v>
      </c>
      <c r="D198" s="12">
        <v>0</v>
      </c>
      <c r="E198" s="14">
        <f t="shared" si="13"/>
        <v>1</v>
      </c>
      <c r="G198" s="52"/>
    </row>
    <row r="199" spans="2:7" x14ac:dyDescent="0.25">
      <c r="B199" s="6" t="s">
        <v>7</v>
      </c>
      <c r="C199" s="12">
        <v>19.399999999999999</v>
      </c>
      <c r="D199" s="12">
        <v>0</v>
      </c>
      <c r="E199" s="14">
        <f t="shared" si="13"/>
        <v>1</v>
      </c>
      <c r="G199" s="52"/>
    </row>
    <row r="200" spans="2:7" x14ac:dyDescent="0.25">
      <c r="B200" s="6" t="s">
        <v>8</v>
      </c>
      <c r="C200" s="12">
        <v>5.5</v>
      </c>
      <c r="D200" s="12">
        <v>0</v>
      </c>
      <c r="E200" s="13">
        <f t="shared" si="13"/>
        <v>1</v>
      </c>
      <c r="G200" s="52"/>
    </row>
    <row r="201" spans="2:7" x14ac:dyDescent="0.25">
      <c r="B201" s="6" t="s">
        <v>9</v>
      </c>
      <c r="C201" s="12">
        <v>29</v>
      </c>
      <c r="D201" s="12">
        <f>43/60*14.58</f>
        <v>10.449</v>
      </c>
      <c r="E201" s="14">
        <f t="shared" si="13"/>
        <v>0.63968965517241383</v>
      </c>
      <c r="G201" s="52"/>
    </row>
    <row r="202" spans="2:7" x14ac:dyDescent="0.25">
      <c r="B202" s="6" t="s">
        <v>10</v>
      </c>
      <c r="C202" s="12">
        <v>22.5</v>
      </c>
      <c r="D202" s="12">
        <f>3/60*7.29</f>
        <v>0.36450000000000005</v>
      </c>
      <c r="E202" s="13">
        <f t="shared" si="13"/>
        <v>0.98380000000000001</v>
      </c>
      <c r="G202" s="52"/>
    </row>
    <row r="203" spans="2:7" x14ac:dyDescent="0.25">
      <c r="G203" s="52"/>
    </row>
    <row r="204" spans="2:7" x14ac:dyDescent="0.25">
      <c r="G204" s="52"/>
    </row>
    <row r="205" spans="2:7" x14ac:dyDescent="0.25">
      <c r="G205" s="52"/>
    </row>
    <row r="206" spans="2:7" x14ac:dyDescent="0.25">
      <c r="G206" s="52"/>
    </row>
    <row r="207" spans="2:7" x14ac:dyDescent="0.25">
      <c r="G207" s="52"/>
    </row>
    <row r="208" spans="2:7" s="53" customFormat="1" x14ac:dyDescent="0.25">
      <c r="G208" s="59"/>
    </row>
    <row r="209" spans="2:7" x14ac:dyDescent="0.25">
      <c r="G209" s="52"/>
    </row>
    <row r="210" spans="2:7" ht="18.75" x14ac:dyDescent="0.3">
      <c r="B210" s="50" t="s">
        <v>56</v>
      </c>
      <c r="G210" s="52"/>
    </row>
    <row r="211" spans="2:7" ht="21" x14ac:dyDescent="0.25">
      <c r="B211" s="48">
        <v>42367</v>
      </c>
      <c r="C211" s="11" t="s">
        <v>2</v>
      </c>
      <c r="D211" s="11" t="s">
        <v>3</v>
      </c>
      <c r="E211" s="51" t="s">
        <v>4</v>
      </c>
      <c r="G211" s="52"/>
    </row>
    <row r="212" spans="2:7" x14ac:dyDescent="0.25">
      <c r="B212" s="3" t="s">
        <v>5</v>
      </c>
      <c r="C212" s="12">
        <v>22.33</v>
      </c>
      <c r="D212" s="12">
        <f>3/60*14.58</f>
        <v>0.72900000000000009</v>
      </c>
      <c r="E212" s="13">
        <f t="shared" ref="E212:E217" si="14">(C212-D212)/C212</f>
        <v>0.96735333631885356</v>
      </c>
      <c r="G212" s="52"/>
    </row>
    <row r="213" spans="2:7" x14ac:dyDescent="0.25">
      <c r="B213" s="6" t="s">
        <v>6</v>
      </c>
      <c r="C213" s="12">
        <v>3.96</v>
      </c>
      <c r="D213" s="12">
        <v>0</v>
      </c>
      <c r="E213" s="14">
        <f t="shared" si="14"/>
        <v>1</v>
      </c>
      <c r="G213" s="52"/>
    </row>
    <row r="214" spans="2:7" x14ac:dyDescent="0.25">
      <c r="B214" s="6" t="s">
        <v>7</v>
      </c>
      <c r="C214" s="12">
        <v>19.399999999999999</v>
      </c>
      <c r="D214" s="12">
        <v>0</v>
      </c>
      <c r="E214" s="14">
        <f t="shared" si="14"/>
        <v>1</v>
      </c>
      <c r="G214" s="52"/>
    </row>
    <row r="215" spans="2:7" x14ac:dyDescent="0.25">
      <c r="B215" s="6" t="s">
        <v>8</v>
      </c>
      <c r="C215" s="12">
        <v>5.5</v>
      </c>
      <c r="D215" s="12">
        <v>0</v>
      </c>
      <c r="E215" s="13">
        <f t="shared" si="14"/>
        <v>1</v>
      </c>
      <c r="G215" s="52"/>
    </row>
    <row r="216" spans="2:7" x14ac:dyDescent="0.25">
      <c r="B216" s="6" t="s">
        <v>9</v>
      </c>
      <c r="C216" s="12">
        <v>29</v>
      </c>
      <c r="D216" s="12">
        <f>5/60*14.58</f>
        <v>1.2149999999999999</v>
      </c>
      <c r="E216" s="14">
        <f t="shared" si="14"/>
        <v>0.95810344827586202</v>
      </c>
      <c r="G216" s="52"/>
    </row>
    <row r="217" spans="2:7" x14ac:dyDescent="0.25">
      <c r="B217" s="6" t="s">
        <v>10</v>
      </c>
      <c r="C217" s="12">
        <v>22.5</v>
      </c>
      <c r="D217" s="12">
        <f>3/60*7.29</f>
        <v>0.36450000000000005</v>
      </c>
      <c r="E217" s="13">
        <f t="shared" si="14"/>
        <v>0.98380000000000001</v>
      </c>
      <c r="G217" s="52"/>
    </row>
    <row r="218" spans="2:7" x14ac:dyDescent="0.25">
      <c r="G218" s="52"/>
    </row>
    <row r="219" spans="2:7" x14ac:dyDescent="0.25">
      <c r="G219" s="52"/>
    </row>
    <row r="220" spans="2:7" x14ac:dyDescent="0.25">
      <c r="G220" s="52"/>
    </row>
    <row r="221" spans="2:7" x14ac:dyDescent="0.25">
      <c r="G221" s="52"/>
    </row>
    <row r="222" spans="2:7" x14ac:dyDescent="0.25">
      <c r="G222" s="52"/>
    </row>
    <row r="223" spans="2:7" s="53" customFormat="1" x14ac:dyDescent="0.25">
      <c r="G223" s="59"/>
    </row>
    <row r="224" spans="2:7" x14ac:dyDescent="0.25">
      <c r="G224" s="52"/>
    </row>
    <row r="225" spans="2:7" ht="18.75" x14ac:dyDescent="0.3">
      <c r="B225" s="50" t="s">
        <v>57</v>
      </c>
      <c r="G225" s="52"/>
    </row>
    <row r="226" spans="2:7" ht="21" x14ac:dyDescent="0.25">
      <c r="B226" s="48">
        <v>42367</v>
      </c>
      <c r="C226" s="11" t="s">
        <v>2</v>
      </c>
      <c r="D226" s="11" t="s">
        <v>3</v>
      </c>
      <c r="E226" s="51" t="s">
        <v>4</v>
      </c>
      <c r="G226" s="52"/>
    </row>
    <row r="227" spans="2:7" x14ac:dyDescent="0.25">
      <c r="B227" s="3" t="s">
        <v>5</v>
      </c>
      <c r="C227" s="12">
        <v>22.33</v>
      </c>
      <c r="D227" s="12">
        <f>601/60*14.58</f>
        <v>146.04300000000001</v>
      </c>
      <c r="E227" s="13">
        <f t="shared" ref="E227:E232" si="15">(C227-D227)/C227</f>
        <v>-5.540214957456338</v>
      </c>
      <c r="G227" s="52"/>
    </row>
    <row r="228" spans="2:7" x14ac:dyDescent="0.25">
      <c r="B228" s="6" t="s">
        <v>6</v>
      </c>
      <c r="C228" s="12">
        <v>3.96</v>
      </c>
      <c r="D228" s="12">
        <f>57/60*14.58</f>
        <v>13.850999999999999</v>
      </c>
      <c r="E228" s="14">
        <f t="shared" si="15"/>
        <v>-2.4977272727272721</v>
      </c>
      <c r="G228" s="49"/>
    </row>
    <row r="229" spans="2:7" x14ac:dyDescent="0.25">
      <c r="B229" s="6" t="s">
        <v>7</v>
      </c>
      <c r="C229" s="12">
        <v>19.399999999999999</v>
      </c>
      <c r="D229" s="12">
        <f>317/60*14.58</f>
        <v>77.030999999999992</v>
      </c>
      <c r="E229" s="14">
        <f t="shared" si="15"/>
        <v>-2.9706701030927833</v>
      </c>
      <c r="G229" s="49"/>
    </row>
    <row r="230" spans="2:7" x14ac:dyDescent="0.25">
      <c r="B230" s="6" t="s">
        <v>8</v>
      </c>
      <c r="C230" s="12">
        <v>5.5</v>
      </c>
      <c r="D230" s="12">
        <f>11/60*14.58</f>
        <v>2.673</v>
      </c>
      <c r="E230" s="13">
        <f t="shared" si="15"/>
        <v>0.51400000000000001</v>
      </c>
      <c r="G230" s="49"/>
    </row>
    <row r="231" spans="2:7" x14ac:dyDescent="0.25">
      <c r="B231" s="6" t="s">
        <v>9</v>
      </c>
      <c r="C231" s="12">
        <v>29</v>
      </c>
      <c r="D231" s="12">
        <v>0</v>
      </c>
      <c r="E231" s="14">
        <f t="shared" si="15"/>
        <v>1</v>
      </c>
      <c r="G231" s="49"/>
    </row>
    <row r="232" spans="2:7" x14ac:dyDescent="0.25">
      <c r="B232" s="6" t="s">
        <v>10</v>
      </c>
      <c r="C232" s="12">
        <v>22.5</v>
      </c>
      <c r="D232" s="12">
        <v>4.49</v>
      </c>
      <c r="E232" s="13">
        <f t="shared" si="15"/>
        <v>0.8004444444444444</v>
      </c>
      <c r="G232" s="52"/>
    </row>
    <row r="233" spans="2:7" x14ac:dyDescent="0.25">
      <c r="G233" s="52"/>
    </row>
    <row r="234" spans="2:7" x14ac:dyDescent="0.25">
      <c r="G234" s="52"/>
    </row>
    <row r="235" spans="2:7" x14ac:dyDescent="0.25">
      <c r="G235" s="52"/>
    </row>
    <row r="236" spans="2:7" x14ac:dyDescent="0.25">
      <c r="G236" s="52"/>
    </row>
    <row r="237" spans="2:7" x14ac:dyDescent="0.25">
      <c r="G237" s="52"/>
    </row>
    <row r="238" spans="2:7" s="53" customFormat="1" x14ac:dyDescent="0.25">
      <c r="G238" s="59"/>
    </row>
    <row r="239" spans="2:7" x14ac:dyDescent="0.25">
      <c r="G239" s="52"/>
    </row>
    <row r="240" spans="2:7" ht="18.75" x14ac:dyDescent="0.3">
      <c r="B240" s="50" t="s">
        <v>48</v>
      </c>
      <c r="G240" s="52"/>
    </row>
    <row r="241" spans="2:7" ht="21" x14ac:dyDescent="0.25">
      <c r="B241" s="48">
        <v>42367</v>
      </c>
      <c r="C241" s="11" t="s">
        <v>2</v>
      </c>
      <c r="D241" s="11" t="s">
        <v>3</v>
      </c>
      <c r="E241" s="51" t="s">
        <v>4</v>
      </c>
      <c r="G241" s="52"/>
    </row>
    <row r="242" spans="2:7" x14ac:dyDescent="0.25">
      <c r="B242" s="3" t="s">
        <v>5</v>
      </c>
      <c r="C242" s="12">
        <v>22.33</v>
      </c>
      <c r="D242" s="12">
        <f>14/60*14.58</f>
        <v>3.4020000000000001</v>
      </c>
      <c r="E242" s="13">
        <f t="shared" ref="E242:E247" si="16">(C242-D242)/C242</f>
        <v>0.84764890282131655</v>
      </c>
      <c r="G242" s="49"/>
    </row>
    <row r="243" spans="2:7" x14ac:dyDescent="0.25">
      <c r="B243" s="6" t="s">
        <v>6</v>
      </c>
      <c r="C243" s="12">
        <v>3.96</v>
      </c>
      <c r="D243" s="12">
        <f>90/60*14.58</f>
        <v>21.87</v>
      </c>
      <c r="E243" s="14">
        <f t="shared" si="16"/>
        <v>-4.5227272727272725</v>
      </c>
      <c r="G243" s="49"/>
    </row>
    <row r="244" spans="2:7" x14ac:dyDescent="0.25">
      <c r="B244" s="6" t="s">
        <v>7</v>
      </c>
      <c r="C244" s="12">
        <v>19.399999999999999</v>
      </c>
      <c r="D244" s="12">
        <f>89/60*14.58</f>
        <v>21.627000000000002</v>
      </c>
      <c r="E244" s="14">
        <f t="shared" si="16"/>
        <v>-0.1147938144329899</v>
      </c>
      <c r="G244" s="49"/>
    </row>
    <row r="245" spans="2:7" x14ac:dyDescent="0.25">
      <c r="B245" s="6" t="s">
        <v>8</v>
      </c>
      <c r="C245" s="12">
        <v>5.5</v>
      </c>
      <c r="D245" s="12">
        <f>8/60*14.58</f>
        <v>1.944</v>
      </c>
      <c r="E245" s="13">
        <f t="shared" si="16"/>
        <v>0.64654545454545453</v>
      </c>
      <c r="G245" s="49"/>
    </row>
    <row r="246" spans="2:7" x14ac:dyDescent="0.25">
      <c r="B246" s="6" t="s">
        <v>9</v>
      </c>
      <c r="C246" s="12">
        <v>29</v>
      </c>
      <c r="D246" s="12">
        <v>0</v>
      </c>
      <c r="E246" s="14">
        <f t="shared" si="16"/>
        <v>1</v>
      </c>
      <c r="G246" s="52"/>
    </row>
    <row r="247" spans="2:7" x14ac:dyDescent="0.25">
      <c r="B247" s="6" t="s">
        <v>10</v>
      </c>
      <c r="C247" s="12">
        <v>22.5</v>
      </c>
      <c r="D247" s="12">
        <v>1.6</v>
      </c>
      <c r="E247" s="13">
        <f t="shared" si="16"/>
        <v>0.92888888888888888</v>
      </c>
      <c r="G247" s="52"/>
    </row>
    <row r="248" spans="2:7" x14ac:dyDescent="0.25">
      <c r="G248" s="52"/>
    </row>
    <row r="249" spans="2:7" x14ac:dyDescent="0.25">
      <c r="G249" s="52"/>
    </row>
    <row r="250" spans="2:7" x14ac:dyDescent="0.25">
      <c r="G250" s="52"/>
    </row>
    <row r="251" spans="2:7" x14ac:dyDescent="0.25">
      <c r="G251" s="52"/>
    </row>
    <row r="252" spans="2:7" ht="17.25" customHeight="1" x14ac:dyDescent="0.25">
      <c r="G252" s="52"/>
    </row>
    <row r="253" spans="2:7" x14ac:dyDescent="0.25">
      <c r="G253" s="52"/>
    </row>
    <row r="254" spans="2:7" s="53" customFormat="1" x14ac:dyDescent="0.25">
      <c r="G254" s="59"/>
    </row>
    <row r="255" spans="2:7" ht="18.75" x14ac:dyDescent="0.3">
      <c r="B255" s="50" t="s">
        <v>58</v>
      </c>
      <c r="G255" s="52"/>
    </row>
    <row r="256" spans="2:7" ht="21" x14ac:dyDescent="0.25">
      <c r="B256" s="48">
        <v>42367</v>
      </c>
      <c r="C256" s="11" t="s">
        <v>2</v>
      </c>
      <c r="D256" s="11" t="s">
        <v>3</v>
      </c>
      <c r="E256" s="51" t="s">
        <v>4</v>
      </c>
      <c r="G256" s="52"/>
    </row>
    <row r="257" spans="2:7" x14ac:dyDescent="0.25">
      <c r="B257" s="3" t="s">
        <v>5</v>
      </c>
      <c r="C257" s="12">
        <v>22.33</v>
      </c>
      <c r="D257" s="12">
        <v>0</v>
      </c>
      <c r="E257" s="13">
        <f t="shared" ref="E257:E262" si="17">(C257-D257)/C257</f>
        <v>1</v>
      </c>
      <c r="G257" s="52"/>
    </row>
    <row r="258" spans="2:7" x14ac:dyDescent="0.25">
      <c r="B258" s="6" t="s">
        <v>6</v>
      </c>
      <c r="C258" s="12">
        <v>3.96</v>
      </c>
      <c r="D258" s="12">
        <v>0</v>
      </c>
      <c r="E258" s="14">
        <f t="shared" si="17"/>
        <v>1</v>
      </c>
      <c r="G258" s="52"/>
    </row>
    <row r="259" spans="2:7" x14ac:dyDescent="0.25">
      <c r="B259" s="6" t="s">
        <v>7</v>
      </c>
      <c r="C259" s="12">
        <v>19.399999999999999</v>
      </c>
      <c r="D259" s="12">
        <v>0</v>
      </c>
      <c r="E259" s="14">
        <f t="shared" si="17"/>
        <v>1</v>
      </c>
      <c r="G259" s="52"/>
    </row>
    <row r="260" spans="2:7" x14ac:dyDescent="0.25">
      <c r="B260" s="6" t="s">
        <v>8</v>
      </c>
      <c r="C260" s="12">
        <v>5.5</v>
      </c>
      <c r="D260" s="12">
        <f>10/60*14.58</f>
        <v>2.4299999999999997</v>
      </c>
      <c r="E260" s="13">
        <f t="shared" si="17"/>
        <v>0.55818181818181822</v>
      </c>
      <c r="G260" s="52"/>
    </row>
    <row r="261" spans="2:7" x14ac:dyDescent="0.25">
      <c r="B261" s="6" t="s">
        <v>9</v>
      </c>
      <c r="C261" s="12">
        <v>29</v>
      </c>
      <c r="D261" s="12">
        <f>43/60*14.58</f>
        <v>10.449</v>
      </c>
      <c r="E261" s="14">
        <f t="shared" si="17"/>
        <v>0.63968965517241383</v>
      </c>
      <c r="G261" s="52"/>
    </row>
    <row r="262" spans="2:7" x14ac:dyDescent="0.25">
      <c r="B262" s="6" t="s">
        <v>10</v>
      </c>
      <c r="C262" s="12">
        <v>22.5</v>
      </c>
      <c r="D262" s="12">
        <v>0.71</v>
      </c>
      <c r="E262" s="13">
        <f t="shared" si="17"/>
        <v>0.96844444444444444</v>
      </c>
      <c r="G262" s="52"/>
    </row>
    <row r="263" spans="2:7" x14ac:dyDescent="0.25">
      <c r="G263" s="52"/>
    </row>
    <row r="264" spans="2:7" x14ac:dyDescent="0.25">
      <c r="G264" s="52"/>
    </row>
    <row r="265" spans="2:7" x14ac:dyDescent="0.25">
      <c r="G265" s="52"/>
    </row>
    <row r="266" spans="2:7" x14ac:dyDescent="0.25">
      <c r="G266" s="52"/>
    </row>
    <row r="267" spans="2:7" x14ac:dyDescent="0.25">
      <c r="G267" s="52"/>
    </row>
    <row r="268" spans="2:7" x14ac:dyDescent="0.25">
      <c r="G268" s="52"/>
    </row>
    <row r="269" spans="2:7" s="53" customFormat="1" x14ac:dyDescent="0.25">
      <c r="G269" s="59"/>
    </row>
    <row r="270" spans="2:7" ht="18.75" x14ac:dyDescent="0.3">
      <c r="B270" s="50" t="s">
        <v>59</v>
      </c>
      <c r="G270" s="52"/>
    </row>
    <row r="271" spans="2:7" ht="21" x14ac:dyDescent="0.25">
      <c r="B271" s="48">
        <v>42367</v>
      </c>
      <c r="C271" s="11" t="s">
        <v>2</v>
      </c>
      <c r="D271" s="11" t="s">
        <v>3</v>
      </c>
      <c r="E271" s="51" t="s">
        <v>4</v>
      </c>
      <c r="G271" s="52"/>
    </row>
    <row r="272" spans="2:7" x14ac:dyDescent="0.25">
      <c r="B272" s="3" t="s">
        <v>5</v>
      </c>
      <c r="C272" s="12">
        <v>22.33</v>
      </c>
      <c r="D272" s="12">
        <f>17/60*14.58</f>
        <v>4.1310000000000002</v>
      </c>
      <c r="E272" s="13">
        <f t="shared" ref="E272:E277" si="18">(C272-D272)/C272</f>
        <v>0.81500223914017011</v>
      </c>
      <c r="G272" s="52"/>
    </row>
    <row r="273" spans="2:7" x14ac:dyDescent="0.25">
      <c r="B273" s="6" t="s">
        <v>6</v>
      </c>
      <c r="C273" s="12">
        <v>3.96</v>
      </c>
      <c r="D273" s="12">
        <f>142/60*14.58</f>
        <v>34.506</v>
      </c>
      <c r="E273" s="14">
        <f t="shared" si="18"/>
        <v>-7.7136363636363638</v>
      </c>
      <c r="G273" s="52"/>
    </row>
    <row r="274" spans="2:7" x14ac:dyDescent="0.25">
      <c r="B274" s="6" t="s">
        <v>7</v>
      </c>
      <c r="C274" s="12">
        <v>19.399999999999999</v>
      </c>
      <c r="D274" s="12">
        <v>0</v>
      </c>
      <c r="E274" s="14">
        <f t="shared" si="18"/>
        <v>1</v>
      </c>
      <c r="G274" s="52"/>
    </row>
    <row r="275" spans="2:7" x14ac:dyDescent="0.25">
      <c r="B275" s="6" t="s">
        <v>8</v>
      </c>
      <c r="C275" s="12">
        <v>5.5</v>
      </c>
      <c r="D275" s="12">
        <f>5/60*14.58</f>
        <v>1.2149999999999999</v>
      </c>
      <c r="E275" s="13">
        <f t="shared" si="18"/>
        <v>0.77909090909090917</v>
      </c>
      <c r="G275" s="52"/>
    </row>
    <row r="276" spans="2:7" x14ac:dyDescent="0.25">
      <c r="B276" s="6" t="s">
        <v>9</v>
      </c>
      <c r="C276" s="12">
        <v>29</v>
      </c>
      <c r="D276" s="12">
        <v>0</v>
      </c>
      <c r="E276" s="14">
        <f t="shared" si="18"/>
        <v>1</v>
      </c>
      <c r="G276" s="52"/>
    </row>
    <row r="277" spans="2:7" x14ac:dyDescent="0.25">
      <c r="B277" s="6" t="s">
        <v>10</v>
      </c>
      <c r="C277" s="12">
        <v>22.5</v>
      </c>
      <c r="D277" s="12">
        <f>6/60*7.29</f>
        <v>0.72900000000000009</v>
      </c>
      <c r="E277" s="13">
        <f t="shared" si="18"/>
        <v>0.96760000000000002</v>
      </c>
      <c r="G277" s="52"/>
    </row>
    <row r="278" spans="2:7" x14ac:dyDescent="0.25">
      <c r="G278" s="52"/>
    </row>
    <row r="279" spans="2:7" x14ac:dyDescent="0.25">
      <c r="G279" s="52"/>
    </row>
    <row r="280" spans="2:7" x14ac:dyDescent="0.25">
      <c r="G280" s="52"/>
    </row>
    <row r="281" spans="2:7" x14ac:dyDescent="0.25">
      <c r="G281" s="52"/>
    </row>
    <row r="282" spans="2:7" x14ac:dyDescent="0.25">
      <c r="G282" s="52"/>
    </row>
    <row r="283" spans="2:7" x14ac:dyDescent="0.25">
      <c r="G283" s="52"/>
    </row>
    <row r="284" spans="2:7" s="53" customFormat="1" x14ac:dyDescent="0.25">
      <c r="G284" s="59"/>
    </row>
    <row r="285" spans="2:7" ht="18.75" x14ac:dyDescent="0.3">
      <c r="B285" s="50" t="s">
        <v>60</v>
      </c>
      <c r="G285" s="52"/>
    </row>
    <row r="286" spans="2:7" ht="21" x14ac:dyDescent="0.25">
      <c r="B286" s="48">
        <v>42367</v>
      </c>
      <c r="C286" s="11" t="s">
        <v>2</v>
      </c>
      <c r="D286" s="11" t="s">
        <v>3</v>
      </c>
      <c r="E286" s="51" t="s">
        <v>4</v>
      </c>
      <c r="G286" s="52"/>
    </row>
    <row r="287" spans="2:7" x14ac:dyDescent="0.25">
      <c r="B287" s="3" t="s">
        <v>5</v>
      </c>
      <c r="C287" s="12">
        <v>22.33</v>
      </c>
      <c r="D287" s="12">
        <f>9/60*14.58</f>
        <v>2.1869999999999998</v>
      </c>
      <c r="E287" s="13">
        <f t="shared" ref="E287:E292" si="19">(C287-D287)/C287</f>
        <v>0.90206000895656058</v>
      </c>
      <c r="G287" s="52"/>
    </row>
    <row r="288" spans="2:7" x14ac:dyDescent="0.25">
      <c r="B288" s="6" t="s">
        <v>6</v>
      </c>
      <c r="C288" s="12">
        <v>3.96</v>
      </c>
      <c r="D288" s="12">
        <f>42/60*14.58</f>
        <v>10.206</v>
      </c>
      <c r="E288" s="14">
        <f t="shared" si="19"/>
        <v>-1.5772727272727272</v>
      </c>
      <c r="G288" s="52"/>
    </row>
    <row r="289" spans="2:7" x14ac:dyDescent="0.25">
      <c r="B289" s="6" t="s">
        <v>7</v>
      </c>
      <c r="C289" s="12">
        <v>19.399999999999999</v>
      </c>
      <c r="D289" s="12">
        <v>0</v>
      </c>
      <c r="E289" s="14">
        <f t="shared" si="19"/>
        <v>1</v>
      </c>
      <c r="G289" s="52"/>
    </row>
    <row r="290" spans="2:7" x14ac:dyDescent="0.25">
      <c r="B290" s="6" t="s">
        <v>8</v>
      </c>
      <c r="C290" s="12">
        <v>5.5</v>
      </c>
      <c r="D290" s="12">
        <f>5/60*14.58</f>
        <v>1.2149999999999999</v>
      </c>
      <c r="E290" s="13">
        <f t="shared" si="19"/>
        <v>0.77909090909090917</v>
      </c>
      <c r="G290" s="52"/>
    </row>
    <row r="291" spans="2:7" x14ac:dyDescent="0.25">
      <c r="B291" s="6" t="s">
        <v>9</v>
      </c>
      <c r="C291" s="12">
        <v>29</v>
      </c>
      <c r="D291" s="12">
        <v>0</v>
      </c>
      <c r="E291" s="14">
        <f t="shared" si="19"/>
        <v>1</v>
      </c>
      <c r="G291" s="52"/>
    </row>
    <row r="292" spans="2:7" x14ac:dyDescent="0.25">
      <c r="B292" s="6" t="s">
        <v>10</v>
      </c>
      <c r="C292" s="12">
        <v>22.5</v>
      </c>
      <c r="D292" s="12">
        <v>2.34</v>
      </c>
      <c r="E292" s="13">
        <f t="shared" si="19"/>
        <v>0.89600000000000002</v>
      </c>
      <c r="G292" s="52"/>
    </row>
    <row r="293" spans="2:7" x14ac:dyDescent="0.25">
      <c r="G293" s="52"/>
    </row>
    <row r="294" spans="2:7" x14ac:dyDescent="0.25">
      <c r="G294" s="52"/>
    </row>
    <row r="295" spans="2:7" x14ac:dyDescent="0.25">
      <c r="G295" s="52"/>
    </row>
    <row r="296" spans="2:7" x14ac:dyDescent="0.25">
      <c r="G296" s="52"/>
    </row>
    <row r="297" spans="2:7" x14ac:dyDescent="0.25">
      <c r="G297" s="52"/>
    </row>
    <row r="298" spans="2:7" x14ac:dyDescent="0.25">
      <c r="G298" s="52"/>
    </row>
    <row r="299" spans="2:7" s="53" customFormat="1" x14ac:dyDescent="0.25">
      <c r="G299" s="59"/>
    </row>
    <row r="300" spans="2:7" ht="18.75" x14ac:dyDescent="0.3">
      <c r="B300" s="50" t="s">
        <v>61</v>
      </c>
      <c r="G300" s="52"/>
    </row>
    <row r="301" spans="2:7" ht="21" x14ac:dyDescent="0.25">
      <c r="B301" s="48">
        <v>42367</v>
      </c>
      <c r="C301" s="11" t="s">
        <v>2</v>
      </c>
      <c r="D301" s="11" t="s">
        <v>3</v>
      </c>
      <c r="E301" s="51" t="s">
        <v>4</v>
      </c>
      <c r="G301" s="52"/>
    </row>
    <row r="302" spans="2:7" x14ac:dyDescent="0.25">
      <c r="B302" s="3" t="s">
        <v>5</v>
      </c>
      <c r="C302" s="12">
        <v>22.33</v>
      </c>
      <c r="D302" s="12">
        <f>1/60*14.58</f>
        <v>0.24299999999999999</v>
      </c>
      <c r="E302" s="13">
        <f t="shared" ref="E302:E307" si="20">(C302-D302)/C302</f>
        <v>0.98911777877295126</v>
      </c>
      <c r="G302" s="52"/>
    </row>
    <row r="303" spans="2:7" x14ac:dyDescent="0.25">
      <c r="B303" s="6" t="s">
        <v>6</v>
      </c>
      <c r="C303" s="12">
        <v>3.96</v>
      </c>
      <c r="D303" s="12">
        <f>52/60*14.58</f>
        <v>12.636000000000001</v>
      </c>
      <c r="E303" s="14">
        <f t="shared" si="20"/>
        <v>-2.1909090909090914</v>
      </c>
      <c r="G303" s="52"/>
    </row>
    <row r="304" spans="2:7" x14ac:dyDescent="0.25">
      <c r="B304" s="6" t="s">
        <v>7</v>
      </c>
      <c r="C304" s="12">
        <v>19.399999999999999</v>
      </c>
      <c r="D304" s="12">
        <v>0</v>
      </c>
      <c r="E304" s="14">
        <f t="shared" si="20"/>
        <v>1</v>
      </c>
      <c r="G304" s="52"/>
    </row>
    <row r="305" spans="2:7" x14ac:dyDescent="0.25">
      <c r="B305" s="6" t="s">
        <v>8</v>
      </c>
      <c r="C305" s="12">
        <v>5.5</v>
      </c>
      <c r="D305" s="12">
        <f>2/60*14.58</f>
        <v>0.48599999999999999</v>
      </c>
      <c r="E305" s="13">
        <f t="shared" si="20"/>
        <v>0.91163636363636369</v>
      </c>
      <c r="G305" s="52"/>
    </row>
    <row r="306" spans="2:7" x14ac:dyDescent="0.25">
      <c r="B306" s="6" t="s">
        <v>9</v>
      </c>
      <c r="C306" s="12">
        <v>29</v>
      </c>
      <c r="D306" s="12">
        <v>0</v>
      </c>
      <c r="E306" s="14">
        <f t="shared" si="20"/>
        <v>1</v>
      </c>
      <c r="G306" s="52"/>
    </row>
    <row r="307" spans="2:7" x14ac:dyDescent="0.25">
      <c r="B307" s="6" t="s">
        <v>10</v>
      </c>
      <c r="C307" s="12">
        <v>22.5</v>
      </c>
      <c r="D307" s="12">
        <v>1.82</v>
      </c>
      <c r="E307" s="13">
        <f t="shared" si="20"/>
        <v>0.9191111111111111</v>
      </c>
      <c r="G307" s="52"/>
    </row>
    <row r="308" spans="2:7" x14ac:dyDescent="0.25">
      <c r="G308" s="52"/>
    </row>
    <row r="309" spans="2:7" x14ac:dyDescent="0.25">
      <c r="G309" s="52"/>
    </row>
    <row r="310" spans="2:7" x14ac:dyDescent="0.25">
      <c r="G310" s="52"/>
    </row>
    <row r="311" spans="2:7" x14ac:dyDescent="0.25">
      <c r="G311" s="52"/>
    </row>
    <row r="312" spans="2:7" x14ac:dyDescent="0.25">
      <c r="G312" s="52"/>
    </row>
    <row r="313" spans="2:7" x14ac:dyDescent="0.25">
      <c r="G313" s="52"/>
    </row>
    <row r="314" spans="2:7" s="53" customFormat="1" x14ac:dyDescent="0.25">
      <c r="G314" s="59"/>
    </row>
    <row r="315" spans="2:7" ht="18.75" x14ac:dyDescent="0.3">
      <c r="B315" s="50" t="s">
        <v>62</v>
      </c>
      <c r="G315" s="52"/>
    </row>
    <row r="316" spans="2:7" ht="21" x14ac:dyDescent="0.25">
      <c r="B316" s="48">
        <v>42367</v>
      </c>
      <c r="C316" s="11" t="s">
        <v>2</v>
      </c>
      <c r="D316" s="11" t="s">
        <v>3</v>
      </c>
      <c r="E316" s="51" t="s">
        <v>4</v>
      </c>
      <c r="G316" s="52"/>
    </row>
    <row r="317" spans="2:7" x14ac:dyDescent="0.25">
      <c r="B317" s="3" t="s">
        <v>5</v>
      </c>
      <c r="C317" s="12">
        <v>22.33</v>
      </c>
      <c r="D317" s="12">
        <f>35/60*14.58</f>
        <v>8.5050000000000008</v>
      </c>
      <c r="E317" s="13">
        <f t="shared" ref="E317:E322" si="21">(C317-D317)/C317</f>
        <v>0.61912225705329149</v>
      </c>
      <c r="G317" s="49"/>
    </row>
    <row r="318" spans="2:7" x14ac:dyDescent="0.25">
      <c r="B318" s="6" t="s">
        <v>6</v>
      </c>
      <c r="C318" s="12">
        <v>3.96</v>
      </c>
      <c r="D318" s="12">
        <f>223/60*14.58</f>
        <v>54.189</v>
      </c>
      <c r="E318" s="14">
        <f t="shared" si="21"/>
        <v>-12.684090909090909</v>
      </c>
      <c r="G318" s="49"/>
    </row>
    <row r="319" spans="2:7" x14ac:dyDescent="0.25">
      <c r="B319" s="6" t="s">
        <v>7</v>
      </c>
      <c r="C319" s="12">
        <v>19.399999999999999</v>
      </c>
      <c r="D319" s="12">
        <f>168/60*14.58</f>
        <v>40.823999999999998</v>
      </c>
      <c r="E319" s="14">
        <f t="shared" si="21"/>
        <v>-1.1043298969072166</v>
      </c>
      <c r="G319" s="49"/>
    </row>
    <row r="320" spans="2:7" x14ac:dyDescent="0.25">
      <c r="B320" s="6" t="s">
        <v>8</v>
      </c>
      <c r="C320" s="12">
        <v>5.5</v>
      </c>
      <c r="D320" s="12">
        <f>1/60*14.58</f>
        <v>0.24299999999999999</v>
      </c>
      <c r="E320" s="13">
        <f t="shared" si="21"/>
        <v>0.95581818181818179</v>
      </c>
      <c r="G320" s="49"/>
    </row>
    <row r="321" spans="2:7" x14ac:dyDescent="0.25">
      <c r="B321" s="6" t="s">
        <v>9</v>
      </c>
      <c r="C321" s="12">
        <v>29</v>
      </c>
      <c r="D321" s="12">
        <v>0</v>
      </c>
      <c r="E321" s="14">
        <f t="shared" si="21"/>
        <v>1</v>
      </c>
      <c r="G321" s="52"/>
    </row>
    <row r="322" spans="2:7" x14ac:dyDescent="0.25">
      <c r="B322" s="6" t="s">
        <v>10</v>
      </c>
      <c r="C322" s="12">
        <v>22.5</v>
      </c>
      <c r="D322" s="12">
        <v>8.41</v>
      </c>
      <c r="E322" s="13">
        <f t="shared" si="21"/>
        <v>0.62622222222222224</v>
      </c>
      <c r="G322" s="52"/>
    </row>
    <row r="323" spans="2:7" x14ac:dyDescent="0.25">
      <c r="G323" s="52"/>
    </row>
    <row r="324" spans="2:7" x14ac:dyDescent="0.25">
      <c r="G324" s="52"/>
    </row>
    <row r="325" spans="2:7" x14ac:dyDescent="0.25">
      <c r="G325" s="52"/>
    </row>
    <row r="326" spans="2:7" x14ac:dyDescent="0.25">
      <c r="G326" s="52"/>
    </row>
    <row r="327" spans="2:7" x14ac:dyDescent="0.25">
      <c r="G327" s="52"/>
    </row>
    <row r="328" spans="2:7" x14ac:dyDescent="0.25">
      <c r="G328" s="52"/>
    </row>
    <row r="329" spans="2:7" s="53" customFormat="1" x14ac:dyDescent="0.25">
      <c r="G329" s="59"/>
    </row>
    <row r="330" spans="2:7" ht="18.75" x14ac:dyDescent="0.3">
      <c r="B330" s="50" t="s">
        <v>63</v>
      </c>
      <c r="G330" s="52"/>
    </row>
    <row r="331" spans="2:7" ht="21" x14ac:dyDescent="0.25">
      <c r="B331" s="48">
        <v>42367</v>
      </c>
      <c r="C331" s="11" t="s">
        <v>2</v>
      </c>
      <c r="D331" s="11" t="s">
        <v>3</v>
      </c>
      <c r="E331" s="51" t="s">
        <v>4</v>
      </c>
      <c r="G331" s="52"/>
    </row>
    <row r="332" spans="2:7" x14ac:dyDescent="0.25">
      <c r="B332" s="3" t="s">
        <v>5</v>
      </c>
      <c r="C332" s="12">
        <v>22.33</v>
      </c>
      <c r="D332" s="12">
        <f>22/60*14.58</f>
        <v>5.3460000000000001</v>
      </c>
      <c r="E332" s="13">
        <f t="shared" ref="E332:E337" si="22">(C332-D332)/C332</f>
        <v>0.76059113300492609</v>
      </c>
      <c r="G332" s="52"/>
    </row>
    <row r="333" spans="2:7" x14ac:dyDescent="0.25">
      <c r="B333" s="6" t="s">
        <v>6</v>
      </c>
      <c r="C333" s="12">
        <v>3.96</v>
      </c>
      <c r="D333" s="12">
        <f>90/60*14.58</f>
        <v>21.87</v>
      </c>
      <c r="E333" s="14">
        <f t="shared" si="22"/>
        <v>-4.5227272727272725</v>
      </c>
      <c r="G333" s="52"/>
    </row>
    <row r="334" spans="2:7" x14ac:dyDescent="0.25">
      <c r="B334" s="6" t="s">
        <v>7</v>
      </c>
      <c r="C334" s="12">
        <v>19.399999999999999</v>
      </c>
      <c r="D334" s="12">
        <v>0</v>
      </c>
      <c r="E334" s="14">
        <f t="shared" si="22"/>
        <v>1</v>
      </c>
      <c r="G334" s="52"/>
    </row>
    <row r="335" spans="2:7" x14ac:dyDescent="0.25">
      <c r="B335" s="6" t="s">
        <v>8</v>
      </c>
      <c r="C335" s="12">
        <v>5.5</v>
      </c>
      <c r="D335" s="12">
        <f>58/60*14.58</f>
        <v>14.093999999999999</v>
      </c>
      <c r="E335" s="13">
        <f t="shared" si="22"/>
        <v>-1.5625454545454545</v>
      </c>
      <c r="G335" s="52"/>
    </row>
    <row r="336" spans="2:7" x14ac:dyDescent="0.25">
      <c r="B336" s="6" t="s">
        <v>9</v>
      </c>
      <c r="C336" s="12">
        <v>29</v>
      </c>
      <c r="D336" s="12">
        <v>0</v>
      </c>
      <c r="E336" s="14">
        <f t="shared" si="22"/>
        <v>1</v>
      </c>
      <c r="G336" s="52"/>
    </row>
    <row r="337" spans="2:7" x14ac:dyDescent="0.25">
      <c r="B337" s="6" t="s">
        <v>10</v>
      </c>
      <c r="C337" s="12">
        <v>22.5</v>
      </c>
      <c r="D337" s="12">
        <v>1.84</v>
      </c>
      <c r="E337" s="13">
        <f t="shared" si="22"/>
        <v>0.91822222222222227</v>
      </c>
      <c r="G337" s="52"/>
    </row>
    <row r="338" spans="2:7" x14ac:dyDescent="0.25">
      <c r="G338" s="52"/>
    </row>
    <row r="339" spans="2:7" x14ac:dyDescent="0.25">
      <c r="G339" s="52"/>
    </row>
    <row r="340" spans="2:7" x14ac:dyDescent="0.25">
      <c r="G340" s="52"/>
    </row>
    <row r="341" spans="2:7" x14ac:dyDescent="0.25">
      <c r="G341" s="52"/>
    </row>
    <row r="342" spans="2:7" x14ac:dyDescent="0.25">
      <c r="G342" s="52"/>
    </row>
    <row r="343" spans="2:7" x14ac:dyDescent="0.25">
      <c r="G343" s="52"/>
    </row>
    <row r="344" spans="2:7" s="53" customFormat="1" x14ac:dyDescent="0.25">
      <c r="G344" s="59"/>
    </row>
    <row r="345" spans="2:7" ht="18.75" x14ac:dyDescent="0.3">
      <c r="B345" s="50" t="s">
        <v>64</v>
      </c>
      <c r="G345" s="52"/>
    </row>
    <row r="346" spans="2:7" ht="21" x14ac:dyDescent="0.25">
      <c r="B346" s="48">
        <v>42367</v>
      </c>
      <c r="C346" s="11" t="s">
        <v>2</v>
      </c>
      <c r="D346" s="11" t="s">
        <v>3</v>
      </c>
      <c r="E346" s="51" t="s">
        <v>4</v>
      </c>
      <c r="G346" s="52"/>
    </row>
    <row r="347" spans="2:7" x14ac:dyDescent="0.25">
      <c r="B347" s="3" t="s">
        <v>5</v>
      </c>
      <c r="C347" s="12">
        <v>22.33</v>
      </c>
      <c r="D347" s="12">
        <v>0</v>
      </c>
      <c r="E347" s="13">
        <f t="shared" ref="E347:E352" si="23">(C347-D347)/C347</f>
        <v>1</v>
      </c>
      <c r="G347" s="52"/>
    </row>
    <row r="348" spans="2:7" x14ac:dyDescent="0.25">
      <c r="B348" s="6" t="s">
        <v>6</v>
      </c>
      <c r="C348" s="12">
        <v>3.96</v>
      </c>
      <c r="D348" s="12">
        <v>0</v>
      </c>
      <c r="E348" s="14">
        <f t="shared" si="23"/>
        <v>1</v>
      </c>
      <c r="G348" s="52"/>
    </row>
    <row r="349" spans="2:7" x14ac:dyDescent="0.25">
      <c r="B349" s="6" t="s">
        <v>7</v>
      </c>
      <c r="C349" s="12">
        <v>19.399999999999999</v>
      </c>
      <c r="D349" s="12">
        <v>0</v>
      </c>
      <c r="E349" s="14">
        <f t="shared" si="23"/>
        <v>1</v>
      </c>
      <c r="G349" s="52"/>
    </row>
    <row r="350" spans="2:7" x14ac:dyDescent="0.25">
      <c r="B350" s="6" t="s">
        <v>8</v>
      </c>
      <c r="C350" s="12">
        <v>5.5</v>
      </c>
      <c r="D350" s="12">
        <v>0</v>
      </c>
      <c r="E350" s="13">
        <f t="shared" si="23"/>
        <v>1</v>
      </c>
      <c r="G350" s="52"/>
    </row>
    <row r="351" spans="2:7" x14ac:dyDescent="0.25">
      <c r="B351" s="6" t="s">
        <v>9</v>
      </c>
      <c r="C351" s="12">
        <v>29</v>
      </c>
      <c r="D351" s="12">
        <f>45/60*14.58</f>
        <v>10.935</v>
      </c>
      <c r="E351" s="14">
        <f t="shared" si="23"/>
        <v>0.62293103448275855</v>
      </c>
      <c r="G351" s="52"/>
    </row>
    <row r="352" spans="2:7" x14ac:dyDescent="0.25">
      <c r="B352" s="6" t="s">
        <v>10</v>
      </c>
      <c r="C352" s="12">
        <v>22.5</v>
      </c>
      <c r="D352" s="12">
        <f>4/60*7.29</f>
        <v>0.48599999999999999</v>
      </c>
      <c r="E352" s="13">
        <f t="shared" si="23"/>
        <v>0.97839999999999994</v>
      </c>
      <c r="G352" s="52"/>
    </row>
    <row r="353" spans="2:7" x14ac:dyDescent="0.25">
      <c r="G353" s="52"/>
    </row>
    <row r="354" spans="2:7" x14ac:dyDescent="0.25">
      <c r="G354" s="52"/>
    </row>
    <row r="355" spans="2:7" x14ac:dyDescent="0.25">
      <c r="G355" s="52"/>
    </row>
    <row r="356" spans="2:7" x14ac:dyDescent="0.25">
      <c r="G356" s="52"/>
    </row>
    <row r="357" spans="2:7" x14ac:dyDescent="0.25">
      <c r="G357" s="52"/>
    </row>
    <row r="358" spans="2:7" s="53" customFormat="1" x14ac:dyDescent="0.25">
      <c r="G358" s="59"/>
    </row>
    <row r="359" spans="2:7" x14ac:dyDescent="0.25">
      <c r="G359" s="52"/>
    </row>
    <row r="360" spans="2:7" ht="18.75" x14ac:dyDescent="0.3">
      <c r="B360" s="50" t="s">
        <v>65</v>
      </c>
      <c r="G360" s="52"/>
    </row>
    <row r="361" spans="2:7" ht="21" x14ac:dyDescent="0.25">
      <c r="B361" s="48">
        <v>42367</v>
      </c>
      <c r="C361" s="11" t="s">
        <v>2</v>
      </c>
      <c r="D361" s="11" t="s">
        <v>3</v>
      </c>
      <c r="E361" s="51" t="s">
        <v>4</v>
      </c>
      <c r="G361" s="52"/>
    </row>
    <row r="362" spans="2:7" x14ac:dyDescent="0.25">
      <c r="B362" s="3" t="s">
        <v>5</v>
      </c>
      <c r="C362" s="12">
        <v>22.33</v>
      </c>
      <c r="D362" s="12">
        <f>1/60*14.58</f>
        <v>0.24299999999999999</v>
      </c>
      <c r="E362" s="13">
        <f t="shared" ref="E362:E367" si="24">(C362-D362)/C362</f>
        <v>0.98911777877295126</v>
      </c>
      <c r="G362" s="49"/>
    </row>
    <row r="363" spans="2:7" x14ac:dyDescent="0.25">
      <c r="B363" s="6" t="s">
        <v>6</v>
      </c>
      <c r="C363" s="12">
        <v>3.96</v>
      </c>
      <c r="D363" s="12">
        <f>10/60*14.58</f>
        <v>2.4299999999999997</v>
      </c>
      <c r="E363" s="14">
        <f t="shared" si="24"/>
        <v>0.38636363636363641</v>
      </c>
      <c r="G363" s="49"/>
    </row>
    <row r="364" spans="2:7" x14ac:dyDescent="0.25">
      <c r="B364" s="6" t="s">
        <v>7</v>
      </c>
      <c r="C364" s="12">
        <v>19.399999999999999</v>
      </c>
      <c r="D364" s="12">
        <v>0</v>
      </c>
      <c r="E364" s="14">
        <f t="shared" si="24"/>
        <v>1</v>
      </c>
      <c r="G364" s="49"/>
    </row>
    <row r="365" spans="2:7" x14ac:dyDescent="0.25">
      <c r="B365" s="6" t="s">
        <v>8</v>
      </c>
      <c r="C365" s="12">
        <v>5.5</v>
      </c>
      <c r="D365" s="12">
        <v>0</v>
      </c>
      <c r="E365" s="13">
        <f t="shared" si="24"/>
        <v>1</v>
      </c>
      <c r="G365" s="49"/>
    </row>
    <row r="366" spans="2:7" x14ac:dyDescent="0.25">
      <c r="B366" s="6" t="s">
        <v>9</v>
      </c>
      <c r="C366" s="12">
        <v>29</v>
      </c>
      <c r="D366" s="12">
        <f>149/60*14.58</f>
        <v>36.207000000000001</v>
      </c>
      <c r="E366" s="14">
        <f t="shared" si="24"/>
        <v>-0.24851724137931036</v>
      </c>
      <c r="G366" s="49"/>
    </row>
    <row r="367" spans="2:7" x14ac:dyDescent="0.25">
      <c r="B367" s="6" t="s">
        <v>10</v>
      </c>
      <c r="C367" s="12">
        <v>22.5</v>
      </c>
      <c r="D367" s="12">
        <f>6/60*7.29</f>
        <v>0.72900000000000009</v>
      </c>
      <c r="E367" s="13">
        <f t="shared" si="24"/>
        <v>0.96760000000000002</v>
      </c>
      <c r="G367" s="52"/>
    </row>
    <row r="368" spans="2:7" x14ac:dyDescent="0.25">
      <c r="G368" s="52"/>
    </row>
    <row r="369" spans="2:7" x14ac:dyDescent="0.25">
      <c r="G369" s="52"/>
    </row>
    <row r="370" spans="2:7" x14ac:dyDescent="0.25">
      <c r="G370" s="52"/>
    </row>
    <row r="371" spans="2:7" x14ac:dyDescent="0.25">
      <c r="G371" s="52"/>
    </row>
    <row r="372" spans="2:7" x14ac:dyDescent="0.25">
      <c r="G372" s="52"/>
    </row>
    <row r="373" spans="2:7" s="53" customFormat="1" x14ac:dyDescent="0.25">
      <c r="G373" s="59"/>
    </row>
    <row r="374" spans="2:7" ht="18.75" x14ac:dyDescent="0.3">
      <c r="B374" s="50" t="s">
        <v>66</v>
      </c>
      <c r="G374" s="52"/>
    </row>
    <row r="375" spans="2:7" ht="21" x14ac:dyDescent="0.25">
      <c r="B375" s="48">
        <v>42367</v>
      </c>
      <c r="C375" s="11" t="s">
        <v>2</v>
      </c>
      <c r="D375" s="11" t="s">
        <v>3</v>
      </c>
      <c r="E375" s="51" t="s">
        <v>4</v>
      </c>
      <c r="G375" s="52"/>
    </row>
    <row r="376" spans="2:7" x14ac:dyDescent="0.25">
      <c r="B376" s="3" t="s">
        <v>5</v>
      </c>
      <c r="C376" s="12">
        <v>22.33</v>
      </c>
      <c r="D376" s="12">
        <f>5/60*14.58</f>
        <v>1.2149999999999999</v>
      </c>
      <c r="E376" s="13">
        <f t="shared" ref="E376:E381" si="25">(C376-D376)/C376</f>
        <v>0.94558889386475597</v>
      </c>
      <c r="G376" s="52"/>
    </row>
    <row r="377" spans="2:7" x14ac:dyDescent="0.25">
      <c r="B377" s="6" t="s">
        <v>6</v>
      </c>
      <c r="C377" s="12">
        <v>3.96</v>
      </c>
      <c r="D377" s="12">
        <f>12/60*14.58</f>
        <v>2.9160000000000004</v>
      </c>
      <c r="E377" s="14">
        <f t="shared" si="25"/>
        <v>0.26363636363636356</v>
      </c>
      <c r="G377" s="52"/>
    </row>
    <row r="378" spans="2:7" x14ac:dyDescent="0.25">
      <c r="B378" s="6" t="s">
        <v>7</v>
      </c>
      <c r="C378" s="12">
        <v>19.399999999999999</v>
      </c>
      <c r="D378" s="12">
        <v>0</v>
      </c>
      <c r="E378" s="14">
        <f t="shared" si="25"/>
        <v>1</v>
      </c>
      <c r="G378" s="52"/>
    </row>
    <row r="379" spans="2:7" x14ac:dyDescent="0.25">
      <c r="B379" s="6" t="s">
        <v>8</v>
      </c>
      <c r="C379" s="12">
        <v>5.5</v>
      </c>
      <c r="D379" s="12">
        <v>0</v>
      </c>
      <c r="E379" s="13">
        <f t="shared" si="25"/>
        <v>1</v>
      </c>
      <c r="G379" s="52"/>
    </row>
    <row r="380" spans="2:7" x14ac:dyDescent="0.25">
      <c r="B380" s="6" t="s">
        <v>9</v>
      </c>
      <c r="C380" s="12">
        <v>29</v>
      </c>
      <c r="D380" s="12">
        <f>44/60*14.58</f>
        <v>10.692</v>
      </c>
      <c r="E380" s="14">
        <f t="shared" si="25"/>
        <v>0.63131034482758619</v>
      </c>
      <c r="G380" s="52"/>
    </row>
    <row r="381" spans="2:7" x14ac:dyDescent="0.25">
      <c r="B381" s="6" t="s">
        <v>10</v>
      </c>
      <c r="C381" s="12">
        <v>22.5</v>
      </c>
      <c r="D381" s="12">
        <f>8/60*7.29</f>
        <v>0.97199999999999998</v>
      </c>
      <c r="E381" s="13">
        <f t="shared" si="25"/>
        <v>0.95679999999999998</v>
      </c>
      <c r="G381" s="52"/>
    </row>
    <row r="382" spans="2:7" x14ac:dyDescent="0.25">
      <c r="G382" s="52"/>
    </row>
    <row r="383" spans="2:7" x14ac:dyDescent="0.25">
      <c r="G383" s="52"/>
    </row>
    <row r="384" spans="2:7" x14ac:dyDescent="0.25">
      <c r="G384" s="52"/>
    </row>
    <row r="385" spans="2:7" x14ac:dyDescent="0.25">
      <c r="G385" s="52"/>
    </row>
    <row r="386" spans="2:7" x14ac:dyDescent="0.25">
      <c r="G386" s="52"/>
    </row>
    <row r="387" spans="2:7" x14ac:dyDescent="0.25">
      <c r="G387" s="52"/>
    </row>
    <row r="388" spans="2:7" s="53" customFormat="1" x14ac:dyDescent="0.25">
      <c r="G388" s="59"/>
    </row>
    <row r="389" spans="2:7" ht="18.75" x14ac:dyDescent="0.3">
      <c r="B389" s="50" t="s">
        <v>67</v>
      </c>
      <c r="G389" s="52"/>
    </row>
    <row r="390" spans="2:7" ht="21" x14ac:dyDescent="0.25">
      <c r="B390" s="48">
        <v>42367</v>
      </c>
      <c r="C390" s="11" t="s">
        <v>2</v>
      </c>
      <c r="D390" s="11" t="s">
        <v>3</v>
      </c>
      <c r="E390" s="51" t="s">
        <v>4</v>
      </c>
      <c r="G390" s="52"/>
    </row>
    <row r="391" spans="2:7" x14ac:dyDescent="0.25">
      <c r="B391" s="3" t="s">
        <v>5</v>
      </c>
      <c r="C391" s="12">
        <v>22.33</v>
      </c>
      <c r="D391" s="12">
        <f>105/60*14.58</f>
        <v>25.515000000000001</v>
      </c>
      <c r="E391" s="13">
        <f t="shared" ref="E391:E396" si="26">(C391-D391)/C391</f>
        <v>-0.1426332288401255</v>
      </c>
      <c r="G391" s="49"/>
    </row>
    <row r="392" spans="2:7" x14ac:dyDescent="0.25">
      <c r="B392" s="6" t="s">
        <v>6</v>
      </c>
      <c r="C392" s="12">
        <v>3.96</v>
      </c>
      <c r="D392" s="12">
        <f>102/60*14.58</f>
        <v>24.785999999999998</v>
      </c>
      <c r="E392" s="14">
        <f t="shared" si="26"/>
        <v>-5.2590909090909079</v>
      </c>
      <c r="G392" s="49"/>
    </row>
    <row r="393" spans="2:7" x14ac:dyDescent="0.25">
      <c r="B393" s="6" t="s">
        <v>7</v>
      </c>
      <c r="C393" s="12">
        <v>19.399999999999999</v>
      </c>
      <c r="D393" s="12">
        <v>0</v>
      </c>
      <c r="E393" s="14">
        <f t="shared" si="26"/>
        <v>1</v>
      </c>
      <c r="G393" s="49"/>
    </row>
    <row r="394" spans="2:7" x14ac:dyDescent="0.25">
      <c r="B394" s="6" t="s">
        <v>8</v>
      </c>
      <c r="C394" s="12">
        <v>5.5</v>
      </c>
      <c r="D394" s="12">
        <f>5/60*14.58</f>
        <v>1.2149999999999999</v>
      </c>
      <c r="E394" s="13">
        <f t="shared" si="26"/>
        <v>0.77909090909090917</v>
      </c>
      <c r="G394" s="49"/>
    </row>
    <row r="395" spans="2:7" x14ac:dyDescent="0.25">
      <c r="B395" s="6" t="s">
        <v>9</v>
      </c>
      <c r="C395" s="12">
        <v>29</v>
      </c>
      <c r="D395" s="12">
        <f>249/60*14.58</f>
        <v>60.507000000000005</v>
      </c>
      <c r="E395" s="14">
        <f t="shared" si="26"/>
        <v>-1.086448275862069</v>
      </c>
      <c r="G395" s="49"/>
    </row>
    <row r="396" spans="2:7" x14ac:dyDescent="0.25">
      <c r="B396" s="6" t="s">
        <v>10</v>
      </c>
      <c r="C396" s="12">
        <v>22.5</v>
      </c>
      <c r="D396" s="12">
        <v>0.78</v>
      </c>
      <c r="E396" s="13">
        <f t="shared" si="26"/>
        <v>0.96533333333333327</v>
      </c>
      <c r="G396" s="52"/>
    </row>
    <row r="397" spans="2:7" x14ac:dyDescent="0.25">
      <c r="G397" s="52"/>
    </row>
    <row r="398" spans="2:7" x14ac:dyDescent="0.25">
      <c r="G398" s="52"/>
    </row>
    <row r="399" spans="2:7" x14ac:dyDescent="0.25">
      <c r="G399" s="52"/>
    </row>
    <row r="400" spans="2:7" x14ac:dyDescent="0.25">
      <c r="G400" s="52"/>
    </row>
    <row r="401" spans="2:7" x14ac:dyDescent="0.25">
      <c r="G401" s="52"/>
    </row>
    <row r="402" spans="2:7" s="53" customFormat="1" x14ac:dyDescent="0.25">
      <c r="G402" s="59"/>
    </row>
    <row r="403" spans="2:7" ht="18.75" x14ac:dyDescent="0.3">
      <c r="B403" s="50" t="s">
        <v>68</v>
      </c>
      <c r="G403" s="52"/>
    </row>
    <row r="404" spans="2:7" ht="21" x14ac:dyDescent="0.25">
      <c r="B404" s="48">
        <v>42367</v>
      </c>
      <c r="C404" s="11" t="s">
        <v>2</v>
      </c>
      <c r="D404" s="11" t="s">
        <v>3</v>
      </c>
      <c r="E404" s="51" t="s">
        <v>4</v>
      </c>
      <c r="G404" s="52"/>
    </row>
    <row r="405" spans="2:7" x14ac:dyDescent="0.25">
      <c r="B405" s="3" t="s">
        <v>5</v>
      </c>
      <c r="C405" s="12">
        <v>22.33</v>
      </c>
      <c r="D405" s="12">
        <f>2340/60*14.58</f>
        <v>568.62</v>
      </c>
      <c r="E405" s="13">
        <f t="shared" ref="E405:E410" si="27">(C405-D405)/C405</f>
        <v>-24.464397671294222</v>
      </c>
      <c r="G405" s="49"/>
    </row>
    <row r="406" spans="2:7" x14ac:dyDescent="0.25">
      <c r="B406" s="6" t="s">
        <v>6</v>
      </c>
      <c r="C406" s="12">
        <v>3.96</v>
      </c>
      <c r="D406" s="12">
        <f>3960/60*14.58</f>
        <v>962.28</v>
      </c>
      <c r="E406" s="14">
        <f t="shared" si="27"/>
        <v>-242</v>
      </c>
      <c r="G406" s="49"/>
    </row>
    <row r="407" spans="2:7" x14ac:dyDescent="0.25">
      <c r="B407" s="6" t="s">
        <v>7</v>
      </c>
      <c r="C407" s="12">
        <v>19.399999999999999</v>
      </c>
      <c r="D407" s="12">
        <v>0</v>
      </c>
      <c r="E407" s="14">
        <f t="shared" si="27"/>
        <v>1</v>
      </c>
      <c r="G407" s="49"/>
    </row>
    <row r="408" spans="2:7" x14ac:dyDescent="0.25">
      <c r="B408" s="6" t="s">
        <v>8</v>
      </c>
      <c r="C408" s="12">
        <v>5.5</v>
      </c>
      <c r="D408" s="12">
        <f>6/60*14.58</f>
        <v>1.4580000000000002</v>
      </c>
      <c r="E408" s="13">
        <f t="shared" si="27"/>
        <v>0.73490909090909085</v>
      </c>
      <c r="G408" s="49"/>
    </row>
    <row r="409" spans="2:7" x14ac:dyDescent="0.25">
      <c r="B409" s="6" t="s">
        <v>9</v>
      </c>
      <c r="C409" s="12">
        <v>29</v>
      </c>
      <c r="D409" s="12">
        <f>171/60*14.58</f>
        <v>41.553000000000004</v>
      </c>
      <c r="E409" s="14">
        <f t="shared" si="27"/>
        <v>-0.43286206896551738</v>
      </c>
      <c r="G409" s="49"/>
    </row>
    <row r="410" spans="2:7" x14ac:dyDescent="0.25">
      <c r="B410" s="6" t="s">
        <v>10</v>
      </c>
      <c r="C410" s="12">
        <v>22.5</v>
      </c>
      <c r="D410" s="12">
        <f>6/60*7.29</f>
        <v>0.72900000000000009</v>
      </c>
      <c r="E410" s="13">
        <f t="shared" si="27"/>
        <v>0.96760000000000002</v>
      </c>
      <c r="G410" s="52"/>
    </row>
    <row r="411" spans="2:7" x14ac:dyDescent="0.25">
      <c r="G411" s="52"/>
    </row>
    <row r="412" spans="2:7" x14ac:dyDescent="0.25">
      <c r="G412" s="52"/>
    </row>
    <row r="413" spans="2:7" x14ac:dyDescent="0.25">
      <c r="G413" s="52"/>
    </row>
    <row r="414" spans="2:7" x14ac:dyDescent="0.25">
      <c r="G414" s="52"/>
    </row>
    <row r="415" spans="2:7" x14ac:dyDescent="0.25">
      <c r="G415" s="52"/>
    </row>
    <row r="416" spans="2:7" x14ac:dyDescent="0.25">
      <c r="G416" s="52"/>
    </row>
    <row r="417" spans="2:7" s="53" customFormat="1" x14ac:dyDescent="0.25">
      <c r="G417" s="59"/>
    </row>
    <row r="418" spans="2:7" ht="18.75" x14ac:dyDescent="0.3">
      <c r="B418" s="50" t="s">
        <v>69</v>
      </c>
      <c r="G418" s="52"/>
    </row>
    <row r="419" spans="2:7" ht="21" x14ac:dyDescent="0.25">
      <c r="B419" s="48">
        <v>42367</v>
      </c>
      <c r="C419" s="11" t="s">
        <v>2</v>
      </c>
      <c r="D419" s="11" t="s">
        <v>3</v>
      </c>
      <c r="E419" s="51" t="s">
        <v>4</v>
      </c>
      <c r="G419" s="52"/>
    </row>
    <row r="420" spans="2:7" x14ac:dyDescent="0.25">
      <c r="B420" s="3" t="s">
        <v>5</v>
      </c>
      <c r="C420" s="12">
        <v>22.33</v>
      </c>
      <c r="D420" s="12">
        <v>0</v>
      </c>
      <c r="E420" s="13">
        <f t="shared" ref="E420:E425" si="28">(C420-D420)/C420</f>
        <v>1</v>
      </c>
      <c r="G420" s="49"/>
    </row>
    <row r="421" spans="2:7" x14ac:dyDescent="0.25">
      <c r="B421" s="6" t="s">
        <v>6</v>
      </c>
      <c r="C421" s="12">
        <v>3.96</v>
      </c>
      <c r="D421" s="12">
        <f>18/60*14.58</f>
        <v>4.3739999999999997</v>
      </c>
      <c r="E421" s="14">
        <f t="shared" si="28"/>
        <v>-0.10454545454545447</v>
      </c>
      <c r="G421" s="49"/>
    </row>
    <row r="422" spans="2:7" x14ac:dyDescent="0.25">
      <c r="B422" s="6" t="s">
        <v>7</v>
      </c>
      <c r="C422" s="12">
        <v>19.399999999999999</v>
      </c>
      <c r="D422" s="12">
        <v>0</v>
      </c>
      <c r="E422" s="14">
        <f t="shared" si="28"/>
        <v>1</v>
      </c>
      <c r="G422" s="49"/>
    </row>
    <row r="423" spans="2:7" x14ac:dyDescent="0.25">
      <c r="B423" s="6" t="s">
        <v>8</v>
      </c>
      <c r="C423" s="12">
        <v>5.5</v>
      </c>
      <c r="D423" s="12">
        <f>1/60*14.58</f>
        <v>0.24299999999999999</v>
      </c>
      <c r="E423" s="13">
        <f t="shared" si="28"/>
        <v>0.95581818181818179</v>
      </c>
      <c r="G423" s="49"/>
    </row>
    <row r="424" spans="2:7" x14ac:dyDescent="0.25">
      <c r="B424" s="6" t="s">
        <v>9</v>
      </c>
      <c r="C424" s="12">
        <v>29</v>
      </c>
      <c r="D424" s="12">
        <f>90/60*14.58</f>
        <v>21.87</v>
      </c>
      <c r="E424" s="14">
        <f t="shared" si="28"/>
        <v>0.24586206896551721</v>
      </c>
      <c r="G424" s="49"/>
    </row>
    <row r="425" spans="2:7" x14ac:dyDescent="0.25">
      <c r="B425" s="6" t="s">
        <v>10</v>
      </c>
      <c r="C425" s="12">
        <v>22.5</v>
      </c>
      <c r="D425" s="12">
        <f>6/60*7.29</f>
        <v>0.72900000000000009</v>
      </c>
      <c r="E425" s="13">
        <f t="shared" si="28"/>
        <v>0.96760000000000002</v>
      </c>
      <c r="G425" s="52"/>
    </row>
    <row r="426" spans="2:7" x14ac:dyDescent="0.25">
      <c r="G426" s="52"/>
    </row>
    <row r="427" spans="2:7" x14ac:dyDescent="0.25">
      <c r="G427" s="52"/>
    </row>
    <row r="428" spans="2:7" x14ac:dyDescent="0.25">
      <c r="G428" s="52"/>
    </row>
    <row r="429" spans="2:7" x14ac:dyDescent="0.25">
      <c r="G429" s="52"/>
    </row>
    <row r="430" spans="2:7" x14ac:dyDescent="0.25">
      <c r="G430" s="52"/>
    </row>
    <row r="431" spans="2:7" x14ac:dyDescent="0.25">
      <c r="G431" s="52"/>
    </row>
    <row r="432" spans="2:7" s="53" customFormat="1" x14ac:dyDescent="0.25">
      <c r="G432" s="59"/>
    </row>
    <row r="433" spans="2:7" ht="18.75" x14ac:dyDescent="0.3">
      <c r="B433" s="50" t="s">
        <v>70</v>
      </c>
      <c r="G433" s="52"/>
    </row>
    <row r="434" spans="2:7" ht="21" x14ac:dyDescent="0.25">
      <c r="B434" s="48">
        <v>42367</v>
      </c>
      <c r="C434" s="11" t="s">
        <v>2</v>
      </c>
      <c r="D434" s="11" t="s">
        <v>3</v>
      </c>
      <c r="E434" s="51" t="s">
        <v>4</v>
      </c>
      <c r="G434" s="52"/>
    </row>
    <row r="435" spans="2:7" x14ac:dyDescent="0.25">
      <c r="B435" s="3" t="s">
        <v>5</v>
      </c>
      <c r="C435" s="12">
        <v>22.33</v>
      </c>
      <c r="D435" s="12">
        <f>6/60*14.58</f>
        <v>1.4580000000000002</v>
      </c>
      <c r="E435" s="13">
        <f t="shared" ref="E435:E440" si="29">(C435-D435)/C435</f>
        <v>0.93470667263770724</v>
      </c>
      <c r="G435" s="49"/>
    </row>
    <row r="436" spans="2:7" x14ac:dyDescent="0.25">
      <c r="B436" s="6" t="s">
        <v>6</v>
      </c>
      <c r="C436" s="12">
        <v>3.96</v>
      </c>
      <c r="D436" s="12">
        <f>3/60*14.58</f>
        <v>0.72900000000000009</v>
      </c>
      <c r="E436" s="14">
        <f t="shared" si="29"/>
        <v>0.81590909090909092</v>
      </c>
      <c r="G436" s="49"/>
    </row>
    <row r="437" spans="2:7" x14ac:dyDescent="0.25">
      <c r="B437" s="6" t="s">
        <v>7</v>
      </c>
      <c r="C437" s="12">
        <v>19.399999999999999</v>
      </c>
      <c r="D437" s="12">
        <v>0</v>
      </c>
      <c r="E437" s="14">
        <f t="shared" si="29"/>
        <v>1</v>
      </c>
      <c r="G437" s="49"/>
    </row>
    <row r="438" spans="2:7" x14ac:dyDescent="0.25">
      <c r="B438" s="6" t="s">
        <v>8</v>
      </c>
      <c r="C438" s="12">
        <v>5.5</v>
      </c>
      <c r="D438" s="12">
        <f>12/60*14.58</f>
        <v>2.9160000000000004</v>
      </c>
      <c r="E438" s="13">
        <f t="shared" si="29"/>
        <v>0.46981818181818175</v>
      </c>
      <c r="G438" s="49"/>
    </row>
    <row r="439" spans="2:7" x14ac:dyDescent="0.25">
      <c r="B439" s="6" t="s">
        <v>9</v>
      </c>
      <c r="C439" s="12">
        <v>29</v>
      </c>
      <c r="D439" s="12">
        <v>0</v>
      </c>
      <c r="E439" s="14">
        <f t="shared" si="29"/>
        <v>1</v>
      </c>
      <c r="G439" s="52"/>
    </row>
    <row r="440" spans="2:7" x14ac:dyDescent="0.25">
      <c r="B440" s="6" t="s">
        <v>10</v>
      </c>
      <c r="C440" s="12">
        <v>22.5</v>
      </c>
      <c r="D440" s="12">
        <v>4.37</v>
      </c>
      <c r="E440" s="13">
        <f t="shared" si="29"/>
        <v>0.8057777777777777</v>
      </c>
      <c r="G440" s="52"/>
    </row>
    <row r="441" spans="2:7" x14ac:dyDescent="0.25">
      <c r="G441" s="52"/>
    </row>
    <row r="442" spans="2:7" x14ac:dyDescent="0.25">
      <c r="G442" s="52"/>
    </row>
    <row r="443" spans="2:7" x14ac:dyDescent="0.25">
      <c r="G443" s="52"/>
    </row>
    <row r="444" spans="2:7" x14ac:dyDescent="0.25">
      <c r="G444" s="52"/>
    </row>
    <row r="445" spans="2:7" x14ac:dyDescent="0.25">
      <c r="G445" s="52"/>
    </row>
    <row r="446" spans="2:7" s="53" customFormat="1" x14ac:dyDescent="0.25">
      <c r="G446" s="59"/>
    </row>
    <row r="447" spans="2:7" ht="18.75" x14ac:dyDescent="0.3">
      <c r="B447" s="50" t="s">
        <v>71</v>
      </c>
      <c r="G447" s="52"/>
    </row>
    <row r="448" spans="2:7" ht="21" x14ac:dyDescent="0.25">
      <c r="B448" s="48">
        <v>42367</v>
      </c>
      <c r="C448" s="11" t="s">
        <v>2</v>
      </c>
      <c r="D448" s="11" t="s">
        <v>3</v>
      </c>
      <c r="E448" s="51" t="s">
        <v>4</v>
      </c>
      <c r="G448" s="52"/>
    </row>
    <row r="449" spans="2:7" x14ac:dyDescent="0.25">
      <c r="B449" s="3" t="s">
        <v>5</v>
      </c>
      <c r="C449" s="12">
        <v>22.33</v>
      </c>
      <c r="D449" s="12">
        <f>2/60*14.58</f>
        <v>0.48599999999999999</v>
      </c>
      <c r="E449" s="13">
        <f t="shared" ref="E449:E454" si="30">(C449-D449)/C449</f>
        <v>0.9782355575459023</v>
      </c>
      <c r="G449" s="52"/>
    </row>
    <row r="450" spans="2:7" x14ac:dyDescent="0.25">
      <c r="B450" s="6" t="s">
        <v>6</v>
      </c>
      <c r="C450" s="12">
        <v>3.96</v>
      </c>
      <c r="D450" s="12">
        <f>3/60*14.58</f>
        <v>0.72900000000000009</v>
      </c>
      <c r="E450" s="14">
        <f t="shared" si="30"/>
        <v>0.81590909090909092</v>
      </c>
      <c r="G450" s="52"/>
    </row>
    <row r="451" spans="2:7" x14ac:dyDescent="0.25">
      <c r="B451" s="6" t="s">
        <v>7</v>
      </c>
      <c r="C451" s="12">
        <v>19.399999999999999</v>
      </c>
      <c r="D451" s="12">
        <v>0</v>
      </c>
      <c r="E451" s="14">
        <f t="shared" si="30"/>
        <v>1</v>
      </c>
      <c r="G451" s="52"/>
    </row>
    <row r="452" spans="2:7" x14ac:dyDescent="0.25">
      <c r="B452" s="6" t="s">
        <v>8</v>
      </c>
      <c r="C452" s="12">
        <v>5.5</v>
      </c>
      <c r="D452" s="12">
        <f>13/60*14.58</f>
        <v>3.1590000000000003</v>
      </c>
      <c r="E452" s="13">
        <f t="shared" si="30"/>
        <v>0.42563636363636359</v>
      </c>
      <c r="G452" s="52"/>
    </row>
    <row r="453" spans="2:7" x14ac:dyDescent="0.25">
      <c r="B453" s="6" t="s">
        <v>9</v>
      </c>
      <c r="C453" s="12">
        <v>29</v>
      </c>
      <c r="D453" s="12">
        <v>0</v>
      </c>
      <c r="E453" s="14">
        <f t="shared" si="30"/>
        <v>1</v>
      </c>
      <c r="G453" s="52"/>
    </row>
    <row r="454" spans="2:7" x14ac:dyDescent="0.25">
      <c r="B454" s="6" t="s">
        <v>10</v>
      </c>
      <c r="C454" s="12">
        <v>22.5</v>
      </c>
      <c r="D454" s="12">
        <v>2.29</v>
      </c>
      <c r="E454" s="13">
        <f t="shared" si="30"/>
        <v>0.89822222222222226</v>
      </c>
      <c r="G454" s="52"/>
    </row>
    <row r="455" spans="2:7" s="60" customFormat="1" x14ac:dyDescent="0.25">
      <c r="B455" s="61"/>
      <c r="C455" s="62"/>
      <c r="D455" s="62"/>
      <c r="E455" s="63"/>
      <c r="G455" s="52"/>
    </row>
    <row r="456" spans="2:7" s="60" customFormat="1" x14ac:dyDescent="0.25">
      <c r="B456" s="61"/>
      <c r="C456" s="62"/>
      <c r="D456" s="62"/>
      <c r="E456" s="63"/>
      <c r="G456" s="52"/>
    </row>
    <row r="457" spans="2:7" s="60" customFormat="1" x14ac:dyDescent="0.25">
      <c r="B457" s="61"/>
      <c r="C457" s="62"/>
      <c r="D457" s="62"/>
      <c r="E457" s="63"/>
      <c r="G457" s="52"/>
    </row>
    <row r="458" spans="2:7" s="60" customFormat="1" x14ac:dyDescent="0.25">
      <c r="B458" s="61"/>
      <c r="C458" s="62"/>
      <c r="D458" s="62"/>
      <c r="E458" s="63"/>
      <c r="G458" s="52"/>
    </row>
    <row r="459" spans="2:7" x14ac:dyDescent="0.25">
      <c r="G459" s="52"/>
    </row>
    <row r="460" spans="2:7" x14ac:dyDescent="0.25">
      <c r="G460" s="52"/>
    </row>
    <row r="461" spans="2:7" s="53" customFormat="1" x14ac:dyDescent="0.25">
      <c r="G461" s="59"/>
    </row>
    <row r="462" spans="2:7" x14ac:dyDescent="0.25">
      <c r="G462" s="52"/>
    </row>
    <row r="463" spans="2:7" ht="18.75" x14ac:dyDescent="0.3">
      <c r="B463" s="50" t="s">
        <v>72</v>
      </c>
      <c r="G463" s="52"/>
    </row>
    <row r="464" spans="2:7" ht="21" x14ac:dyDescent="0.25">
      <c r="B464" s="48">
        <v>42367</v>
      </c>
      <c r="C464" s="11" t="s">
        <v>2</v>
      </c>
      <c r="D464" s="11" t="s">
        <v>3</v>
      </c>
      <c r="E464" s="51" t="s">
        <v>4</v>
      </c>
      <c r="G464" s="52"/>
    </row>
    <row r="465" spans="2:7" x14ac:dyDescent="0.25">
      <c r="B465" s="3" t="s">
        <v>5</v>
      </c>
      <c r="C465" s="12">
        <v>22.33</v>
      </c>
      <c r="D465" s="12">
        <f>55/60*14.58</f>
        <v>13.365</v>
      </c>
      <c r="E465" s="13">
        <f t="shared" ref="E465:E470" si="31">(C465-D465)/C465</f>
        <v>0.40147783251231522</v>
      </c>
      <c r="G465" s="49"/>
    </row>
    <row r="466" spans="2:7" x14ac:dyDescent="0.25">
      <c r="B466" s="6" t="s">
        <v>6</v>
      </c>
      <c r="C466" s="12">
        <v>3.96</v>
      </c>
      <c r="D466" s="12">
        <v>0</v>
      </c>
      <c r="E466" s="14">
        <f>(C466-D466)/C466</f>
        <v>1</v>
      </c>
      <c r="G466" s="49"/>
    </row>
    <row r="467" spans="2:7" x14ac:dyDescent="0.25">
      <c r="B467" s="6" t="s">
        <v>7</v>
      </c>
      <c r="C467" s="12">
        <v>19.399999999999999</v>
      </c>
      <c r="D467" s="12">
        <f>41/60*14.58</f>
        <v>9.963000000000001</v>
      </c>
      <c r="E467" s="14">
        <f t="shared" si="31"/>
        <v>0.48644329896907207</v>
      </c>
      <c r="G467" s="49"/>
    </row>
    <row r="468" spans="2:7" x14ac:dyDescent="0.25">
      <c r="B468" s="6" t="s">
        <v>8</v>
      </c>
      <c r="C468" s="12">
        <v>5.5</v>
      </c>
      <c r="D468" s="12">
        <f>4/60*14.58</f>
        <v>0.97199999999999998</v>
      </c>
      <c r="E468" s="13">
        <f t="shared" si="31"/>
        <v>0.82327272727272738</v>
      </c>
      <c r="G468" s="49"/>
    </row>
    <row r="469" spans="2:7" x14ac:dyDescent="0.25">
      <c r="B469" s="6" t="s">
        <v>9</v>
      </c>
      <c r="C469" s="12">
        <v>29</v>
      </c>
      <c r="D469" s="12">
        <f>39/60*14.58</f>
        <v>9.4770000000000003</v>
      </c>
      <c r="E469" s="14">
        <f>(C469-D469)/C469</f>
        <v>0.67320689655172417</v>
      </c>
      <c r="G469" s="52"/>
    </row>
    <row r="470" spans="2:7" x14ac:dyDescent="0.25">
      <c r="B470" s="6" t="s">
        <v>10</v>
      </c>
      <c r="C470" s="12">
        <v>22.5</v>
      </c>
      <c r="D470" s="12">
        <f>6/60*7.29</f>
        <v>0.72900000000000009</v>
      </c>
      <c r="E470" s="13">
        <f t="shared" si="31"/>
        <v>0.96760000000000002</v>
      </c>
      <c r="G470" s="52"/>
    </row>
    <row r="471" spans="2:7" x14ac:dyDescent="0.25">
      <c r="G471" s="52"/>
    </row>
    <row r="472" spans="2:7" x14ac:dyDescent="0.25">
      <c r="G472" s="52"/>
    </row>
    <row r="473" spans="2:7" x14ac:dyDescent="0.25">
      <c r="G473" s="52"/>
    </row>
    <row r="474" spans="2:7" x14ac:dyDescent="0.25">
      <c r="G474" s="52"/>
    </row>
    <row r="475" spans="2:7" x14ac:dyDescent="0.25">
      <c r="G475" s="52"/>
    </row>
    <row r="476" spans="2:7" s="53" customFormat="1" x14ac:dyDescent="0.25">
      <c r="G476" s="59"/>
    </row>
    <row r="477" spans="2:7" x14ac:dyDescent="0.25">
      <c r="G477" s="52"/>
    </row>
    <row r="478" spans="2:7" ht="18.75" x14ac:dyDescent="0.3">
      <c r="B478" s="50" t="s">
        <v>73</v>
      </c>
      <c r="G478" s="52"/>
    </row>
    <row r="479" spans="2:7" ht="21" x14ac:dyDescent="0.25">
      <c r="B479" s="48">
        <v>42367</v>
      </c>
      <c r="C479" s="11" t="s">
        <v>2</v>
      </c>
      <c r="D479" s="11" t="s">
        <v>3</v>
      </c>
      <c r="E479" s="51" t="s">
        <v>4</v>
      </c>
      <c r="G479" s="52"/>
    </row>
    <row r="480" spans="2:7" x14ac:dyDescent="0.25">
      <c r="B480" s="3" t="s">
        <v>5</v>
      </c>
      <c r="C480" s="12">
        <v>22.33</v>
      </c>
      <c r="D480" s="12">
        <f>5/60*14.58</f>
        <v>1.2149999999999999</v>
      </c>
      <c r="E480" s="13">
        <f t="shared" ref="E480:E485" si="32">(C480-D480)/C480</f>
        <v>0.94558889386475597</v>
      </c>
      <c r="G480" s="49"/>
    </row>
    <row r="481" spans="2:7" x14ac:dyDescent="0.25">
      <c r="B481" s="6" t="s">
        <v>6</v>
      </c>
      <c r="C481" s="12">
        <v>3.96</v>
      </c>
      <c r="D481" s="12">
        <f>2/60*14.58</f>
        <v>0.48599999999999999</v>
      </c>
      <c r="E481" s="14">
        <f t="shared" si="32"/>
        <v>0.87727272727272732</v>
      </c>
      <c r="G481" s="49"/>
    </row>
    <row r="482" spans="2:7" x14ac:dyDescent="0.25">
      <c r="B482" s="6" t="s">
        <v>7</v>
      </c>
      <c r="C482" s="12">
        <v>19.399999999999999</v>
      </c>
      <c r="D482" s="12">
        <v>0</v>
      </c>
      <c r="E482" s="14">
        <f t="shared" si="32"/>
        <v>1</v>
      </c>
      <c r="G482" s="49"/>
    </row>
    <row r="483" spans="2:7" x14ac:dyDescent="0.25">
      <c r="B483" s="6" t="s">
        <v>8</v>
      </c>
      <c r="C483" s="12">
        <v>5.5</v>
      </c>
      <c r="D483" s="12">
        <f>4/60*14.58</f>
        <v>0.97199999999999998</v>
      </c>
      <c r="E483" s="13">
        <f t="shared" si="32"/>
        <v>0.82327272727272738</v>
      </c>
      <c r="G483" s="49"/>
    </row>
    <row r="484" spans="2:7" x14ac:dyDescent="0.25">
      <c r="B484" s="6" t="s">
        <v>9</v>
      </c>
      <c r="C484" s="12">
        <v>29</v>
      </c>
      <c r="D484" s="12">
        <v>0</v>
      </c>
      <c r="E484" s="14">
        <f t="shared" si="32"/>
        <v>1</v>
      </c>
      <c r="G484" s="49"/>
    </row>
    <row r="485" spans="2:7" x14ac:dyDescent="0.25">
      <c r="B485" s="6" t="s">
        <v>10</v>
      </c>
      <c r="C485" s="12">
        <v>22.5</v>
      </c>
      <c r="D485" s="12">
        <v>1.42</v>
      </c>
      <c r="E485" s="13">
        <f t="shared" si="32"/>
        <v>0.93688888888888877</v>
      </c>
      <c r="G485" s="52"/>
    </row>
    <row r="486" spans="2:7" x14ac:dyDescent="0.25">
      <c r="G486" s="52"/>
    </row>
    <row r="487" spans="2:7" x14ac:dyDescent="0.25">
      <c r="G487" s="52"/>
    </row>
    <row r="488" spans="2:7" x14ac:dyDescent="0.25">
      <c r="G488" s="52"/>
    </row>
    <row r="489" spans="2:7" x14ac:dyDescent="0.25">
      <c r="G489" s="52"/>
    </row>
    <row r="490" spans="2:7" s="53" customFormat="1" x14ac:dyDescent="0.25">
      <c r="G490" s="59"/>
    </row>
    <row r="491" spans="2:7" x14ac:dyDescent="0.25">
      <c r="G491" s="52"/>
    </row>
    <row r="492" spans="2:7" ht="18.75" x14ac:dyDescent="0.3">
      <c r="B492" s="50" t="s">
        <v>74</v>
      </c>
      <c r="G492" s="52"/>
    </row>
    <row r="493" spans="2:7" ht="21" x14ac:dyDescent="0.25">
      <c r="B493" s="48">
        <v>42367</v>
      </c>
      <c r="C493" s="11" t="s">
        <v>2</v>
      </c>
      <c r="D493" s="11" t="s">
        <v>3</v>
      </c>
      <c r="E493" s="51" t="s">
        <v>4</v>
      </c>
      <c r="G493" s="52"/>
    </row>
    <row r="494" spans="2:7" x14ac:dyDescent="0.25">
      <c r="B494" s="3" t="s">
        <v>5</v>
      </c>
      <c r="C494" s="12">
        <v>22.33</v>
      </c>
      <c r="D494" s="12">
        <f>101/60*14.58</f>
        <v>24.542999999999999</v>
      </c>
      <c r="E494" s="13">
        <f t="shared" ref="E494:E499" si="33">(C494-D494)/C494</f>
        <v>-9.9104343931930183E-2</v>
      </c>
      <c r="G494" s="49"/>
    </row>
    <row r="495" spans="2:7" x14ac:dyDescent="0.25">
      <c r="B495" s="6" t="s">
        <v>6</v>
      </c>
      <c r="C495" s="12">
        <v>3.96</v>
      </c>
      <c r="D495" s="12">
        <f>20/60*14.58</f>
        <v>4.8599999999999994</v>
      </c>
      <c r="E495" s="14">
        <f t="shared" si="33"/>
        <v>-0.22727272727272713</v>
      </c>
      <c r="G495" s="49"/>
    </row>
    <row r="496" spans="2:7" x14ac:dyDescent="0.25">
      <c r="B496" s="6" t="s">
        <v>7</v>
      </c>
      <c r="C496" s="12">
        <v>19.399999999999999</v>
      </c>
      <c r="D496" s="12">
        <v>0</v>
      </c>
      <c r="E496" s="14">
        <f t="shared" si="33"/>
        <v>1</v>
      </c>
      <c r="G496" s="49"/>
    </row>
    <row r="497" spans="2:7" x14ac:dyDescent="0.25">
      <c r="B497" s="6" t="s">
        <v>8</v>
      </c>
      <c r="C497" s="12">
        <v>5.5</v>
      </c>
      <c r="D497" s="12">
        <f>12/60*14.58</f>
        <v>2.9160000000000004</v>
      </c>
      <c r="E497" s="13">
        <f t="shared" si="33"/>
        <v>0.46981818181818175</v>
      </c>
      <c r="G497" s="49"/>
    </row>
    <row r="498" spans="2:7" x14ac:dyDescent="0.25">
      <c r="B498" s="6" t="s">
        <v>9</v>
      </c>
      <c r="C498" s="12">
        <v>29</v>
      </c>
      <c r="D498" s="12">
        <f>1094/60*14.58</f>
        <v>265.84200000000004</v>
      </c>
      <c r="E498" s="14">
        <f t="shared" si="33"/>
        <v>-8.1669655172413815</v>
      </c>
      <c r="G498" s="49"/>
    </row>
    <row r="499" spans="2:7" x14ac:dyDescent="0.25">
      <c r="B499" s="6" t="s">
        <v>10</v>
      </c>
      <c r="C499" s="12">
        <v>22.5</v>
      </c>
      <c r="D499" s="12">
        <f>6/60*7.29</f>
        <v>0.72900000000000009</v>
      </c>
      <c r="E499" s="13">
        <f t="shared" si="33"/>
        <v>0.96760000000000002</v>
      </c>
      <c r="G499" s="52"/>
    </row>
    <row r="500" spans="2:7" x14ac:dyDescent="0.25">
      <c r="G500" s="52"/>
    </row>
    <row r="501" spans="2:7" x14ac:dyDescent="0.25">
      <c r="G501" s="52"/>
    </row>
    <row r="502" spans="2:7" x14ac:dyDescent="0.25">
      <c r="G502" s="52"/>
    </row>
    <row r="503" spans="2:7" x14ac:dyDescent="0.25">
      <c r="G503" s="52"/>
    </row>
    <row r="504" spans="2:7" x14ac:dyDescent="0.25">
      <c r="G504" s="52"/>
    </row>
    <row r="505" spans="2:7" s="53" customFormat="1" x14ac:dyDescent="0.25">
      <c r="G505" s="59"/>
    </row>
    <row r="506" spans="2:7" x14ac:dyDescent="0.25">
      <c r="G506" s="52"/>
    </row>
    <row r="507" spans="2:7" ht="18.75" x14ac:dyDescent="0.3">
      <c r="B507" s="50" t="s">
        <v>75</v>
      </c>
      <c r="G507" s="52"/>
    </row>
    <row r="508" spans="2:7" ht="21" x14ac:dyDescent="0.25">
      <c r="B508" s="48">
        <v>42367</v>
      </c>
      <c r="C508" s="11" t="s">
        <v>2</v>
      </c>
      <c r="D508" s="11" t="s">
        <v>3</v>
      </c>
      <c r="E508" s="51" t="s">
        <v>4</v>
      </c>
      <c r="G508" s="52"/>
    </row>
    <row r="509" spans="2:7" x14ac:dyDescent="0.25">
      <c r="B509" s="3" t="s">
        <v>5</v>
      </c>
      <c r="C509" s="12">
        <v>22.33</v>
      </c>
      <c r="D509" s="12">
        <f>7/60*14.58</f>
        <v>1.7010000000000001</v>
      </c>
      <c r="E509" s="13">
        <f t="shared" ref="E509:E514" si="34">(C509-D509)/C509</f>
        <v>0.92382445141065828</v>
      </c>
      <c r="G509" s="49"/>
    </row>
    <row r="510" spans="2:7" x14ac:dyDescent="0.25">
      <c r="B510" s="6" t="s">
        <v>6</v>
      </c>
      <c r="C510" s="12">
        <v>3.96</v>
      </c>
      <c r="D510" s="12">
        <f>5/60*14.58</f>
        <v>1.2149999999999999</v>
      </c>
      <c r="E510" s="14">
        <f t="shared" si="34"/>
        <v>0.69318181818181823</v>
      </c>
      <c r="G510" s="49"/>
    </row>
    <row r="511" spans="2:7" x14ac:dyDescent="0.25">
      <c r="B511" s="6" t="s">
        <v>7</v>
      </c>
      <c r="C511" s="12">
        <v>19.399999999999999</v>
      </c>
      <c r="D511" s="12">
        <f>101/60*14.58</f>
        <v>24.542999999999999</v>
      </c>
      <c r="E511" s="14">
        <f t="shared" si="34"/>
        <v>-0.26510309278350519</v>
      </c>
      <c r="G511" s="49"/>
    </row>
    <row r="512" spans="2:7" x14ac:dyDescent="0.25">
      <c r="B512" s="6" t="s">
        <v>8</v>
      </c>
      <c r="C512" s="12">
        <v>5.5</v>
      </c>
      <c r="D512" s="12">
        <f>5441/60*14.58</f>
        <v>1322.163</v>
      </c>
      <c r="E512" s="13">
        <f t="shared" si="34"/>
        <v>-239.39327272727272</v>
      </c>
      <c r="G512" s="49"/>
    </row>
    <row r="513" spans="2:7" x14ac:dyDescent="0.25">
      <c r="B513" s="6" t="s">
        <v>9</v>
      </c>
      <c r="C513" s="12">
        <v>29</v>
      </c>
      <c r="D513" s="12">
        <v>0</v>
      </c>
      <c r="E513" s="14">
        <f t="shared" si="34"/>
        <v>1</v>
      </c>
      <c r="G513" s="49"/>
    </row>
    <row r="514" spans="2:7" x14ac:dyDescent="0.25">
      <c r="B514" s="6" t="s">
        <v>10</v>
      </c>
      <c r="C514" s="12">
        <v>22.5</v>
      </c>
      <c r="D514" s="12">
        <v>1.6</v>
      </c>
      <c r="E514" s="13">
        <f t="shared" si="34"/>
        <v>0.92888888888888888</v>
      </c>
      <c r="G514" s="52"/>
    </row>
    <row r="515" spans="2:7" x14ac:dyDescent="0.25">
      <c r="G515" s="52"/>
    </row>
    <row r="516" spans="2:7" x14ac:dyDescent="0.25">
      <c r="G516" s="52"/>
    </row>
    <row r="517" spans="2:7" x14ac:dyDescent="0.25">
      <c r="G517" s="52"/>
    </row>
    <row r="518" spans="2:7" x14ac:dyDescent="0.25">
      <c r="G518" s="52"/>
    </row>
    <row r="520" spans="2:7" s="53" customFormat="1" x14ac:dyDescent="0.25"/>
    <row r="521" spans="2:7" ht="18.75" x14ac:dyDescent="0.3">
      <c r="B521" s="50" t="s">
        <v>76</v>
      </c>
    </row>
    <row r="522" spans="2:7" ht="21" x14ac:dyDescent="0.25">
      <c r="B522" s="48">
        <v>42367</v>
      </c>
      <c r="C522" s="11" t="s">
        <v>2</v>
      </c>
      <c r="D522" s="11" t="s">
        <v>3</v>
      </c>
      <c r="E522" s="51" t="s">
        <v>4</v>
      </c>
    </row>
    <row r="523" spans="2:7" x14ac:dyDescent="0.25">
      <c r="B523" s="3" t="s">
        <v>5</v>
      </c>
      <c r="C523" s="12">
        <v>22.33</v>
      </c>
      <c r="D523" s="12">
        <f>33/60*14.58</f>
        <v>8.0190000000000001</v>
      </c>
      <c r="E523" s="13">
        <f t="shared" ref="E523:E528" si="35">(C523-D523)/C523</f>
        <v>0.64088669950738908</v>
      </c>
    </row>
    <row r="524" spans="2:7" x14ac:dyDescent="0.25">
      <c r="B524" s="6" t="s">
        <v>6</v>
      </c>
      <c r="C524" s="12">
        <v>3.96</v>
      </c>
      <c r="D524" s="12">
        <f>56/60*14.58</f>
        <v>13.608000000000001</v>
      </c>
      <c r="E524" s="14">
        <f t="shared" si="35"/>
        <v>-2.4363636363636365</v>
      </c>
    </row>
    <row r="525" spans="2:7" x14ac:dyDescent="0.25">
      <c r="B525" s="6" t="s">
        <v>7</v>
      </c>
      <c r="C525" s="12">
        <v>19.399999999999999</v>
      </c>
      <c r="D525" s="12">
        <v>0</v>
      </c>
      <c r="E525" s="14">
        <f t="shared" si="35"/>
        <v>1</v>
      </c>
    </row>
    <row r="526" spans="2:7" x14ac:dyDescent="0.25">
      <c r="B526" s="6" t="s">
        <v>8</v>
      </c>
      <c r="C526" s="12">
        <v>5.5</v>
      </c>
      <c r="D526" s="12">
        <v>0</v>
      </c>
      <c r="E526" s="13">
        <f t="shared" si="35"/>
        <v>1</v>
      </c>
    </row>
    <row r="527" spans="2:7" x14ac:dyDescent="0.25">
      <c r="B527" s="6" t="s">
        <v>9</v>
      </c>
      <c r="C527" s="12">
        <v>29</v>
      </c>
      <c r="D527" s="12">
        <v>0</v>
      </c>
      <c r="E527" s="14">
        <f t="shared" si="35"/>
        <v>1</v>
      </c>
    </row>
    <row r="528" spans="2:7" x14ac:dyDescent="0.25">
      <c r="B528" s="6" t="s">
        <v>10</v>
      </c>
      <c r="C528" s="12">
        <v>22.5</v>
      </c>
      <c r="D528" s="12">
        <f>6/60*7.29</f>
        <v>0.72900000000000009</v>
      </c>
      <c r="E528" s="13">
        <f t="shared" si="35"/>
        <v>0.96760000000000002</v>
      </c>
    </row>
    <row r="536" spans="2:5" s="53" customFormat="1" x14ac:dyDescent="0.25"/>
    <row r="537" spans="2:5" ht="18.75" x14ac:dyDescent="0.3">
      <c r="B537" s="50" t="s">
        <v>77</v>
      </c>
    </row>
    <row r="538" spans="2:5" ht="21" x14ac:dyDescent="0.25">
      <c r="B538" s="48">
        <v>42367</v>
      </c>
      <c r="C538" s="11" t="s">
        <v>2</v>
      </c>
      <c r="D538" s="11" t="s">
        <v>3</v>
      </c>
      <c r="E538" s="51" t="s">
        <v>4</v>
      </c>
    </row>
    <row r="539" spans="2:5" x14ac:dyDescent="0.25">
      <c r="B539" s="3" t="s">
        <v>5</v>
      </c>
      <c r="C539" s="12">
        <v>22.33</v>
      </c>
      <c r="D539" s="12">
        <f>8/60*14.58</f>
        <v>1.944</v>
      </c>
      <c r="E539" s="13">
        <f t="shared" ref="E539:E544" si="36">(C539-D539)/C539</f>
        <v>0.91294223018360954</v>
      </c>
    </row>
    <row r="540" spans="2:5" x14ac:dyDescent="0.25">
      <c r="B540" s="6" t="s">
        <v>6</v>
      </c>
      <c r="C540" s="12">
        <v>3.96</v>
      </c>
      <c r="D540" s="12">
        <f>3/60*14.58</f>
        <v>0.72900000000000009</v>
      </c>
      <c r="E540" s="14">
        <f t="shared" si="36"/>
        <v>0.81590909090909092</v>
      </c>
    </row>
    <row r="541" spans="2:5" x14ac:dyDescent="0.25">
      <c r="B541" s="6" t="s">
        <v>7</v>
      </c>
      <c r="C541" s="12">
        <v>19.399999999999999</v>
      </c>
      <c r="D541" s="12">
        <v>0</v>
      </c>
      <c r="E541" s="14">
        <f t="shared" si="36"/>
        <v>1</v>
      </c>
    </row>
    <row r="542" spans="2:5" x14ac:dyDescent="0.25">
      <c r="B542" s="6" t="s">
        <v>8</v>
      </c>
      <c r="C542" s="12">
        <v>5.5</v>
      </c>
      <c r="D542" s="12">
        <v>0</v>
      </c>
      <c r="E542" s="13">
        <f t="shared" si="36"/>
        <v>1</v>
      </c>
    </row>
    <row r="543" spans="2:5" x14ac:dyDescent="0.25">
      <c r="B543" s="6" t="s">
        <v>9</v>
      </c>
      <c r="C543" s="12">
        <v>29</v>
      </c>
      <c r="D543" s="12">
        <f>170/60*14.58</f>
        <v>41.31</v>
      </c>
      <c r="E543" s="14">
        <f t="shared" si="36"/>
        <v>-0.42448275862068974</v>
      </c>
    </row>
    <row r="544" spans="2:5" x14ac:dyDescent="0.25">
      <c r="B544" s="6" t="s">
        <v>10</v>
      </c>
      <c r="C544" s="12">
        <v>22.5</v>
      </c>
      <c r="D544" s="12">
        <f>7/60*7.29</f>
        <v>0.85050000000000003</v>
      </c>
      <c r="E544" s="13">
        <f t="shared" si="36"/>
        <v>0.96219999999999994</v>
      </c>
    </row>
    <row r="546" spans="4:4" x14ac:dyDescent="0.25">
      <c r="D546" s="49"/>
    </row>
    <row r="547" spans="4:4" x14ac:dyDescent="0.25">
      <c r="D547" s="49"/>
    </row>
    <row r="548" spans="4:4" x14ac:dyDescent="0.25">
      <c r="D548" s="49"/>
    </row>
    <row r="549" spans="4:4" x14ac:dyDescent="0.25">
      <c r="D549" s="49"/>
    </row>
    <row r="550" spans="4:4" x14ac:dyDescent="0.25">
      <c r="D550" s="49"/>
    </row>
    <row r="551" spans="4:4" x14ac:dyDescent="0.25">
      <c r="D551" s="49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8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M5" sqref="AM5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5"/>
    <col min="5" max="5" width="13.42578125"/>
    <col min="6" max="6" width="13.7109375"/>
    <col min="22" max="22" width="10.140625" bestFit="1" customWidth="1"/>
    <col min="23" max="40" width="10.140625" customWidth="1"/>
    <col min="41" max="41" width="23.28515625"/>
    <col min="42" max="42" width="5.140625"/>
    <col min="43" max="46" width="6.140625"/>
    <col min="47" max="1059" width="11.5703125"/>
  </cols>
  <sheetData>
    <row r="1" spans="2:49" x14ac:dyDescent="0.25">
      <c r="D1"/>
    </row>
    <row r="2" spans="2:49" x14ac:dyDescent="0.25">
      <c r="D2" s="16" t="s">
        <v>12</v>
      </c>
      <c r="E2" s="16" t="s">
        <v>13</v>
      </c>
      <c r="F2" s="16" t="s">
        <v>44</v>
      </c>
      <c r="G2" s="16" t="s">
        <v>45</v>
      </c>
      <c r="H2" s="16" t="s">
        <v>46</v>
      </c>
      <c r="I2" s="16" t="s">
        <v>47</v>
      </c>
      <c r="J2" s="16" t="s">
        <v>48</v>
      </c>
      <c r="K2" s="16" t="s">
        <v>49</v>
      </c>
      <c r="L2" s="16" t="s">
        <v>50</v>
      </c>
      <c r="M2" s="16" t="s">
        <v>51</v>
      </c>
      <c r="N2" s="16" t="s">
        <v>52</v>
      </c>
      <c r="O2" s="16" t="s">
        <v>53</v>
      </c>
      <c r="P2" s="16" t="s">
        <v>54</v>
      </c>
      <c r="Q2" s="16" t="s">
        <v>55</v>
      </c>
      <c r="R2" s="16" t="s">
        <v>56</v>
      </c>
      <c r="S2" s="16" t="s">
        <v>57</v>
      </c>
      <c r="T2" s="16" t="s">
        <v>48</v>
      </c>
      <c r="U2" s="16" t="s">
        <v>58</v>
      </c>
      <c r="V2" s="16" t="s">
        <v>59</v>
      </c>
      <c r="W2" s="16" t="s">
        <v>60</v>
      </c>
      <c r="X2" s="16" t="s">
        <v>61</v>
      </c>
      <c r="Y2" s="16" t="s">
        <v>62</v>
      </c>
      <c r="Z2" s="16" t="s">
        <v>63</v>
      </c>
      <c r="AA2" s="16" t="s">
        <v>64</v>
      </c>
      <c r="AB2" s="16" t="s">
        <v>65</v>
      </c>
      <c r="AC2" s="16" t="s">
        <v>66</v>
      </c>
      <c r="AD2" s="16" t="s">
        <v>67</v>
      </c>
      <c r="AE2" s="16" t="s">
        <v>68</v>
      </c>
      <c r="AF2" s="16" t="s">
        <v>69</v>
      </c>
      <c r="AG2" s="16" t="s">
        <v>70</v>
      </c>
      <c r="AH2" s="16" t="s">
        <v>71</v>
      </c>
      <c r="AI2" s="16" t="s">
        <v>72</v>
      </c>
      <c r="AJ2" s="16" t="s">
        <v>73</v>
      </c>
      <c r="AK2" s="16" t="s">
        <v>74</v>
      </c>
      <c r="AL2" s="16" t="s">
        <v>75</v>
      </c>
      <c r="AM2" s="16" t="s">
        <v>76</v>
      </c>
      <c r="AN2" s="16" t="s">
        <v>77</v>
      </c>
      <c r="AO2" s="16" t="s">
        <v>15</v>
      </c>
    </row>
    <row r="3" spans="2:49" x14ac:dyDescent="0.25">
      <c r="B3" s="17"/>
      <c r="C3" s="18" t="s">
        <v>16</v>
      </c>
      <c r="D3" s="19">
        <v>20151127</v>
      </c>
      <c r="E3" s="20">
        <v>20151211</v>
      </c>
      <c r="F3" s="20">
        <v>20151229</v>
      </c>
      <c r="G3" s="20">
        <v>20151229</v>
      </c>
      <c r="H3" s="20">
        <v>20151229</v>
      </c>
      <c r="I3" s="20">
        <v>20151229</v>
      </c>
      <c r="J3" s="20">
        <v>20151229</v>
      </c>
      <c r="K3" s="20">
        <v>20151229</v>
      </c>
      <c r="L3" s="20">
        <v>20151229</v>
      </c>
      <c r="M3" s="20">
        <v>20151229</v>
      </c>
      <c r="N3" s="20">
        <v>20151229</v>
      </c>
      <c r="O3" s="20">
        <v>20151229</v>
      </c>
      <c r="P3" s="20">
        <v>20151229</v>
      </c>
      <c r="Q3" s="20">
        <v>20151229</v>
      </c>
      <c r="R3" s="20">
        <v>20151229</v>
      </c>
      <c r="S3" s="20">
        <v>20151229</v>
      </c>
      <c r="T3" s="20">
        <v>20151229</v>
      </c>
      <c r="U3" s="20">
        <v>20151229</v>
      </c>
      <c r="V3" s="20">
        <v>20151229</v>
      </c>
      <c r="W3" s="20">
        <v>20151229</v>
      </c>
      <c r="X3" s="20">
        <v>20151229</v>
      </c>
      <c r="Y3" s="20">
        <v>20151229</v>
      </c>
      <c r="Z3" s="20">
        <v>20151229</v>
      </c>
      <c r="AA3" s="20">
        <v>20151229</v>
      </c>
      <c r="AB3" s="20">
        <v>20151231</v>
      </c>
      <c r="AC3" s="20">
        <v>20151231</v>
      </c>
      <c r="AD3" s="20">
        <v>20151231</v>
      </c>
      <c r="AE3" s="20">
        <v>20151231</v>
      </c>
      <c r="AF3" s="20">
        <v>20151231</v>
      </c>
      <c r="AG3" s="20">
        <v>20151231</v>
      </c>
      <c r="AH3" s="20">
        <v>20151231</v>
      </c>
      <c r="AI3" s="20">
        <v>20151231</v>
      </c>
      <c r="AJ3" s="20">
        <v>20151231</v>
      </c>
      <c r="AK3" s="20">
        <v>20151231</v>
      </c>
      <c r="AL3" s="20">
        <v>20151231</v>
      </c>
      <c r="AM3" s="20">
        <v>20160104</v>
      </c>
      <c r="AN3" s="20">
        <v>20160104</v>
      </c>
      <c r="AO3" s="21"/>
    </row>
    <row r="4" spans="2:49" x14ac:dyDescent="0.25">
      <c r="B4" s="20">
        <v>1</v>
      </c>
      <c r="C4" s="18" t="s">
        <v>18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3" t="e">
        <f>AVERAGE(D4:F4)</f>
        <v>#DIV/0!</v>
      </c>
    </row>
    <row r="5" spans="2:49" x14ac:dyDescent="0.25">
      <c r="B5" s="20">
        <v>2</v>
      </c>
      <c r="C5" s="18" t="s">
        <v>5</v>
      </c>
      <c r="D5" s="22">
        <v>1</v>
      </c>
      <c r="E5" s="22">
        <v>1</v>
      </c>
      <c r="F5" s="22">
        <v>1</v>
      </c>
      <c r="G5" s="22">
        <v>0.85709999999999997</v>
      </c>
      <c r="H5" s="22">
        <v>1</v>
      </c>
      <c r="I5" s="22">
        <v>1</v>
      </c>
      <c r="J5" s="22">
        <v>1</v>
      </c>
      <c r="K5" s="22">
        <v>1</v>
      </c>
      <c r="L5" s="22"/>
      <c r="M5" s="22">
        <v>1</v>
      </c>
      <c r="N5" s="22">
        <v>0.83330000000000004</v>
      </c>
      <c r="O5" s="22">
        <v>1</v>
      </c>
      <c r="P5" s="22">
        <v>1</v>
      </c>
      <c r="Q5" s="22"/>
      <c r="R5" s="22"/>
      <c r="S5" s="22">
        <v>1</v>
      </c>
      <c r="T5" s="22">
        <v>1</v>
      </c>
      <c r="U5" s="22"/>
      <c r="V5" s="22">
        <v>1</v>
      </c>
      <c r="W5" s="22">
        <v>1</v>
      </c>
      <c r="X5" s="22">
        <v>1</v>
      </c>
      <c r="Y5" s="22">
        <v>1</v>
      </c>
      <c r="Z5" s="22">
        <v>1</v>
      </c>
      <c r="AA5" s="22"/>
      <c r="AB5" s="22"/>
      <c r="AC5" s="22"/>
      <c r="AD5" s="22"/>
      <c r="AE5" s="22"/>
      <c r="AF5" s="22"/>
      <c r="AG5" s="22">
        <v>1</v>
      </c>
      <c r="AH5" s="22">
        <v>1</v>
      </c>
      <c r="AI5" s="22"/>
      <c r="AJ5" s="22">
        <v>1</v>
      </c>
      <c r="AK5" s="22"/>
      <c r="AL5" s="22">
        <v>1</v>
      </c>
      <c r="AM5" s="22"/>
      <c r="AN5" s="22"/>
      <c r="AO5" s="23">
        <f>AVERAGE(D5:K5)</f>
        <v>0.9821375</v>
      </c>
    </row>
    <row r="6" spans="2:49" x14ac:dyDescent="0.25">
      <c r="B6" s="20">
        <v>3</v>
      </c>
      <c r="C6" s="18" t="s">
        <v>6</v>
      </c>
      <c r="D6" s="22">
        <v>1</v>
      </c>
      <c r="E6" s="22">
        <v>0.8125</v>
      </c>
      <c r="F6" s="22">
        <v>0.75</v>
      </c>
      <c r="G6" s="22">
        <v>0.75</v>
      </c>
      <c r="H6" s="22">
        <v>1</v>
      </c>
      <c r="I6" s="22">
        <v>1</v>
      </c>
      <c r="J6" s="22">
        <v>1</v>
      </c>
      <c r="K6" s="22">
        <v>0.25</v>
      </c>
      <c r="L6" s="22"/>
      <c r="M6" s="22">
        <v>0.75</v>
      </c>
      <c r="N6" s="22">
        <v>0.75</v>
      </c>
      <c r="O6" s="22">
        <v>1</v>
      </c>
      <c r="P6" s="22">
        <v>0.75</v>
      </c>
      <c r="Q6" s="22"/>
      <c r="R6" s="22"/>
      <c r="S6" s="22">
        <v>1</v>
      </c>
      <c r="T6" s="22">
        <v>1</v>
      </c>
      <c r="U6" s="22"/>
      <c r="V6" s="22">
        <v>1</v>
      </c>
      <c r="W6" s="22">
        <v>1</v>
      </c>
      <c r="X6" s="22">
        <v>1</v>
      </c>
      <c r="Y6" s="22">
        <v>1</v>
      </c>
      <c r="Z6" s="22">
        <v>1</v>
      </c>
      <c r="AA6" s="22"/>
      <c r="AB6" s="22"/>
      <c r="AC6" s="22"/>
      <c r="AD6" s="22"/>
      <c r="AE6" s="22"/>
      <c r="AF6" s="22"/>
      <c r="AG6" s="22">
        <v>1</v>
      </c>
      <c r="AH6" s="22">
        <v>1</v>
      </c>
      <c r="AI6" s="22"/>
      <c r="AJ6" s="22">
        <v>1</v>
      </c>
      <c r="AK6" s="22"/>
      <c r="AL6" s="22">
        <v>1</v>
      </c>
      <c r="AM6" s="22"/>
      <c r="AN6" s="22"/>
      <c r="AO6" s="23">
        <f>AVERAGE(D6:K6)</f>
        <v>0.8203125</v>
      </c>
    </row>
    <row r="7" spans="2:49" x14ac:dyDescent="0.25">
      <c r="B7" s="20">
        <v>5</v>
      </c>
      <c r="C7" s="18" t="s">
        <v>7</v>
      </c>
      <c r="D7" s="22">
        <v>1</v>
      </c>
      <c r="E7" s="22">
        <v>0.25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/>
      <c r="M7" s="22">
        <v>0</v>
      </c>
      <c r="N7" s="22">
        <v>0</v>
      </c>
      <c r="O7" s="22">
        <v>1</v>
      </c>
      <c r="P7" s="22">
        <v>0</v>
      </c>
      <c r="Q7" s="22"/>
      <c r="R7" s="22"/>
      <c r="S7" s="22">
        <v>1</v>
      </c>
      <c r="T7" s="22">
        <v>1</v>
      </c>
      <c r="U7" s="22"/>
      <c r="V7" s="22">
        <v>0</v>
      </c>
      <c r="W7" s="22">
        <v>0</v>
      </c>
      <c r="X7" s="22">
        <v>0</v>
      </c>
      <c r="Y7" s="22">
        <v>1</v>
      </c>
      <c r="Z7" s="22">
        <v>0</v>
      </c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3">
        <f>AVERAGE(D7:K7)</f>
        <v>0.90625</v>
      </c>
    </row>
    <row r="8" spans="2:49" x14ac:dyDescent="0.25">
      <c r="B8" s="20">
        <v>6</v>
      </c>
      <c r="C8" s="18" t="s">
        <v>8</v>
      </c>
      <c r="D8" s="22">
        <v>0.33</v>
      </c>
      <c r="E8" s="22">
        <v>1</v>
      </c>
      <c r="F8" s="22">
        <v>0.33329999999999999</v>
      </c>
      <c r="G8" s="22">
        <v>0.33329999999999999</v>
      </c>
      <c r="H8" s="22">
        <v>0.33329999999999999</v>
      </c>
      <c r="I8" s="22">
        <v>1</v>
      </c>
      <c r="J8" s="22">
        <v>0.66669999999999996</v>
      </c>
      <c r="K8" s="22">
        <v>0.33329999999999999</v>
      </c>
      <c r="L8" s="22"/>
      <c r="M8" s="22">
        <v>1</v>
      </c>
      <c r="N8" s="22">
        <v>1</v>
      </c>
      <c r="O8" s="22">
        <v>1</v>
      </c>
      <c r="P8" s="22">
        <v>1</v>
      </c>
      <c r="Q8" s="22"/>
      <c r="R8" s="22"/>
      <c r="S8" s="22">
        <v>0.66669999999999996</v>
      </c>
      <c r="T8" s="22">
        <v>0.66669999999999996</v>
      </c>
      <c r="U8" s="22"/>
      <c r="V8" s="22">
        <v>1</v>
      </c>
      <c r="W8" s="22">
        <v>0.66669999999999996</v>
      </c>
      <c r="X8" s="22">
        <v>0.66669999999999996</v>
      </c>
      <c r="Y8" s="22">
        <v>1</v>
      </c>
      <c r="Z8" s="22">
        <v>1</v>
      </c>
      <c r="AA8" s="22"/>
      <c r="AB8" s="22"/>
      <c r="AC8" s="22"/>
      <c r="AD8" s="22"/>
      <c r="AE8" s="22"/>
      <c r="AF8" s="22"/>
      <c r="AG8" s="22">
        <v>0.66669999999999996</v>
      </c>
      <c r="AH8" s="22">
        <v>0.66669999999999996</v>
      </c>
      <c r="AI8" s="22"/>
      <c r="AJ8" s="22">
        <v>0.66669999999999996</v>
      </c>
      <c r="AK8" s="22"/>
      <c r="AL8" s="22">
        <v>0.66669999999999996</v>
      </c>
      <c r="AM8" s="22"/>
      <c r="AN8" s="22"/>
      <c r="AO8" s="23">
        <f>AVERAGE(D8:K8)</f>
        <v>0.54123750000000004</v>
      </c>
    </row>
    <row r="9" spans="2:49" x14ac:dyDescent="0.25">
      <c r="B9" s="20">
        <v>7</v>
      </c>
      <c r="C9" s="18" t="s">
        <v>19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3" t="e">
        <f>AVERAGE(D9:F9)</f>
        <v>#DIV/0!</v>
      </c>
    </row>
    <row r="10" spans="2:49" x14ac:dyDescent="0.25">
      <c r="D10" s="24"/>
      <c r="AW10" s="25"/>
    </row>
    <row r="11" spans="2:49" x14ac:dyDescent="0.25">
      <c r="C11" s="16" t="s">
        <v>20</v>
      </c>
      <c r="D11" s="16" t="s">
        <v>12</v>
      </c>
      <c r="E11" s="16" t="s">
        <v>14</v>
      </c>
      <c r="F11" s="16" t="s">
        <v>14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 t="s">
        <v>15</v>
      </c>
      <c r="AW11" s="25"/>
    </row>
    <row r="12" spans="2:49" x14ac:dyDescent="0.25">
      <c r="B12" s="18"/>
      <c r="C12" s="18"/>
      <c r="D12" s="19" t="s">
        <v>17</v>
      </c>
      <c r="E12" s="20" t="s">
        <v>17</v>
      </c>
      <c r="F12" s="20" t="s">
        <v>17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6"/>
      <c r="AW12" s="25"/>
    </row>
    <row r="13" spans="2:49" x14ac:dyDescent="0.25">
      <c r="B13" s="20">
        <v>1</v>
      </c>
      <c r="C13" s="18" t="s">
        <v>21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3" t="e">
        <f>AVERAGE(D13:F13)</f>
        <v>#DIV/0!</v>
      </c>
    </row>
    <row r="14" spans="2:49" x14ac:dyDescent="0.25">
      <c r="B14" s="20">
        <v>2</v>
      </c>
      <c r="C14" s="18" t="s">
        <v>22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3" t="e">
        <f>AVERAGE(D14:F14)</f>
        <v>#DIV/0!</v>
      </c>
    </row>
    <row r="15" spans="2:49" x14ac:dyDescent="0.25">
      <c r="B15" s="20">
        <v>3</v>
      </c>
      <c r="C15" s="18" t="s">
        <v>23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3" t="e">
        <f>AVERAGE(D15:F15)</f>
        <v>#DIV/0!</v>
      </c>
    </row>
    <row r="28" ht="21" customHeight="1" x14ac:dyDescent="0.25"/>
  </sheetData>
  <conditionalFormatting sqref="D11:E11">
    <cfRule type="cellIs" dxfId="31" priority="2" operator="notEqual">
      <formula>INDIRECT("Dummy_for_Comparison1!"&amp;ADDRESS(ROW(),COLUMN()))</formula>
    </cfRule>
  </conditionalFormatting>
  <conditionalFormatting sqref="C11">
    <cfRule type="cellIs" dxfId="30" priority="3" operator="notEqual">
      <formula>INDIRECT("Dummy_for_Comparison1!"&amp;ADDRESS(ROW(),COLUMN()))</formula>
    </cfRule>
  </conditionalFormatting>
  <conditionalFormatting sqref="AO11">
    <cfRule type="cellIs" dxfId="29" priority="4" operator="notEqual">
      <formula>INDIRECT("Dummy_for_Comparison1!"&amp;ADDRESS(ROW(),COLUMN()))</formula>
    </cfRule>
  </conditionalFormatting>
  <conditionalFormatting sqref="F11:AN11">
    <cfRule type="cellIs" dxfId="28" priority="5" operator="notEqual">
      <formula>INDIRECT("Dummy_for_Comparison1!"&amp;ADDRESS(ROW(),COLUMN()))</formula>
    </cfRule>
  </conditionalFormatting>
  <conditionalFormatting sqref="D13:AN15">
    <cfRule type="cellIs" dxfId="27" priority="6" operator="notEqual">
      <formula>INDIRECT("Dummy_for_Comparison1!"&amp;ADDRESS(ROW(),COLUMN()))</formula>
    </cfRule>
  </conditionalFormatting>
  <conditionalFormatting sqref="B12:C15">
    <cfRule type="cellIs" dxfId="26" priority="7" operator="notEqual">
      <formula>INDIRECT("Dummy_for_Comparison1!"&amp;ADDRESS(ROW(),COLUMN()))</formula>
    </cfRule>
  </conditionalFormatting>
  <conditionalFormatting sqref="E3:AN3">
    <cfRule type="cellIs" dxfId="25" priority="8" operator="notEqual">
      <formula>INDIRECT("Dummy_for_Comparison1!"&amp;ADDRESS(ROW(),COLUMN()))</formula>
    </cfRule>
  </conditionalFormatting>
  <conditionalFormatting sqref="E12:AN12">
    <cfRule type="cellIs" dxfId="24" priority="9" operator="notEqual">
      <formula>INDIRECT("Dummy_for_Comparison1!"&amp;ADDRESS(ROW(),COLUMN()))</formula>
    </cfRule>
  </conditionalFormatting>
  <conditionalFormatting sqref="D3">
    <cfRule type="cellIs" dxfId="23" priority="10" operator="notEqual">
      <formula>INDIRECT("Dummy_for_Comparison1!"&amp;ADDRESS(ROW(),COLUMN()))</formula>
    </cfRule>
  </conditionalFormatting>
  <conditionalFormatting sqref="D12">
    <cfRule type="cellIs" dxfId="22" priority="1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33"/>
  <sheetViews>
    <sheetView topLeftCell="C1" zoomScaleNormal="100" workbookViewId="0">
      <pane xSplit="1" ySplit="3" topLeftCell="Y4" activePane="bottomRight" state="frozen"/>
      <selection activeCell="C1" sqref="C1"/>
      <selection pane="topRight" activeCell="D1" sqref="D1"/>
      <selection pane="bottomLeft" activeCell="C4" sqref="C4"/>
      <selection pane="bottomRight" activeCell="AN4" sqref="AN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5"/>
    <col min="5" max="5" width="11.7109375"/>
    <col min="6" max="6" width="12.42578125"/>
    <col min="41" max="41" width="19.42578125"/>
    <col min="42" max="42" width="11.5703125"/>
    <col min="43" max="43" width="15.7109375"/>
    <col min="44" max="1059" width="11.5703125"/>
  </cols>
  <sheetData>
    <row r="1" spans="2:43" x14ac:dyDescent="0.25">
      <c r="D1"/>
    </row>
    <row r="2" spans="2:43" ht="15" customHeight="1" x14ac:dyDescent="0.25">
      <c r="D2" s="16" t="s">
        <v>12</v>
      </c>
      <c r="E2" s="16" t="s">
        <v>13</v>
      </c>
      <c r="F2" s="16" t="s">
        <v>44</v>
      </c>
      <c r="G2" s="16" t="s">
        <v>45</v>
      </c>
      <c r="H2" s="16" t="s">
        <v>46</v>
      </c>
      <c r="I2" s="16" t="s">
        <v>47</v>
      </c>
      <c r="J2" s="16" t="s">
        <v>48</v>
      </c>
      <c r="K2" s="16" t="s">
        <v>49</v>
      </c>
      <c r="L2" s="16" t="s">
        <v>50</v>
      </c>
      <c r="M2" s="16" t="s">
        <v>51</v>
      </c>
      <c r="N2" s="16" t="s">
        <v>52</v>
      </c>
      <c r="O2" s="16" t="s">
        <v>53</v>
      </c>
      <c r="P2" s="16" t="s">
        <v>54</v>
      </c>
      <c r="Q2" s="16" t="s">
        <v>55</v>
      </c>
      <c r="R2" s="16" t="s">
        <v>56</v>
      </c>
      <c r="S2" s="16" t="s">
        <v>57</v>
      </c>
      <c r="T2" s="16" t="s">
        <v>48</v>
      </c>
      <c r="U2" s="16" t="s">
        <v>58</v>
      </c>
      <c r="V2" s="16" t="s">
        <v>59</v>
      </c>
      <c r="W2" s="16" t="s">
        <v>60</v>
      </c>
      <c r="X2" s="16" t="s">
        <v>61</v>
      </c>
      <c r="Y2" s="16" t="s">
        <v>62</v>
      </c>
      <c r="Z2" s="16" t="s">
        <v>63</v>
      </c>
      <c r="AA2" s="16" t="s">
        <v>64</v>
      </c>
      <c r="AB2" s="16" t="s">
        <v>65</v>
      </c>
      <c r="AC2" s="16" t="s">
        <v>66</v>
      </c>
      <c r="AD2" s="16" t="s">
        <v>67</v>
      </c>
      <c r="AE2" s="16" t="s">
        <v>68</v>
      </c>
      <c r="AF2" s="16" t="s">
        <v>69</v>
      </c>
      <c r="AG2" s="16" t="s">
        <v>70</v>
      </c>
      <c r="AH2" s="16" t="s">
        <v>71</v>
      </c>
      <c r="AI2" s="16" t="s">
        <v>72</v>
      </c>
      <c r="AJ2" s="16" t="s">
        <v>73</v>
      </c>
      <c r="AK2" s="16" t="s">
        <v>74</v>
      </c>
      <c r="AL2" s="16" t="s">
        <v>75</v>
      </c>
      <c r="AM2" s="16" t="s">
        <v>76</v>
      </c>
      <c r="AN2" s="16" t="s">
        <v>77</v>
      </c>
      <c r="AO2" s="16" t="s">
        <v>15</v>
      </c>
      <c r="AP2" s="28"/>
      <c r="AQ2" s="28"/>
    </row>
    <row r="3" spans="2:43" x14ac:dyDescent="0.25">
      <c r="B3" s="18"/>
      <c r="C3" s="18" t="s">
        <v>16</v>
      </c>
      <c r="D3" s="19">
        <v>20151127</v>
      </c>
      <c r="E3" s="18">
        <v>20151211</v>
      </c>
      <c r="F3" s="18">
        <v>20151229</v>
      </c>
      <c r="G3" s="18">
        <v>20151229</v>
      </c>
      <c r="H3" s="18">
        <v>20151229</v>
      </c>
      <c r="I3" s="18">
        <v>20151229</v>
      </c>
      <c r="J3" s="18">
        <v>20151229</v>
      </c>
      <c r="K3" s="18">
        <v>20151229</v>
      </c>
      <c r="L3" s="18">
        <v>20151229</v>
      </c>
      <c r="M3" s="18">
        <v>20151229</v>
      </c>
      <c r="N3" s="18">
        <v>20151229</v>
      </c>
      <c r="O3" s="18">
        <v>20151229</v>
      </c>
      <c r="P3" s="18">
        <v>20151229</v>
      </c>
      <c r="Q3" s="18">
        <v>20151229</v>
      </c>
      <c r="R3" s="18">
        <v>20151229</v>
      </c>
      <c r="S3" s="18">
        <v>20151229</v>
      </c>
      <c r="T3" s="18">
        <v>20151229</v>
      </c>
      <c r="U3" s="18">
        <v>20151229</v>
      </c>
      <c r="V3" s="18">
        <v>20151229</v>
      </c>
      <c r="W3" s="18">
        <v>20151229</v>
      </c>
      <c r="X3" s="18">
        <v>20151229</v>
      </c>
      <c r="Y3" s="18">
        <v>20151229</v>
      </c>
      <c r="Z3" s="18">
        <v>20151229</v>
      </c>
      <c r="AA3" s="18">
        <v>20151229</v>
      </c>
      <c r="AB3" s="18">
        <v>20151231</v>
      </c>
      <c r="AC3" s="18">
        <v>20151231</v>
      </c>
      <c r="AD3" s="18">
        <v>20151231</v>
      </c>
      <c r="AE3" s="18">
        <v>20151231</v>
      </c>
      <c r="AF3" s="18">
        <v>20151231</v>
      </c>
      <c r="AG3" s="18">
        <v>20151231</v>
      </c>
      <c r="AH3" s="18">
        <v>20151231</v>
      </c>
      <c r="AI3" s="18">
        <v>20151231</v>
      </c>
      <c r="AJ3" s="18">
        <v>20151231</v>
      </c>
      <c r="AK3" s="18">
        <v>20151231</v>
      </c>
      <c r="AL3" s="18">
        <v>20151231</v>
      </c>
      <c r="AM3" s="18">
        <v>20160104</v>
      </c>
      <c r="AN3" s="18">
        <v>20160104</v>
      </c>
      <c r="AO3" s="21"/>
      <c r="AP3" s="28"/>
      <c r="AQ3" s="28"/>
    </row>
    <row r="4" spans="2:43" x14ac:dyDescent="0.25">
      <c r="B4" s="18">
        <v>1</v>
      </c>
      <c r="C4" s="18" t="s">
        <v>24</v>
      </c>
      <c r="D4" s="27">
        <v>0.85699999999999998</v>
      </c>
      <c r="E4" s="27">
        <v>0.86760000000000004</v>
      </c>
      <c r="F4" s="27">
        <v>0.94120000000000004</v>
      </c>
      <c r="G4" s="27">
        <v>0.94120000000000004</v>
      </c>
      <c r="H4" s="27">
        <v>0.94120000000000004</v>
      </c>
      <c r="I4" s="27">
        <v>1</v>
      </c>
      <c r="J4" s="27">
        <v>0.94120000000000004</v>
      </c>
      <c r="K4" s="27">
        <v>0</v>
      </c>
      <c r="L4" s="27"/>
      <c r="M4" s="27">
        <v>0.94120000000000004</v>
      </c>
      <c r="N4" s="27">
        <v>0.94120000000000004</v>
      </c>
      <c r="O4" s="27">
        <v>0.94120000000000004</v>
      </c>
      <c r="P4" s="27">
        <v>0.94120000000000004</v>
      </c>
      <c r="Q4" s="27"/>
      <c r="R4" s="27"/>
      <c r="S4" s="27">
        <v>0.94120000000000004</v>
      </c>
      <c r="T4" s="27">
        <v>0.94120000000000004</v>
      </c>
      <c r="U4" s="27"/>
      <c r="V4" s="27">
        <v>1</v>
      </c>
      <c r="W4" s="27">
        <v>0.94120000000000004</v>
      </c>
      <c r="X4" s="27">
        <v>0.94120000000000004</v>
      </c>
      <c r="Y4" s="27">
        <v>0.94120000000000004</v>
      </c>
      <c r="Z4" s="27">
        <v>1</v>
      </c>
      <c r="AA4" s="27"/>
      <c r="AB4" s="27"/>
      <c r="AC4" s="27"/>
      <c r="AD4" s="27"/>
      <c r="AE4" s="27"/>
      <c r="AF4" s="27"/>
      <c r="AG4" s="27">
        <v>0.94120000000000004</v>
      </c>
      <c r="AH4" s="27">
        <v>0.94120000000000004</v>
      </c>
      <c r="AI4" s="27"/>
      <c r="AJ4" s="27">
        <v>0.94120000000000004</v>
      </c>
      <c r="AK4" s="27"/>
      <c r="AL4" s="27">
        <v>0.94120000000000004</v>
      </c>
      <c r="AM4" s="27"/>
      <c r="AN4" s="27"/>
      <c r="AO4" s="23">
        <f>AVERAGE(D4:K4)</f>
        <v>0.81117500000000009</v>
      </c>
      <c r="AP4" s="28"/>
      <c r="AQ4" s="28"/>
    </row>
    <row r="5" spans="2:43" x14ac:dyDescent="0.25">
      <c r="B5" s="18">
        <v>2</v>
      </c>
      <c r="C5" s="18" t="s">
        <v>25</v>
      </c>
      <c r="D5" s="27">
        <v>0.6</v>
      </c>
      <c r="E5" s="27">
        <v>0.95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/>
      <c r="M5" s="27">
        <v>1</v>
      </c>
      <c r="N5" s="27">
        <v>1</v>
      </c>
      <c r="O5" s="27">
        <v>1</v>
      </c>
      <c r="P5" s="27">
        <v>1</v>
      </c>
      <c r="Q5" s="27"/>
      <c r="R5" s="27"/>
      <c r="S5" s="27">
        <v>1</v>
      </c>
      <c r="T5" s="27">
        <v>1</v>
      </c>
      <c r="U5" s="27"/>
      <c r="V5" s="27">
        <v>1</v>
      </c>
      <c r="W5" s="27">
        <v>1</v>
      </c>
      <c r="X5" s="27">
        <v>1</v>
      </c>
      <c r="Y5" s="27">
        <v>1</v>
      </c>
      <c r="Z5" s="27">
        <v>1</v>
      </c>
      <c r="AA5" s="27"/>
      <c r="AB5" s="27"/>
      <c r="AC5" s="27"/>
      <c r="AD5" s="27"/>
      <c r="AE5" s="27"/>
      <c r="AF5" s="27"/>
      <c r="AG5" s="27">
        <v>1</v>
      </c>
      <c r="AH5" s="27">
        <v>1</v>
      </c>
      <c r="AI5" s="27"/>
      <c r="AJ5" s="27">
        <v>1</v>
      </c>
      <c r="AK5" s="27"/>
      <c r="AL5" s="27">
        <v>1</v>
      </c>
      <c r="AM5" s="27"/>
      <c r="AN5" s="27"/>
      <c r="AO5" s="23">
        <f>AVERAGE(D5:K5)</f>
        <v>0.94374999999999998</v>
      </c>
      <c r="AP5" s="28"/>
      <c r="AQ5" s="28"/>
    </row>
    <row r="6" spans="2:43" x14ac:dyDescent="0.25">
      <c r="B6" s="18">
        <v>3</v>
      </c>
      <c r="C6" s="18" t="s">
        <v>26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3" t="e">
        <f>AVERAGE(D6:F6)</f>
        <v>#DIV/0!</v>
      </c>
      <c r="AP6" s="28"/>
      <c r="AQ6" s="28"/>
    </row>
    <row r="7" spans="2:43" x14ac:dyDescent="0.25">
      <c r="B7" s="18">
        <v>4</v>
      </c>
      <c r="C7" s="18" t="s">
        <v>27</v>
      </c>
      <c r="D7" s="27">
        <v>1</v>
      </c>
      <c r="E7" s="27">
        <v>1</v>
      </c>
      <c r="F7" s="27">
        <v>1</v>
      </c>
      <c r="G7" s="27">
        <v>1</v>
      </c>
      <c r="H7" s="27">
        <v>1</v>
      </c>
      <c r="I7" s="27">
        <v>1</v>
      </c>
      <c r="J7" s="27">
        <v>1</v>
      </c>
      <c r="K7" s="27">
        <v>1</v>
      </c>
      <c r="L7" s="27"/>
      <c r="M7" s="27">
        <v>1</v>
      </c>
      <c r="N7" s="27">
        <v>1</v>
      </c>
      <c r="O7" s="27">
        <v>1</v>
      </c>
      <c r="P7" s="27">
        <v>1</v>
      </c>
      <c r="Q7" s="27"/>
      <c r="R7" s="27"/>
      <c r="S7" s="27">
        <v>1</v>
      </c>
      <c r="T7" s="27">
        <v>1</v>
      </c>
      <c r="U7" s="27"/>
      <c r="V7" s="27">
        <v>1</v>
      </c>
      <c r="W7" s="27">
        <v>1</v>
      </c>
      <c r="X7" s="27">
        <v>1</v>
      </c>
      <c r="Y7" s="27">
        <v>1</v>
      </c>
      <c r="Z7" s="27">
        <v>1</v>
      </c>
      <c r="AA7" s="27"/>
      <c r="AB7" s="27"/>
      <c r="AC7" s="27"/>
      <c r="AD7" s="27"/>
      <c r="AE7" s="27"/>
      <c r="AF7" s="27"/>
      <c r="AG7" s="27">
        <v>1</v>
      </c>
      <c r="AH7" s="27">
        <v>1</v>
      </c>
      <c r="AI7" s="27"/>
      <c r="AJ7" s="27">
        <v>1</v>
      </c>
      <c r="AK7" s="27"/>
      <c r="AL7" s="27">
        <v>1</v>
      </c>
      <c r="AM7" s="27"/>
      <c r="AN7" s="27"/>
      <c r="AO7" s="23">
        <f>AVERAGE(D7:K7)</f>
        <v>1</v>
      </c>
      <c r="AP7" s="28"/>
      <c r="AQ7" s="28"/>
    </row>
    <row r="8" spans="2:43" x14ac:dyDescent="0.25">
      <c r="B8" s="18">
        <v>5</v>
      </c>
      <c r="C8" s="18" t="s">
        <v>28</v>
      </c>
      <c r="D8" s="27"/>
      <c r="E8" s="27">
        <v>0.85709999999999997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3">
        <f>AVERAGE(D8:F8)</f>
        <v>0.85709999999999997</v>
      </c>
      <c r="AP8" s="28"/>
      <c r="AQ8" s="28"/>
    </row>
    <row r="9" spans="2:43" x14ac:dyDescent="0.25">
      <c r="D9" s="24"/>
      <c r="AP9" s="28"/>
      <c r="AQ9" s="28"/>
    </row>
    <row r="10" spans="2:43" ht="14.25" customHeight="1" x14ac:dyDescent="0.25">
      <c r="C10" s="16" t="s">
        <v>20</v>
      </c>
      <c r="D10" s="16" t="s">
        <v>29</v>
      </c>
      <c r="E10" s="16" t="s">
        <v>14</v>
      </c>
      <c r="F10" s="16" t="s">
        <v>14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 t="s">
        <v>15</v>
      </c>
      <c r="AP10" s="28"/>
      <c r="AQ10" s="28"/>
    </row>
    <row r="11" spans="2:43" x14ac:dyDescent="0.25">
      <c r="B11" s="18"/>
      <c r="C11" s="18"/>
      <c r="D11" s="19" t="s">
        <v>17</v>
      </c>
      <c r="E11" s="18" t="s">
        <v>17</v>
      </c>
      <c r="F11" s="18" t="s">
        <v>17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26"/>
      <c r="AP11" s="28"/>
      <c r="AQ11" s="28"/>
    </row>
    <row r="12" spans="2:43" x14ac:dyDescent="0.25">
      <c r="B12" s="18">
        <v>1</v>
      </c>
      <c r="C12" s="18" t="s">
        <v>30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3" t="e">
        <f>AVERAGE(D12:F12)</f>
        <v>#DIV/0!</v>
      </c>
      <c r="AP12" s="28"/>
      <c r="AQ12" s="28"/>
    </row>
    <row r="13" spans="2:43" x14ac:dyDescent="0.25">
      <c r="B13" s="18">
        <v>2</v>
      </c>
      <c r="C13" s="18" t="s">
        <v>31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3" t="e">
        <f>AVERAGE(D13:F13)</f>
        <v>#DIV/0!</v>
      </c>
      <c r="AP13" s="29"/>
      <c r="AQ13" s="30"/>
    </row>
    <row r="14" spans="2:43" x14ac:dyDescent="0.25">
      <c r="B14" s="18">
        <v>3</v>
      </c>
      <c r="C14" s="18" t="s">
        <v>32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3" t="e">
        <f>AVERAGE(D14:F14)</f>
        <v>#DIV/0!</v>
      </c>
    </row>
    <row r="15" spans="2:43" x14ac:dyDescent="0.25">
      <c r="C15" s="31"/>
      <c r="D15" s="24"/>
    </row>
    <row r="33" ht="21" customHeight="1" x14ac:dyDescent="0.25"/>
  </sheetData>
  <conditionalFormatting sqref="C10">
    <cfRule type="cellIs" dxfId="21" priority="2" operator="notEqual">
      <formula>INDIRECT("Dummy_for_Comparison1!"&amp;ADDRESS(ROW(),COLUMN()))</formula>
    </cfRule>
  </conditionalFormatting>
  <conditionalFormatting sqref="D10:E10">
    <cfRule type="cellIs" dxfId="20" priority="3" operator="notEqual">
      <formula>INDIRECT("Dummy_for_Comparison1!"&amp;ADDRESS(ROW(),COLUMN()))</formula>
    </cfRule>
  </conditionalFormatting>
  <conditionalFormatting sqref="F10:AN10">
    <cfRule type="cellIs" dxfId="19" priority="4" operator="notEqual">
      <formula>INDIRECT("Dummy_for_Comparison1!"&amp;ADDRESS(ROW(),COLUMN()))</formula>
    </cfRule>
  </conditionalFormatting>
  <conditionalFormatting sqref="AO10">
    <cfRule type="cellIs" dxfId="18" priority="5" operator="notEqual">
      <formula>INDIRECT("Dummy_for_Comparison1!"&amp;ADDRESS(ROW(),COLUMN()))</formula>
    </cfRule>
  </conditionalFormatting>
  <conditionalFormatting sqref="D12:D14">
    <cfRule type="cellIs" dxfId="17" priority="6" operator="notEqual">
      <formula>INDIRECT("Dummy_for_Comparison1!"&amp;ADDRESS(ROW(),COLUMN()))</formula>
    </cfRule>
  </conditionalFormatting>
  <conditionalFormatting sqref="C11">
    <cfRule type="cellIs" dxfId="16" priority="7" operator="notEqual">
      <formula>INDIRECT("Dummy_for_Comparison1!"&amp;ADDRESS(ROW(),COLUMN()))</formula>
    </cfRule>
  </conditionalFormatting>
  <conditionalFormatting sqref="C12:C14">
    <cfRule type="cellIs" dxfId="15" priority="8" operator="notEqual">
      <formula>INDIRECT("Dummy_for_Comparison1!"&amp;ADDRESS(ROW(),COLUMN()))</formula>
    </cfRule>
  </conditionalFormatting>
  <conditionalFormatting sqref="B3:B8">
    <cfRule type="cellIs" dxfId="14" priority="9" operator="notEqual">
      <formula>INDIRECT("Dummy_for_Comparison1!"&amp;ADDRESS(ROW(),COLUMN()))</formula>
    </cfRule>
  </conditionalFormatting>
  <conditionalFormatting sqref="B11:B14">
    <cfRule type="cellIs" dxfId="13" priority="10" operator="notEqual">
      <formula>INDIRECT("Dummy_for_Comparison1!"&amp;ADDRESS(ROW(),COLUMN()))</formula>
    </cfRule>
  </conditionalFormatting>
  <conditionalFormatting sqref="E3:AN3">
    <cfRule type="cellIs" dxfId="12" priority="11" operator="notEqual">
      <formula>INDIRECT("Dummy_for_Comparison1!"&amp;ADDRESS(ROW(),COLUMN()))</formula>
    </cfRule>
  </conditionalFormatting>
  <conditionalFormatting sqref="E11:AN11">
    <cfRule type="cellIs" dxfId="11" priority="12" operator="notEqual">
      <formula>INDIRECT("Dummy_for_Comparison1!"&amp;ADDRESS(ROW(),COLUMN()))</formula>
    </cfRule>
  </conditionalFormatting>
  <conditionalFormatting sqref="E12:AN14">
    <cfRule type="cellIs" dxfId="10" priority="13" operator="notEqual">
      <formula>INDIRECT("Dummy_for_Comparison1!"&amp;ADDRESS(ROW(),COLUMN()))</formula>
    </cfRule>
  </conditionalFormatting>
  <conditionalFormatting sqref="D3">
    <cfRule type="cellIs" dxfId="9" priority="14" operator="notEqual">
      <formula>INDIRECT("Dummy_for_Comparison1!"&amp;ADDRESS(ROW(),COLUMN()))</formula>
    </cfRule>
  </conditionalFormatting>
  <conditionalFormatting sqref="D11">
    <cfRule type="cellIs" dxfId="8" priority="15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26"/>
  <sheetViews>
    <sheetView zoomScaleNormal="100" workbookViewId="0">
      <pane xSplit="3" ySplit="3" topLeftCell="AI4" activePane="bottomRight" state="frozen"/>
      <selection pane="topRight" activeCell="D1" sqref="D1"/>
      <selection pane="bottomLeft" activeCell="A4" sqref="A4"/>
      <selection pane="bottomRight" activeCell="AN4" sqref="AN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5"/>
    <col min="5" max="5" width="11.7109375"/>
    <col min="6" max="6" width="12.42578125"/>
    <col min="41" max="41" width="18.7109375"/>
    <col min="42" max="42" width="11.5703125"/>
    <col min="43" max="43" width="15.7109375"/>
    <col min="44" max="1059" width="11.5703125"/>
  </cols>
  <sheetData>
    <row r="1" spans="2:43" x14ac:dyDescent="0.25">
      <c r="D1"/>
    </row>
    <row r="2" spans="2:43" ht="15" customHeight="1" x14ac:dyDescent="0.25">
      <c r="D2" s="16" t="s">
        <v>12</v>
      </c>
      <c r="E2" s="16" t="s">
        <v>13</v>
      </c>
      <c r="F2" s="16" t="s">
        <v>44</v>
      </c>
      <c r="G2" s="16" t="s">
        <v>45</v>
      </c>
      <c r="H2" s="16" t="s">
        <v>46</v>
      </c>
      <c r="I2" s="16" t="s">
        <v>47</v>
      </c>
      <c r="J2" s="16" t="s">
        <v>48</v>
      </c>
      <c r="K2" s="16" t="s">
        <v>49</v>
      </c>
      <c r="L2" s="16" t="s">
        <v>50</v>
      </c>
      <c r="M2" s="16" t="s">
        <v>51</v>
      </c>
      <c r="N2" s="16" t="s">
        <v>52</v>
      </c>
      <c r="O2" s="16" t="s">
        <v>53</v>
      </c>
      <c r="P2" s="16" t="s">
        <v>54</v>
      </c>
      <c r="Q2" s="16" t="s">
        <v>55</v>
      </c>
      <c r="R2" s="16" t="s">
        <v>56</v>
      </c>
      <c r="S2" s="16" t="s">
        <v>57</v>
      </c>
      <c r="T2" s="16" t="s">
        <v>48</v>
      </c>
      <c r="U2" s="16" t="s">
        <v>58</v>
      </c>
      <c r="V2" s="16" t="s">
        <v>59</v>
      </c>
      <c r="W2" s="16" t="s">
        <v>60</v>
      </c>
      <c r="X2" s="16" t="s">
        <v>61</v>
      </c>
      <c r="Y2" s="16" t="s">
        <v>62</v>
      </c>
      <c r="Z2" s="16" t="s">
        <v>63</v>
      </c>
      <c r="AA2" s="16" t="s">
        <v>64</v>
      </c>
      <c r="AB2" s="16" t="s">
        <v>65</v>
      </c>
      <c r="AC2" s="16" t="s">
        <v>66</v>
      </c>
      <c r="AD2" s="16" t="s">
        <v>67</v>
      </c>
      <c r="AE2" s="16" t="s">
        <v>68</v>
      </c>
      <c r="AF2" s="16" t="s">
        <v>69</v>
      </c>
      <c r="AG2" s="16" t="s">
        <v>67</v>
      </c>
      <c r="AH2" s="16" t="s">
        <v>71</v>
      </c>
      <c r="AI2" s="16" t="s">
        <v>72</v>
      </c>
      <c r="AJ2" s="16" t="s">
        <v>73</v>
      </c>
      <c r="AK2" s="16" t="s">
        <v>74</v>
      </c>
      <c r="AL2" s="16" t="s">
        <v>75</v>
      </c>
      <c r="AM2" s="16" t="s">
        <v>76</v>
      </c>
      <c r="AN2" s="16" t="s">
        <v>77</v>
      </c>
      <c r="AO2" s="16" t="s">
        <v>15</v>
      </c>
      <c r="AP2" s="28"/>
      <c r="AQ2" s="28"/>
    </row>
    <row r="3" spans="2:43" x14ac:dyDescent="0.25">
      <c r="B3" s="18"/>
      <c r="C3" s="18" t="s">
        <v>33</v>
      </c>
      <c r="D3" s="19">
        <v>20151127</v>
      </c>
      <c r="E3" s="18">
        <v>20151211</v>
      </c>
      <c r="F3" s="18">
        <v>20151229</v>
      </c>
      <c r="G3" s="18">
        <v>20151229</v>
      </c>
      <c r="H3" s="18">
        <v>20151229</v>
      </c>
      <c r="I3" s="18">
        <v>20151229</v>
      </c>
      <c r="J3" s="18">
        <v>20151229</v>
      </c>
      <c r="K3" s="18">
        <v>20151229</v>
      </c>
      <c r="L3" s="18">
        <v>20151229</v>
      </c>
      <c r="M3" s="18">
        <v>20151229</v>
      </c>
      <c r="N3" s="18">
        <v>20151229</v>
      </c>
      <c r="O3" s="18">
        <v>20151229</v>
      </c>
      <c r="P3" s="18">
        <v>20151229</v>
      </c>
      <c r="Q3" s="18">
        <v>20151229</v>
      </c>
      <c r="R3" s="18">
        <v>20151229</v>
      </c>
      <c r="S3" s="18">
        <v>20151229</v>
      </c>
      <c r="T3" s="18">
        <v>20151229</v>
      </c>
      <c r="U3" s="18">
        <v>20151229</v>
      </c>
      <c r="V3" s="18">
        <v>20151229</v>
      </c>
      <c r="W3" s="18">
        <v>20151229</v>
      </c>
      <c r="X3" s="18">
        <v>20151229</v>
      </c>
      <c r="Y3" s="18">
        <v>20151229</v>
      </c>
      <c r="Z3" s="18">
        <v>20151229</v>
      </c>
      <c r="AA3" s="18">
        <v>20151229</v>
      </c>
      <c r="AB3" s="18">
        <v>20161231</v>
      </c>
      <c r="AC3" s="18">
        <v>20151231</v>
      </c>
      <c r="AD3" s="18">
        <v>20151231</v>
      </c>
      <c r="AE3" s="18">
        <v>20151231</v>
      </c>
      <c r="AF3" s="18">
        <v>20151231</v>
      </c>
      <c r="AG3" s="18">
        <v>20151231</v>
      </c>
      <c r="AH3" s="18">
        <v>20151231</v>
      </c>
      <c r="AI3" s="18">
        <v>20151231</v>
      </c>
      <c r="AJ3" s="18">
        <v>20151231</v>
      </c>
      <c r="AK3" s="18">
        <v>20151231</v>
      </c>
      <c r="AL3" s="18">
        <v>20151231</v>
      </c>
      <c r="AM3" s="18">
        <v>20160104</v>
      </c>
      <c r="AN3" s="18">
        <v>20160104</v>
      </c>
      <c r="AO3" s="21"/>
      <c r="AP3" s="28"/>
      <c r="AQ3" s="28"/>
    </row>
    <row r="4" spans="2:43" x14ac:dyDescent="0.25">
      <c r="B4" s="18">
        <v>1</v>
      </c>
      <c r="C4" s="18" t="s">
        <v>34</v>
      </c>
      <c r="D4" s="27">
        <v>1</v>
      </c>
      <c r="E4" s="27">
        <v>0.5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/>
      <c r="M4" s="27">
        <v>1</v>
      </c>
      <c r="N4" s="27">
        <v>1</v>
      </c>
      <c r="O4" s="27">
        <v>1</v>
      </c>
      <c r="P4" s="27">
        <v>1</v>
      </c>
      <c r="Q4" s="27"/>
      <c r="R4" s="27"/>
      <c r="S4" s="27">
        <v>1</v>
      </c>
      <c r="T4" s="27">
        <v>1</v>
      </c>
      <c r="U4" s="27"/>
      <c r="V4" s="27">
        <v>1</v>
      </c>
      <c r="W4" s="27">
        <v>1</v>
      </c>
      <c r="X4" s="27">
        <v>1</v>
      </c>
      <c r="Y4" s="27">
        <v>1</v>
      </c>
      <c r="Z4" s="27">
        <v>1</v>
      </c>
      <c r="AA4" s="27"/>
      <c r="AB4" s="27"/>
      <c r="AC4" s="27"/>
      <c r="AD4" s="27"/>
      <c r="AE4" s="27"/>
      <c r="AF4" s="27"/>
      <c r="AG4" s="27">
        <v>1</v>
      </c>
      <c r="AH4" s="27">
        <v>1</v>
      </c>
      <c r="AI4" s="27"/>
      <c r="AJ4" s="27">
        <v>1</v>
      </c>
      <c r="AK4" s="27"/>
      <c r="AL4" s="27">
        <v>1</v>
      </c>
      <c r="AM4" s="27"/>
      <c r="AN4" s="27"/>
      <c r="AO4" s="23">
        <f>AVERAGE(D4:K4)</f>
        <v>0.9375</v>
      </c>
      <c r="AP4" s="28"/>
      <c r="AQ4" s="28"/>
    </row>
    <row r="5" spans="2:43" x14ac:dyDescent="0.25">
      <c r="B5" s="18">
        <v>2</v>
      </c>
      <c r="C5" s="18" t="s">
        <v>35</v>
      </c>
      <c r="D5" s="27">
        <v>0.67</v>
      </c>
      <c r="E5" s="27">
        <v>0.83250000000000002</v>
      </c>
      <c r="F5" s="27">
        <v>0.67</v>
      </c>
      <c r="G5" s="27">
        <v>1</v>
      </c>
      <c r="H5" s="27">
        <v>1</v>
      </c>
      <c r="I5" s="27">
        <v>1</v>
      </c>
      <c r="J5" s="27">
        <v>1</v>
      </c>
      <c r="K5" s="27">
        <v>0</v>
      </c>
      <c r="L5" s="27"/>
      <c r="M5" s="27">
        <v>1</v>
      </c>
      <c r="N5" s="27">
        <v>1</v>
      </c>
      <c r="O5" s="27">
        <v>1</v>
      </c>
      <c r="P5" s="27">
        <v>1</v>
      </c>
      <c r="Q5" s="27"/>
      <c r="R5" s="27"/>
      <c r="S5" s="27">
        <v>1</v>
      </c>
      <c r="T5" s="27">
        <v>1</v>
      </c>
      <c r="U5" s="27"/>
      <c r="V5" s="27">
        <v>1</v>
      </c>
      <c r="W5" s="27">
        <v>1</v>
      </c>
      <c r="X5" s="27">
        <v>1</v>
      </c>
      <c r="Y5" s="27">
        <v>1</v>
      </c>
      <c r="Z5" s="27">
        <v>1</v>
      </c>
      <c r="AA5" s="27"/>
      <c r="AB5" s="27"/>
      <c r="AC5" s="27"/>
      <c r="AD5" s="27"/>
      <c r="AE5" s="27"/>
      <c r="AF5" s="27"/>
      <c r="AG5" s="27">
        <v>1</v>
      </c>
      <c r="AH5" s="27">
        <v>1</v>
      </c>
      <c r="AI5" s="27"/>
      <c r="AJ5" s="27">
        <v>1</v>
      </c>
      <c r="AK5" s="27"/>
      <c r="AL5" s="27">
        <v>1</v>
      </c>
      <c r="AM5" s="27"/>
      <c r="AN5" s="27"/>
      <c r="AO5" s="23">
        <f>AVERAGE(D5:K5)</f>
        <v>0.77156249999999993</v>
      </c>
      <c r="AP5" s="28"/>
      <c r="AQ5" s="28"/>
    </row>
    <row r="6" spans="2:43" x14ac:dyDescent="0.25">
      <c r="B6" s="18">
        <v>3</v>
      </c>
      <c r="C6" s="18" t="s">
        <v>23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3" t="e">
        <f>AVERAGE(D6:F6)</f>
        <v>#DIV/0!</v>
      </c>
      <c r="AP6" s="28"/>
      <c r="AQ6" s="28"/>
    </row>
    <row r="7" spans="2:43" x14ac:dyDescent="0.25">
      <c r="D7" s="24"/>
      <c r="AP7" s="28"/>
      <c r="AQ7" s="28"/>
    </row>
    <row r="8" spans="2:43" x14ac:dyDescent="0.25">
      <c r="C8" s="31"/>
      <c r="D8" s="24"/>
    </row>
    <row r="26" ht="21" customHeight="1" x14ac:dyDescent="0.25"/>
  </sheetData>
  <conditionalFormatting sqref="B3:B6">
    <cfRule type="cellIs" dxfId="7" priority="2" operator="notEqual">
      <formula>INDIRECT("Dummy_for_Comparison1!"&amp;ADDRESS(ROW(),COLUMN()))</formula>
    </cfRule>
  </conditionalFormatting>
  <conditionalFormatting sqref="E3:AN3">
    <cfRule type="cellIs" dxfId="6" priority="3" operator="notEqual">
      <formula>INDIRECT("Dummy_for_Comparison1!"&amp;ADDRESS(ROW(),COLUMN()))</formula>
    </cfRule>
  </conditionalFormatting>
  <conditionalFormatting sqref="D3">
    <cfRule type="cellIs" dxfId="5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S26"/>
  <sheetViews>
    <sheetView zoomScaleNormal="100" workbookViewId="0">
      <pane xSplit="3" ySplit="3" topLeftCell="AG4" activePane="bottomRight" state="frozen"/>
      <selection pane="topRight" activeCell="D1" sqref="D1"/>
      <selection pane="bottomLeft" activeCell="A4" sqref="A4"/>
      <selection pane="bottomRight" activeCell="AN4" sqref="AN4"/>
    </sheetView>
  </sheetViews>
  <sheetFormatPr baseColWidth="10" defaultColWidth="9.140625" defaultRowHeight="15" x14ac:dyDescent="0.25"/>
  <cols>
    <col min="1" max="1" width="3.42578125" style="1"/>
    <col min="2" max="2" width="4.42578125" style="1"/>
    <col min="3" max="3" width="32.140625" style="1"/>
    <col min="4" max="4" width="11.7109375" style="15"/>
    <col min="5" max="5" width="11.7109375" style="1"/>
    <col min="6" max="6" width="12.42578125" style="1"/>
    <col min="7" max="13" width="9.140625" style="1"/>
    <col min="14" max="14" width="13.140625" style="1" bestFit="1" customWidth="1"/>
    <col min="15" max="40" width="13.140625" style="1" customWidth="1"/>
    <col min="41" max="41" width="19.140625" style="1"/>
    <col min="42" max="42" width="11.5703125" style="1"/>
    <col min="43" max="43" width="15.7109375" style="1"/>
    <col min="44" max="1059" width="11.5703125" style="1"/>
  </cols>
  <sheetData>
    <row r="1" spans="2:43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2:43" ht="15" customHeight="1" x14ac:dyDescent="0.25">
      <c r="B2"/>
      <c r="C2"/>
      <c r="D2" s="16" t="s">
        <v>12</v>
      </c>
      <c r="E2" s="16" t="s">
        <v>13</v>
      </c>
      <c r="F2" s="16" t="s">
        <v>44</v>
      </c>
      <c r="G2" s="16" t="s">
        <v>45</v>
      </c>
      <c r="H2" s="16" t="s">
        <v>46</v>
      </c>
      <c r="I2" s="16" t="s">
        <v>47</v>
      </c>
      <c r="J2" s="16" t="s">
        <v>48</v>
      </c>
      <c r="K2" s="16" t="s">
        <v>49</v>
      </c>
      <c r="L2" s="16" t="s">
        <v>50</v>
      </c>
      <c r="M2" s="16" t="s">
        <v>51</v>
      </c>
      <c r="N2" s="16" t="s">
        <v>52</v>
      </c>
      <c r="O2" s="16" t="s">
        <v>53</v>
      </c>
      <c r="P2" s="16" t="s">
        <v>54</v>
      </c>
      <c r="Q2" s="16" t="s">
        <v>55</v>
      </c>
      <c r="R2" s="16" t="s">
        <v>56</v>
      </c>
      <c r="S2" s="16" t="s">
        <v>57</v>
      </c>
      <c r="T2" s="16" t="s">
        <v>48</v>
      </c>
      <c r="U2" s="16" t="s">
        <v>58</v>
      </c>
      <c r="V2" s="16" t="s">
        <v>59</v>
      </c>
      <c r="W2" s="16" t="s">
        <v>60</v>
      </c>
      <c r="X2" s="16" t="s">
        <v>61</v>
      </c>
      <c r="Y2" s="16" t="s">
        <v>62</v>
      </c>
      <c r="Z2" s="16" t="s">
        <v>63</v>
      </c>
      <c r="AA2" s="16" t="s">
        <v>64</v>
      </c>
      <c r="AB2" s="16" t="s">
        <v>65</v>
      </c>
      <c r="AC2" s="16" t="s">
        <v>66</v>
      </c>
      <c r="AD2" s="16" t="s">
        <v>67</v>
      </c>
      <c r="AE2" s="16" t="s">
        <v>68</v>
      </c>
      <c r="AF2" s="16" t="s">
        <v>69</v>
      </c>
      <c r="AG2" s="16" t="s">
        <v>70</v>
      </c>
      <c r="AH2" s="16" t="s">
        <v>71</v>
      </c>
      <c r="AI2" s="16" t="s">
        <v>72</v>
      </c>
      <c r="AJ2" s="16" t="s">
        <v>73</v>
      </c>
      <c r="AK2" s="16" t="s">
        <v>74</v>
      </c>
      <c r="AL2" s="16" t="s">
        <v>75</v>
      </c>
      <c r="AM2" s="16" t="s">
        <v>76</v>
      </c>
      <c r="AN2" s="16" t="s">
        <v>77</v>
      </c>
      <c r="AO2" s="16" t="s">
        <v>15</v>
      </c>
      <c r="AP2" s="28"/>
      <c r="AQ2" s="28"/>
    </row>
    <row r="3" spans="2:43" x14ac:dyDescent="0.25">
      <c r="B3" s="18"/>
      <c r="C3" s="18" t="s">
        <v>36</v>
      </c>
      <c r="D3" s="19">
        <v>20151127</v>
      </c>
      <c r="E3" s="18">
        <v>2015121</v>
      </c>
      <c r="F3" s="18">
        <v>20151229</v>
      </c>
      <c r="G3" s="18">
        <v>20151229</v>
      </c>
      <c r="H3" s="18">
        <v>20151229</v>
      </c>
      <c r="I3" s="18">
        <v>20151229</v>
      </c>
      <c r="J3" s="18">
        <v>20151229</v>
      </c>
      <c r="K3" s="18">
        <v>20151229</v>
      </c>
      <c r="L3" s="18">
        <v>20151229</v>
      </c>
      <c r="M3" s="18">
        <v>20151229</v>
      </c>
      <c r="N3" s="18">
        <v>20151229</v>
      </c>
      <c r="O3" s="18">
        <v>20151229</v>
      </c>
      <c r="P3" s="18">
        <v>20151229</v>
      </c>
      <c r="Q3" s="18">
        <v>20151229</v>
      </c>
      <c r="R3" s="18">
        <v>20151229</v>
      </c>
      <c r="S3" s="18">
        <v>20151229</v>
      </c>
      <c r="T3" s="18">
        <v>20151229</v>
      </c>
      <c r="U3" s="18">
        <v>20151229</v>
      </c>
      <c r="V3" s="18">
        <v>20151229</v>
      </c>
      <c r="W3" s="18">
        <v>20151229</v>
      </c>
      <c r="X3" s="18">
        <v>20151229</v>
      </c>
      <c r="Y3" s="18">
        <v>20151229</v>
      </c>
      <c r="Z3" s="18">
        <v>20151229</v>
      </c>
      <c r="AA3" s="18">
        <v>20151229</v>
      </c>
      <c r="AB3" s="18">
        <v>20151231</v>
      </c>
      <c r="AC3" s="18">
        <v>20151231</v>
      </c>
      <c r="AD3" s="18">
        <v>20151231</v>
      </c>
      <c r="AE3" s="18">
        <v>20151231</v>
      </c>
      <c r="AF3" s="18">
        <v>20151231</v>
      </c>
      <c r="AG3" s="18">
        <v>20151231</v>
      </c>
      <c r="AH3" s="18">
        <v>20151231</v>
      </c>
      <c r="AI3" s="18">
        <v>20151231</v>
      </c>
      <c r="AJ3" s="18">
        <v>20151231</v>
      </c>
      <c r="AK3" s="18">
        <v>20151231</v>
      </c>
      <c r="AL3" s="18">
        <v>20151231</v>
      </c>
      <c r="AM3" s="18">
        <v>20160104</v>
      </c>
      <c r="AN3" s="18">
        <v>20160104</v>
      </c>
      <c r="AO3" s="21"/>
      <c r="AP3" s="28"/>
      <c r="AQ3" s="28"/>
    </row>
    <row r="4" spans="2:43" x14ac:dyDescent="0.25">
      <c r="B4" s="18">
        <v>1</v>
      </c>
      <c r="C4" s="18" t="s">
        <v>35</v>
      </c>
      <c r="D4" s="27">
        <v>0.67</v>
      </c>
      <c r="E4" s="27">
        <v>0.67</v>
      </c>
      <c r="F4" s="27">
        <v>0.67</v>
      </c>
      <c r="G4" s="27">
        <v>0.67</v>
      </c>
      <c r="H4" s="27">
        <v>1</v>
      </c>
      <c r="I4" s="27">
        <v>1</v>
      </c>
      <c r="J4" s="27">
        <v>1</v>
      </c>
      <c r="K4" s="27">
        <v>0</v>
      </c>
      <c r="L4" s="27"/>
      <c r="M4" s="27">
        <v>1</v>
      </c>
      <c r="N4" s="27">
        <v>1</v>
      </c>
      <c r="O4" s="27">
        <v>1</v>
      </c>
      <c r="P4" s="27">
        <v>1</v>
      </c>
      <c r="Q4" s="27"/>
      <c r="R4" s="27"/>
      <c r="S4" s="27">
        <v>1</v>
      </c>
      <c r="T4" s="27">
        <v>1</v>
      </c>
      <c r="U4" s="27"/>
      <c r="V4" s="27">
        <v>1</v>
      </c>
      <c r="W4" s="27">
        <v>1</v>
      </c>
      <c r="X4" s="27">
        <v>1</v>
      </c>
      <c r="Y4" s="27">
        <v>1</v>
      </c>
      <c r="Z4" s="27">
        <v>1</v>
      </c>
      <c r="AA4" s="27"/>
      <c r="AB4" s="27"/>
      <c r="AC4" s="27"/>
      <c r="AD4" s="27"/>
      <c r="AE4" s="27"/>
      <c r="AF4" s="27"/>
      <c r="AG4" s="27">
        <v>1</v>
      </c>
      <c r="AH4" s="27">
        <v>1</v>
      </c>
      <c r="AI4" s="27"/>
      <c r="AJ4" s="27">
        <v>1</v>
      </c>
      <c r="AK4" s="27"/>
      <c r="AL4" s="27">
        <v>1</v>
      </c>
      <c r="AM4" s="27"/>
      <c r="AN4" s="27"/>
      <c r="AO4" s="23">
        <f>AVERAGE(D4:K4)</f>
        <v>0.71</v>
      </c>
      <c r="AP4" s="28"/>
      <c r="AQ4" s="28"/>
    </row>
    <row r="5" spans="2:43" x14ac:dyDescent="0.25">
      <c r="B5" s="18">
        <v>2</v>
      </c>
      <c r="C5" s="18" t="s">
        <v>37</v>
      </c>
      <c r="D5" s="27">
        <v>1</v>
      </c>
      <c r="E5" s="27">
        <v>0.75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/>
      <c r="M5" s="27">
        <v>1</v>
      </c>
      <c r="N5" s="27">
        <v>1</v>
      </c>
      <c r="O5" s="27">
        <v>1</v>
      </c>
      <c r="P5" s="27">
        <v>1</v>
      </c>
      <c r="Q5" s="27"/>
      <c r="R5" s="27"/>
      <c r="S5" s="27">
        <v>1</v>
      </c>
      <c r="T5" s="27">
        <v>1</v>
      </c>
      <c r="U5" s="27"/>
      <c r="V5" s="27">
        <v>1</v>
      </c>
      <c r="W5" s="27">
        <v>1</v>
      </c>
      <c r="X5" s="27">
        <v>1</v>
      </c>
      <c r="Y5" s="27">
        <v>1</v>
      </c>
      <c r="Z5" s="27">
        <v>1</v>
      </c>
      <c r="AA5" s="27"/>
      <c r="AB5" s="27"/>
      <c r="AC5" s="27"/>
      <c r="AD5" s="27"/>
      <c r="AE5" s="27"/>
      <c r="AF5" s="27"/>
      <c r="AG5" s="27">
        <v>1</v>
      </c>
      <c r="AH5" s="27">
        <v>1</v>
      </c>
      <c r="AI5" s="27"/>
      <c r="AJ5" s="27">
        <v>1</v>
      </c>
      <c r="AK5" s="27"/>
      <c r="AL5" s="27">
        <v>1</v>
      </c>
      <c r="AM5" s="27"/>
      <c r="AN5" s="27"/>
      <c r="AO5" s="23">
        <f>AVERAGE(D5:K5)</f>
        <v>0.96875</v>
      </c>
      <c r="AP5" s="28"/>
      <c r="AQ5" s="28"/>
    </row>
    <row r="6" spans="2:43" x14ac:dyDescent="0.25">
      <c r="B6" s="18">
        <v>3</v>
      </c>
      <c r="C6" s="18" t="s">
        <v>38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3" t="e">
        <f>AVERAGE(D6:F6)</f>
        <v>#DIV/0!</v>
      </c>
      <c r="AP6" s="28"/>
      <c r="AQ6" s="28"/>
    </row>
    <row r="7" spans="2:43" x14ac:dyDescent="0.25">
      <c r="C7"/>
      <c r="D7" s="24"/>
      <c r="AP7" s="28"/>
      <c r="AQ7" s="28"/>
    </row>
    <row r="8" spans="2:43" x14ac:dyDescent="0.25">
      <c r="C8" s="31"/>
      <c r="D8" s="24"/>
    </row>
    <row r="26" ht="21" customHeight="1" x14ac:dyDescent="0.25"/>
  </sheetData>
  <conditionalFormatting sqref="B3:B6">
    <cfRule type="cellIs" dxfId="4" priority="2" operator="notEqual">
      <formula>INDIRECT("Dummy_for_Comparison1!"&amp;ADDRESS(ROW(),COLUMN()))</formula>
    </cfRule>
  </conditionalFormatting>
  <conditionalFormatting sqref="E3:AN3">
    <cfRule type="cellIs" dxfId="3" priority="3" operator="notEqual">
      <formula>INDIRECT("Dummy_for_Comparison1!"&amp;ADDRESS(ROW(),COLUMN()))</formula>
    </cfRule>
  </conditionalFormatting>
  <conditionalFormatting sqref="D3">
    <cfRule type="cellIs" dxfId="2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61"/>
  <sheetViews>
    <sheetView topLeftCell="A59" zoomScaleNormal="100" workbookViewId="0">
      <selection activeCell="E83" sqref="E83"/>
    </sheetView>
  </sheetViews>
  <sheetFormatPr baseColWidth="10" defaultColWidth="9.140625" defaultRowHeight="15" x14ac:dyDescent="0.25"/>
  <cols>
    <col min="1" max="1" width="32.85546875" bestFit="1" customWidth="1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3" spans="1:9" ht="21" customHeight="1" x14ac:dyDescent="0.35">
      <c r="G13" s="64" t="s">
        <v>39</v>
      </c>
      <c r="H13" s="64"/>
      <c r="I13" s="64"/>
    </row>
    <row r="14" spans="1:9" ht="21" x14ac:dyDescent="0.25">
      <c r="A14" s="32" t="s">
        <v>12</v>
      </c>
      <c r="B14" s="11" t="s">
        <v>2</v>
      </c>
      <c r="C14" s="11" t="s">
        <v>3</v>
      </c>
      <c r="D14" s="11" t="s">
        <v>40</v>
      </c>
      <c r="F14" s="33"/>
      <c r="G14" s="34" t="s">
        <v>2</v>
      </c>
      <c r="H14" s="35" t="s">
        <v>3</v>
      </c>
      <c r="I14" s="36" t="s">
        <v>40</v>
      </c>
    </row>
    <row r="15" spans="1:9" x14ac:dyDescent="0.25">
      <c r="A15" s="37" t="s">
        <v>41</v>
      </c>
      <c r="B15" s="38">
        <v>202000</v>
      </c>
      <c r="C15" s="38">
        <f>SUM(C16:C17)</f>
        <v>130775.29999999999</v>
      </c>
      <c r="D15" s="39">
        <f>(C15 * 100)/B15</f>
        <v>64.740247524752462</v>
      </c>
      <c r="F15" s="40"/>
      <c r="G15" s="41">
        <v>2424000</v>
      </c>
      <c r="H15" s="38">
        <v>130775.3</v>
      </c>
      <c r="I15" s="42">
        <f>(H15 * 100)/G15</f>
        <v>5.3950206270627064</v>
      </c>
    </row>
    <row r="16" spans="1:9" x14ac:dyDescent="0.25">
      <c r="A16" s="3" t="s">
        <v>42</v>
      </c>
      <c r="B16" s="41">
        <f>B15/2</f>
        <v>101000</v>
      </c>
      <c r="C16" s="43">
        <v>54818.400000000001</v>
      </c>
      <c r="D16" s="44">
        <f>(C16 * 100)/B16</f>
        <v>54.275643564356436</v>
      </c>
      <c r="F16" s="40"/>
      <c r="G16" s="45"/>
      <c r="H16" s="45"/>
      <c r="I16" s="46"/>
    </row>
    <row r="17" spans="1:9" x14ac:dyDescent="0.25">
      <c r="A17" s="3" t="s">
        <v>43</v>
      </c>
      <c r="B17" s="41">
        <f>B15/2</f>
        <v>101000</v>
      </c>
      <c r="C17" s="43">
        <v>75956.899999999994</v>
      </c>
      <c r="D17" s="47">
        <f>(C17 * 100)/B17</f>
        <v>75.204851485148509</v>
      </c>
      <c r="F17" s="40"/>
      <c r="G17" s="45"/>
      <c r="H17" s="45"/>
      <c r="I17" s="46"/>
    </row>
    <row r="33" spans="1:9" ht="21" customHeight="1" x14ac:dyDescent="0.35">
      <c r="A33" s="67">
        <v>42349</v>
      </c>
      <c r="B33" s="11" t="s">
        <v>2</v>
      </c>
      <c r="C33" s="11" t="s">
        <v>3</v>
      </c>
      <c r="D33" s="11" t="s">
        <v>40</v>
      </c>
      <c r="G33" s="64" t="s">
        <v>39</v>
      </c>
      <c r="H33" s="64"/>
      <c r="I33" s="64"/>
    </row>
    <row r="34" spans="1:9" x14ac:dyDescent="0.25">
      <c r="A34" s="37" t="s">
        <v>41</v>
      </c>
      <c r="B34" s="38">
        <v>202000</v>
      </c>
      <c r="C34" s="38">
        <f>SUM(C35:C36)</f>
        <v>32780</v>
      </c>
      <c r="D34" s="39">
        <f>(C34 * 100)/B34</f>
        <v>16.227722772277229</v>
      </c>
      <c r="G34" s="34" t="s">
        <v>2</v>
      </c>
      <c r="H34" s="35" t="s">
        <v>3</v>
      </c>
      <c r="I34" s="36" t="s">
        <v>40</v>
      </c>
    </row>
    <row r="35" spans="1:9" x14ac:dyDescent="0.25">
      <c r="A35" s="3" t="s">
        <v>42</v>
      </c>
      <c r="B35" s="41">
        <f>B34/2</f>
        <v>101000</v>
      </c>
      <c r="C35" s="43">
        <v>10775</v>
      </c>
      <c r="D35" s="44">
        <f>(C35 * 100)/B35</f>
        <v>10.668316831683168</v>
      </c>
      <c r="G35" s="41">
        <v>2424000</v>
      </c>
      <c r="H35" s="38">
        <v>2220588.2000000002</v>
      </c>
      <c r="I35" s="42">
        <f>(H35 * 100)/G35</f>
        <v>91.608424092409251</v>
      </c>
    </row>
    <row r="36" spans="1:9" x14ac:dyDescent="0.25">
      <c r="A36" s="3" t="s">
        <v>43</v>
      </c>
      <c r="B36" s="41">
        <f>B34/2</f>
        <v>101000</v>
      </c>
      <c r="C36" s="43">
        <v>22005</v>
      </c>
      <c r="D36" s="47">
        <f>(C36 * 100)/B36</f>
        <v>21.787128712871286</v>
      </c>
    </row>
    <row r="58" spans="1:9" ht="21" x14ac:dyDescent="0.35">
      <c r="A58" s="32" t="s">
        <v>79</v>
      </c>
      <c r="B58" s="11" t="s">
        <v>2</v>
      </c>
      <c r="C58" s="11" t="s">
        <v>3</v>
      </c>
      <c r="D58" s="11" t="s">
        <v>40</v>
      </c>
      <c r="G58" s="64" t="s">
        <v>39</v>
      </c>
      <c r="H58" s="64"/>
      <c r="I58" s="64"/>
    </row>
    <row r="59" spans="1:9" x14ac:dyDescent="0.25">
      <c r="A59" s="37" t="s">
        <v>41</v>
      </c>
      <c r="B59" s="38">
        <v>202000</v>
      </c>
      <c r="C59" s="38">
        <f>SUM(C60:C61)</f>
        <v>286031.69999999995</v>
      </c>
      <c r="D59" s="39">
        <f>(C59 * 100)/B59</f>
        <v>141.59985148514849</v>
      </c>
      <c r="G59" s="34" t="s">
        <v>2</v>
      </c>
      <c r="H59" s="35" t="s">
        <v>3</v>
      </c>
      <c r="I59" s="36" t="s">
        <v>40</v>
      </c>
    </row>
    <row r="60" spans="1:9" x14ac:dyDescent="0.25">
      <c r="A60" s="3" t="s">
        <v>42</v>
      </c>
      <c r="B60" s="41">
        <f>B59/2</f>
        <v>101000</v>
      </c>
      <c r="C60" s="43">
        <v>206889.8</v>
      </c>
      <c r="D60" s="44">
        <f>(C60 * 100)/B60</f>
        <v>204.84138613861387</v>
      </c>
      <c r="G60" s="41">
        <v>2424000</v>
      </c>
      <c r="H60" s="38">
        <v>2206649.9</v>
      </c>
      <c r="I60" s="42">
        <f>(H60 * 100)/G60</f>
        <v>91.033411716171614</v>
      </c>
    </row>
    <row r="61" spans="1:9" x14ac:dyDescent="0.25">
      <c r="A61" s="3" t="s">
        <v>43</v>
      </c>
      <c r="B61" s="41">
        <f>B59/2</f>
        <v>101000</v>
      </c>
      <c r="C61" s="43">
        <v>79141.899999999994</v>
      </c>
      <c r="D61" s="47">
        <f>(C61 * 100)/B61</f>
        <v>78.358316831683155</v>
      </c>
    </row>
  </sheetData>
  <mergeCells count="3">
    <mergeCell ref="G13:I13"/>
    <mergeCell ref="G33:I33"/>
    <mergeCell ref="G58:I5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Normal="100" workbookViewId="0">
      <selection activeCell="C2" sqref="C2:F6"/>
    </sheetView>
  </sheetViews>
  <sheetFormatPr baseColWidth="10" defaultColWidth="9.140625" defaultRowHeight="15" x14ac:dyDescent="0.25"/>
  <cols>
    <col min="1" max="1" width="3" style="1"/>
    <col min="2" max="2" width="4" style="1"/>
    <col min="3" max="4" width="11.5703125" style="1"/>
    <col min="5" max="5" width="9.85546875" style="1" bestFit="1" customWidth="1"/>
    <col min="6" max="1024" width="11.5703125" style="1"/>
    <col min="1025" max="1026" width="11.5703125"/>
  </cols>
  <sheetData>
    <row r="1" spans="3:6" x14ac:dyDescent="0.25">
      <c r="C1"/>
      <c r="D1"/>
      <c r="E1"/>
      <c r="F1"/>
    </row>
    <row r="2" spans="3:6" x14ac:dyDescent="0.25">
      <c r="C2" s="16" t="s">
        <v>12</v>
      </c>
      <c r="D2" s="16" t="s">
        <v>13</v>
      </c>
      <c r="E2" s="16" t="s">
        <v>56</v>
      </c>
      <c r="F2" s="16" t="s">
        <v>78</v>
      </c>
    </row>
    <row r="3" spans="3:6" x14ac:dyDescent="0.25">
      <c r="C3" s="66">
        <v>42335</v>
      </c>
      <c r="D3" s="65">
        <v>42349</v>
      </c>
      <c r="E3" s="65">
        <v>42370</v>
      </c>
      <c r="F3" s="65">
        <v>42372</v>
      </c>
    </row>
    <row r="4" spans="3:6" x14ac:dyDescent="0.25">
      <c r="C4" s="27"/>
      <c r="D4" s="27">
        <v>1</v>
      </c>
      <c r="E4" s="27">
        <v>0.97140000000000004</v>
      </c>
      <c r="F4" s="27">
        <v>1</v>
      </c>
    </row>
    <row r="5" spans="3:6" x14ac:dyDescent="0.25">
      <c r="C5" s="27"/>
      <c r="D5" s="27"/>
      <c r="E5" s="27"/>
      <c r="F5" s="27"/>
    </row>
    <row r="6" spans="3:6" x14ac:dyDescent="0.25">
      <c r="C6" s="27"/>
      <c r="D6" s="27"/>
      <c r="E6" s="27"/>
      <c r="F6" s="27"/>
    </row>
  </sheetData>
  <conditionalFormatting sqref="D3:F3">
    <cfRule type="cellIs" dxfId="1" priority="2" operator="notEqual">
      <formula>INDIRECT("Dummy_for_Comparison1!"&amp;ADDRESS(ROW(),COLUMN()))</formula>
    </cfRule>
  </conditionalFormatting>
  <conditionalFormatting sqref="C3">
    <cfRule type="cellIs" dxfId="0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5</cp:revision>
  <dcterms:created xsi:type="dcterms:W3CDTF">2011-07-18T21:22:38Z</dcterms:created>
  <dcterms:modified xsi:type="dcterms:W3CDTF">2016-01-05T15:10:18Z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