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drawings/drawing2.xml" ContentType="application/vnd.openxmlformats-officedocument.drawing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drawings/drawing3.xml" ContentType="application/vnd.openxmlformats-officedocument.drawing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drawings/drawing4.xml" ContentType="application/vnd.openxmlformats-officedocument.drawing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drawings/drawing5.xml" ContentType="application/vnd.openxmlformats-officedocument.drawing+xml"/>
  <Override PartName="/xl/charts/chart205.xml" ContentType="application/vnd.openxmlformats-officedocument.drawingml.chart+xml"/>
  <Override PartName="/xl/drawings/drawing6.xml" ContentType="application/vnd.openxmlformats-officedocument.drawing+xml"/>
  <Override PartName="/xl/charts/chart206.xml" ContentType="application/vnd.openxmlformats-officedocument.drawingml.chart+xml"/>
  <Override PartName="/xl/drawings/drawing7.xml" ContentType="application/vnd.openxmlformats-officedocument.drawing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drawings/drawing8.xml" ContentType="application/vnd.openxmlformats-officedocument.drawing+xml"/>
  <Override PartName="/xl/charts/chart2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6380" windowHeight="8010" tabRatio="989" activeTab="2"/>
  </bookViews>
  <sheets>
    <sheet name="Desviacion de esfuerzo" sheetId="1" r:id="rId1"/>
    <sheet name="Desviacion de costos" sheetId="2" r:id="rId2"/>
    <sheet name="Apego a Procesos" sheetId="3" r:id="rId3"/>
    <sheet name="Apego a Productos" sheetId="4" r:id="rId4"/>
    <sheet name="Física" sheetId="5" r:id="rId5"/>
    <sheet name="Funcional" sheetId="6" r:id="rId6"/>
    <sheet name="Crecimiento anual de ventas" sheetId="7" r:id="rId7"/>
    <sheet name="Indice de Satisfacción" sheetId="8" r:id="rId8"/>
  </sheets>
  <calcPr calcId="144525"/>
</workbook>
</file>

<file path=xl/calcChain.xml><?xml version="1.0" encoding="utf-8"?>
<calcChain xmlns="http://schemas.openxmlformats.org/spreadsheetml/2006/main">
  <c r="BB6" i="6" l="1"/>
  <c r="BB5" i="6"/>
  <c r="BB4" i="6"/>
  <c r="BB5" i="5"/>
  <c r="BB6" i="5"/>
  <c r="BB4" i="5"/>
  <c r="BC5" i="4"/>
  <c r="BC6" i="4"/>
  <c r="BC7" i="4"/>
  <c r="BC8" i="4"/>
  <c r="BC4" i="4"/>
  <c r="BB9" i="3"/>
  <c r="BB5" i="3"/>
  <c r="BB6" i="3"/>
  <c r="BB7" i="3"/>
  <c r="BB8" i="3"/>
  <c r="BB4" i="3"/>
  <c r="D719" i="2"/>
  <c r="D717" i="2" l="1"/>
  <c r="D716" i="2"/>
  <c r="D715" i="2"/>
  <c r="D714" i="2"/>
  <c r="D706" i="2"/>
  <c r="D704" i="2" l="1"/>
  <c r="D702" i="2"/>
  <c r="D701" i="2"/>
  <c r="D694" i="2"/>
  <c r="D692" i="2"/>
  <c r="D691" i="2"/>
  <c r="D690" i="2"/>
  <c r="D689" i="2"/>
  <c r="D681" i="2" l="1"/>
  <c r="D679" i="2" l="1"/>
  <c r="D677" i="2"/>
  <c r="D676" i="2"/>
  <c r="D668" i="2"/>
  <c r="D666" i="2" l="1"/>
  <c r="D665" i="2"/>
  <c r="D664" i="2"/>
  <c r="D663" i="2"/>
  <c r="D651" i="2"/>
  <c r="D649" i="2" l="1"/>
  <c r="D647" i="2"/>
  <c r="D646" i="2"/>
  <c r="D638" i="2"/>
  <c r="D636" i="2" l="1"/>
  <c r="D635" i="2"/>
  <c r="D634" i="2"/>
  <c r="D633" i="2"/>
  <c r="D625" i="2" l="1"/>
  <c r="D623" i="2"/>
  <c r="D622" i="2"/>
  <c r="D621" i="2"/>
  <c r="D620" i="2"/>
  <c r="E687" i="1"/>
  <c r="E675" i="1"/>
  <c r="E663" i="1"/>
  <c r="E648" i="1"/>
  <c r="E637" i="1"/>
  <c r="E625" i="1"/>
  <c r="E613" i="1"/>
  <c r="D611" i="2"/>
  <c r="D597" i="2"/>
  <c r="D584" i="2"/>
  <c r="D572" i="2"/>
  <c r="D559" i="2"/>
  <c r="E601" i="1" l="1"/>
  <c r="D609" i="2"/>
  <c r="D607" i="2"/>
  <c r="D606" i="2"/>
  <c r="E590" i="1"/>
  <c r="E579" i="1"/>
  <c r="D595" i="2" l="1"/>
  <c r="D593" i="2"/>
  <c r="D592" i="2"/>
  <c r="D582" i="2" l="1"/>
  <c r="D580" i="2"/>
  <c r="D579" i="2"/>
  <c r="D557" i="2" l="1"/>
  <c r="D555" i="2"/>
  <c r="D554" i="2"/>
  <c r="D570" i="2"/>
  <c r="D568" i="2"/>
  <c r="D567" i="2"/>
  <c r="I81" i="7" l="1"/>
  <c r="B82" i="7"/>
  <c r="D82" i="7" s="1"/>
  <c r="B81" i="7"/>
  <c r="D81" i="7" s="1"/>
  <c r="C80" i="7"/>
  <c r="D80" i="7" s="1"/>
  <c r="E719" i="2" l="1"/>
  <c r="E718" i="2"/>
  <c r="E717" i="2"/>
  <c r="E716" i="2"/>
  <c r="E715" i="2"/>
  <c r="E714" i="2"/>
  <c r="E706" i="2"/>
  <c r="E705" i="2"/>
  <c r="E704" i="2"/>
  <c r="E703" i="2"/>
  <c r="E702" i="2"/>
  <c r="E701" i="2"/>
  <c r="E694" i="2"/>
  <c r="E693" i="2"/>
  <c r="E692" i="2"/>
  <c r="E691" i="2"/>
  <c r="E690" i="2"/>
  <c r="E689" i="2"/>
  <c r="E681" i="2"/>
  <c r="E680" i="2"/>
  <c r="E679" i="2"/>
  <c r="E678" i="2"/>
  <c r="E677" i="2"/>
  <c r="E676" i="2"/>
  <c r="E668" i="2"/>
  <c r="E667" i="2"/>
  <c r="E666" i="2"/>
  <c r="E665" i="2"/>
  <c r="E664" i="2"/>
  <c r="E663" i="2"/>
  <c r="E651" i="2"/>
  <c r="E650" i="2"/>
  <c r="E649" i="2"/>
  <c r="E648" i="2"/>
  <c r="E647" i="2"/>
  <c r="E646" i="2"/>
  <c r="E638" i="2"/>
  <c r="E637" i="2"/>
  <c r="E636" i="2"/>
  <c r="E635" i="2"/>
  <c r="E634" i="2"/>
  <c r="E633" i="2"/>
  <c r="E625" i="2"/>
  <c r="E624" i="2"/>
  <c r="E623" i="2"/>
  <c r="E622" i="2"/>
  <c r="E621" i="2"/>
  <c r="E620" i="2"/>
  <c r="E611" i="2"/>
  <c r="E610" i="2"/>
  <c r="E609" i="2"/>
  <c r="E608" i="2"/>
  <c r="E607" i="2"/>
  <c r="E606" i="2"/>
  <c r="E597" i="2"/>
  <c r="E596" i="2"/>
  <c r="E595" i="2"/>
  <c r="E594" i="2"/>
  <c r="E593" i="2"/>
  <c r="E592" i="2"/>
  <c r="E584" i="2"/>
  <c r="E583" i="2"/>
  <c r="E582" i="2"/>
  <c r="E581" i="2"/>
  <c r="E580" i="2"/>
  <c r="E579" i="2"/>
  <c r="E572" i="2"/>
  <c r="E571" i="2"/>
  <c r="E570" i="2"/>
  <c r="E569" i="2"/>
  <c r="E568" i="2"/>
  <c r="E567" i="2"/>
  <c r="E559" i="2"/>
  <c r="E558" i="2"/>
  <c r="E557" i="2"/>
  <c r="E556" i="2"/>
  <c r="E555" i="2"/>
  <c r="E554" i="2"/>
  <c r="E686" i="1"/>
  <c r="E685" i="1"/>
  <c r="E684" i="1"/>
  <c r="E683" i="1"/>
  <c r="E682" i="1"/>
  <c r="E674" i="1"/>
  <c r="E673" i="1"/>
  <c r="E672" i="1"/>
  <c r="E671" i="1"/>
  <c r="E670" i="1"/>
  <c r="E662" i="1"/>
  <c r="E661" i="1"/>
  <c r="E660" i="1"/>
  <c r="E659" i="1"/>
  <c r="E658" i="1"/>
  <c r="E647" i="1"/>
  <c r="E646" i="1"/>
  <c r="E645" i="1"/>
  <c r="E644" i="1"/>
  <c r="E643" i="1"/>
  <c r="E636" i="1"/>
  <c r="E635" i="1"/>
  <c r="E634" i="1"/>
  <c r="E633" i="1"/>
  <c r="E632" i="1"/>
  <c r="E624" i="1"/>
  <c r="E623" i="1"/>
  <c r="E622" i="1"/>
  <c r="E621" i="1"/>
  <c r="E620" i="1"/>
  <c r="E612" i="1"/>
  <c r="E611" i="1"/>
  <c r="E610" i="1"/>
  <c r="E609" i="1"/>
  <c r="E608" i="1"/>
  <c r="E600" i="1"/>
  <c r="E599" i="1"/>
  <c r="E598" i="1"/>
  <c r="E597" i="1"/>
  <c r="E596" i="1"/>
  <c r="E589" i="1"/>
  <c r="E588" i="1"/>
  <c r="E587" i="1"/>
  <c r="E586" i="1"/>
  <c r="E585" i="1"/>
  <c r="E578" i="1"/>
  <c r="E577" i="1"/>
  <c r="E576" i="1"/>
  <c r="E575" i="1"/>
  <c r="E574" i="1"/>
  <c r="E567" i="1"/>
  <c r="E566" i="1"/>
  <c r="E565" i="1"/>
  <c r="E564" i="1"/>
  <c r="E563" i="1"/>
  <c r="E562" i="1"/>
  <c r="E556" i="1"/>
  <c r="E555" i="1"/>
  <c r="E554" i="1"/>
  <c r="E553" i="1"/>
  <c r="E552" i="1"/>
  <c r="E551" i="1"/>
  <c r="E545" i="1"/>
  <c r="E544" i="1"/>
  <c r="E543" i="1"/>
  <c r="E542" i="1"/>
  <c r="E541" i="1"/>
  <c r="E540" i="1"/>
  <c r="B61" i="7" l="1"/>
  <c r="D61" i="7" s="1"/>
  <c r="I60" i="7"/>
  <c r="B60" i="7"/>
  <c r="D60" i="7" s="1"/>
  <c r="D59" i="7"/>
  <c r="C59" i="7"/>
  <c r="B36" i="7"/>
  <c r="D36" i="7" s="1"/>
  <c r="I35" i="7"/>
  <c r="B35" i="7"/>
  <c r="D35" i="7" s="1"/>
  <c r="C34" i="7"/>
  <c r="D34" i="7" s="1"/>
  <c r="B17" i="7"/>
  <c r="D17" i="7" s="1"/>
  <c r="B16" i="7"/>
  <c r="D16" i="7" s="1"/>
  <c r="I15" i="7"/>
  <c r="C15" i="7"/>
  <c r="D15" i="7" s="1"/>
  <c r="BC14" i="4"/>
  <c r="BC13" i="4"/>
  <c r="BC12" i="4"/>
  <c r="BB15" i="3"/>
  <c r="BB14" i="3"/>
  <c r="BB13" i="3"/>
  <c r="D544" i="2"/>
  <c r="E544" i="2" s="1"/>
  <c r="D543" i="2"/>
  <c r="E543" i="2" s="1"/>
  <c r="E542" i="2"/>
  <c r="E541" i="2"/>
  <c r="D540" i="2"/>
  <c r="E540" i="2" s="1"/>
  <c r="D539" i="2"/>
  <c r="E539" i="2" s="1"/>
  <c r="D528" i="2"/>
  <c r="E528" i="2" s="1"/>
  <c r="E527" i="2"/>
  <c r="E526" i="2"/>
  <c r="E525" i="2"/>
  <c r="D524" i="2"/>
  <c r="E524" i="2" s="1"/>
  <c r="D523" i="2"/>
  <c r="E523" i="2" s="1"/>
  <c r="E514" i="2"/>
  <c r="E513" i="2"/>
  <c r="D512" i="2"/>
  <c r="E512" i="2" s="1"/>
  <c r="D511" i="2"/>
  <c r="E511" i="2" s="1"/>
  <c r="D510" i="2"/>
  <c r="E510" i="2" s="1"/>
  <c r="D509" i="2"/>
  <c r="E509" i="2" s="1"/>
  <c r="D499" i="2"/>
  <c r="E499" i="2" s="1"/>
  <c r="D498" i="2"/>
  <c r="E498" i="2" s="1"/>
  <c r="D497" i="2"/>
  <c r="E497" i="2" s="1"/>
  <c r="E496" i="2"/>
  <c r="D495" i="2"/>
  <c r="E495" i="2" s="1"/>
  <c r="D494" i="2"/>
  <c r="E494" i="2" s="1"/>
  <c r="E485" i="2"/>
  <c r="E484" i="2"/>
  <c r="D483" i="2"/>
  <c r="E483" i="2" s="1"/>
  <c r="E482" i="2"/>
  <c r="D481" i="2"/>
  <c r="E481" i="2" s="1"/>
  <c r="D480" i="2"/>
  <c r="E480" i="2" s="1"/>
  <c r="D470" i="2"/>
  <c r="E470" i="2" s="1"/>
  <c r="D469" i="2"/>
  <c r="E469" i="2" s="1"/>
  <c r="D468" i="2"/>
  <c r="E468" i="2" s="1"/>
  <c r="D467" i="2"/>
  <c r="E467" i="2" s="1"/>
  <c r="E466" i="2"/>
  <c r="D465" i="2"/>
  <c r="E465" i="2" s="1"/>
  <c r="E454" i="2"/>
  <c r="E453" i="2"/>
  <c r="D452" i="2"/>
  <c r="E452" i="2" s="1"/>
  <c r="E451" i="2"/>
  <c r="D450" i="2"/>
  <c r="E450" i="2" s="1"/>
  <c r="D449" i="2"/>
  <c r="E449" i="2" s="1"/>
  <c r="E440" i="2"/>
  <c r="E439" i="2"/>
  <c r="D438" i="2"/>
  <c r="E438" i="2" s="1"/>
  <c r="E437" i="2"/>
  <c r="D436" i="2"/>
  <c r="E436" i="2" s="1"/>
  <c r="D435" i="2"/>
  <c r="E435" i="2" s="1"/>
  <c r="D425" i="2"/>
  <c r="E425" i="2" s="1"/>
  <c r="D424" i="2"/>
  <c r="E424" i="2" s="1"/>
  <c r="D423" i="2"/>
  <c r="E423" i="2" s="1"/>
  <c r="E422" i="2"/>
  <c r="D421" i="2"/>
  <c r="E421" i="2" s="1"/>
  <c r="E420" i="2"/>
  <c r="D410" i="2"/>
  <c r="E410" i="2" s="1"/>
  <c r="D409" i="2"/>
  <c r="E409" i="2" s="1"/>
  <c r="D408" i="2"/>
  <c r="E408" i="2" s="1"/>
  <c r="E407" i="2"/>
  <c r="D406" i="2"/>
  <c r="E406" i="2" s="1"/>
  <c r="D405" i="2"/>
  <c r="E405" i="2" s="1"/>
  <c r="E396" i="2"/>
  <c r="D395" i="2"/>
  <c r="E395" i="2" s="1"/>
  <c r="D394" i="2"/>
  <c r="E394" i="2" s="1"/>
  <c r="E393" i="2"/>
  <c r="D392" i="2"/>
  <c r="E392" i="2" s="1"/>
  <c r="D391" i="2"/>
  <c r="E391" i="2" s="1"/>
  <c r="D381" i="2"/>
  <c r="E381" i="2" s="1"/>
  <c r="D380" i="2"/>
  <c r="E380" i="2" s="1"/>
  <c r="E379" i="2"/>
  <c r="E378" i="2"/>
  <c r="D377" i="2"/>
  <c r="E377" i="2" s="1"/>
  <c r="D376" i="2"/>
  <c r="E376" i="2" s="1"/>
  <c r="D367" i="2"/>
  <c r="E367" i="2" s="1"/>
  <c r="D366" i="2"/>
  <c r="E366" i="2" s="1"/>
  <c r="E365" i="2"/>
  <c r="E364" i="2"/>
  <c r="D363" i="2"/>
  <c r="E363" i="2" s="1"/>
  <c r="D362" i="2"/>
  <c r="E362" i="2" s="1"/>
  <c r="D352" i="2"/>
  <c r="E352" i="2" s="1"/>
  <c r="D351" i="2"/>
  <c r="E351" i="2" s="1"/>
  <c r="E350" i="2"/>
  <c r="E349" i="2"/>
  <c r="E348" i="2"/>
  <c r="E347" i="2"/>
  <c r="E337" i="2"/>
  <c r="E336" i="2"/>
  <c r="D335" i="2"/>
  <c r="E335" i="2" s="1"/>
  <c r="E334" i="2"/>
  <c r="D333" i="2"/>
  <c r="E333" i="2" s="1"/>
  <c r="D332" i="2"/>
  <c r="E332" i="2" s="1"/>
  <c r="E322" i="2"/>
  <c r="E321" i="2"/>
  <c r="D320" i="2"/>
  <c r="E320" i="2" s="1"/>
  <c r="D319" i="2"/>
  <c r="E319" i="2" s="1"/>
  <c r="D318" i="2"/>
  <c r="E318" i="2" s="1"/>
  <c r="D317" i="2"/>
  <c r="E317" i="2" s="1"/>
  <c r="E307" i="2"/>
  <c r="E306" i="2"/>
  <c r="D305" i="2"/>
  <c r="E305" i="2" s="1"/>
  <c r="E304" i="2"/>
  <c r="D303" i="2"/>
  <c r="E303" i="2" s="1"/>
  <c r="D302" i="2"/>
  <c r="E302" i="2" s="1"/>
  <c r="E292" i="2"/>
  <c r="E291" i="2"/>
  <c r="D290" i="2"/>
  <c r="E290" i="2" s="1"/>
  <c r="E289" i="2"/>
  <c r="D288" i="2"/>
  <c r="E288" i="2" s="1"/>
  <c r="D287" i="2"/>
  <c r="E287" i="2" s="1"/>
  <c r="D277" i="2"/>
  <c r="E277" i="2" s="1"/>
  <c r="E276" i="2"/>
  <c r="D275" i="2"/>
  <c r="E275" i="2" s="1"/>
  <c r="E274" i="2"/>
  <c r="D273" i="2"/>
  <c r="E273" i="2" s="1"/>
  <c r="D272" i="2"/>
  <c r="E272" i="2" s="1"/>
  <c r="E262" i="2"/>
  <c r="D261" i="2"/>
  <c r="E261" i="2" s="1"/>
  <c r="D260" i="2"/>
  <c r="E260" i="2" s="1"/>
  <c r="E259" i="2"/>
  <c r="E258" i="2"/>
  <c r="E257" i="2"/>
  <c r="E247" i="2"/>
  <c r="E246" i="2"/>
  <c r="D245" i="2"/>
  <c r="E245" i="2" s="1"/>
  <c r="D244" i="2"/>
  <c r="E244" i="2" s="1"/>
  <c r="D243" i="2"/>
  <c r="E243" i="2" s="1"/>
  <c r="D242" i="2"/>
  <c r="E242" i="2" s="1"/>
  <c r="E232" i="2"/>
  <c r="E231" i="2"/>
  <c r="D230" i="2"/>
  <c r="E230" i="2" s="1"/>
  <c r="D229" i="2"/>
  <c r="E229" i="2" s="1"/>
  <c r="D228" i="2"/>
  <c r="E228" i="2" s="1"/>
  <c r="D227" i="2"/>
  <c r="E227" i="2" s="1"/>
  <c r="D217" i="2"/>
  <c r="E217" i="2" s="1"/>
  <c r="D216" i="2"/>
  <c r="E216" i="2" s="1"/>
  <c r="E215" i="2"/>
  <c r="E214" i="2"/>
  <c r="E213" i="2"/>
  <c r="D212" i="2"/>
  <c r="E212" i="2" s="1"/>
  <c r="D202" i="2"/>
  <c r="E202" i="2" s="1"/>
  <c r="D201" i="2"/>
  <c r="E201" i="2" s="1"/>
  <c r="E200" i="2"/>
  <c r="E199" i="2"/>
  <c r="E198" i="2"/>
  <c r="D197" i="2"/>
  <c r="E197" i="2" s="1"/>
  <c r="E187" i="2"/>
  <c r="D186" i="2"/>
  <c r="E186" i="2" s="1"/>
  <c r="E185" i="2"/>
  <c r="E184" i="2"/>
  <c r="E183" i="2"/>
  <c r="D182" i="2"/>
  <c r="E182" i="2" s="1"/>
  <c r="E173" i="2"/>
  <c r="E172" i="2"/>
  <c r="D171" i="2"/>
  <c r="E171" i="2" s="1"/>
  <c r="D170" i="2"/>
  <c r="E170" i="2" s="1"/>
  <c r="D169" i="2"/>
  <c r="E169" i="2" s="1"/>
  <c r="D168" i="2"/>
  <c r="E168" i="2" s="1"/>
  <c r="E159" i="2"/>
  <c r="D158" i="2"/>
  <c r="E158" i="2" s="1"/>
  <c r="E157" i="2"/>
  <c r="E156" i="2"/>
  <c r="E155" i="2"/>
  <c r="D154" i="2"/>
  <c r="E154" i="2" s="1"/>
  <c r="E144" i="2"/>
  <c r="E143" i="2"/>
  <c r="E142" i="2"/>
  <c r="E141" i="2"/>
  <c r="E140" i="2"/>
  <c r="D139" i="2"/>
  <c r="E139" i="2" s="1"/>
  <c r="D129" i="2"/>
  <c r="E129" i="2" s="1"/>
  <c r="D128" i="2"/>
  <c r="E128" i="2" s="1"/>
  <c r="D127" i="2"/>
  <c r="E127" i="2" s="1"/>
  <c r="E126" i="2"/>
  <c r="D125" i="2"/>
  <c r="E125" i="2" s="1"/>
  <c r="E124" i="2"/>
  <c r="E114" i="2"/>
  <c r="E113" i="2"/>
  <c r="D112" i="2"/>
  <c r="E112" i="2" s="1"/>
  <c r="E111" i="2"/>
  <c r="D110" i="2"/>
  <c r="E110" i="2" s="1"/>
  <c r="D109" i="2"/>
  <c r="E109" i="2" s="1"/>
  <c r="E99" i="2"/>
  <c r="E98" i="2"/>
  <c r="D97" i="2"/>
  <c r="E97" i="2" s="1"/>
  <c r="D96" i="2"/>
  <c r="E96" i="2" s="1"/>
  <c r="D95" i="2"/>
  <c r="E95" i="2" s="1"/>
  <c r="D94" i="2"/>
  <c r="E94" i="2" s="1"/>
  <c r="E84" i="2"/>
  <c r="E83" i="2"/>
  <c r="D82" i="2"/>
  <c r="E82" i="2" s="1"/>
  <c r="E81" i="2"/>
  <c r="D80" i="2"/>
  <c r="E80" i="2" s="1"/>
  <c r="D79" i="2"/>
  <c r="E79" i="2" s="1"/>
  <c r="E69" i="2"/>
  <c r="E68" i="2"/>
  <c r="D67" i="2"/>
  <c r="E67" i="2" s="1"/>
  <c r="D66" i="2"/>
  <c r="E66" i="2" s="1"/>
  <c r="D65" i="2"/>
  <c r="E65" i="2" s="1"/>
  <c r="D64" i="2"/>
  <c r="E64" i="2" s="1"/>
  <c r="E54" i="2"/>
  <c r="E53" i="2"/>
  <c r="D52" i="2"/>
  <c r="E52" i="2" s="1"/>
  <c r="D51" i="2"/>
  <c r="E51" i="2" s="1"/>
  <c r="D50" i="2"/>
  <c r="E50" i="2" s="1"/>
  <c r="D49" i="2"/>
  <c r="E49" i="2" s="1"/>
  <c r="E42" i="2"/>
  <c r="E41" i="2"/>
  <c r="D40" i="2"/>
  <c r="E40" i="2" s="1"/>
  <c r="E39" i="2"/>
  <c r="D38" i="2"/>
  <c r="E38" i="2" s="1"/>
  <c r="D37" i="2"/>
  <c r="E37" i="2" s="1"/>
  <c r="C24" i="2"/>
  <c r="E24" i="2" s="1"/>
  <c r="D23" i="2"/>
  <c r="E23" i="2" s="1"/>
  <c r="D22" i="2"/>
  <c r="C22" i="2"/>
  <c r="D21" i="2"/>
  <c r="E21" i="2" s="1"/>
  <c r="D20" i="2"/>
  <c r="C20" i="2"/>
  <c r="D19" i="2"/>
  <c r="C19" i="2"/>
  <c r="E19" i="2" s="1"/>
  <c r="E11" i="2"/>
  <c r="E10" i="2"/>
  <c r="E9" i="2"/>
  <c r="E8" i="2"/>
  <c r="E7" i="2"/>
  <c r="E6" i="2"/>
  <c r="E533" i="1"/>
  <c r="E532" i="1"/>
  <c r="E531" i="1"/>
  <c r="E530" i="1"/>
  <c r="E529" i="1"/>
  <c r="E528" i="1"/>
  <c r="E518" i="1"/>
  <c r="E517" i="1"/>
  <c r="E516" i="1"/>
  <c r="E515" i="1"/>
  <c r="E514" i="1"/>
  <c r="E513" i="1"/>
  <c r="E503" i="1"/>
  <c r="E502" i="1"/>
  <c r="E501" i="1"/>
  <c r="E500" i="1"/>
  <c r="E499" i="1"/>
  <c r="E498" i="1"/>
  <c r="E489" i="1"/>
  <c r="E488" i="1"/>
  <c r="E487" i="1"/>
  <c r="E486" i="1"/>
  <c r="E485" i="1"/>
  <c r="E484" i="1"/>
  <c r="E474" i="1"/>
  <c r="E473" i="1"/>
  <c r="E472" i="1"/>
  <c r="E471" i="1"/>
  <c r="E470" i="1"/>
  <c r="E469" i="1"/>
  <c r="E459" i="1"/>
  <c r="E458" i="1"/>
  <c r="E457" i="1"/>
  <c r="E456" i="1"/>
  <c r="E455" i="1"/>
  <c r="E454" i="1"/>
  <c r="E444" i="1"/>
  <c r="E443" i="1"/>
  <c r="E442" i="1"/>
  <c r="E441" i="1"/>
  <c r="E440" i="1"/>
  <c r="E439" i="1"/>
  <c r="E429" i="1"/>
  <c r="E428" i="1"/>
  <c r="E427" i="1"/>
  <c r="E426" i="1"/>
  <c r="E425" i="1"/>
  <c r="E424" i="1"/>
  <c r="E414" i="1"/>
  <c r="E413" i="1"/>
  <c r="E412" i="1"/>
  <c r="E411" i="1"/>
  <c r="E410" i="1"/>
  <c r="E409" i="1"/>
  <c r="E399" i="1"/>
  <c r="E398" i="1"/>
  <c r="E397" i="1"/>
  <c r="E396" i="1"/>
  <c r="E395" i="1"/>
  <c r="E394" i="1"/>
  <c r="E384" i="1"/>
  <c r="E383" i="1"/>
  <c r="E382" i="1"/>
  <c r="E381" i="1"/>
  <c r="E380" i="1"/>
  <c r="E379" i="1"/>
  <c r="E369" i="1"/>
  <c r="E368" i="1"/>
  <c r="E367" i="1"/>
  <c r="E366" i="1"/>
  <c r="E365" i="1"/>
  <c r="E364" i="1"/>
  <c r="E354" i="1"/>
  <c r="E353" i="1"/>
  <c r="E352" i="1"/>
  <c r="E351" i="1"/>
  <c r="E350" i="1"/>
  <c r="E349" i="1"/>
  <c r="E339" i="1"/>
  <c r="E338" i="1"/>
  <c r="E337" i="1"/>
  <c r="E336" i="1"/>
  <c r="E335" i="1"/>
  <c r="E334" i="1"/>
  <c r="E324" i="1"/>
  <c r="E323" i="1"/>
  <c r="E322" i="1"/>
  <c r="E321" i="1"/>
  <c r="E320" i="1"/>
  <c r="E319" i="1"/>
  <c r="E309" i="1"/>
  <c r="E308" i="1"/>
  <c r="E307" i="1"/>
  <c r="E306" i="1"/>
  <c r="E305" i="1"/>
  <c r="E304" i="1"/>
  <c r="E294" i="1"/>
  <c r="E293" i="1"/>
  <c r="E292" i="1"/>
  <c r="E291" i="1"/>
  <c r="E290" i="1"/>
  <c r="E289" i="1"/>
  <c r="E279" i="1"/>
  <c r="E278" i="1"/>
  <c r="E277" i="1"/>
  <c r="E276" i="1"/>
  <c r="E275" i="1"/>
  <c r="E274" i="1"/>
  <c r="E267" i="1"/>
  <c r="E266" i="1"/>
  <c r="E265" i="1"/>
  <c r="E264" i="1"/>
  <c r="E263" i="1"/>
  <c r="E262" i="1"/>
  <c r="E252" i="1"/>
  <c r="E251" i="1"/>
  <c r="E250" i="1"/>
  <c r="E249" i="1"/>
  <c r="E248" i="1"/>
  <c r="E247" i="1"/>
  <c r="E237" i="1"/>
  <c r="E236" i="1"/>
  <c r="E235" i="1"/>
  <c r="E234" i="1"/>
  <c r="E233" i="1"/>
  <c r="E232" i="1"/>
  <c r="E225" i="1"/>
  <c r="E224" i="1"/>
  <c r="E223" i="1"/>
  <c r="E222" i="1"/>
  <c r="E221" i="1"/>
  <c r="E220" i="1"/>
  <c r="E210" i="1"/>
  <c r="E209" i="1"/>
  <c r="E208" i="1"/>
  <c r="E207" i="1"/>
  <c r="E206" i="1"/>
  <c r="E205" i="1"/>
  <c r="E195" i="1"/>
  <c r="E194" i="1"/>
  <c r="E193" i="1"/>
  <c r="E192" i="1"/>
  <c r="E191" i="1"/>
  <c r="E190" i="1"/>
  <c r="E180" i="1"/>
  <c r="E179" i="1"/>
  <c r="E178" i="1"/>
  <c r="E177" i="1"/>
  <c r="E176" i="1"/>
  <c r="E175" i="1"/>
  <c r="E168" i="1"/>
  <c r="E167" i="1"/>
  <c r="E166" i="1"/>
  <c r="E165" i="1"/>
  <c r="E164" i="1"/>
  <c r="E163" i="1"/>
  <c r="E153" i="1"/>
  <c r="E152" i="1"/>
  <c r="E151" i="1"/>
  <c r="E150" i="1"/>
  <c r="E149" i="1"/>
  <c r="E148" i="1"/>
  <c r="E140" i="1"/>
  <c r="E139" i="1"/>
  <c r="E138" i="1"/>
  <c r="E137" i="1"/>
  <c r="E136" i="1"/>
  <c r="E135" i="1"/>
  <c r="E125" i="1"/>
  <c r="E124" i="1"/>
  <c r="E123" i="1"/>
  <c r="E122" i="1"/>
  <c r="E121" i="1"/>
  <c r="E120" i="1"/>
  <c r="E111" i="1"/>
  <c r="E110" i="1"/>
  <c r="E109" i="1"/>
  <c r="E108" i="1"/>
  <c r="E107" i="1"/>
  <c r="E106" i="1"/>
  <c r="E97" i="1"/>
  <c r="E96" i="1"/>
  <c r="E95" i="1"/>
  <c r="E94" i="1"/>
  <c r="E93" i="1"/>
  <c r="E92" i="1"/>
  <c r="E84" i="1"/>
  <c r="E83" i="1"/>
  <c r="E82" i="1"/>
  <c r="E81" i="1"/>
  <c r="E80" i="1"/>
  <c r="E79" i="1"/>
  <c r="E70" i="1"/>
  <c r="E69" i="1"/>
  <c r="E68" i="1"/>
  <c r="E67" i="1"/>
  <c r="E66" i="1"/>
  <c r="E65" i="1"/>
  <c r="E56" i="1"/>
  <c r="E55" i="1"/>
  <c r="E54" i="1"/>
  <c r="E53" i="1"/>
  <c r="E52" i="1"/>
  <c r="E51" i="1"/>
  <c r="D43" i="1"/>
  <c r="E43" i="1" s="1"/>
  <c r="E42" i="1"/>
  <c r="E41" i="1"/>
  <c r="E40" i="1"/>
  <c r="E39" i="1"/>
  <c r="E38" i="1"/>
  <c r="C26" i="1"/>
  <c r="E26" i="1" s="1"/>
  <c r="E25" i="1"/>
  <c r="C24" i="1"/>
  <c r="E24" i="1" s="1"/>
  <c r="E23" i="1"/>
  <c r="C22" i="1"/>
  <c r="E22" i="1" s="1"/>
  <c r="C21" i="1"/>
  <c r="E21" i="1" s="1"/>
  <c r="E12" i="1"/>
  <c r="E11" i="1"/>
  <c r="E10" i="1"/>
  <c r="E9" i="1"/>
  <c r="E8" i="1"/>
  <c r="E7" i="1"/>
  <c r="E22" i="2" l="1"/>
  <c r="E20" i="2"/>
</calcChain>
</file>

<file path=xl/sharedStrings.xml><?xml version="1.0" encoding="utf-8"?>
<sst xmlns="http://schemas.openxmlformats.org/spreadsheetml/2006/main" count="1308" uniqueCount="95">
  <si>
    <t>Versión 1.0</t>
  </si>
  <si>
    <t>NOVIEMBRE</t>
  </si>
  <si>
    <t>Planeado</t>
  </si>
  <si>
    <t>Real</t>
  </si>
  <si>
    <t>Desviación</t>
  </si>
  <si>
    <t>Ventas</t>
  </si>
  <si>
    <t>Planeación</t>
  </si>
  <si>
    <t>Implementación</t>
  </si>
  <si>
    <t>Cierre</t>
  </si>
  <si>
    <t>Garantia</t>
  </si>
  <si>
    <t>Soporte</t>
  </si>
  <si>
    <t>P1345</t>
  </si>
  <si>
    <t>P1347</t>
  </si>
  <si>
    <t>P1356</t>
  </si>
  <si>
    <t>P1334</t>
  </si>
  <si>
    <t>P1346</t>
  </si>
  <si>
    <t>P1358</t>
  </si>
  <si>
    <t>P1336</t>
  </si>
  <si>
    <t>P1366</t>
  </si>
  <si>
    <t>P1370</t>
  </si>
  <si>
    <t>P1371</t>
  </si>
  <si>
    <t>P1367</t>
  </si>
  <si>
    <t>P1365</t>
  </si>
  <si>
    <t>P1364</t>
  </si>
  <si>
    <t>P1343</t>
  </si>
  <si>
    <t>P1361</t>
  </si>
  <si>
    <t>P1374</t>
  </si>
  <si>
    <t>P1348</t>
  </si>
  <si>
    <t>P1349</t>
  </si>
  <si>
    <t>P1368</t>
  </si>
  <si>
    <t>P1376</t>
  </si>
  <si>
    <t>P1350</t>
  </si>
  <si>
    <t>P1360</t>
  </si>
  <si>
    <t>P1402</t>
  </si>
  <si>
    <t>P1380</t>
  </si>
  <si>
    <t>P1389</t>
  </si>
  <si>
    <t>P1392</t>
  </si>
  <si>
    <t>P1388</t>
  </si>
  <si>
    <t>P1386</t>
  </si>
  <si>
    <t>P1394</t>
  </si>
  <si>
    <t>P1384</t>
  </si>
  <si>
    <t>P1396</t>
  </si>
  <si>
    <t>P1379</t>
  </si>
  <si>
    <t>P1391</t>
  </si>
  <si>
    <t>P1375</t>
  </si>
  <si>
    <t>204/60*sueldo de involucrados en el proceso</t>
  </si>
  <si>
    <t>Noviembre</t>
  </si>
  <si>
    <t>Diciembre</t>
  </si>
  <si>
    <t>Nivel de Apego</t>
  </si>
  <si>
    <t>Procesos</t>
  </si>
  <si>
    <t>Prospectación</t>
  </si>
  <si>
    <t>Garantía</t>
  </si>
  <si>
    <t>Organizacional</t>
  </si>
  <si>
    <t>&lt;Periodo&gt;</t>
  </si>
  <si>
    <t>&lt;aammdd&gt;</t>
  </si>
  <si>
    <t>Metricas</t>
  </si>
  <si>
    <t>Calidad</t>
  </si>
  <si>
    <t>Cambios</t>
  </si>
  <si>
    <t>Plan de Proyecto</t>
  </si>
  <si>
    <t>Estimación</t>
  </si>
  <si>
    <t>Tickets de Servicio</t>
  </si>
  <si>
    <t>Carta de aceptación</t>
  </si>
  <si>
    <t>Reporte de Monitoreo</t>
  </si>
  <si>
    <t>Febrero</t>
  </si>
  <si>
    <t>Plan de métricas</t>
  </si>
  <si>
    <t>Plan de configuración</t>
  </si>
  <si>
    <t>Plan de Calidad</t>
  </si>
  <si>
    <t>Fisicas</t>
  </si>
  <si>
    <t>Elementos de Configuración</t>
  </si>
  <si>
    <t>Línea Base</t>
  </si>
  <si>
    <t>Funcional</t>
  </si>
  <si>
    <t>Entregables</t>
  </si>
  <si>
    <t>Control de Cambios</t>
  </si>
  <si>
    <t>Monto Total</t>
  </si>
  <si>
    <t>Apegó</t>
  </si>
  <si>
    <t>Periodo</t>
  </si>
  <si>
    <t>Oriana</t>
  </si>
  <si>
    <t>Marisol</t>
  </si>
  <si>
    <t>Diciembre mes completo</t>
  </si>
  <si>
    <t>P1378</t>
  </si>
  <si>
    <t>P1351</t>
  </si>
  <si>
    <t>P1381</t>
  </si>
  <si>
    <t>P1382</t>
  </si>
  <si>
    <t>P1387</t>
  </si>
  <si>
    <t>P1393</t>
  </si>
  <si>
    <t>P1397</t>
  </si>
  <si>
    <t>P1377</t>
  </si>
  <si>
    <t>P1398</t>
  </si>
  <si>
    <t>P1399</t>
  </si>
  <si>
    <t>P1363</t>
  </si>
  <si>
    <t>P1404</t>
  </si>
  <si>
    <t>P1390</t>
  </si>
  <si>
    <t>para los que son garantia recuerda en calidad solo poner el tiempo estimado tuyo para saber cuanto es por proyecto es el total de proyectos revisados entre 8 horasque tieens asignada para la tarea y le quitas lo que yo hago</t>
  </si>
  <si>
    <t>N/A</t>
  </si>
  <si>
    <t>Indice de Satisfacción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</si>
</sst>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\$* #,##0.00_-;&quot;-$&quot;* #,##0.00_-;_-\$* \-??_-;_-@_-"/>
    <numFmt numFmtId="165" formatCode="\$#,##0.00;[Red]&quot;-$&quot;#,##0.00"/>
  </numFmts>
  <fonts count="9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BEEF3"/>
        <bgColor rgb="FFE5E0EC"/>
      </patternFill>
    </fill>
    <fill>
      <patternFill patternType="solid">
        <fgColor rgb="FFE5E0EC"/>
        <bgColor rgb="FFE6E0EC"/>
      </patternFill>
    </fill>
    <fill>
      <patternFill patternType="solid">
        <fgColor rgb="FFF2F2F2"/>
        <bgColor rgb="FFDBEEF3"/>
      </patternFill>
    </fill>
    <fill>
      <patternFill patternType="solid">
        <fgColor rgb="FFE6E0EC"/>
        <bgColor rgb="FFE5E0EC"/>
      </patternFill>
    </fill>
    <fill>
      <patternFill patternType="solid">
        <fgColor theme="9"/>
        <bgColor rgb="FFE5E0EC"/>
      </patternFill>
    </fill>
    <fill>
      <patternFill patternType="solid">
        <fgColor theme="8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/>
      <diagonal/>
    </border>
    <border>
      <left style="thin">
        <color rgb="FF604A7B"/>
      </left>
      <right style="thin">
        <color rgb="FF604A7B"/>
      </right>
      <top style="thin">
        <color rgb="FF604A7B"/>
      </top>
      <bottom style="thin">
        <color rgb="FF604A7B"/>
      </bottom>
      <diagonal/>
    </border>
    <border>
      <left style="thin">
        <color rgb="FF604A7B"/>
      </left>
      <right/>
      <top style="thin">
        <color rgb="FF604A7B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604A7B"/>
      </right>
      <top/>
      <bottom/>
      <diagonal/>
    </border>
    <border>
      <left style="thin">
        <color rgb="FF604A7B"/>
      </left>
      <right style="thin">
        <color rgb="FF604A7B"/>
      </right>
      <top/>
      <bottom/>
      <diagonal/>
    </border>
    <border>
      <left/>
      <right style="thin">
        <color rgb="FF604A7B"/>
      </right>
      <top style="thin">
        <color rgb="FF604A7B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04A7B"/>
      </left>
      <right style="thin">
        <color indexed="64"/>
      </right>
      <top style="thin">
        <color rgb="FF604A7B"/>
      </top>
      <bottom style="thin">
        <color rgb="FF604A7B"/>
      </bottom>
      <diagonal/>
    </border>
    <border>
      <left style="thin">
        <color rgb="FF604A7B"/>
      </left>
      <right style="thin">
        <color indexed="64"/>
      </right>
      <top style="thin">
        <color rgb="FF604A7B"/>
      </top>
      <bottom/>
      <diagonal/>
    </border>
  </borders>
  <cellStyleXfs count="3">
    <xf numFmtId="0" fontId="0" fillId="0" borderId="0"/>
    <xf numFmtId="164" fontId="6" fillId="0" borderId="0" applyBorder="0" applyProtection="0"/>
    <xf numFmtId="9" fontId="6" fillId="0" borderId="0" applyBorder="0" applyProtection="0"/>
  </cellStyleXfs>
  <cellXfs count="80">
    <xf numFmtId="0" fontId="0" fillId="0" borderId="0" xfId="0"/>
    <xf numFmtId="0" fontId="0" fillId="2" borderId="0" xfId="0" applyFill="1"/>
    <xf numFmtId="14" fontId="1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/>
    </xf>
    <xf numFmtId="9" fontId="2" fillId="5" borderId="1" xfId="2" applyFont="1" applyFill="1" applyBorder="1" applyAlignment="1" applyProtection="1"/>
    <xf numFmtId="0" fontId="0" fillId="6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9" fontId="2" fillId="5" borderId="1" xfId="0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3" borderId="3" xfId="0" applyFont="1" applyFill="1" applyBorder="1" applyAlignment="1">
      <alignment vertical="center"/>
    </xf>
    <xf numFmtId="0" fontId="3" fillId="0" borderId="0" xfId="0" applyFont="1"/>
    <xf numFmtId="0" fontId="0" fillId="3" borderId="4" xfId="0" applyFont="1" applyFill="1" applyBorder="1" applyAlignment="1">
      <alignment horizontal="center" vertical="center"/>
    </xf>
    <xf numFmtId="164" fontId="0" fillId="4" borderId="5" xfId="1" applyFont="1" applyFill="1" applyBorder="1" applyAlignment="1" applyProtection="1">
      <alignment horizontal="center"/>
    </xf>
    <xf numFmtId="9" fontId="0" fillId="5" borderId="5" xfId="2" applyFont="1" applyFill="1" applyBorder="1" applyAlignment="1" applyProtection="1">
      <alignment horizontal="center"/>
    </xf>
    <xf numFmtId="9" fontId="2" fillId="5" borderId="5" xfId="2" applyFont="1" applyFill="1" applyBorder="1" applyAlignment="1" applyProtection="1">
      <alignment horizontal="center"/>
    </xf>
    <xf numFmtId="0" fontId="0" fillId="0" borderId="0" xfId="0" applyFont="1" applyBorder="1" applyAlignment="1">
      <alignment horizontal="left"/>
    </xf>
    <xf numFmtId="164" fontId="0" fillId="0" borderId="0" xfId="1" applyFont="1" applyBorder="1" applyAlignment="1" applyProtection="1">
      <alignment horizontal="center"/>
    </xf>
    <xf numFmtId="9" fontId="0" fillId="0" borderId="0" xfId="2" applyFont="1" applyBorder="1" applyAlignment="1" applyProtection="1">
      <alignment horizontal="center"/>
    </xf>
    <xf numFmtId="164" fontId="0" fillId="0" borderId="2" xfId="1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3" borderId="6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4" fillId="4" borderId="7" xfId="0" applyFont="1" applyFill="1" applyBorder="1"/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/>
    <xf numFmtId="10" fontId="0" fillId="5" borderId="1" xfId="0" applyNumberFormat="1" applyFill="1" applyBorder="1" applyAlignment="1">
      <alignment horizontal="center" vertical="center"/>
    </xf>
    <xf numFmtId="9" fontId="0" fillId="5" borderId="1" xfId="2" applyFont="1" applyFill="1" applyBorder="1" applyAlignment="1" applyProtection="1">
      <alignment horizont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9" fontId="0" fillId="4" borderId="1" xfId="2" applyFont="1" applyFill="1" applyBorder="1" applyAlignment="1" applyProtection="1">
      <alignment horizontal="center"/>
    </xf>
    <xf numFmtId="10" fontId="0" fillId="5" borderId="1" xfId="0" applyNumberFormat="1" applyFont="1" applyFill="1" applyBorder="1" applyAlignment="1">
      <alignment horizontal="center" vertical="center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 applyProtection="1">
      <alignment horizontal="center"/>
    </xf>
    <xf numFmtId="0" fontId="0" fillId="2" borderId="0" xfId="0" applyFill="1" applyAlignment="1">
      <alignment horizontal="right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6" fontId="0" fillId="4" borderId="3" xfId="0" applyNumberFormat="1" applyFont="1" applyFill="1" applyBorder="1" applyAlignment="1">
      <alignment horizontal="left" vertical="center"/>
    </xf>
    <xf numFmtId="164" fontId="0" fillId="4" borderId="4" xfId="1" applyFont="1" applyFill="1" applyBorder="1" applyAlignment="1" applyProtection="1">
      <alignment horizontal="center"/>
    </xf>
    <xf numFmtId="4" fontId="2" fillId="5" borderId="4" xfId="2" applyNumberFormat="1" applyFont="1" applyFill="1" applyBorder="1" applyAlignment="1" applyProtection="1">
      <alignment horizontal="center"/>
    </xf>
    <xf numFmtId="0" fontId="0" fillId="0" borderId="0" xfId="0" applyBorder="1" applyAlignment="1">
      <alignment horizontal="left" vertical="center"/>
    </xf>
    <xf numFmtId="164" fontId="0" fillId="4" borderId="1" xfId="1" applyFont="1" applyFill="1" applyBorder="1" applyAlignment="1" applyProtection="1">
      <alignment horizontal="center"/>
    </xf>
    <xf numFmtId="4" fontId="2" fillId="5" borderId="5" xfId="2" applyNumberFormat="1" applyFont="1" applyFill="1" applyBorder="1" applyAlignment="1" applyProtection="1">
      <alignment horizontal="center"/>
    </xf>
    <xf numFmtId="165" fontId="5" fillId="5" borderId="1" xfId="0" applyNumberFormat="1" applyFont="1" applyFill="1" applyBorder="1"/>
    <xf numFmtId="4" fontId="2" fillId="5" borderId="11" xfId="2" applyNumberFormat="1" applyFont="1" applyFill="1" applyBorder="1" applyAlignment="1" applyProtection="1">
      <alignment horizontal="center"/>
    </xf>
    <xf numFmtId="164" fontId="0" fillId="0" borderId="0" xfId="1" applyFont="1" applyBorder="1" applyAlignment="1" applyProtection="1">
      <alignment horizontal="center"/>
    </xf>
    <xf numFmtId="0" fontId="2" fillId="0" borderId="0" xfId="2" applyNumberFormat="1" applyFont="1" applyBorder="1" applyAlignment="1" applyProtection="1">
      <alignment horizontal="center"/>
    </xf>
    <xf numFmtId="4" fontId="2" fillId="5" borderId="12" xfId="2" applyNumberFormat="1" applyFont="1" applyFill="1" applyBorder="1" applyAlignment="1" applyProtection="1">
      <alignment horizontal="center"/>
    </xf>
    <xf numFmtId="15" fontId="1" fillId="3" borderId="4" xfId="0" applyNumberFormat="1" applyFont="1" applyFill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15" fontId="4" fillId="4" borderId="1" xfId="0" applyNumberFormat="1" applyFont="1" applyFill="1" applyBorder="1"/>
    <xf numFmtId="0" fontId="7" fillId="0" borderId="0" xfId="0" applyFont="1" applyAlignment="1">
      <alignment horizontal="center" wrapText="1"/>
    </xf>
    <xf numFmtId="0" fontId="0" fillId="6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 applyBorder="1"/>
    <xf numFmtId="0" fontId="0" fillId="7" borderId="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 vertical="center"/>
    </xf>
    <xf numFmtId="9" fontId="0" fillId="5" borderId="13" xfId="2" applyFont="1" applyFill="1" applyBorder="1" applyAlignment="1" applyProtection="1">
      <alignment horizontal="center"/>
    </xf>
    <xf numFmtId="9" fontId="2" fillId="5" borderId="13" xfId="2" applyFont="1" applyFill="1" applyBorder="1" applyAlignment="1" applyProtection="1">
      <alignment horizontal="center"/>
    </xf>
    <xf numFmtId="0" fontId="8" fillId="8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4" fontId="2" fillId="5" borderId="1" xfId="2" applyNumberFormat="1" applyFont="1" applyFill="1" applyBorder="1" applyAlignment="1" applyProtection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31"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  <numFmt numFmtId="164" formatCode="_-\$* #,##0.00_-;&quot;-$&quot;* #,##0.00_-;_-\$* \-??_-;_-@_-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  <numFmt numFmtId="13" formatCode="0%"/>
      <fill>
        <patternFill>
          <bgColor rgb="FFFFFFFF"/>
        </patternFill>
      </fill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  <dxf>
      <font>
        <sz val="11"/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2F2F2"/>
      <rgbColor rgb="FFDBEEF3"/>
      <rgbColor rgb="FF660066"/>
      <rgbColor rgb="FFFF8080"/>
      <rgbColor rgb="FF0066CC"/>
      <rgbColor rgb="FFE5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esfuerzo'!$E$21:$E$26</c:f>
              <c:numCache>
                <c:formatCode>0%</c:formatCode>
                <c:ptCount val="6"/>
                <c:pt idx="0">
                  <c:v>0.63725490196078427</c:v>
                </c:pt>
                <c:pt idx="1">
                  <c:v>0.61428571428571432</c:v>
                </c:pt>
                <c:pt idx="2">
                  <c:v>0.5</c:v>
                </c:pt>
                <c:pt idx="3">
                  <c:v>0.51086956521739135</c:v>
                </c:pt>
                <c:pt idx="4">
                  <c:v>-1.0777777777777777</c:v>
                </c:pt>
                <c:pt idx="5">
                  <c:v>0.18485915492957747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68128"/>
        <c:axId val="87169664"/>
      </c:barChart>
      <c:catAx>
        <c:axId val="87168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169664"/>
        <c:crosses val="autoZero"/>
        <c:auto val="1"/>
        <c:lblAlgn val="ctr"/>
        <c:lblOffset val="100"/>
        <c:noMultiLvlLbl val="1"/>
      </c:catAx>
      <c:valAx>
        <c:axId val="87169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1681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esfuerzo'!$E$79:$E$84</c:f>
              <c:numCache>
                <c:formatCode>0%</c:formatCode>
                <c:ptCount val="6"/>
                <c:pt idx="0">
                  <c:v>-18.372549019607842</c:v>
                </c:pt>
                <c:pt idx="1">
                  <c:v>0.5714285714285714</c:v>
                </c:pt>
                <c:pt idx="2">
                  <c:v>1</c:v>
                </c:pt>
                <c:pt idx="3">
                  <c:v>-0.78260869565217395</c:v>
                </c:pt>
                <c:pt idx="4">
                  <c:v>0</c:v>
                </c:pt>
                <c:pt idx="5">
                  <c:v>0.54929577464788737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6048"/>
        <c:axId val="102551936"/>
      </c:barChart>
      <c:catAx>
        <c:axId val="10254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551936"/>
        <c:crosses val="autoZero"/>
        <c:auto val="1"/>
        <c:lblAlgn val="ctr"/>
        <c:lblOffset val="100"/>
        <c:noMultiLvlLbl val="1"/>
      </c:catAx>
      <c:valAx>
        <c:axId val="102551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5460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esfuerzo'!$E$681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esfuerzo'!$B$682:$B$687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esfuerzo'!$E$682:$E$687</c:f>
              <c:numCache>
                <c:formatCode>0%</c:formatCode>
                <c:ptCount val="6"/>
                <c:pt idx="0">
                  <c:v>-10.862745098039216</c:v>
                </c:pt>
                <c:pt idx="1">
                  <c:v>0.88571428571428568</c:v>
                </c:pt>
                <c:pt idx="2">
                  <c:v>0.56111111111111112</c:v>
                </c:pt>
                <c:pt idx="3">
                  <c:v>0.47826086956521741</c:v>
                </c:pt>
                <c:pt idx="4">
                  <c:v>0</c:v>
                </c:pt>
                <c:pt idx="5">
                  <c:v>0.87323943661971826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71936"/>
        <c:axId val="126073472"/>
      </c:barChart>
      <c:catAx>
        <c:axId val="12607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073472"/>
        <c:crosses val="autoZero"/>
        <c:auto val="1"/>
        <c:lblAlgn val="ctr"/>
        <c:lblOffset val="100"/>
        <c:noMultiLvlLbl val="0"/>
      </c:catAx>
      <c:valAx>
        <c:axId val="126073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607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costos'!$C$19:$C$24</c:f>
              <c:numCache>
                <c:formatCode>_-\$* #,##0.00_-;"-$"* #,##0.00_-;_-\$* \-??_-;_-@_-</c:formatCode>
                <c:ptCount val="6"/>
                <c:pt idx="0">
                  <c:v>89.32</c:v>
                </c:pt>
                <c:pt idx="1">
                  <c:v>15.84</c:v>
                </c:pt>
                <c:pt idx="2">
                  <c:v>19.399999999999999</c:v>
                </c:pt>
                <c:pt idx="3">
                  <c:v>22</c:v>
                </c:pt>
                <c:pt idx="4">
                  <c:v>29</c:v>
                </c:pt>
                <c:pt idx="5">
                  <c:v>90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costos'!$D$19:$D$24</c:f>
              <c:numCache>
                <c:formatCode>_-\$* #,##0.00_-;"-$"* #,##0.00_-;_-\$* \-??_-;_-@_-</c:formatCode>
                <c:ptCount val="6"/>
                <c:pt idx="0">
                  <c:v>17.933399999999999</c:v>
                </c:pt>
                <c:pt idx="1">
                  <c:v>13.122</c:v>
                </c:pt>
                <c:pt idx="2">
                  <c:v>9.7686000000000011</c:v>
                </c:pt>
                <c:pt idx="3">
                  <c:v>10.935</c:v>
                </c:pt>
                <c:pt idx="4">
                  <c:v>45.489600000000003</c:v>
                </c:pt>
                <c:pt idx="5">
                  <c:v>105.4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44672"/>
        <c:axId val="117650560"/>
      </c:barChart>
      <c:catAx>
        <c:axId val="117644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650560"/>
        <c:crosses val="autoZero"/>
        <c:auto val="1"/>
        <c:lblAlgn val="ctr"/>
        <c:lblOffset val="100"/>
        <c:noMultiLvlLbl val="1"/>
      </c:catAx>
      <c:valAx>
        <c:axId val="1176505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6446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costos'!$B$19:$B$24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costos'!$E$19:$E$24</c:f>
              <c:numCache>
                <c:formatCode>0%</c:formatCode>
                <c:ptCount val="6"/>
                <c:pt idx="0">
                  <c:v>0.79922301836094933</c:v>
                </c:pt>
                <c:pt idx="1">
                  <c:v>0.1715909090909091</c:v>
                </c:pt>
                <c:pt idx="2">
                  <c:v>0.49646391752577312</c:v>
                </c:pt>
                <c:pt idx="3">
                  <c:v>0.50295454545454543</c:v>
                </c:pt>
                <c:pt idx="4">
                  <c:v>-0.56860689655172425</c:v>
                </c:pt>
                <c:pt idx="5">
                  <c:v>-0.17111111111111119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683328"/>
        <c:axId val="117684864"/>
      </c:barChart>
      <c:catAx>
        <c:axId val="11768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684864"/>
        <c:crosses val="autoZero"/>
        <c:auto val="1"/>
        <c:lblAlgn val="ctr"/>
        <c:lblOffset val="100"/>
        <c:noMultiLvlLbl val="1"/>
      </c:catAx>
      <c:valAx>
        <c:axId val="117684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6833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costos'!$C$37:$C$42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costos'!$D$37:$D$42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5.1029999999999998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11.82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77824"/>
        <c:axId val="86079360"/>
      </c:barChart>
      <c:catAx>
        <c:axId val="860778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079360"/>
        <c:crosses val="autoZero"/>
        <c:auto val="1"/>
        <c:lblAlgn val="ctr"/>
        <c:lblOffset val="100"/>
        <c:noMultiLvlLbl val="1"/>
      </c:catAx>
      <c:valAx>
        <c:axId val="860793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0778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costos'!$B$37:$B$42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costos'!$E$37:$E$42</c:f>
              <c:numCache>
                <c:formatCode>0%</c:formatCode>
                <c:ptCount val="6"/>
                <c:pt idx="0">
                  <c:v>0.93470667263770724</c:v>
                </c:pt>
                <c:pt idx="1">
                  <c:v>-0.28863636363636358</c:v>
                </c:pt>
                <c:pt idx="2">
                  <c:v>1</c:v>
                </c:pt>
                <c:pt idx="3">
                  <c:v>0.46981818181818175</c:v>
                </c:pt>
                <c:pt idx="4">
                  <c:v>0</c:v>
                </c:pt>
                <c:pt idx="5">
                  <c:v>0.47466666666666668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33728"/>
        <c:axId val="87035264"/>
      </c:barChart>
      <c:catAx>
        <c:axId val="87033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035264"/>
        <c:crosses val="autoZero"/>
        <c:auto val="1"/>
        <c:lblAlgn val="ctr"/>
        <c:lblOffset val="100"/>
        <c:noMultiLvlLbl val="1"/>
      </c:catAx>
      <c:valAx>
        <c:axId val="87035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0337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costos'!$C$49:$C$54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costos'!$D$49:$D$54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3.645</c:v>
                </c:pt>
                <c:pt idx="2">
                  <c:v>59.291999999999994</c:v>
                </c:pt>
                <c:pt idx="3">
                  <c:v>3.645</c:v>
                </c:pt>
                <c:pt idx="4">
                  <c:v>0</c:v>
                </c:pt>
                <c:pt idx="5">
                  <c:v>10.72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70048"/>
        <c:axId val="117971584"/>
      </c:barChart>
      <c:catAx>
        <c:axId val="11797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971584"/>
        <c:crosses val="autoZero"/>
        <c:auto val="1"/>
        <c:lblAlgn val="ctr"/>
        <c:lblOffset val="100"/>
        <c:noMultiLvlLbl val="1"/>
      </c:catAx>
      <c:valAx>
        <c:axId val="117971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9700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costos'!$B$49:$B$54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costos'!$E$49:$E$54</c:f>
              <c:numCache>
                <c:formatCode>0%</c:formatCode>
                <c:ptCount val="6"/>
                <c:pt idx="0">
                  <c:v>0.93470667263770724</c:v>
                </c:pt>
                <c:pt idx="1">
                  <c:v>7.954545454545453E-2</c:v>
                </c:pt>
                <c:pt idx="2">
                  <c:v>-2.0562886597938146</c:v>
                </c:pt>
                <c:pt idx="3">
                  <c:v>0.33727272727272728</c:v>
                </c:pt>
                <c:pt idx="4">
                  <c:v>0</c:v>
                </c:pt>
                <c:pt idx="5">
                  <c:v>0.52355555555555555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83872"/>
        <c:axId val="118026624"/>
      </c:barChart>
      <c:catAx>
        <c:axId val="117983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026624"/>
        <c:crosses val="autoZero"/>
        <c:auto val="1"/>
        <c:lblAlgn val="ctr"/>
        <c:lblOffset val="100"/>
        <c:noMultiLvlLbl val="1"/>
      </c:catAx>
      <c:valAx>
        <c:axId val="118026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9838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costos'!$C$64:$C$69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costos'!$D$64:$D$69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2.4299999999999997</c:v>
                </c:pt>
                <c:pt idx="2">
                  <c:v>18.468</c:v>
                </c:pt>
                <c:pt idx="3">
                  <c:v>5.5890000000000004</c:v>
                </c:pt>
                <c:pt idx="4">
                  <c:v>0</c:v>
                </c:pt>
                <c:pt idx="5">
                  <c:v>12.3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786496"/>
        <c:axId val="117788032"/>
      </c:barChart>
      <c:catAx>
        <c:axId val="117786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788032"/>
        <c:crosses val="autoZero"/>
        <c:auto val="1"/>
        <c:lblAlgn val="ctr"/>
        <c:lblOffset val="100"/>
        <c:noMultiLvlLbl val="1"/>
      </c:catAx>
      <c:valAx>
        <c:axId val="117788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7864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costos'!$B$64:$B$69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costos'!$E$64:$E$69</c:f>
              <c:numCache>
                <c:formatCode>0%</c:formatCode>
                <c:ptCount val="6"/>
                <c:pt idx="0">
                  <c:v>0.92382445141065828</c:v>
                </c:pt>
                <c:pt idx="1">
                  <c:v>0.38636363636363641</c:v>
                </c:pt>
                <c:pt idx="2">
                  <c:v>4.8041237113401997E-2</c:v>
                </c:pt>
                <c:pt idx="3">
                  <c:v>-1.6181818181818255E-2</c:v>
                </c:pt>
                <c:pt idx="4">
                  <c:v>0</c:v>
                </c:pt>
                <c:pt idx="5">
                  <c:v>0.45333333333333331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24896"/>
        <c:axId val="117830784"/>
      </c:barChart>
      <c:catAx>
        <c:axId val="117824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830784"/>
        <c:crosses val="autoZero"/>
        <c:auto val="1"/>
        <c:lblAlgn val="ctr"/>
        <c:lblOffset val="100"/>
        <c:noMultiLvlLbl val="1"/>
      </c:catAx>
      <c:valAx>
        <c:axId val="117830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824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costos'!$C$79:$C$84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costos'!$D$79:$D$84</c:f>
              <c:numCache>
                <c:formatCode>_-\$* #,##0.00_-;"-$"* #,##0.00_-;_-\$* \-??_-;_-@_-</c:formatCode>
                <c:ptCount val="6"/>
                <c:pt idx="0">
                  <c:v>240.08399999999997</c:v>
                </c:pt>
                <c:pt idx="1">
                  <c:v>3.645</c:v>
                </c:pt>
                <c:pt idx="2">
                  <c:v>0</c:v>
                </c:pt>
                <c:pt idx="3">
                  <c:v>9.963000000000001</c:v>
                </c:pt>
                <c:pt idx="4">
                  <c:v>0</c:v>
                </c:pt>
                <c:pt idx="5">
                  <c:v>10.58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60992"/>
        <c:axId val="117879168"/>
      </c:barChart>
      <c:catAx>
        <c:axId val="117860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879168"/>
        <c:crosses val="autoZero"/>
        <c:auto val="1"/>
        <c:lblAlgn val="ctr"/>
        <c:lblOffset val="100"/>
        <c:noMultiLvlLbl val="1"/>
      </c:catAx>
      <c:valAx>
        <c:axId val="117879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8609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esfuerzo'!$C$91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esfuerzo'!$C$92:$C$97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esfuerzo'!$D$91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esfuerzo'!$D$92:$D$97</c:f>
              <c:numCache>
                <c:formatCode>General</c:formatCode>
                <c:ptCount val="6"/>
                <c:pt idx="0">
                  <c:v>15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3232"/>
        <c:axId val="103824768"/>
      </c:barChart>
      <c:catAx>
        <c:axId val="103823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3824768"/>
        <c:crosses val="autoZero"/>
        <c:auto val="1"/>
        <c:lblAlgn val="ctr"/>
        <c:lblOffset val="100"/>
        <c:noMultiLvlLbl val="1"/>
      </c:catAx>
      <c:valAx>
        <c:axId val="103824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38232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costos'!$E$79:$E$84</c:f>
              <c:numCache>
                <c:formatCode>0%</c:formatCode>
                <c:ptCount val="6"/>
                <c:pt idx="0">
                  <c:v>-9.7516345723242264</c:v>
                </c:pt>
                <c:pt idx="1">
                  <c:v>7.954545454545453E-2</c:v>
                </c:pt>
                <c:pt idx="2">
                  <c:v>1</c:v>
                </c:pt>
                <c:pt idx="3">
                  <c:v>-0.81145454545454565</c:v>
                </c:pt>
                <c:pt idx="4">
                  <c:v>0</c:v>
                </c:pt>
                <c:pt idx="5">
                  <c:v>0.52977777777777779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899648"/>
        <c:axId val="117901184"/>
      </c:barChart>
      <c:catAx>
        <c:axId val="117899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901184"/>
        <c:crosses val="autoZero"/>
        <c:auto val="1"/>
        <c:lblAlgn val="ctr"/>
        <c:lblOffset val="100"/>
        <c:noMultiLvlLbl val="1"/>
      </c:catAx>
      <c:valAx>
        <c:axId val="117901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899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costos'!$C$94:$C$99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costos'!$D$94:$D$99</c:f>
              <c:numCache>
                <c:formatCode>_-\$* #,##0.00_-;"-$"* #,##0.00_-;_-\$* \-??_-;_-@_-</c:formatCode>
                <c:ptCount val="6"/>
                <c:pt idx="0">
                  <c:v>3.645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2.38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947776"/>
        <c:axId val="117949568"/>
      </c:barChart>
      <c:catAx>
        <c:axId val="117947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949568"/>
        <c:crosses val="autoZero"/>
        <c:auto val="1"/>
        <c:lblAlgn val="ctr"/>
        <c:lblOffset val="100"/>
        <c:noMultiLvlLbl val="1"/>
      </c:catAx>
      <c:valAx>
        <c:axId val="117949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9477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costos'!$B$94:$B$99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costos'!$E$94:$E$99</c:f>
              <c:numCache>
                <c:formatCode>0%</c:formatCode>
                <c:ptCount val="6"/>
                <c:pt idx="0">
                  <c:v>0.83676668159426781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0</c:v>
                </c:pt>
                <c:pt idx="5">
                  <c:v>0.89422222222222225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14112"/>
        <c:axId val="118315648"/>
      </c:barChart>
      <c:catAx>
        <c:axId val="118314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315648"/>
        <c:crosses val="autoZero"/>
        <c:auto val="1"/>
        <c:lblAlgn val="ctr"/>
        <c:lblOffset val="100"/>
        <c:noMultiLvlLbl val="1"/>
      </c:catAx>
      <c:valAx>
        <c:axId val="118315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3141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costos'!$C$109:$C$114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costos'!$D$109:$D$114</c:f>
              <c:numCache>
                <c:formatCode>_-\$* #,##0.00_-;"-$"* #,##0.00_-;_-\$* \-??_-;_-@_-</c:formatCode>
                <c:ptCount val="6"/>
                <c:pt idx="0">
                  <c:v>4.8599999999999994</c:v>
                </c:pt>
                <c:pt idx="1">
                  <c:v>1.2149999999999999</c:v>
                </c:pt>
                <c:pt idx="2">
                  <c:v>0</c:v>
                </c:pt>
                <c:pt idx="3">
                  <c:v>2.4299999999999997</c:v>
                </c:pt>
                <c:pt idx="4">
                  <c:v>0</c:v>
                </c:pt>
                <c:pt idx="5">
                  <c:v>4.53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00736"/>
        <c:axId val="118101888"/>
      </c:barChart>
      <c:catAx>
        <c:axId val="11810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101888"/>
        <c:crosses val="autoZero"/>
        <c:auto val="1"/>
        <c:lblAlgn val="ctr"/>
        <c:lblOffset val="100"/>
        <c:noMultiLvlLbl val="1"/>
      </c:catAx>
      <c:valAx>
        <c:axId val="118101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1007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costos'!$B$109:$B$114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costos'!$E$109:$E$114</c:f>
              <c:numCache>
                <c:formatCode>0%</c:formatCode>
                <c:ptCount val="6"/>
                <c:pt idx="0">
                  <c:v>0.78235557545902379</c:v>
                </c:pt>
                <c:pt idx="1">
                  <c:v>0.69318181818181823</c:v>
                </c:pt>
                <c:pt idx="2">
                  <c:v>1</c:v>
                </c:pt>
                <c:pt idx="3">
                  <c:v>0.55818181818181822</c:v>
                </c:pt>
                <c:pt idx="4">
                  <c:v>0</c:v>
                </c:pt>
                <c:pt idx="5">
                  <c:v>0.79866666666666664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38752"/>
        <c:axId val="118140288"/>
      </c:barChart>
      <c:catAx>
        <c:axId val="11813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140288"/>
        <c:crosses val="autoZero"/>
        <c:auto val="1"/>
        <c:lblAlgn val="ctr"/>
        <c:lblOffset val="100"/>
        <c:noMultiLvlLbl val="1"/>
      </c:catAx>
      <c:valAx>
        <c:axId val="1181402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1387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costos'!$C$124:$C$129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costos'!$D$124:$D$129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5.3460000000000001</c:v>
                </c:pt>
                <c:pt idx="2">
                  <c:v>0</c:v>
                </c:pt>
                <c:pt idx="3">
                  <c:v>6.5609999999999999</c:v>
                </c:pt>
                <c:pt idx="4">
                  <c:v>0.24299999999999999</c:v>
                </c:pt>
                <c:pt idx="5">
                  <c:v>0.48599999999999999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44480"/>
        <c:axId val="118246016"/>
      </c:barChart>
      <c:catAx>
        <c:axId val="11824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246016"/>
        <c:crosses val="autoZero"/>
        <c:auto val="1"/>
        <c:lblAlgn val="ctr"/>
        <c:lblOffset val="100"/>
        <c:noMultiLvlLbl val="1"/>
      </c:catAx>
      <c:valAx>
        <c:axId val="118246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2444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costos'!$B$124:$B$129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costos'!$E$124:$E$129</c:f>
              <c:numCache>
                <c:formatCode>0%</c:formatCode>
                <c:ptCount val="6"/>
                <c:pt idx="0">
                  <c:v>1</c:v>
                </c:pt>
                <c:pt idx="1">
                  <c:v>-0.35000000000000003</c:v>
                </c:pt>
                <c:pt idx="2">
                  <c:v>0</c:v>
                </c:pt>
                <c:pt idx="3">
                  <c:v>-0.19290909090909089</c:v>
                </c:pt>
                <c:pt idx="4">
                  <c:v>0.99162068965517247</c:v>
                </c:pt>
                <c:pt idx="5">
                  <c:v>0.97839999999999994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82880"/>
        <c:axId val="118288768"/>
      </c:barChart>
      <c:catAx>
        <c:axId val="118282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288768"/>
        <c:crosses val="autoZero"/>
        <c:auto val="1"/>
        <c:lblAlgn val="ctr"/>
        <c:lblOffset val="100"/>
        <c:noMultiLvlLbl val="1"/>
      </c:catAx>
      <c:valAx>
        <c:axId val="118288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282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costos'!$C$139:$C$144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costos'!$D$139:$D$144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187904"/>
        <c:axId val="118189440"/>
      </c:barChart>
      <c:catAx>
        <c:axId val="118187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189440"/>
        <c:crosses val="autoZero"/>
        <c:auto val="1"/>
        <c:lblAlgn val="ctr"/>
        <c:lblOffset val="100"/>
        <c:noMultiLvlLbl val="1"/>
      </c:catAx>
      <c:valAx>
        <c:axId val="118189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187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costos'!$B$139:$B$144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costos'!$E$139:$E$144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0.69022222222222229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18112"/>
        <c:axId val="118957184"/>
      </c:barChart>
      <c:catAx>
        <c:axId val="118218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957184"/>
        <c:crosses val="autoZero"/>
        <c:auto val="1"/>
        <c:lblAlgn val="ctr"/>
        <c:lblOffset val="100"/>
        <c:noMultiLvlLbl val="1"/>
      </c:catAx>
      <c:valAx>
        <c:axId val="118957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2181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costos'!$C$154:$C$159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costos'!$D$154:$D$159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27.459</c:v>
                </c:pt>
                <c:pt idx="5">
                  <c:v>16.29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83296"/>
        <c:axId val="118993280"/>
      </c:barChart>
      <c:catAx>
        <c:axId val="1189832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993280"/>
        <c:crosses val="autoZero"/>
        <c:auto val="1"/>
        <c:lblAlgn val="ctr"/>
        <c:lblOffset val="100"/>
        <c:noMultiLvlLbl val="1"/>
      </c:catAx>
      <c:valAx>
        <c:axId val="1189932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9832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esfuerzo'!$E$91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esfuerzo'!$B$92:$B$97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esfuerzo'!$E$92:$E$97</c:f>
              <c:numCache>
                <c:formatCode>0%</c:formatCode>
                <c:ptCount val="6"/>
                <c:pt idx="0">
                  <c:v>0.70588235294117652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0</c:v>
                </c:pt>
                <c:pt idx="5">
                  <c:v>0.88028169014084512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49344"/>
        <c:axId val="103871616"/>
      </c:barChart>
      <c:catAx>
        <c:axId val="10384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3871616"/>
        <c:crosses val="autoZero"/>
        <c:auto val="1"/>
        <c:lblAlgn val="ctr"/>
        <c:lblOffset val="100"/>
        <c:noMultiLvlLbl val="1"/>
      </c:catAx>
      <c:valAx>
        <c:axId val="103871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38493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costos'!$B$154:$B$159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costos'!$E$154:$E$159</c:f>
              <c:numCache>
                <c:formatCode>0%</c:formatCode>
                <c:ptCount val="6"/>
                <c:pt idx="0">
                  <c:v>0.94558889386475597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5.313793103448277E-2</c:v>
                </c:pt>
                <c:pt idx="5">
                  <c:v>0.27600000000000002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26048"/>
        <c:axId val="119027584"/>
      </c:barChart>
      <c:catAx>
        <c:axId val="11902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027584"/>
        <c:crosses val="autoZero"/>
        <c:auto val="1"/>
        <c:lblAlgn val="ctr"/>
        <c:lblOffset val="100"/>
        <c:noMultiLvlLbl val="1"/>
      </c:catAx>
      <c:valAx>
        <c:axId val="1190275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0260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costos'!$C$167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costos'!$C$168:$C$173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costos'!$D$167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costos'!$D$168:$D$173</c:f>
              <c:numCache>
                <c:formatCode>_-\$* #,##0.00_-;"-$"* #,##0.00_-;_-\$* \-??_-;_-@_-</c:formatCode>
                <c:ptCount val="6"/>
                <c:pt idx="0">
                  <c:v>12.392999999999999</c:v>
                </c:pt>
                <c:pt idx="1">
                  <c:v>50.786999999999999</c:v>
                </c:pt>
                <c:pt idx="2">
                  <c:v>10.449</c:v>
                </c:pt>
                <c:pt idx="3">
                  <c:v>0.97199999999999998</c:v>
                </c:pt>
                <c:pt idx="4">
                  <c:v>0</c:v>
                </c:pt>
                <c:pt idx="5">
                  <c:v>4.8899999999999997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052544"/>
        <c:axId val="118425088"/>
      </c:barChart>
      <c:catAx>
        <c:axId val="119052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425088"/>
        <c:crosses val="autoZero"/>
        <c:auto val="1"/>
        <c:lblAlgn val="ctr"/>
        <c:lblOffset val="100"/>
        <c:noMultiLvlLbl val="1"/>
      </c:catAx>
      <c:valAx>
        <c:axId val="118425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052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costos'!$E$167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costos'!$B$168:$B$173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costos'!$E$168:$E$173</c:f>
              <c:numCache>
                <c:formatCode>0%</c:formatCode>
                <c:ptCount val="6"/>
                <c:pt idx="0">
                  <c:v>0.44500671742051051</c:v>
                </c:pt>
                <c:pt idx="1">
                  <c:v>-11.824999999999999</c:v>
                </c:pt>
                <c:pt idx="2">
                  <c:v>0.46139175257731957</c:v>
                </c:pt>
                <c:pt idx="3">
                  <c:v>0.82327272727272738</c:v>
                </c:pt>
                <c:pt idx="4">
                  <c:v>0</c:v>
                </c:pt>
                <c:pt idx="5">
                  <c:v>0.78266666666666662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57856"/>
        <c:axId val="118459392"/>
      </c:barChart>
      <c:catAx>
        <c:axId val="118457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459392"/>
        <c:crosses val="autoZero"/>
        <c:auto val="1"/>
        <c:lblAlgn val="ctr"/>
        <c:lblOffset val="100"/>
        <c:noMultiLvlLbl val="1"/>
      </c:catAx>
      <c:valAx>
        <c:axId val="118459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457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costos'!$C$181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costos'!$C$182:$C$187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costos'!$D$181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costos'!$D$182:$D$187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26.73</c:v>
                </c:pt>
                <c:pt idx="5">
                  <c:v>6.97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84064"/>
        <c:axId val="118585600"/>
      </c:barChart>
      <c:catAx>
        <c:axId val="11858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585600"/>
        <c:crosses val="autoZero"/>
        <c:auto val="1"/>
        <c:lblAlgn val="ctr"/>
        <c:lblOffset val="100"/>
        <c:noMultiLvlLbl val="1"/>
      </c:catAx>
      <c:valAx>
        <c:axId val="1185856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5840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costos'!$E$181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costos'!$B$182:$B$187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costos'!$E$182:$E$187</c:f>
              <c:numCache>
                <c:formatCode>0%</c:formatCode>
                <c:ptCount val="6"/>
                <c:pt idx="0">
                  <c:v>0.89117778772951184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7.8275862068965502E-2</c:v>
                </c:pt>
                <c:pt idx="5">
                  <c:v>0.69022222222222229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06080"/>
        <c:axId val="118611968"/>
      </c:barChart>
      <c:catAx>
        <c:axId val="118606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611968"/>
        <c:crosses val="autoZero"/>
        <c:auto val="1"/>
        <c:lblAlgn val="ctr"/>
        <c:lblOffset val="100"/>
        <c:noMultiLvlLbl val="1"/>
      </c:catAx>
      <c:valAx>
        <c:axId val="118611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86060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costos'!$C$196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costos'!$C$197:$C$202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costos'!$D$196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costos'!$D$197:$D$202</c:f>
              <c:numCache>
                <c:formatCode>_-\$* #,##0.00_-;"-$"* #,##0.00_-;_-\$* \-??_-;_-@_-</c:formatCode>
                <c:ptCount val="6"/>
                <c:pt idx="0">
                  <c:v>2.9160000000000004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10.449</c:v>
                </c:pt>
                <c:pt idx="5">
                  <c:v>0.36450000000000005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49408"/>
        <c:axId val="119650944"/>
      </c:barChart>
      <c:catAx>
        <c:axId val="119649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50944"/>
        <c:crosses val="autoZero"/>
        <c:auto val="1"/>
        <c:lblAlgn val="ctr"/>
        <c:lblOffset val="100"/>
        <c:noMultiLvlLbl val="1"/>
      </c:catAx>
      <c:valAx>
        <c:axId val="1196509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494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costos'!$E$196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costos'!$B$197:$B$202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costos'!$E$197:$E$202</c:f>
              <c:numCache>
                <c:formatCode>0%</c:formatCode>
                <c:ptCount val="6"/>
                <c:pt idx="0">
                  <c:v>0.86941334527541425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0.63968965517241383</c:v>
                </c:pt>
                <c:pt idx="5">
                  <c:v>0.98380000000000001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667328"/>
        <c:axId val="119677312"/>
      </c:barChart>
      <c:catAx>
        <c:axId val="119667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77312"/>
        <c:crosses val="autoZero"/>
        <c:auto val="1"/>
        <c:lblAlgn val="ctr"/>
        <c:lblOffset val="100"/>
        <c:noMultiLvlLbl val="1"/>
      </c:catAx>
      <c:valAx>
        <c:axId val="119677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6673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costos'!$C$211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costos'!$C$212:$C$217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costos'!$D$211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costos'!$D$212:$D$217</c:f>
              <c:numCache>
                <c:formatCode>_-\$* #,##0.00_-;"-$"* #,##0.00_-;_-\$* \-??_-;_-@_-</c:formatCode>
                <c:ptCount val="6"/>
                <c:pt idx="0">
                  <c:v>0.72900000000000009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1.2149999999999999</c:v>
                </c:pt>
                <c:pt idx="5">
                  <c:v>0.36450000000000005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07520"/>
        <c:axId val="119709056"/>
      </c:barChart>
      <c:catAx>
        <c:axId val="119707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709056"/>
        <c:crosses val="autoZero"/>
        <c:auto val="1"/>
        <c:lblAlgn val="ctr"/>
        <c:lblOffset val="100"/>
        <c:noMultiLvlLbl val="1"/>
      </c:catAx>
      <c:valAx>
        <c:axId val="119709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707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costos'!$E$211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costos'!$B$212:$B$217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costos'!$E$212:$E$217</c:f>
              <c:numCache>
                <c:formatCode>0%</c:formatCode>
                <c:ptCount val="6"/>
                <c:pt idx="0">
                  <c:v>0.96735333631885356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0.95810344827586202</c:v>
                </c:pt>
                <c:pt idx="5">
                  <c:v>0.98380000000000001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69728"/>
        <c:axId val="119371264"/>
      </c:barChart>
      <c:catAx>
        <c:axId val="119369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371264"/>
        <c:crosses val="autoZero"/>
        <c:auto val="1"/>
        <c:lblAlgn val="ctr"/>
        <c:lblOffset val="100"/>
        <c:noMultiLvlLbl val="1"/>
      </c:catAx>
      <c:valAx>
        <c:axId val="119371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3697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costos'!$C$226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costos'!$C$227:$C$232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costos'!$D$226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costos'!$D$227:$D$232</c:f>
              <c:numCache>
                <c:formatCode>_-\$* #,##0.00_-;"-$"* #,##0.00_-;_-\$* \-??_-;_-@_-</c:formatCode>
                <c:ptCount val="6"/>
                <c:pt idx="0">
                  <c:v>146.04300000000001</c:v>
                </c:pt>
                <c:pt idx="1">
                  <c:v>13.850999999999999</c:v>
                </c:pt>
                <c:pt idx="2">
                  <c:v>77.030999999999992</c:v>
                </c:pt>
                <c:pt idx="3">
                  <c:v>2.673</c:v>
                </c:pt>
                <c:pt idx="4">
                  <c:v>0</c:v>
                </c:pt>
                <c:pt idx="5">
                  <c:v>4.49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393280"/>
        <c:axId val="119419648"/>
      </c:barChart>
      <c:catAx>
        <c:axId val="119393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419648"/>
        <c:crosses val="autoZero"/>
        <c:auto val="1"/>
        <c:lblAlgn val="ctr"/>
        <c:lblOffset val="100"/>
        <c:noMultiLvlLbl val="1"/>
      </c:catAx>
      <c:valAx>
        <c:axId val="1194196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393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esfuerzo'!$C$105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esfuerzo'!$C$106:$C$111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esfuerzo'!$D$105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esfuerzo'!$D$106:$D$111</c:f>
              <c:numCache>
                <c:formatCode>General</c:formatCode>
                <c:ptCount val="6"/>
                <c:pt idx="0">
                  <c:v>20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1936"/>
        <c:axId val="104006016"/>
      </c:barChart>
      <c:catAx>
        <c:axId val="103991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006016"/>
        <c:crosses val="autoZero"/>
        <c:auto val="1"/>
        <c:lblAlgn val="ctr"/>
        <c:lblOffset val="100"/>
        <c:noMultiLvlLbl val="1"/>
      </c:catAx>
      <c:valAx>
        <c:axId val="104006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39919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costos'!$E$226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costos'!$B$227:$B$232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costos'!$E$227:$E$232</c:f>
              <c:numCache>
                <c:formatCode>0%</c:formatCode>
                <c:ptCount val="6"/>
                <c:pt idx="0">
                  <c:v>-5.540214957456338</c:v>
                </c:pt>
                <c:pt idx="1">
                  <c:v>-2.4977272727272721</c:v>
                </c:pt>
                <c:pt idx="2">
                  <c:v>-2.9706701030927833</c:v>
                </c:pt>
                <c:pt idx="3">
                  <c:v>0.51400000000000001</c:v>
                </c:pt>
                <c:pt idx="4">
                  <c:v>0</c:v>
                </c:pt>
                <c:pt idx="5">
                  <c:v>0.8004444444444444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440128"/>
        <c:axId val="119441664"/>
      </c:barChart>
      <c:catAx>
        <c:axId val="119440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441664"/>
        <c:crosses val="autoZero"/>
        <c:auto val="1"/>
        <c:lblAlgn val="ctr"/>
        <c:lblOffset val="100"/>
        <c:noMultiLvlLbl val="1"/>
      </c:catAx>
      <c:valAx>
        <c:axId val="119441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4401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costos'!$C$241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costos'!$C$242:$C$247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costos'!$D$241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costos'!$D$242:$D$247</c:f>
              <c:numCache>
                <c:formatCode>_-\$* #,##0.00_-;"-$"* #,##0.00_-;_-\$* \-??_-;_-@_-</c:formatCode>
                <c:ptCount val="6"/>
                <c:pt idx="0">
                  <c:v>3.4020000000000001</c:v>
                </c:pt>
                <c:pt idx="1">
                  <c:v>21.87</c:v>
                </c:pt>
                <c:pt idx="2">
                  <c:v>21.627000000000002</c:v>
                </c:pt>
                <c:pt idx="3">
                  <c:v>1.944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31008"/>
        <c:axId val="121132544"/>
      </c:barChart>
      <c:catAx>
        <c:axId val="12113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132544"/>
        <c:crosses val="autoZero"/>
        <c:auto val="1"/>
        <c:lblAlgn val="ctr"/>
        <c:lblOffset val="100"/>
        <c:noMultiLvlLbl val="1"/>
      </c:catAx>
      <c:valAx>
        <c:axId val="1211325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1310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costos'!$E$241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costos'!$B$242:$B$247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costos'!$E$242:$E$247</c:f>
              <c:numCache>
                <c:formatCode>0%</c:formatCode>
                <c:ptCount val="6"/>
                <c:pt idx="0">
                  <c:v>0.84764890282131655</c:v>
                </c:pt>
                <c:pt idx="1">
                  <c:v>-4.5227272727272725</c:v>
                </c:pt>
                <c:pt idx="2">
                  <c:v>-0.1147938144329899</c:v>
                </c:pt>
                <c:pt idx="3">
                  <c:v>0.64654545454545453</c:v>
                </c:pt>
                <c:pt idx="4">
                  <c:v>0</c:v>
                </c:pt>
                <c:pt idx="5">
                  <c:v>0.92888888888888888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65312"/>
        <c:axId val="121166848"/>
      </c:barChart>
      <c:catAx>
        <c:axId val="121165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166848"/>
        <c:crosses val="autoZero"/>
        <c:auto val="1"/>
        <c:lblAlgn val="ctr"/>
        <c:lblOffset val="100"/>
        <c:noMultiLvlLbl val="1"/>
      </c:catAx>
      <c:valAx>
        <c:axId val="1211668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1653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costos'!$C$256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costos'!$C$257:$C$262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costos'!$D$256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costos'!$D$257:$D$262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2.4299999999999997</c:v>
                </c:pt>
                <c:pt idx="4">
                  <c:v>10.449</c:v>
                </c:pt>
                <c:pt idx="5">
                  <c:v>0.71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05504"/>
        <c:axId val="121207040"/>
      </c:barChart>
      <c:catAx>
        <c:axId val="12120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207040"/>
        <c:crosses val="autoZero"/>
        <c:auto val="1"/>
        <c:lblAlgn val="ctr"/>
        <c:lblOffset val="100"/>
        <c:noMultiLvlLbl val="1"/>
      </c:catAx>
      <c:valAx>
        <c:axId val="121207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2055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costos'!$E$256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costos'!$B$257:$B$262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costos'!$E$257:$E$262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0.55818181818181822</c:v>
                </c:pt>
                <c:pt idx="4">
                  <c:v>0.63968965517241383</c:v>
                </c:pt>
                <c:pt idx="5">
                  <c:v>0.96844444444444444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35712"/>
        <c:axId val="121253888"/>
      </c:barChart>
      <c:catAx>
        <c:axId val="121235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253888"/>
        <c:crosses val="autoZero"/>
        <c:auto val="1"/>
        <c:lblAlgn val="ctr"/>
        <c:lblOffset val="100"/>
        <c:noMultiLvlLbl val="1"/>
      </c:catAx>
      <c:valAx>
        <c:axId val="121253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2357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costos'!$C$271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costos'!$C$272:$C$277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costos'!$D$271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costos'!$D$272:$D$277</c:f>
              <c:numCache>
                <c:formatCode>_-\$* #,##0.00_-;"-$"* #,##0.00_-;_-\$* \-??_-;_-@_-</c:formatCode>
                <c:ptCount val="6"/>
                <c:pt idx="0">
                  <c:v>4.1310000000000002</c:v>
                </c:pt>
                <c:pt idx="1">
                  <c:v>34.506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280000"/>
        <c:axId val="121281536"/>
      </c:barChart>
      <c:catAx>
        <c:axId val="121280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281536"/>
        <c:crosses val="autoZero"/>
        <c:auto val="1"/>
        <c:lblAlgn val="ctr"/>
        <c:lblOffset val="100"/>
        <c:noMultiLvlLbl val="1"/>
      </c:catAx>
      <c:valAx>
        <c:axId val="121281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280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costos'!$E$271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costos'!$B$272:$B$277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costos'!$E$272:$E$277</c:f>
              <c:numCache>
                <c:formatCode>0%</c:formatCode>
                <c:ptCount val="6"/>
                <c:pt idx="0">
                  <c:v>0.81500223914017011</c:v>
                </c:pt>
                <c:pt idx="1">
                  <c:v>-7.7136363636363638</c:v>
                </c:pt>
                <c:pt idx="2">
                  <c:v>1</c:v>
                </c:pt>
                <c:pt idx="3">
                  <c:v>0.77909090909090917</c:v>
                </c:pt>
                <c:pt idx="4">
                  <c:v>0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88032"/>
        <c:axId val="121398016"/>
      </c:barChart>
      <c:catAx>
        <c:axId val="121388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98016"/>
        <c:crosses val="autoZero"/>
        <c:auto val="1"/>
        <c:lblAlgn val="ctr"/>
        <c:lblOffset val="100"/>
        <c:noMultiLvlLbl val="1"/>
      </c:catAx>
      <c:valAx>
        <c:axId val="1213980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880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costos'!$C$286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costos'!$C$287:$C$292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costos'!$D$286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costos'!$D$287:$D$292</c:f>
              <c:numCache>
                <c:formatCode>_-\$* #,##0.00_-;"-$"* #,##0.00_-;_-\$* \-??_-;_-@_-</c:formatCode>
                <c:ptCount val="6"/>
                <c:pt idx="0">
                  <c:v>2.1869999999999998</c:v>
                </c:pt>
                <c:pt idx="1">
                  <c:v>10.206</c:v>
                </c:pt>
                <c:pt idx="2">
                  <c:v>0</c:v>
                </c:pt>
                <c:pt idx="3">
                  <c:v>1.2149999999999999</c:v>
                </c:pt>
                <c:pt idx="4">
                  <c:v>0</c:v>
                </c:pt>
                <c:pt idx="5">
                  <c:v>2.34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3920"/>
        <c:axId val="121319808"/>
      </c:barChart>
      <c:catAx>
        <c:axId val="121313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19808"/>
        <c:crosses val="autoZero"/>
        <c:auto val="1"/>
        <c:lblAlgn val="ctr"/>
        <c:lblOffset val="100"/>
        <c:noMultiLvlLbl val="1"/>
      </c:catAx>
      <c:valAx>
        <c:axId val="1213198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139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costos'!$E$286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costos'!$B$287:$B$292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costos'!$E$287:$E$292</c:f>
              <c:numCache>
                <c:formatCode>0%</c:formatCode>
                <c:ptCount val="6"/>
                <c:pt idx="0">
                  <c:v>0.90206000895656058</c:v>
                </c:pt>
                <c:pt idx="1">
                  <c:v>-1.5772727272727272</c:v>
                </c:pt>
                <c:pt idx="2">
                  <c:v>1</c:v>
                </c:pt>
                <c:pt idx="3">
                  <c:v>0.77909090909090917</c:v>
                </c:pt>
                <c:pt idx="4">
                  <c:v>0</c:v>
                </c:pt>
                <c:pt idx="5">
                  <c:v>0.89600000000000002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40288"/>
        <c:axId val="121341824"/>
      </c:barChart>
      <c:catAx>
        <c:axId val="121340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41824"/>
        <c:crosses val="autoZero"/>
        <c:auto val="1"/>
        <c:lblAlgn val="ctr"/>
        <c:lblOffset val="100"/>
        <c:noMultiLvlLbl val="1"/>
      </c:catAx>
      <c:valAx>
        <c:axId val="121341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340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costos'!$C$301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costos'!$C$302:$C$307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costos'!$D$301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costos'!$D$302:$D$307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12.636000000000001</c:v>
                </c:pt>
                <c:pt idx="2">
                  <c:v>0</c:v>
                </c:pt>
                <c:pt idx="3">
                  <c:v>0.48599999999999999</c:v>
                </c:pt>
                <c:pt idx="4">
                  <c:v>0</c:v>
                </c:pt>
                <c:pt idx="5">
                  <c:v>1.82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868800"/>
        <c:axId val="119874688"/>
      </c:barChart>
      <c:catAx>
        <c:axId val="119868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74688"/>
        <c:crosses val="autoZero"/>
        <c:auto val="1"/>
        <c:lblAlgn val="ctr"/>
        <c:lblOffset val="100"/>
        <c:noMultiLvlLbl val="1"/>
      </c:catAx>
      <c:valAx>
        <c:axId val="119874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868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esfuerzo'!$E$105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esfuerzo'!$B$106:$B$111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esfuerzo'!$E$106:$E$111</c:f>
              <c:numCache>
                <c:formatCode>0%</c:formatCode>
                <c:ptCount val="6"/>
                <c:pt idx="0">
                  <c:v>0.60784313725490191</c:v>
                </c:pt>
                <c:pt idx="1">
                  <c:v>0.8571428571428571</c:v>
                </c:pt>
                <c:pt idx="2">
                  <c:v>1</c:v>
                </c:pt>
                <c:pt idx="3">
                  <c:v>0.56521739130434778</c:v>
                </c:pt>
                <c:pt idx="4">
                  <c:v>0</c:v>
                </c:pt>
                <c:pt idx="5">
                  <c:v>0.8098591549295775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22400"/>
        <c:axId val="104023936"/>
      </c:barChart>
      <c:catAx>
        <c:axId val="104022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023936"/>
        <c:crosses val="autoZero"/>
        <c:auto val="1"/>
        <c:lblAlgn val="ctr"/>
        <c:lblOffset val="100"/>
        <c:noMultiLvlLbl val="1"/>
      </c:catAx>
      <c:valAx>
        <c:axId val="104023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0224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costos'!$E$301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costos'!$B$302:$B$307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costos'!$E$302:$E$307</c:f>
              <c:numCache>
                <c:formatCode>0%</c:formatCode>
                <c:ptCount val="6"/>
                <c:pt idx="0">
                  <c:v>0.98911777877295126</c:v>
                </c:pt>
                <c:pt idx="1">
                  <c:v>-2.1909090909090914</c:v>
                </c:pt>
                <c:pt idx="2">
                  <c:v>1</c:v>
                </c:pt>
                <c:pt idx="3">
                  <c:v>0.91163636363636369</c:v>
                </c:pt>
                <c:pt idx="4">
                  <c:v>0</c:v>
                </c:pt>
                <c:pt idx="5">
                  <c:v>0.9191111111111111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15648"/>
        <c:axId val="119917184"/>
      </c:barChart>
      <c:catAx>
        <c:axId val="119915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17184"/>
        <c:crosses val="autoZero"/>
        <c:auto val="1"/>
        <c:lblAlgn val="ctr"/>
        <c:lblOffset val="100"/>
        <c:noMultiLvlLbl val="1"/>
      </c:catAx>
      <c:valAx>
        <c:axId val="119917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15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costos'!$C$316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costos'!$C$317:$C$322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costos'!$D$316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costos'!$D$317:$D$322</c:f>
              <c:numCache>
                <c:formatCode>_-\$* #,##0.00_-;"-$"* #,##0.00_-;_-\$* \-??_-;_-@_-</c:formatCode>
                <c:ptCount val="6"/>
                <c:pt idx="0">
                  <c:v>8.5050000000000008</c:v>
                </c:pt>
                <c:pt idx="1">
                  <c:v>54.189</c:v>
                </c:pt>
                <c:pt idx="2">
                  <c:v>40.823999999999998</c:v>
                </c:pt>
                <c:pt idx="3">
                  <c:v>0.24299999999999999</c:v>
                </c:pt>
                <c:pt idx="4">
                  <c:v>0</c:v>
                </c:pt>
                <c:pt idx="5">
                  <c:v>8.41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47648"/>
        <c:axId val="119949184"/>
      </c:barChart>
      <c:catAx>
        <c:axId val="11994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49184"/>
        <c:crosses val="autoZero"/>
        <c:auto val="1"/>
        <c:lblAlgn val="ctr"/>
        <c:lblOffset val="100"/>
        <c:noMultiLvlLbl val="1"/>
      </c:catAx>
      <c:valAx>
        <c:axId val="119949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476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costos'!$E$316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costos'!$B$317:$B$322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costos'!$E$317:$E$322</c:f>
              <c:numCache>
                <c:formatCode>0%</c:formatCode>
                <c:ptCount val="6"/>
                <c:pt idx="0">
                  <c:v>0.61912225705329149</c:v>
                </c:pt>
                <c:pt idx="1">
                  <c:v>-12.684090909090909</c:v>
                </c:pt>
                <c:pt idx="2">
                  <c:v>-1.1043298969072166</c:v>
                </c:pt>
                <c:pt idx="3">
                  <c:v>0.95581818181818179</c:v>
                </c:pt>
                <c:pt idx="4">
                  <c:v>0</c:v>
                </c:pt>
                <c:pt idx="5">
                  <c:v>0.62622222222222224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989760"/>
        <c:axId val="119991296"/>
      </c:barChart>
      <c:catAx>
        <c:axId val="119989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91296"/>
        <c:crosses val="autoZero"/>
        <c:auto val="1"/>
        <c:lblAlgn val="ctr"/>
        <c:lblOffset val="100"/>
        <c:noMultiLvlLbl val="1"/>
      </c:catAx>
      <c:valAx>
        <c:axId val="119991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99897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costos'!$C$330:$C$331</c:f>
              <c:strCache>
                <c:ptCount val="1"/>
                <c:pt idx="0">
                  <c:v>P1376 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costos'!$C$332:$C$337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costos'!$D$330:$D$331</c:f>
              <c:strCache>
                <c:ptCount val="1"/>
                <c:pt idx="0">
                  <c:v>P1376 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costos'!$D$332:$D$337</c:f>
              <c:numCache>
                <c:formatCode>_-\$* #,##0.00_-;"-$"* #,##0.00_-;_-\$* \-??_-;_-@_-</c:formatCode>
                <c:ptCount val="6"/>
                <c:pt idx="0">
                  <c:v>5.3460000000000001</c:v>
                </c:pt>
                <c:pt idx="1">
                  <c:v>21.87</c:v>
                </c:pt>
                <c:pt idx="2">
                  <c:v>0</c:v>
                </c:pt>
                <c:pt idx="3">
                  <c:v>14.093999999999999</c:v>
                </c:pt>
                <c:pt idx="4">
                  <c:v>0</c:v>
                </c:pt>
                <c:pt idx="5">
                  <c:v>1.84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37984"/>
        <c:axId val="121739520"/>
      </c:barChart>
      <c:catAx>
        <c:axId val="121737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739520"/>
        <c:crosses val="autoZero"/>
        <c:auto val="1"/>
        <c:lblAlgn val="ctr"/>
        <c:lblOffset val="100"/>
        <c:noMultiLvlLbl val="1"/>
      </c:catAx>
      <c:valAx>
        <c:axId val="121739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7379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costos'!$B$332:$B$337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costos'!$E$332:$E$337</c:f>
              <c:numCache>
                <c:formatCode>0%</c:formatCode>
                <c:ptCount val="6"/>
                <c:pt idx="0">
                  <c:v>0.76059113300492609</c:v>
                </c:pt>
                <c:pt idx="1">
                  <c:v>-4.5227272727272725</c:v>
                </c:pt>
                <c:pt idx="2">
                  <c:v>1</c:v>
                </c:pt>
                <c:pt idx="3">
                  <c:v>-1.5625454545454545</c:v>
                </c:pt>
                <c:pt idx="4">
                  <c:v>0</c:v>
                </c:pt>
                <c:pt idx="5">
                  <c:v>0.91822222222222227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772288"/>
        <c:axId val="121782272"/>
      </c:barChart>
      <c:catAx>
        <c:axId val="121772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782272"/>
        <c:crosses val="autoZero"/>
        <c:auto val="1"/>
        <c:lblAlgn val="ctr"/>
        <c:lblOffset val="100"/>
        <c:noMultiLvlLbl val="1"/>
      </c:catAx>
      <c:valAx>
        <c:axId val="121782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7722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costos'!$C$347:$C$352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costos'!$D$347:$D$352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10.935</c:v>
                </c:pt>
                <c:pt idx="5">
                  <c:v>0.48599999999999999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08384"/>
        <c:axId val="121809920"/>
      </c:barChart>
      <c:catAx>
        <c:axId val="121808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809920"/>
        <c:crosses val="autoZero"/>
        <c:auto val="1"/>
        <c:lblAlgn val="ctr"/>
        <c:lblOffset val="100"/>
        <c:noMultiLvlLbl val="1"/>
      </c:catAx>
      <c:valAx>
        <c:axId val="121809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8083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costos'!$B$347:$B$352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costos'!$E$347:$E$352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0.62293103448275855</c:v>
                </c:pt>
                <c:pt idx="5">
                  <c:v>0.97839999999999994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850880"/>
        <c:axId val="121873152"/>
      </c:barChart>
      <c:catAx>
        <c:axId val="1218508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873152"/>
        <c:crosses val="autoZero"/>
        <c:auto val="1"/>
        <c:lblAlgn val="ctr"/>
        <c:lblOffset val="100"/>
        <c:noMultiLvlLbl val="1"/>
      </c:catAx>
      <c:valAx>
        <c:axId val="1218731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8508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costos'!$C$362:$C$367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costos'!$D$362:$D$367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2.4299999999999997</c:v>
                </c:pt>
                <c:pt idx="2">
                  <c:v>0</c:v>
                </c:pt>
                <c:pt idx="3">
                  <c:v>0</c:v>
                </c:pt>
                <c:pt idx="4">
                  <c:v>36.207000000000001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76704"/>
        <c:axId val="121978240"/>
      </c:barChart>
      <c:catAx>
        <c:axId val="12197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978240"/>
        <c:crosses val="autoZero"/>
        <c:auto val="1"/>
        <c:lblAlgn val="ctr"/>
        <c:lblOffset val="100"/>
        <c:noMultiLvlLbl val="1"/>
      </c:catAx>
      <c:valAx>
        <c:axId val="121978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976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costos'!$B$362:$B$367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costos'!$E$362:$E$367</c:f>
              <c:numCache>
                <c:formatCode>0%</c:formatCode>
                <c:ptCount val="6"/>
                <c:pt idx="0">
                  <c:v>0.98911777877295126</c:v>
                </c:pt>
                <c:pt idx="1">
                  <c:v>0.38636363636363641</c:v>
                </c:pt>
                <c:pt idx="2">
                  <c:v>0</c:v>
                </c:pt>
                <c:pt idx="3">
                  <c:v>1</c:v>
                </c:pt>
                <c:pt idx="4">
                  <c:v>-0.24851724137931036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02816"/>
        <c:axId val="122008704"/>
      </c:barChart>
      <c:catAx>
        <c:axId val="122002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008704"/>
        <c:crosses val="autoZero"/>
        <c:auto val="1"/>
        <c:lblAlgn val="ctr"/>
        <c:lblOffset val="100"/>
        <c:noMultiLvlLbl val="1"/>
      </c:catAx>
      <c:valAx>
        <c:axId val="122008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0028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costos'!$C$375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costos'!$C$376:$C$381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costos'!$D$375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costos'!$D$376:$D$381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2.9160000000000004</c:v>
                </c:pt>
                <c:pt idx="2">
                  <c:v>0</c:v>
                </c:pt>
                <c:pt idx="3">
                  <c:v>0</c:v>
                </c:pt>
                <c:pt idx="4">
                  <c:v>10.692</c:v>
                </c:pt>
                <c:pt idx="5">
                  <c:v>0.97199999999999998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47104"/>
        <c:axId val="122057088"/>
      </c:barChart>
      <c:catAx>
        <c:axId val="122047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057088"/>
        <c:crosses val="autoZero"/>
        <c:auto val="1"/>
        <c:lblAlgn val="ctr"/>
        <c:lblOffset val="100"/>
        <c:noMultiLvlLbl val="1"/>
      </c:catAx>
      <c:valAx>
        <c:axId val="122057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0471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esfuerzo'!$C$120:$C$125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esfuerzo'!$D$120:$D$125</c:f>
              <c:numCache>
                <c:formatCode>General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27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66432"/>
        <c:axId val="104068224"/>
      </c:barChart>
      <c:catAx>
        <c:axId val="104066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068224"/>
        <c:crosses val="autoZero"/>
        <c:auto val="1"/>
        <c:lblAlgn val="ctr"/>
        <c:lblOffset val="100"/>
        <c:noMultiLvlLbl val="1"/>
      </c:catAx>
      <c:valAx>
        <c:axId val="1040682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4066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costos'!$E$375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costos'!$B$376:$B$381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costos'!$E$376:$E$381</c:f>
              <c:numCache>
                <c:formatCode>0%</c:formatCode>
                <c:ptCount val="6"/>
                <c:pt idx="0">
                  <c:v>0.94558889386475597</c:v>
                </c:pt>
                <c:pt idx="1">
                  <c:v>0.26363636363636356</c:v>
                </c:pt>
                <c:pt idx="2">
                  <c:v>0</c:v>
                </c:pt>
                <c:pt idx="3">
                  <c:v>1</c:v>
                </c:pt>
                <c:pt idx="4">
                  <c:v>0.63131034482758619</c:v>
                </c:pt>
                <c:pt idx="5">
                  <c:v>0.95679999999999998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073472"/>
        <c:axId val="122075008"/>
      </c:barChart>
      <c:catAx>
        <c:axId val="122073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075008"/>
        <c:crosses val="autoZero"/>
        <c:auto val="1"/>
        <c:lblAlgn val="ctr"/>
        <c:lblOffset val="100"/>
        <c:noMultiLvlLbl val="1"/>
      </c:catAx>
      <c:valAx>
        <c:axId val="122075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0734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costos'!$C$390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costos'!$C$391:$C$396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costos'!$D$390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costos'!$D$391:$D$396</c:f>
              <c:numCache>
                <c:formatCode>_-\$* #,##0.00_-;"-$"* #,##0.00_-;_-\$* \-??_-;_-@_-</c:formatCode>
                <c:ptCount val="6"/>
                <c:pt idx="0">
                  <c:v>25.515000000000001</c:v>
                </c:pt>
                <c:pt idx="1">
                  <c:v>24.785999999999998</c:v>
                </c:pt>
                <c:pt idx="2">
                  <c:v>0</c:v>
                </c:pt>
                <c:pt idx="3">
                  <c:v>1.2149999999999999</c:v>
                </c:pt>
                <c:pt idx="4">
                  <c:v>60.507000000000005</c:v>
                </c:pt>
                <c:pt idx="5">
                  <c:v>0.78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42080"/>
        <c:axId val="122147968"/>
      </c:barChart>
      <c:catAx>
        <c:axId val="122142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147968"/>
        <c:crosses val="autoZero"/>
        <c:auto val="1"/>
        <c:lblAlgn val="ctr"/>
        <c:lblOffset val="100"/>
        <c:noMultiLvlLbl val="1"/>
      </c:catAx>
      <c:valAx>
        <c:axId val="122147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1420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costos'!$E$390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costos'!$B$391:$B$396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costos'!$E$391:$E$396</c:f>
              <c:numCache>
                <c:formatCode>0%</c:formatCode>
                <c:ptCount val="6"/>
                <c:pt idx="0">
                  <c:v>-0.1426332288401255</c:v>
                </c:pt>
                <c:pt idx="1">
                  <c:v>-5.2590909090909079</c:v>
                </c:pt>
                <c:pt idx="2">
                  <c:v>0</c:v>
                </c:pt>
                <c:pt idx="3">
                  <c:v>0.77909090909090917</c:v>
                </c:pt>
                <c:pt idx="4">
                  <c:v>-1.086448275862069</c:v>
                </c:pt>
                <c:pt idx="5">
                  <c:v>0.96533333333333327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72544"/>
        <c:axId val="122174080"/>
      </c:barChart>
      <c:catAx>
        <c:axId val="122172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174080"/>
        <c:crosses val="autoZero"/>
        <c:auto val="1"/>
        <c:lblAlgn val="ctr"/>
        <c:lblOffset val="100"/>
        <c:noMultiLvlLbl val="1"/>
      </c:catAx>
      <c:valAx>
        <c:axId val="122174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172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costos'!$C$405:$C$410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costos'!$D$405:$D$410</c:f>
              <c:numCache>
                <c:formatCode>_-\$* #,##0.00_-;"-$"* #,##0.00_-;_-\$* \-??_-;_-@_-</c:formatCode>
                <c:ptCount val="6"/>
                <c:pt idx="0">
                  <c:v>568.62</c:v>
                </c:pt>
                <c:pt idx="1">
                  <c:v>962.28</c:v>
                </c:pt>
                <c:pt idx="2">
                  <c:v>0</c:v>
                </c:pt>
                <c:pt idx="3">
                  <c:v>1.4580000000000002</c:v>
                </c:pt>
                <c:pt idx="4">
                  <c:v>41.553000000000004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20928"/>
        <c:axId val="122222464"/>
      </c:barChart>
      <c:catAx>
        <c:axId val="12222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222464"/>
        <c:crosses val="autoZero"/>
        <c:auto val="1"/>
        <c:lblAlgn val="ctr"/>
        <c:lblOffset val="100"/>
        <c:noMultiLvlLbl val="1"/>
      </c:catAx>
      <c:valAx>
        <c:axId val="122222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22209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costos'!$B$405:$B$410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costos'!$E$405:$E$410</c:f>
              <c:numCache>
                <c:formatCode>0%</c:formatCode>
                <c:ptCount val="6"/>
                <c:pt idx="0">
                  <c:v>-24.464397671294222</c:v>
                </c:pt>
                <c:pt idx="1">
                  <c:v>-242</c:v>
                </c:pt>
                <c:pt idx="2">
                  <c:v>0</c:v>
                </c:pt>
                <c:pt idx="3">
                  <c:v>0.73490909090909085</c:v>
                </c:pt>
                <c:pt idx="4">
                  <c:v>-0.43286206896551738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456512"/>
        <c:axId val="121458048"/>
      </c:barChart>
      <c:catAx>
        <c:axId val="1214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458048"/>
        <c:crosses val="autoZero"/>
        <c:auto val="1"/>
        <c:lblAlgn val="ctr"/>
        <c:lblOffset val="100"/>
        <c:noMultiLvlLbl val="1"/>
      </c:catAx>
      <c:valAx>
        <c:axId val="121458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456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costos'!$C$420:$C$425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costos'!$D$420:$D$425</c:f>
              <c:numCache>
                <c:formatCode>_-\$* #,##0.00_-;"-$"* #,##0.00_-;_-\$* \-??_-;_-@_-</c:formatCode>
                <c:ptCount val="6"/>
                <c:pt idx="0">
                  <c:v>0</c:v>
                </c:pt>
                <c:pt idx="1">
                  <c:v>4.3739999999999997</c:v>
                </c:pt>
                <c:pt idx="2">
                  <c:v>0</c:v>
                </c:pt>
                <c:pt idx="3">
                  <c:v>0.24299999999999999</c:v>
                </c:pt>
                <c:pt idx="4">
                  <c:v>21.87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08992"/>
        <c:axId val="121510528"/>
      </c:barChart>
      <c:catAx>
        <c:axId val="1215089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10528"/>
        <c:crosses val="autoZero"/>
        <c:auto val="1"/>
        <c:lblAlgn val="ctr"/>
        <c:lblOffset val="100"/>
        <c:noMultiLvlLbl val="1"/>
      </c:catAx>
      <c:valAx>
        <c:axId val="121510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089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costos'!$B$420:$B$425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costos'!$E$420:$E$425</c:f>
              <c:numCache>
                <c:formatCode>0%</c:formatCode>
                <c:ptCount val="6"/>
                <c:pt idx="0">
                  <c:v>1</c:v>
                </c:pt>
                <c:pt idx="1">
                  <c:v>-0.10454545454545447</c:v>
                </c:pt>
                <c:pt idx="2">
                  <c:v>0</c:v>
                </c:pt>
                <c:pt idx="3">
                  <c:v>0.95581818181818179</c:v>
                </c:pt>
                <c:pt idx="4">
                  <c:v>0.24586206896551721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35488"/>
        <c:axId val="121545472"/>
      </c:barChart>
      <c:catAx>
        <c:axId val="1215354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45472"/>
        <c:crosses val="autoZero"/>
        <c:auto val="1"/>
        <c:lblAlgn val="ctr"/>
        <c:lblOffset val="100"/>
        <c:noMultiLvlLbl val="1"/>
      </c:catAx>
      <c:valAx>
        <c:axId val="1215454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53548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costos'!$C$435:$C$440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costos'!$D$435:$D$440</c:f>
              <c:numCache>
                <c:formatCode>_-\$* #,##0.00_-;"-$"* #,##0.00_-;_-\$* \-??_-;_-@_-</c:formatCode>
                <c:ptCount val="6"/>
                <c:pt idx="0">
                  <c:v>1.4580000000000002</c:v>
                </c:pt>
                <c:pt idx="1">
                  <c:v>0.72900000000000009</c:v>
                </c:pt>
                <c:pt idx="2">
                  <c:v>0</c:v>
                </c:pt>
                <c:pt idx="3">
                  <c:v>2.9160000000000004</c:v>
                </c:pt>
                <c:pt idx="4">
                  <c:v>0</c:v>
                </c:pt>
                <c:pt idx="5">
                  <c:v>4.37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57600"/>
        <c:axId val="121671680"/>
      </c:barChart>
      <c:catAx>
        <c:axId val="121657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671680"/>
        <c:crosses val="autoZero"/>
        <c:auto val="1"/>
        <c:lblAlgn val="ctr"/>
        <c:lblOffset val="100"/>
        <c:noMultiLvlLbl val="1"/>
      </c:catAx>
      <c:valAx>
        <c:axId val="121671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16576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costos'!$B$435:$B$440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costos'!$E$435:$E$440</c:f>
              <c:numCache>
                <c:formatCode>0%</c:formatCode>
                <c:ptCount val="6"/>
                <c:pt idx="0">
                  <c:v>0.93470667263770724</c:v>
                </c:pt>
                <c:pt idx="1">
                  <c:v>0.81590909090909092</c:v>
                </c:pt>
                <c:pt idx="2">
                  <c:v>1</c:v>
                </c:pt>
                <c:pt idx="3">
                  <c:v>0.46981818181818175</c:v>
                </c:pt>
                <c:pt idx="4">
                  <c:v>0</c:v>
                </c:pt>
                <c:pt idx="5">
                  <c:v>0.8057777777777777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66432"/>
        <c:axId val="123667968"/>
      </c:barChart>
      <c:catAx>
        <c:axId val="123666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667968"/>
        <c:crosses val="autoZero"/>
        <c:auto val="1"/>
        <c:lblAlgn val="ctr"/>
        <c:lblOffset val="100"/>
        <c:noMultiLvlLbl val="1"/>
      </c:catAx>
      <c:valAx>
        <c:axId val="123667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666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costos'!$C$449:$C$454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costos'!$D$449:$D$454</c:f>
              <c:numCache>
                <c:formatCode>_-\$* #,##0.00_-;"-$"* #,##0.00_-;_-\$* \-??_-;_-@_-</c:formatCode>
                <c:ptCount val="6"/>
                <c:pt idx="0">
                  <c:v>0.48599999999999999</c:v>
                </c:pt>
                <c:pt idx="1">
                  <c:v>0.72900000000000009</c:v>
                </c:pt>
                <c:pt idx="2">
                  <c:v>0</c:v>
                </c:pt>
                <c:pt idx="3">
                  <c:v>3.1590000000000003</c:v>
                </c:pt>
                <c:pt idx="4">
                  <c:v>0</c:v>
                </c:pt>
                <c:pt idx="5">
                  <c:v>2.29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02272"/>
        <c:axId val="123708160"/>
      </c:barChart>
      <c:catAx>
        <c:axId val="1237022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708160"/>
        <c:crosses val="autoZero"/>
        <c:auto val="1"/>
        <c:lblAlgn val="ctr"/>
        <c:lblOffset val="100"/>
        <c:noMultiLvlLbl val="1"/>
      </c:catAx>
      <c:valAx>
        <c:axId val="1237081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7022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esfuerzo'!$B$120:$B$125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esfuerzo'!$E$120:$E$125</c:f>
              <c:numCache>
                <c:formatCode>0%</c:formatCode>
                <c:ptCount val="6"/>
                <c:pt idx="0">
                  <c:v>1</c:v>
                </c:pt>
                <c:pt idx="1">
                  <c:v>0.37142857142857144</c:v>
                </c:pt>
                <c:pt idx="2">
                  <c:v>0</c:v>
                </c:pt>
                <c:pt idx="3">
                  <c:v>-0.17391304347826086</c:v>
                </c:pt>
                <c:pt idx="4">
                  <c:v>0.98888888888888893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64800"/>
        <c:axId val="107166336"/>
      </c:barChart>
      <c:catAx>
        <c:axId val="10716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166336"/>
        <c:crosses val="autoZero"/>
        <c:auto val="1"/>
        <c:lblAlgn val="ctr"/>
        <c:lblOffset val="100"/>
        <c:noMultiLvlLbl val="1"/>
      </c:catAx>
      <c:valAx>
        <c:axId val="1071663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164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costos'!$B$449:$B$454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costos'!$E$449:$E$454</c:f>
              <c:numCache>
                <c:formatCode>0%</c:formatCode>
                <c:ptCount val="6"/>
                <c:pt idx="0">
                  <c:v>0.9782355575459023</c:v>
                </c:pt>
                <c:pt idx="1">
                  <c:v>0.81590909090909092</c:v>
                </c:pt>
                <c:pt idx="2">
                  <c:v>1</c:v>
                </c:pt>
                <c:pt idx="3">
                  <c:v>0.42563636363636359</c:v>
                </c:pt>
                <c:pt idx="4">
                  <c:v>0</c:v>
                </c:pt>
                <c:pt idx="5">
                  <c:v>0.89822222222222226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40928"/>
        <c:axId val="123742464"/>
      </c:barChart>
      <c:catAx>
        <c:axId val="123740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742464"/>
        <c:crosses val="autoZero"/>
        <c:auto val="1"/>
        <c:lblAlgn val="ctr"/>
        <c:lblOffset val="100"/>
        <c:noMultiLvlLbl val="1"/>
      </c:catAx>
      <c:valAx>
        <c:axId val="123742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7409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costos'!$C$465:$C$470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costos'!$D$465:$D$470</c:f>
              <c:numCache>
                <c:formatCode>_-\$* #,##0.00_-;"-$"* #,##0.00_-;_-\$* \-??_-;_-@_-</c:formatCode>
                <c:ptCount val="6"/>
                <c:pt idx="0">
                  <c:v>13.365</c:v>
                </c:pt>
                <c:pt idx="1">
                  <c:v>0</c:v>
                </c:pt>
                <c:pt idx="2">
                  <c:v>9.963000000000001</c:v>
                </c:pt>
                <c:pt idx="3">
                  <c:v>0.97199999999999998</c:v>
                </c:pt>
                <c:pt idx="4">
                  <c:v>9.4770000000000003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72928"/>
        <c:axId val="123774464"/>
      </c:barChart>
      <c:catAx>
        <c:axId val="1237729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774464"/>
        <c:crosses val="autoZero"/>
        <c:auto val="1"/>
        <c:lblAlgn val="ctr"/>
        <c:lblOffset val="100"/>
        <c:noMultiLvlLbl val="1"/>
      </c:catAx>
      <c:valAx>
        <c:axId val="123774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7729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costos'!$B$465:$B$470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costos'!$E$465:$E$470</c:f>
              <c:numCache>
                <c:formatCode>0%</c:formatCode>
                <c:ptCount val="6"/>
                <c:pt idx="0">
                  <c:v>0.40147783251231522</c:v>
                </c:pt>
                <c:pt idx="1">
                  <c:v>1</c:v>
                </c:pt>
                <c:pt idx="2">
                  <c:v>0.48644329896907207</c:v>
                </c:pt>
                <c:pt idx="3">
                  <c:v>0.82327272727272738</c:v>
                </c:pt>
                <c:pt idx="4">
                  <c:v>0.67320689655172417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11328"/>
        <c:axId val="123812864"/>
      </c:barChart>
      <c:catAx>
        <c:axId val="123811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812864"/>
        <c:crosses val="autoZero"/>
        <c:auto val="1"/>
        <c:lblAlgn val="ctr"/>
        <c:lblOffset val="100"/>
        <c:noMultiLvlLbl val="1"/>
      </c:catAx>
      <c:valAx>
        <c:axId val="1238128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8113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costos'!$C$479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costos'!$C$480:$C$485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costos'!$D$479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costos'!$D$480:$D$485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0.48599999999999999</c:v>
                </c:pt>
                <c:pt idx="2">
                  <c:v>0</c:v>
                </c:pt>
                <c:pt idx="3">
                  <c:v>0.97199999999999998</c:v>
                </c:pt>
                <c:pt idx="4">
                  <c:v>0</c:v>
                </c:pt>
                <c:pt idx="5">
                  <c:v>1.42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33440"/>
        <c:axId val="123934976"/>
      </c:barChart>
      <c:catAx>
        <c:axId val="123933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934976"/>
        <c:crosses val="autoZero"/>
        <c:auto val="1"/>
        <c:lblAlgn val="ctr"/>
        <c:lblOffset val="100"/>
        <c:noMultiLvlLbl val="1"/>
      </c:catAx>
      <c:valAx>
        <c:axId val="123934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9334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costos'!$E$479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costos'!$B$480:$B$485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costos'!$E$480:$E$485</c:f>
              <c:numCache>
                <c:formatCode>0%</c:formatCode>
                <c:ptCount val="6"/>
                <c:pt idx="0">
                  <c:v>0.94558889386475597</c:v>
                </c:pt>
                <c:pt idx="1">
                  <c:v>0.87727272727272732</c:v>
                </c:pt>
                <c:pt idx="2">
                  <c:v>1</c:v>
                </c:pt>
                <c:pt idx="3">
                  <c:v>0.82327272727272738</c:v>
                </c:pt>
                <c:pt idx="4">
                  <c:v>0</c:v>
                </c:pt>
                <c:pt idx="5">
                  <c:v>0.93688888888888877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59552"/>
        <c:axId val="123965440"/>
      </c:barChart>
      <c:catAx>
        <c:axId val="12395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965440"/>
        <c:crosses val="autoZero"/>
        <c:auto val="1"/>
        <c:lblAlgn val="ctr"/>
        <c:lblOffset val="100"/>
        <c:noMultiLvlLbl val="1"/>
      </c:catAx>
      <c:valAx>
        <c:axId val="123965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9595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costos'!$C$493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costos'!$C$494:$C$499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costos'!$D$493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costos'!$D$494:$D$499</c:f>
              <c:numCache>
                <c:formatCode>_-\$* #,##0.00_-;"-$"* #,##0.00_-;_-\$* \-??_-;_-@_-</c:formatCode>
                <c:ptCount val="6"/>
                <c:pt idx="0">
                  <c:v>24.542999999999999</c:v>
                </c:pt>
                <c:pt idx="1">
                  <c:v>4.8599999999999994</c:v>
                </c:pt>
                <c:pt idx="2">
                  <c:v>0</c:v>
                </c:pt>
                <c:pt idx="3">
                  <c:v>2.9160000000000004</c:v>
                </c:pt>
                <c:pt idx="4">
                  <c:v>265.84200000000004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20224"/>
        <c:axId val="124021760"/>
      </c:barChart>
      <c:catAx>
        <c:axId val="124020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021760"/>
        <c:crosses val="autoZero"/>
        <c:auto val="1"/>
        <c:lblAlgn val="ctr"/>
        <c:lblOffset val="100"/>
        <c:noMultiLvlLbl val="1"/>
      </c:catAx>
      <c:valAx>
        <c:axId val="124021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0202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costos'!$E$493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costos'!$B$494:$B$499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costos'!$E$494:$E$499</c:f>
              <c:numCache>
                <c:formatCode>0%</c:formatCode>
                <c:ptCount val="6"/>
                <c:pt idx="0">
                  <c:v>-9.9104343931930183E-2</c:v>
                </c:pt>
                <c:pt idx="1">
                  <c:v>-0.22727272727272713</c:v>
                </c:pt>
                <c:pt idx="2">
                  <c:v>0</c:v>
                </c:pt>
                <c:pt idx="3">
                  <c:v>0.46981818181818175</c:v>
                </c:pt>
                <c:pt idx="4">
                  <c:v>-8.1669655172413815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42240"/>
        <c:axId val="124064512"/>
      </c:barChart>
      <c:catAx>
        <c:axId val="12404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064512"/>
        <c:crosses val="autoZero"/>
        <c:auto val="1"/>
        <c:lblAlgn val="ctr"/>
        <c:lblOffset val="100"/>
        <c:noMultiLvlLbl val="1"/>
      </c:catAx>
      <c:valAx>
        <c:axId val="1240645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0422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costos'!$C$509:$C$514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costos'!$D$509:$D$514</c:f>
              <c:numCache>
                <c:formatCode>_-\$* #,##0.00_-;"-$"* #,##0.00_-;_-\$* \-??_-;_-@_-</c:formatCode>
                <c:ptCount val="6"/>
                <c:pt idx="0">
                  <c:v>1.7010000000000001</c:v>
                </c:pt>
                <c:pt idx="1">
                  <c:v>1.2149999999999999</c:v>
                </c:pt>
                <c:pt idx="2">
                  <c:v>24.542999999999999</c:v>
                </c:pt>
                <c:pt idx="3">
                  <c:v>1322.163</c:v>
                </c:pt>
                <c:pt idx="4">
                  <c:v>0</c:v>
                </c:pt>
                <c:pt idx="5">
                  <c:v>1.6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98816"/>
        <c:axId val="124104704"/>
      </c:barChart>
      <c:catAx>
        <c:axId val="124098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104704"/>
        <c:crosses val="autoZero"/>
        <c:auto val="1"/>
        <c:lblAlgn val="ctr"/>
        <c:lblOffset val="100"/>
        <c:noMultiLvlLbl val="1"/>
      </c:catAx>
      <c:valAx>
        <c:axId val="124104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0988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costos'!$B$509:$B$514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costos'!$E$509:$E$514</c:f>
              <c:numCache>
                <c:formatCode>0%</c:formatCode>
                <c:ptCount val="6"/>
                <c:pt idx="0">
                  <c:v>0.92382445141065828</c:v>
                </c:pt>
                <c:pt idx="1">
                  <c:v>0.69318181818181823</c:v>
                </c:pt>
                <c:pt idx="2">
                  <c:v>-0.26510309278350519</c:v>
                </c:pt>
                <c:pt idx="3">
                  <c:v>-239.39327272727272</c:v>
                </c:pt>
                <c:pt idx="4">
                  <c:v>0</c:v>
                </c:pt>
                <c:pt idx="5">
                  <c:v>0.92888888888888888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07744"/>
        <c:axId val="123413632"/>
      </c:barChart>
      <c:catAx>
        <c:axId val="12340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413632"/>
        <c:crosses val="autoZero"/>
        <c:auto val="1"/>
        <c:lblAlgn val="ctr"/>
        <c:lblOffset val="100"/>
        <c:noMultiLvlLbl val="1"/>
      </c:catAx>
      <c:valAx>
        <c:axId val="1234136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4077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costos'!$C$522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costos'!$C$523:$C$528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0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costos'!$D$522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costos'!$D$523:$D$528</c:f>
              <c:numCache>
                <c:formatCode>_-\$* #,##0.00_-;"-$"* #,##0.00_-;_-\$* \-??_-;_-@_-</c:formatCode>
                <c:ptCount val="6"/>
                <c:pt idx="0">
                  <c:v>8.0190000000000001</c:v>
                </c:pt>
                <c:pt idx="1">
                  <c:v>13.608000000000001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0.72900000000000009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47936"/>
        <c:axId val="123466112"/>
      </c:barChart>
      <c:catAx>
        <c:axId val="123447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466112"/>
        <c:crosses val="autoZero"/>
        <c:auto val="1"/>
        <c:lblAlgn val="ctr"/>
        <c:lblOffset val="100"/>
        <c:noMultiLvlLbl val="1"/>
      </c:catAx>
      <c:valAx>
        <c:axId val="1234661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4479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esfuerzo'!$C$134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esfuerzo'!$C$135:$C$140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esfuerzo'!$D$134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esfuerzo'!$D$135:$D$140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02432"/>
        <c:axId val="108803968"/>
      </c:barChart>
      <c:catAx>
        <c:axId val="108802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803968"/>
        <c:crosses val="autoZero"/>
        <c:auto val="1"/>
        <c:lblAlgn val="ctr"/>
        <c:lblOffset val="100"/>
        <c:noMultiLvlLbl val="1"/>
      </c:catAx>
      <c:valAx>
        <c:axId val="1088039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80243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costos'!$E$522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costos'!$B$523:$B$528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costos'!$E$523:$E$528</c:f>
              <c:numCache>
                <c:formatCode>0%</c:formatCode>
                <c:ptCount val="6"/>
                <c:pt idx="0">
                  <c:v>0.64088669950738908</c:v>
                </c:pt>
                <c:pt idx="1">
                  <c:v>-2.4363636363636365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0.96760000000000002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494784"/>
        <c:axId val="123496320"/>
      </c:barChart>
      <c:catAx>
        <c:axId val="123494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496320"/>
        <c:crosses val="autoZero"/>
        <c:auto val="1"/>
        <c:lblAlgn val="ctr"/>
        <c:lblOffset val="100"/>
        <c:noMultiLvlLbl val="1"/>
      </c:catAx>
      <c:valAx>
        <c:axId val="1234963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4947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costos'!$C$539:$C$544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0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costos'!$D$539:$D$544</c:f>
              <c:numCache>
                <c:formatCode>_-\$* #,##0.00_-;"-$"* #,##0.00_-;_-\$* \-??_-;_-@_-</c:formatCode>
                <c:ptCount val="6"/>
                <c:pt idx="0">
                  <c:v>1.944</c:v>
                </c:pt>
                <c:pt idx="1">
                  <c:v>0.72900000000000009</c:v>
                </c:pt>
                <c:pt idx="2">
                  <c:v>0</c:v>
                </c:pt>
                <c:pt idx="3">
                  <c:v>0</c:v>
                </c:pt>
                <c:pt idx="4">
                  <c:v>41.31</c:v>
                </c:pt>
                <c:pt idx="5">
                  <c:v>0.85050000000000003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26528"/>
        <c:axId val="123532416"/>
      </c:barChart>
      <c:catAx>
        <c:axId val="123526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532416"/>
        <c:crosses val="autoZero"/>
        <c:auto val="1"/>
        <c:lblAlgn val="ctr"/>
        <c:lblOffset val="100"/>
        <c:noMultiLvlLbl val="1"/>
      </c:catAx>
      <c:valAx>
        <c:axId val="1235324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5265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costos'!$B$539:$B$544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costos'!$E$539:$E$544</c:f>
              <c:numCache>
                <c:formatCode>0%</c:formatCode>
                <c:ptCount val="6"/>
                <c:pt idx="0">
                  <c:v>0.91294223018360954</c:v>
                </c:pt>
                <c:pt idx="1">
                  <c:v>0.81590909090909092</c:v>
                </c:pt>
                <c:pt idx="2">
                  <c:v>0</c:v>
                </c:pt>
                <c:pt idx="3">
                  <c:v>1</c:v>
                </c:pt>
                <c:pt idx="4">
                  <c:v>-0.42448275862068974</c:v>
                </c:pt>
                <c:pt idx="5">
                  <c:v>0.96219999999999994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73376"/>
        <c:axId val="123574912"/>
      </c:barChart>
      <c:catAx>
        <c:axId val="123573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574912"/>
        <c:crosses val="autoZero"/>
        <c:auto val="1"/>
        <c:lblAlgn val="ctr"/>
        <c:lblOffset val="100"/>
        <c:noMultiLvlLbl val="1"/>
      </c:catAx>
      <c:valAx>
        <c:axId val="1235749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35733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costos'!$C$5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costos'!$C$6:$C$11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costos'!$D$5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costos'!$D$6:$D$11</c:f>
              <c:numCache>
                <c:formatCode>_-\$* #,##0.00_-;"-$"* #,##0.00_-;_-\$* \-??_-;_-@_-</c:formatCode>
                <c:ptCount val="6"/>
                <c:pt idx="0">
                  <c:v>47.4</c:v>
                </c:pt>
                <c:pt idx="1">
                  <c:v>0</c:v>
                </c:pt>
                <c:pt idx="2">
                  <c:v>10.94</c:v>
                </c:pt>
                <c:pt idx="3">
                  <c:v>35.700000000000003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1440"/>
        <c:axId val="124462976"/>
      </c:barChart>
      <c:catAx>
        <c:axId val="124461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462976"/>
        <c:crosses val="autoZero"/>
        <c:auto val="1"/>
        <c:lblAlgn val="ctr"/>
        <c:lblOffset val="100"/>
        <c:noMultiLvlLbl val="1"/>
      </c:catAx>
      <c:valAx>
        <c:axId val="124462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4614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costos'!$E$5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costos'!$B$6:$B$11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costos'!$E$6:$E$11</c:f>
              <c:numCache>
                <c:formatCode>0%</c:formatCode>
                <c:ptCount val="6"/>
                <c:pt idx="0">
                  <c:v>-1.1227048813255711</c:v>
                </c:pt>
                <c:pt idx="1">
                  <c:v>1</c:v>
                </c:pt>
                <c:pt idx="2">
                  <c:v>0.43608247422680413</c:v>
                </c:pt>
                <c:pt idx="3">
                  <c:v>-5.4909090909090912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99840"/>
        <c:axId val="124501376"/>
      </c:barChart>
      <c:catAx>
        <c:axId val="124499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501376"/>
        <c:crosses val="autoZero"/>
        <c:auto val="1"/>
        <c:lblAlgn val="ctr"/>
        <c:lblOffset val="100"/>
        <c:noMultiLvlLbl val="1"/>
      </c:catAx>
      <c:valAx>
        <c:axId val="1245013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4998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costos'!$C$553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costos'!$B$554:$B$559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costos'!$C$554:$C$559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costos'!$D$553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costos'!$B$554:$B$559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costos'!$D$554:$D$559</c:f>
              <c:numCache>
                <c:formatCode>_-\$* #,##0.00_-;"-$"* #,##0.00_-;_-\$* \-??_-;_-@_-</c:formatCode>
                <c:ptCount val="6"/>
                <c:pt idx="0">
                  <c:v>114.696</c:v>
                </c:pt>
                <c:pt idx="1">
                  <c:v>4.617</c:v>
                </c:pt>
                <c:pt idx="2">
                  <c:v>0</c:v>
                </c:pt>
                <c:pt idx="3">
                  <c:v>1.944</c:v>
                </c:pt>
                <c:pt idx="4">
                  <c:v>0</c:v>
                </c:pt>
                <c:pt idx="5">
                  <c:v>0.24299999999999999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05408"/>
        <c:axId val="188306944"/>
      </c:barChart>
      <c:catAx>
        <c:axId val="188305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306944"/>
        <c:crosses val="autoZero"/>
        <c:auto val="1"/>
        <c:lblAlgn val="ctr"/>
        <c:lblOffset val="100"/>
        <c:noMultiLvlLbl val="0"/>
      </c:catAx>
      <c:valAx>
        <c:axId val="18830694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8830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costos'!$E$553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costos'!$B$554:$B$559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costos'!$E$554:$E$559</c:f>
              <c:numCache>
                <c:formatCode>0%</c:formatCode>
                <c:ptCount val="6"/>
                <c:pt idx="0">
                  <c:v>-4.1364084191670401</c:v>
                </c:pt>
                <c:pt idx="1">
                  <c:v>-0.16590909090909092</c:v>
                </c:pt>
                <c:pt idx="2">
                  <c:v>1</c:v>
                </c:pt>
                <c:pt idx="3">
                  <c:v>0.64654545454545453</c:v>
                </c:pt>
                <c:pt idx="4">
                  <c:v>1</c:v>
                </c:pt>
                <c:pt idx="5">
                  <c:v>0.98920000000000008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33280"/>
        <c:axId val="198834816"/>
      </c:barChart>
      <c:catAx>
        <c:axId val="1988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34816"/>
        <c:crosses val="autoZero"/>
        <c:auto val="1"/>
        <c:lblAlgn val="ctr"/>
        <c:lblOffset val="100"/>
        <c:noMultiLvlLbl val="0"/>
      </c:catAx>
      <c:valAx>
        <c:axId val="198834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8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costos'!$C$566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costos'!$B$567:$B$572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costos'!$C$567:$C$572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costos'!$D$566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costos'!$B$567:$B$572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costos'!$D$567:$D$572</c:f>
              <c:numCache>
                <c:formatCode>_-\$* #,##0.00_-;"-$"* #,##0.00_-;_-\$* \-??_-;_-@_-</c:formatCode>
                <c:ptCount val="6"/>
                <c:pt idx="0">
                  <c:v>5.8320000000000007</c:v>
                </c:pt>
                <c:pt idx="1">
                  <c:v>10.692</c:v>
                </c:pt>
                <c:pt idx="2">
                  <c:v>0</c:v>
                </c:pt>
                <c:pt idx="3">
                  <c:v>3.4020000000000001</c:v>
                </c:pt>
                <c:pt idx="4">
                  <c:v>0</c:v>
                </c:pt>
                <c:pt idx="5">
                  <c:v>3.8879999999999999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32480"/>
        <c:axId val="118670848"/>
      </c:barChart>
      <c:catAx>
        <c:axId val="10133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70848"/>
        <c:crosses val="autoZero"/>
        <c:auto val="1"/>
        <c:lblAlgn val="ctr"/>
        <c:lblOffset val="100"/>
        <c:noMultiLvlLbl val="0"/>
      </c:catAx>
      <c:valAx>
        <c:axId val="11867084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0133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costos'!$E$566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costos'!$B$567:$B$572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costos'!$E$567:$E$572</c:f>
              <c:numCache>
                <c:formatCode>0%</c:formatCode>
                <c:ptCount val="6"/>
                <c:pt idx="0">
                  <c:v>0.73882669055082839</c:v>
                </c:pt>
                <c:pt idx="1">
                  <c:v>-1.7000000000000002</c:v>
                </c:pt>
                <c:pt idx="2">
                  <c:v>1</c:v>
                </c:pt>
                <c:pt idx="3">
                  <c:v>0.38145454545454544</c:v>
                </c:pt>
                <c:pt idx="4">
                  <c:v>1</c:v>
                </c:pt>
                <c:pt idx="5">
                  <c:v>0.82720000000000005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876544"/>
        <c:axId val="188417152"/>
      </c:barChart>
      <c:catAx>
        <c:axId val="198876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17152"/>
        <c:crosses val="autoZero"/>
        <c:auto val="1"/>
        <c:lblAlgn val="ctr"/>
        <c:lblOffset val="100"/>
        <c:noMultiLvlLbl val="0"/>
      </c:catAx>
      <c:valAx>
        <c:axId val="1884171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887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costos'!$C$578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costos'!$B$579:$B$584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costos'!$C$579:$C$584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costos'!$D$578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costos'!$B$579:$B$584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costos'!$D$579:$D$584</c:f>
              <c:numCache>
                <c:formatCode>_-\$* #,##0.00_-;"-$"* #,##0.00_-;_-\$* \-??_-;_-@_-</c:formatCode>
                <c:ptCount val="6"/>
                <c:pt idx="0">
                  <c:v>13.122</c:v>
                </c:pt>
                <c:pt idx="1">
                  <c:v>8.2620000000000005</c:v>
                </c:pt>
                <c:pt idx="2">
                  <c:v>0</c:v>
                </c:pt>
                <c:pt idx="3">
                  <c:v>4.3739999999999997</c:v>
                </c:pt>
                <c:pt idx="4">
                  <c:v>0</c:v>
                </c:pt>
                <c:pt idx="5">
                  <c:v>1.3365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81344"/>
        <c:axId val="198682880"/>
      </c:barChart>
      <c:catAx>
        <c:axId val="19868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682880"/>
        <c:crosses val="autoZero"/>
        <c:auto val="1"/>
        <c:lblAlgn val="ctr"/>
        <c:lblOffset val="100"/>
        <c:noMultiLvlLbl val="0"/>
      </c:catAx>
      <c:valAx>
        <c:axId val="19868288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9868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esfuerzo'!$E$134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esfuerzo'!$B$135:$B$140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esfuerzo'!$E$135:$E$140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0.70422535211267601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828544"/>
        <c:axId val="108830080"/>
      </c:barChart>
      <c:catAx>
        <c:axId val="108828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830080"/>
        <c:crosses val="autoZero"/>
        <c:auto val="1"/>
        <c:lblAlgn val="ctr"/>
        <c:lblOffset val="100"/>
        <c:noMultiLvlLbl val="1"/>
      </c:catAx>
      <c:valAx>
        <c:axId val="108830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88285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costos'!$E$578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costos'!$B$579:$B$584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costos'!$E$579:$E$584</c:f>
              <c:numCache>
                <c:formatCode>0%</c:formatCode>
                <c:ptCount val="6"/>
                <c:pt idx="0">
                  <c:v>0.41236005373936402</c:v>
                </c:pt>
                <c:pt idx="1">
                  <c:v>-1.0863636363636364</c:v>
                </c:pt>
                <c:pt idx="2">
                  <c:v>1</c:v>
                </c:pt>
                <c:pt idx="3">
                  <c:v>0.20472727272727279</c:v>
                </c:pt>
                <c:pt idx="4">
                  <c:v>1</c:v>
                </c:pt>
                <c:pt idx="5">
                  <c:v>0.94059999999999999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205952"/>
        <c:axId val="130207744"/>
      </c:barChart>
      <c:catAx>
        <c:axId val="1302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07744"/>
        <c:crosses val="autoZero"/>
        <c:auto val="1"/>
        <c:lblAlgn val="ctr"/>
        <c:lblOffset val="100"/>
        <c:noMultiLvlLbl val="0"/>
      </c:catAx>
      <c:valAx>
        <c:axId val="130207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2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costos'!$C$591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costos'!$B$592:$B$597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costos'!$C$592:$C$597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costos'!$D$591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costos'!$B$592:$B$597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costos'!$D$592:$D$597</c:f>
              <c:numCache>
                <c:formatCode>_-\$* #,##0.00_-;"-$"* #,##0.00_-;_-\$* \-??_-;_-@_-</c:formatCode>
                <c:ptCount val="6"/>
                <c:pt idx="0">
                  <c:v>12.879</c:v>
                </c:pt>
                <c:pt idx="1">
                  <c:v>10.692</c:v>
                </c:pt>
                <c:pt idx="2">
                  <c:v>0</c:v>
                </c:pt>
                <c:pt idx="3">
                  <c:v>4.8599999999999994</c:v>
                </c:pt>
                <c:pt idx="4">
                  <c:v>0</c:v>
                </c:pt>
                <c:pt idx="5">
                  <c:v>2.3085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673664"/>
        <c:axId val="130675456"/>
      </c:barChart>
      <c:catAx>
        <c:axId val="13067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75456"/>
        <c:crosses val="autoZero"/>
        <c:auto val="1"/>
        <c:lblAlgn val="ctr"/>
        <c:lblOffset val="100"/>
        <c:noMultiLvlLbl val="0"/>
      </c:catAx>
      <c:valAx>
        <c:axId val="13067545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3067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costos'!$E$591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costos'!$B$592:$B$597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costos'!$E$592:$E$597</c:f>
              <c:numCache>
                <c:formatCode>0%</c:formatCode>
                <c:ptCount val="6"/>
                <c:pt idx="0">
                  <c:v>0.42324227496641287</c:v>
                </c:pt>
                <c:pt idx="1">
                  <c:v>-1.7000000000000002</c:v>
                </c:pt>
                <c:pt idx="2">
                  <c:v>1</c:v>
                </c:pt>
                <c:pt idx="3">
                  <c:v>0.11636363636363646</c:v>
                </c:pt>
                <c:pt idx="4">
                  <c:v>1</c:v>
                </c:pt>
                <c:pt idx="5">
                  <c:v>0.89740000000000009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76416"/>
        <c:axId val="133690496"/>
      </c:barChart>
      <c:catAx>
        <c:axId val="13367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690496"/>
        <c:crosses val="autoZero"/>
        <c:auto val="1"/>
        <c:lblAlgn val="ctr"/>
        <c:lblOffset val="100"/>
        <c:noMultiLvlLbl val="0"/>
      </c:catAx>
      <c:valAx>
        <c:axId val="133690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67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costos'!$C$605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costos'!$B$606:$B$611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costos'!$C$606:$C$611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costos'!$D$605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costos'!$B$606:$B$611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costos'!$D$606:$D$611</c:f>
              <c:numCache>
                <c:formatCode>_-\$* #,##0.00_-;"-$"* #,##0.00_-;_-\$* \-??_-;_-@_-</c:formatCode>
                <c:ptCount val="6"/>
                <c:pt idx="0">
                  <c:v>37.664999999999999</c:v>
                </c:pt>
                <c:pt idx="1">
                  <c:v>7.7759999999999998</c:v>
                </c:pt>
                <c:pt idx="2">
                  <c:v>0</c:v>
                </c:pt>
                <c:pt idx="3">
                  <c:v>5.1029999999999998</c:v>
                </c:pt>
                <c:pt idx="4">
                  <c:v>0</c:v>
                </c:pt>
                <c:pt idx="5">
                  <c:v>1.2149999999999999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25344"/>
        <c:axId val="179227264"/>
      </c:barChart>
      <c:catAx>
        <c:axId val="17922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27264"/>
        <c:crosses val="autoZero"/>
        <c:auto val="1"/>
        <c:lblAlgn val="ctr"/>
        <c:lblOffset val="100"/>
        <c:noMultiLvlLbl val="0"/>
      </c:catAx>
      <c:valAx>
        <c:axId val="17922726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792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costos'!$E$605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costos'!$B$606:$B$611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costos'!$E$606:$E$611</c:f>
              <c:numCache>
                <c:formatCode>0%</c:formatCode>
                <c:ptCount val="6"/>
                <c:pt idx="0">
                  <c:v>-0.68674429019256611</c:v>
                </c:pt>
                <c:pt idx="1">
                  <c:v>-0.96363636363636362</c:v>
                </c:pt>
                <c:pt idx="2">
                  <c:v>1</c:v>
                </c:pt>
                <c:pt idx="3">
                  <c:v>7.2181818181818222E-2</c:v>
                </c:pt>
                <c:pt idx="4">
                  <c:v>1</c:v>
                </c:pt>
                <c:pt idx="5">
                  <c:v>0.94599999999999995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41952"/>
        <c:axId val="134046848"/>
      </c:barChart>
      <c:catAx>
        <c:axId val="13374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46848"/>
        <c:crosses val="autoZero"/>
        <c:auto val="1"/>
        <c:lblAlgn val="ctr"/>
        <c:lblOffset val="100"/>
        <c:noMultiLvlLbl val="0"/>
      </c:catAx>
      <c:valAx>
        <c:axId val="1340468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374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costos'!$C$620:$C$625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costos'!$D$619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costos'!$D$620:$D$625</c:f>
              <c:numCache>
                <c:formatCode>_-\$* #,##0.00_-;"-$"* #,##0.00_-;_-\$* \-??_-;_-@_-</c:formatCode>
                <c:ptCount val="6"/>
                <c:pt idx="0">
                  <c:v>112.995</c:v>
                </c:pt>
                <c:pt idx="1">
                  <c:v>1.4580000000000002</c:v>
                </c:pt>
                <c:pt idx="2">
                  <c:v>32.805</c:v>
                </c:pt>
                <c:pt idx="3">
                  <c:v>3.4020000000000001</c:v>
                </c:pt>
                <c:pt idx="4">
                  <c:v>0</c:v>
                </c:pt>
                <c:pt idx="5">
                  <c:v>4.2525000000000004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606400"/>
        <c:axId val="133706880"/>
      </c:barChart>
      <c:catAx>
        <c:axId val="13360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706880"/>
        <c:crosses val="autoZero"/>
        <c:auto val="1"/>
        <c:lblAlgn val="ctr"/>
        <c:lblOffset val="100"/>
        <c:noMultiLvlLbl val="0"/>
      </c:catAx>
      <c:valAx>
        <c:axId val="13370688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3360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costos'!$E$620:$E$625</c:f>
              <c:numCache>
                <c:formatCode>0%</c:formatCode>
                <c:ptCount val="6"/>
                <c:pt idx="0">
                  <c:v>-4.0602328705776989</c:v>
                </c:pt>
                <c:pt idx="1">
                  <c:v>0.63181818181818172</c:v>
                </c:pt>
                <c:pt idx="2">
                  <c:v>-0.69097938144329907</c:v>
                </c:pt>
                <c:pt idx="3">
                  <c:v>0.38145454545454544</c:v>
                </c:pt>
                <c:pt idx="4">
                  <c:v>1</c:v>
                </c:pt>
                <c:pt idx="5">
                  <c:v>0.81099999999999994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11136"/>
        <c:axId val="134012928"/>
      </c:barChart>
      <c:catAx>
        <c:axId val="134011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12928"/>
        <c:crosses val="autoZero"/>
        <c:auto val="1"/>
        <c:lblAlgn val="ctr"/>
        <c:lblOffset val="100"/>
        <c:noMultiLvlLbl val="0"/>
      </c:catAx>
      <c:valAx>
        <c:axId val="134012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01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costos'!$C$632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costos'!$B$633:$B$638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costos'!$C$633:$C$638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costos'!$D$632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costos'!$B$633:$B$638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costos'!$D$633:$D$638</c:f>
              <c:numCache>
                <c:formatCode>_-\$* #,##0.00_-;"-$"* #,##0.00_-;_-\$* \-??_-;_-@_-</c:formatCode>
                <c:ptCount val="6"/>
                <c:pt idx="0">
                  <c:v>27.216000000000001</c:v>
                </c:pt>
                <c:pt idx="1">
                  <c:v>18.468</c:v>
                </c:pt>
                <c:pt idx="2">
                  <c:v>21.627000000000002</c:v>
                </c:pt>
                <c:pt idx="3">
                  <c:v>5.3460000000000001</c:v>
                </c:pt>
                <c:pt idx="4">
                  <c:v>0</c:v>
                </c:pt>
                <c:pt idx="5">
                  <c:v>1.5795000000000001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737472"/>
        <c:axId val="134030464"/>
      </c:barChart>
      <c:catAx>
        <c:axId val="1337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30464"/>
        <c:crosses val="autoZero"/>
        <c:auto val="1"/>
        <c:lblAlgn val="ctr"/>
        <c:lblOffset val="100"/>
        <c:noMultiLvlLbl val="0"/>
      </c:catAx>
      <c:valAx>
        <c:axId val="13403046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3373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costos'!$E$632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costos'!$B$633:$B$638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costos'!$E$633:$E$638</c:f>
              <c:numCache>
                <c:formatCode>0%</c:formatCode>
                <c:ptCount val="6"/>
                <c:pt idx="0">
                  <c:v>-0.21880877742946722</c:v>
                </c:pt>
                <c:pt idx="1">
                  <c:v>-3.6636363636363636</c:v>
                </c:pt>
                <c:pt idx="2">
                  <c:v>-0.1147938144329899</c:v>
                </c:pt>
                <c:pt idx="3">
                  <c:v>2.7999999999999983E-2</c:v>
                </c:pt>
                <c:pt idx="4">
                  <c:v>1</c:v>
                </c:pt>
                <c:pt idx="5">
                  <c:v>0.92980000000000007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07296"/>
        <c:axId val="136417280"/>
      </c:barChart>
      <c:catAx>
        <c:axId val="136407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417280"/>
        <c:crosses val="autoZero"/>
        <c:auto val="1"/>
        <c:lblAlgn val="ctr"/>
        <c:lblOffset val="100"/>
        <c:noMultiLvlLbl val="0"/>
      </c:catAx>
      <c:valAx>
        <c:axId val="1364172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640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costos'!$C$645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costos'!$B$646:$B$651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costos'!$C$646:$C$651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costos'!$D$645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costos'!$B$646:$B$651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costos'!$D$646:$D$651</c:f>
              <c:numCache>
                <c:formatCode>_-\$* #,##0.00_-;"-$"* #,##0.00_-;_-\$* \-??_-;_-@_-</c:formatCode>
                <c:ptCount val="6"/>
                <c:pt idx="0">
                  <c:v>1.2149999999999999</c:v>
                </c:pt>
                <c:pt idx="1">
                  <c:v>1.2149999999999999</c:v>
                </c:pt>
                <c:pt idx="2">
                  <c:v>0</c:v>
                </c:pt>
                <c:pt idx="3">
                  <c:v>7.7759999999999998</c:v>
                </c:pt>
                <c:pt idx="4">
                  <c:v>0</c:v>
                </c:pt>
                <c:pt idx="5">
                  <c:v>4.7385000000000002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052480"/>
        <c:axId val="136267264"/>
      </c:barChart>
      <c:catAx>
        <c:axId val="1340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67264"/>
        <c:crosses val="autoZero"/>
        <c:auto val="1"/>
        <c:lblAlgn val="ctr"/>
        <c:lblOffset val="100"/>
        <c:noMultiLvlLbl val="0"/>
      </c:catAx>
      <c:valAx>
        <c:axId val="136267264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3405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esfuerzo'!$C$147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esfuerzo'!$C$148:$C$153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esfuerzo'!$D$147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esfuerzo'!$D$148:$D$153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  <c:pt idx="5">
                  <c:v>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00352"/>
        <c:axId val="107301504"/>
      </c:barChart>
      <c:catAx>
        <c:axId val="10730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301504"/>
        <c:crosses val="autoZero"/>
        <c:auto val="1"/>
        <c:lblAlgn val="ctr"/>
        <c:lblOffset val="100"/>
        <c:noMultiLvlLbl val="1"/>
      </c:catAx>
      <c:valAx>
        <c:axId val="107301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300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costos'!$E$645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costos'!$B$646:$B$651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costos'!$E$646:$E$651</c:f>
              <c:numCache>
                <c:formatCode>0%</c:formatCode>
                <c:ptCount val="6"/>
                <c:pt idx="0">
                  <c:v>0.94558889386475597</c:v>
                </c:pt>
                <c:pt idx="1">
                  <c:v>0.69318181818181823</c:v>
                </c:pt>
                <c:pt idx="2">
                  <c:v>1</c:v>
                </c:pt>
                <c:pt idx="3">
                  <c:v>-0.41381818181818181</c:v>
                </c:pt>
                <c:pt idx="4">
                  <c:v>1</c:v>
                </c:pt>
                <c:pt idx="5">
                  <c:v>0.78939999999999988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44096"/>
        <c:axId val="200645632"/>
      </c:barChart>
      <c:catAx>
        <c:axId val="2006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45632"/>
        <c:crosses val="autoZero"/>
        <c:auto val="1"/>
        <c:lblAlgn val="ctr"/>
        <c:lblOffset val="100"/>
        <c:noMultiLvlLbl val="0"/>
      </c:catAx>
      <c:valAx>
        <c:axId val="200645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064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costos'!$C$662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costos'!$B$663:$B$668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costos'!$C$663:$C$668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costos'!$D$662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costos'!$B$663:$B$668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costos'!$D$663:$D$668</c:f>
              <c:numCache>
                <c:formatCode>_-\$* #,##0.00_-;"-$"* #,##0.00_-;_-\$* \-??_-;_-@_-</c:formatCode>
                <c:ptCount val="6"/>
                <c:pt idx="0">
                  <c:v>26.73</c:v>
                </c:pt>
                <c:pt idx="1">
                  <c:v>28.431000000000001</c:v>
                </c:pt>
                <c:pt idx="2">
                  <c:v>99.63</c:v>
                </c:pt>
                <c:pt idx="3">
                  <c:v>0.72900000000000009</c:v>
                </c:pt>
                <c:pt idx="4">
                  <c:v>0</c:v>
                </c:pt>
                <c:pt idx="5">
                  <c:v>3.645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129920"/>
        <c:axId val="136224128"/>
      </c:barChart>
      <c:catAx>
        <c:axId val="1341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24128"/>
        <c:crosses val="autoZero"/>
        <c:auto val="1"/>
        <c:lblAlgn val="ctr"/>
        <c:lblOffset val="100"/>
        <c:noMultiLvlLbl val="0"/>
      </c:catAx>
      <c:valAx>
        <c:axId val="13622412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341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costos'!$E$662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costos'!$B$663:$B$668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costos'!$E$663:$E$668</c:f>
              <c:numCache>
                <c:formatCode>0%</c:formatCode>
                <c:ptCount val="6"/>
                <c:pt idx="0">
                  <c:v>-0.19704433497536958</c:v>
                </c:pt>
                <c:pt idx="1">
                  <c:v>-6.1795454545454547</c:v>
                </c:pt>
                <c:pt idx="2">
                  <c:v>-4.1355670103092779</c:v>
                </c:pt>
                <c:pt idx="3">
                  <c:v>0.86745454545454548</c:v>
                </c:pt>
                <c:pt idx="4">
                  <c:v>1</c:v>
                </c:pt>
                <c:pt idx="5">
                  <c:v>0.83799999999999997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824960"/>
        <c:axId val="190203392"/>
      </c:barChart>
      <c:catAx>
        <c:axId val="188824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03392"/>
        <c:crosses val="autoZero"/>
        <c:auto val="1"/>
        <c:lblAlgn val="ctr"/>
        <c:lblOffset val="100"/>
        <c:noMultiLvlLbl val="0"/>
      </c:catAx>
      <c:valAx>
        <c:axId val="1902033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882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costos'!$C$675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costos'!$B$676:$B$681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costos'!$C$676:$C$681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costos'!$D$675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costos'!$B$676:$B$681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costos'!$D$676:$D$681</c:f>
              <c:numCache>
                <c:formatCode>_-\$* #,##0.00_-;"-$"* #,##0.00_-;_-\$* \-??_-;_-@_-</c:formatCode>
                <c:ptCount val="6"/>
                <c:pt idx="0">
                  <c:v>37.178999999999995</c:v>
                </c:pt>
                <c:pt idx="1">
                  <c:v>13.850999999999999</c:v>
                </c:pt>
                <c:pt idx="2">
                  <c:v>0</c:v>
                </c:pt>
                <c:pt idx="3">
                  <c:v>8.9909999999999997</c:v>
                </c:pt>
                <c:pt idx="4">
                  <c:v>0</c:v>
                </c:pt>
                <c:pt idx="5">
                  <c:v>1.8225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468480"/>
        <c:axId val="148470016"/>
      </c:barChart>
      <c:catAx>
        <c:axId val="14846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470016"/>
        <c:crosses val="autoZero"/>
        <c:auto val="1"/>
        <c:lblAlgn val="ctr"/>
        <c:lblOffset val="100"/>
        <c:noMultiLvlLbl val="0"/>
      </c:catAx>
      <c:valAx>
        <c:axId val="148470016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4846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costos'!$E$675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costos'!$B$676:$B$681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costos'!$E$676:$E$681</c:f>
              <c:numCache>
                <c:formatCode>0%</c:formatCode>
                <c:ptCount val="6"/>
                <c:pt idx="0">
                  <c:v>-0.6649798477384683</c:v>
                </c:pt>
                <c:pt idx="1">
                  <c:v>-2.4977272727272721</c:v>
                </c:pt>
                <c:pt idx="2">
                  <c:v>1</c:v>
                </c:pt>
                <c:pt idx="3">
                  <c:v>-0.6347272727272727</c:v>
                </c:pt>
                <c:pt idx="4">
                  <c:v>1</c:v>
                </c:pt>
                <c:pt idx="5">
                  <c:v>0.91899999999999993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78208"/>
        <c:axId val="179279744"/>
      </c:barChart>
      <c:catAx>
        <c:axId val="17927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79744"/>
        <c:crosses val="autoZero"/>
        <c:auto val="1"/>
        <c:lblAlgn val="ctr"/>
        <c:lblOffset val="100"/>
        <c:noMultiLvlLbl val="0"/>
      </c:catAx>
      <c:valAx>
        <c:axId val="1792797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927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costos'!$C$688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costos'!$B$689:$B$694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costos'!$C$689:$C$694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costos'!$D$688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costos'!$B$689:$B$694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costos'!$D$689:$D$694</c:f>
              <c:numCache>
                <c:formatCode>_-\$* #,##0.00_-;"-$"* #,##0.00_-;_-\$* \-??_-;_-@_-</c:formatCode>
                <c:ptCount val="6"/>
                <c:pt idx="0">
                  <c:v>0.24299999999999999</c:v>
                </c:pt>
                <c:pt idx="1">
                  <c:v>50.544000000000004</c:v>
                </c:pt>
                <c:pt idx="2">
                  <c:v>3.4020000000000001</c:v>
                </c:pt>
                <c:pt idx="3">
                  <c:v>1.4580000000000002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90400"/>
        <c:axId val="188400768"/>
      </c:barChart>
      <c:catAx>
        <c:axId val="1883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00768"/>
        <c:crosses val="autoZero"/>
        <c:auto val="1"/>
        <c:lblAlgn val="ctr"/>
        <c:lblOffset val="100"/>
        <c:noMultiLvlLbl val="0"/>
      </c:catAx>
      <c:valAx>
        <c:axId val="188400768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8839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costos'!$E$688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costos'!$B$689:$B$694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costos'!$E$689:$E$694</c:f>
              <c:numCache>
                <c:formatCode>0%</c:formatCode>
                <c:ptCount val="6"/>
                <c:pt idx="0">
                  <c:v>0.98911777877295126</c:v>
                </c:pt>
                <c:pt idx="1">
                  <c:v>-11.763636363636364</c:v>
                </c:pt>
                <c:pt idx="2">
                  <c:v>0.82463917525773189</c:v>
                </c:pt>
                <c:pt idx="3">
                  <c:v>0.73490909090909085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50848"/>
        <c:axId val="179552640"/>
      </c:barChart>
      <c:catAx>
        <c:axId val="17955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52640"/>
        <c:crosses val="autoZero"/>
        <c:auto val="1"/>
        <c:lblAlgn val="ctr"/>
        <c:lblOffset val="100"/>
        <c:noMultiLvlLbl val="0"/>
      </c:catAx>
      <c:valAx>
        <c:axId val="179552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955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costos'!$C$700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costos'!$B$701:$B$706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costos'!$C$701:$C$706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costos'!$D$700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costos'!$B$701:$B$706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costos'!$D$701:$D$706</c:f>
              <c:numCache>
                <c:formatCode>_-\$* #,##0.00_-;"-$"* #,##0.00_-;_-\$* \-??_-;_-@_-</c:formatCode>
                <c:ptCount val="6"/>
                <c:pt idx="0">
                  <c:v>2.4299999999999997</c:v>
                </c:pt>
                <c:pt idx="1">
                  <c:v>0.72900000000000009</c:v>
                </c:pt>
                <c:pt idx="2">
                  <c:v>0</c:v>
                </c:pt>
                <c:pt idx="3">
                  <c:v>4.1310000000000002</c:v>
                </c:pt>
                <c:pt idx="4">
                  <c:v>0</c:v>
                </c:pt>
                <c:pt idx="5">
                  <c:v>2.0655000000000001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688896"/>
        <c:axId val="179568000"/>
      </c:barChart>
      <c:catAx>
        <c:axId val="14868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9568000"/>
        <c:crosses val="autoZero"/>
        <c:auto val="1"/>
        <c:lblAlgn val="ctr"/>
        <c:lblOffset val="100"/>
        <c:noMultiLvlLbl val="0"/>
      </c:catAx>
      <c:valAx>
        <c:axId val="17956800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486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costos'!$E$700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costos'!$B$701:$B$706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costos'!$E$701:$E$706</c:f>
              <c:numCache>
                <c:formatCode>0%</c:formatCode>
                <c:ptCount val="6"/>
                <c:pt idx="0">
                  <c:v>0.89117778772951184</c:v>
                </c:pt>
                <c:pt idx="1">
                  <c:v>0.81590909090909092</c:v>
                </c:pt>
                <c:pt idx="2">
                  <c:v>1</c:v>
                </c:pt>
                <c:pt idx="3">
                  <c:v>0.24890909090909086</c:v>
                </c:pt>
                <c:pt idx="4">
                  <c:v>1</c:v>
                </c:pt>
                <c:pt idx="5">
                  <c:v>0.90820000000000001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04384"/>
        <c:axId val="202705920"/>
      </c:barChart>
      <c:catAx>
        <c:axId val="20270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705920"/>
        <c:crosses val="autoZero"/>
        <c:auto val="1"/>
        <c:lblAlgn val="ctr"/>
        <c:lblOffset val="100"/>
        <c:noMultiLvlLbl val="0"/>
      </c:catAx>
      <c:valAx>
        <c:axId val="2027059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270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costos'!$C$713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costos'!$B$714:$B$719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costos'!$C$714:$C$719</c:f>
              <c:numCache>
                <c:formatCode>_-\$* #,##0.00_-;"-$"* #,##0.00_-;_-\$* \-??_-;_-@_-</c:formatCode>
                <c:ptCount val="6"/>
                <c:pt idx="0">
                  <c:v>22.33</c:v>
                </c:pt>
                <c:pt idx="1">
                  <c:v>3.96</c:v>
                </c:pt>
                <c:pt idx="2">
                  <c:v>19.399999999999999</c:v>
                </c:pt>
                <c:pt idx="3">
                  <c:v>5.5</c:v>
                </c:pt>
                <c:pt idx="4">
                  <c:v>29</c:v>
                </c:pt>
                <c:pt idx="5">
                  <c:v>22.5</c:v>
                </c:pt>
              </c:numCache>
            </c:numRef>
          </c:val>
        </c:ser>
        <c:ser>
          <c:idx val="1"/>
          <c:order val="1"/>
          <c:tx>
            <c:strRef>
              <c:f>'Desviacion de costos'!$D$713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costos'!$B$714:$B$719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costos'!$D$714:$D$719</c:f>
              <c:numCache>
                <c:formatCode>_-\$* #,##0.00_-;"-$"* #,##0.00_-;_-\$* \-??_-;_-@_-</c:formatCode>
                <c:ptCount val="6"/>
                <c:pt idx="0">
                  <c:v>147.01500000000001</c:v>
                </c:pt>
                <c:pt idx="1">
                  <c:v>0.97199999999999998</c:v>
                </c:pt>
                <c:pt idx="2">
                  <c:v>19.196999999999999</c:v>
                </c:pt>
                <c:pt idx="3">
                  <c:v>2.9160000000000004</c:v>
                </c:pt>
                <c:pt idx="4">
                  <c:v>0</c:v>
                </c:pt>
                <c:pt idx="5">
                  <c:v>2.1869999999999998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00160"/>
        <c:axId val="180840320"/>
      </c:barChart>
      <c:catAx>
        <c:axId val="14870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40320"/>
        <c:crosses val="autoZero"/>
        <c:auto val="1"/>
        <c:lblAlgn val="ctr"/>
        <c:lblOffset val="100"/>
        <c:noMultiLvlLbl val="0"/>
      </c:catAx>
      <c:valAx>
        <c:axId val="180840320"/>
        <c:scaling>
          <c:orientation val="minMax"/>
        </c:scaling>
        <c:delete val="0"/>
        <c:axPos val="l"/>
        <c:majorGridlines/>
        <c:numFmt formatCode="_-\$* #,##0.00_-;&quot;-$&quot;* #,##0.00_-;_-\$* \-??_-;_-@_-" sourceLinked="1"/>
        <c:majorTickMark val="out"/>
        <c:minorTickMark val="none"/>
        <c:tickLblPos val="nextTo"/>
        <c:crossAx val="14870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esfuerzo'!$C$21:$C$26</c:f>
              <c:numCache>
                <c:formatCode>General</c:formatCode>
                <c:ptCount val="6"/>
                <c:pt idx="0">
                  <c:v>204</c:v>
                </c:pt>
                <c:pt idx="1">
                  <c:v>140</c:v>
                </c:pt>
                <c:pt idx="2">
                  <c:v>80</c:v>
                </c:pt>
                <c:pt idx="3">
                  <c:v>92</c:v>
                </c:pt>
                <c:pt idx="4">
                  <c:v>90</c:v>
                </c:pt>
                <c:pt idx="5">
                  <c:v>568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esfuerzo'!$B$21:$B$26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esfuerzo'!$D$21:$D$26</c:f>
              <c:numCache>
                <c:formatCode>General</c:formatCode>
                <c:ptCount val="6"/>
                <c:pt idx="0">
                  <c:v>74</c:v>
                </c:pt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187</c:v>
                </c:pt>
                <c:pt idx="5">
                  <c:v>463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16512"/>
        <c:axId val="87218048"/>
      </c:barChart>
      <c:catAx>
        <c:axId val="8721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18048"/>
        <c:crosses val="autoZero"/>
        <c:auto val="1"/>
        <c:lblAlgn val="ctr"/>
        <c:lblOffset val="100"/>
        <c:noMultiLvlLbl val="1"/>
      </c:catAx>
      <c:valAx>
        <c:axId val="87218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72165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esfuerzo'!$E$147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esfuerzo'!$B$148:$B$153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esfuerzo'!$E$148:$E$153</c:f>
              <c:numCache>
                <c:formatCode>0%</c:formatCode>
                <c:ptCount val="6"/>
                <c:pt idx="0">
                  <c:v>0.90196078431372551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-0.25555555555555554</c:v>
                </c:pt>
                <c:pt idx="5">
                  <c:v>0.323943661971831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30176"/>
        <c:axId val="107348352"/>
      </c:barChart>
      <c:catAx>
        <c:axId val="107330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348352"/>
        <c:crosses val="autoZero"/>
        <c:auto val="1"/>
        <c:lblAlgn val="ctr"/>
        <c:lblOffset val="100"/>
        <c:noMultiLvlLbl val="1"/>
      </c:catAx>
      <c:valAx>
        <c:axId val="1073483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3301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costos'!$E$713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costos'!$B$714:$B$719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costos'!$E$714:$E$719</c:f>
              <c:numCache>
                <c:formatCode>0%</c:formatCode>
                <c:ptCount val="6"/>
                <c:pt idx="0">
                  <c:v>-5.5837438423645329</c:v>
                </c:pt>
                <c:pt idx="1">
                  <c:v>0.75454545454545452</c:v>
                </c:pt>
                <c:pt idx="2">
                  <c:v>1.0463917525773166E-2</c:v>
                </c:pt>
                <c:pt idx="3">
                  <c:v>0.46981818181818175</c:v>
                </c:pt>
                <c:pt idx="4">
                  <c:v>1</c:v>
                </c:pt>
                <c:pt idx="5">
                  <c:v>0.90279999999999994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30688"/>
        <c:axId val="203332224"/>
      </c:barChart>
      <c:catAx>
        <c:axId val="2033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32224"/>
        <c:crosses val="autoZero"/>
        <c:auto val="1"/>
        <c:lblAlgn val="ctr"/>
        <c:lblOffset val="100"/>
        <c:noMultiLvlLbl val="0"/>
      </c:catAx>
      <c:valAx>
        <c:axId val="203332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33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Procesos'!$C$4:$C$9</c:f>
              <c:strCache>
                <c:ptCount val="6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Implementación</c:v>
                </c:pt>
                <c:pt idx="4">
                  <c:v>Cierre</c:v>
                </c:pt>
                <c:pt idx="5">
                  <c:v>Garantía</c:v>
                </c:pt>
              </c:strCache>
            </c:strRef>
          </c:cat>
          <c:val>
            <c:numRef>
              <c:f>'Apego a Procesos'!$BB$4:$BB$9</c:f>
              <c:numCache>
                <c:formatCode>0%</c:formatCode>
                <c:ptCount val="6"/>
                <c:pt idx="0">
                  <c:v>0</c:v>
                </c:pt>
                <c:pt idx="1">
                  <c:v>0.98743055555555559</c:v>
                </c:pt>
                <c:pt idx="2">
                  <c:v>0.93923611111111116</c:v>
                </c:pt>
                <c:pt idx="3">
                  <c:v>0.9464285714285714</c:v>
                </c:pt>
                <c:pt idx="4">
                  <c:v>0.7046742857142857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87008"/>
        <c:axId val="124188544"/>
      </c:barChart>
      <c:catAx>
        <c:axId val="1241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188544"/>
        <c:crosses val="autoZero"/>
        <c:auto val="1"/>
        <c:lblAlgn val="ctr"/>
        <c:lblOffset val="100"/>
        <c:noMultiLvlLbl val="1"/>
      </c:catAx>
      <c:valAx>
        <c:axId val="1241885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18700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Procesos'!$C$13:$C$15</c:f>
              <c:strCache>
                <c:ptCount val="3"/>
                <c:pt idx="0">
                  <c:v>Metricas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Procesos'!$BB$13:$BB$15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18368"/>
        <c:axId val="124220160"/>
      </c:barChart>
      <c:catAx>
        <c:axId val="1242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220160"/>
        <c:crosses val="autoZero"/>
        <c:auto val="1"/>
        <c:lblAlgn val="ctr"/>
        <c:lblOffset val="100"/>
        <c:noMultiLvlLbl val="1"/>
      </c:catAx>
      <c:valAx>
        <c:axId val="12422016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21836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Productos'!$C$4:$C$8</c:f>
              <c:strCache>
                <c:ptCount val="5"/>
                <c:pt idx="0">
                  <c:v>Plan de Proyecto</c:v>
                </c:pt>
                <c:pt idx="1">
                  <c:v>Estimación</c:v>
                </c:pt>
                <c:pt idx="2">
                  <c:v>Tickets de Servicio</c:v>
                </c:pt>
                <c:pt idx="3">
                  <c:v>Carta de aceptación</c:v>
                </c:pt>
                <c:pt idx="4">
                  <c:v>Reporte de Monitoreo</c:v>
                </c:pt>
              </c:strCache>
            </c:strRef>
          </c:cat>
          <c:val>
            <c:numRef>
              <c:f>'Apego a Productos'!$BC$4:$BC$8</c:f>
              <c:numCache>
                <c:formatCode>0%</c:formatCode>
                <c:ptCount val="5"/>
                <c:pt idx="0">
                  <c:v>0.92700277777777762</c:v>
                </c:pt>
                <c:pt idx="1">
                  <c:v>0.98749999999999993</c:v>
                </c:pt>
                <c:pt idx="2">
                  <c:v>0.9</c:v>
                </c:pt>
                <c:pt idx="3">
                  <c:v>1</c:v>
                </c:pt>
                <c:pt idx="4">
                  <c:v>0.92854999999999999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84800"/>
        <c:axId val="88694784"/>
      </c:barChart>
      <c:catAx>
        <c:axId val="8868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694784"/>
        <c:crosses val="autoZero"/>
        <c:auto val="1"/>
        <c:lblAlgn val="ctr"/>
        <c:lblOffset val="100"/>
        <c:noMultiLvlLbl val="1"/>
      </c:catAx>
      <c:valAx>
        <c:axId val="8869478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68480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'Apego a Productos'!$C$12:$C$14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Productos'!$BC$12:$BC$14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12320"/>
        <c:axId val="88713856"/>
      </c:barChart>
      <c:catAx>
        <c:axId val="8871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13856"/>
        <c:crosses val="autoZero"/>
        <c:auto val="1"/>
        <c:lblAlgn val="ctr"/>
        <c:lblOffset val="100"/>
        <c:noMultiLvlLbl val="1"/>
      </c:catAx>
      <c:valAx>
        <c:axId val="8871385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12320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Física!$BB$4:$BB$6</c:f>
              <c:numCache>
                <c:formatCode>0%</c:formatCode>
                <c:ptCount val="3"/>
                <c:pt idx="0">
                  <c:v>0.93055555555555558</c:v>
                </c:pt>
                <c:pt idx="1">
                  <c:v>0.8659027777777778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81184"/>
        <c:axId val="88782720"/>
      </c:barChart>
      <c:catAx>
        <c:axId val="8878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82720"/>
        <c:crosses val="autoZero"/>
        <c:auto val="1"/>
        <c:lblAlgn val="ctr"/>
        <c:lblOffset val="100"/>
        <c:noMultiLvlLbl val="1"/>
      </c:catAx>
      <c:valAx>
        <c:axId val="8878272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781184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Funcional!$BB$4:$BB$6</c:f>
              <c:numCache>
                <c:formatCode>0%</c:formatCode>
                <c:ptCount val="3"/>
                <c:pt idx="0">
                  <c:v>0.86138888888888887</c:v>
                </c:pt>
                <c:pt idx="1">
                  <c:v>0.99305555555555558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386688"/>
        <c:axId val="124851328"/>
      </c:barChart>
      <c:catAx>
        <c:axId val="12438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851328"/>
        <c:crosses val="autoZero"/>
        <c:auto val="1"/>
        <c:lblAlgn val="ctr"/>
        <c:lblOffset val="100"/>
        <c:noMultiLvlLbl val="1"/>
      </c:catAx>
      <c:valAx>
        <c:axId val="12485132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386688"/>
        <c:crosses val="autoZero"/>
        <c:crossBetween val="between"/>
      </c:valAx>
      <c:dTable>
        <c:showHorzBorder val="1"/>
        <c:showVertBorder val="1"/>
        <c:showOutline val="1"/>
        <c:showKeys val="1"/>
      </c:dTable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Planeado</c:v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ventas'!$B$15</c:f>
              <c:numCache>
                <c:formatCode>_-\$* #,##0.00_-;"-$"* #,##0.00_-;_-\$* \-??_-;_-@_-</c:formatCode>
                <c:ptCount val="1"/>
                <c:pt idx="0">
                  <c:v>202000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v>Real</c:v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ventas'!$A$14</c:f>
              <c:strCache>
                <c:ptCount val="1"/>
                <c:pt idx="0">
                  <c:v>Noviembre</c:v>
                </c:pt>
              </c:strCache>
            </c:strRef>
          </c:cat>
          <c:val>
            <c:numRef>
              <c:f>'Crecimiento anual de ventas'!$C$15</c:f>
              <c:numCache>
                <c:formatCode>_-\$* #,##0.00_-;"-$"* #,##0.00_-;_-\$* \-??_-;_-@_-</c:formatCode>
                <c:ptCount val="1"/>
                <c:pt idx="0">
                  <c:v>130775.29999999999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27680"/>
        <c:axId val="124729216"/>
      </c:barChart>
      <c:catAx>
        <c:axId val="12472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729216"/>
        <c:crosses val="autoZero"/>
        <c:auto val="1"/>
        <c:lblAlgn val="ctr"/>
        <c:lblOffset val="100"/>
        <c:noMultiLvlLbl val="1"/>
      </c:catAx>
      <c:valAx>
        <c:axId val="124729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7276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_-\$* #,##0.00_-;"-$"* #,##0.00_-;_-\$* \-??_-;_-@_-</c:formatCode>
                <c:ptCount val="1"/>
                <c:pt idx="0">
                  <c:v>2424000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</c:dLbl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_-\$* #,##0.00_-;"-$"* #,##0.00_-;_-\$* \-??_-;_-@_-</c:formatCode>
                <c:ptCount val="1"/>
                <c:pt idx="0">
                  <c:v>130775.3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4560"/>
        <c:axId val="124756352"/>
      </c:barChart>
      <c:catAx>
        <c:axId val="12475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756352"/>
        <c:crosses val="autoZero"/>
        <c:auto val="1"/>
        <c:lblAlgn val="ctr"/>
        <c:lblOffset val="100"/>
        <c:noMultiLvlLbl val="1"/>
      </c:catAx>
      <c:valAx>
        <c:axId val="1247563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000" b="1">
                    <a:solidFill>
                      <a:srgbClr val="000000"/>
                    </a:solidFill>
                    <a:latin typeface="Calibri"/>
                  </a:rPr>
                  <a:t>Axis Title</a:t>
                </a:r>
              </a:p>
            </c:rich>
          </c:tx>
          <c:overlay val="1"/>
        </c:title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47545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ventas'!$B$16:$C$16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54818.400000000001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ventas'!$B$17:$C$17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75956.899999999994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5449728"/>
        <c:axId val="125451264"/>
      </c:barChart>
      <c:catAx>
        <c:axId val="1254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451264"/>
        <c:crosses val="autoZero"/>
        <c:auto val="1"/>
        <c:lblAlgn val="ctr"/>
        <c:lblOffset val="100"/>
        <c:noMultiLvlLbl val="1"/>
      </c:catAx>
      <c:valAx>
        <c:axId val="125451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none"/>
        <c:minorTickMark val="none"/>
        <c:tickLblPos val="nextTo"/>
        <c:spPr>
          <a:ln w="9360">
            <a:noFill/>
          </a:ln>
        </c:spPr>
        <c:crossAx val="1254497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esfuerzo'!$C$162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esfuerzo'!$C$163:$C$168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esfuerzo'!$D$162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esfuerzo'!$D$163:$D$168</c:f>
              <c:numCache>
                <c:formatCode>General</c:formatCode>
                <c:ptCount val="6"/>
                <c:pt idx="0">
                  <c:v>51</c:v>
                </c:pt>
                <c:pt idx="1">
                  <c:v>209</c:v>
                </c:pt>
                <c:pt idx="2">
                  <c:v>43</c:v>
                </c:pt>
                <c:pt idx="3">
                  <c:v>4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383040"/>
        <c:axId val="107393024"/>
      </c:barChart>
      <c:catAx>
        <c:axId val="107383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393024"/>
        <c:crosses val="autoZero"/>
        <c:auto val="1"/>
        <c:lblAlgn val="ctr"/>
        <c:lblOffset val="100"/>
        <c:noMultiLvlLbl val="1"/>
      </c:catAx>
      <c:valAx>
        <c:axId val="107393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73830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ventas'!$B$34:$B$36</c:f>
              <c:numCache>
                <c:formatCode>_-\$* #,##0.00_-;"-$"* #,##0.00_-;_-\$* \-??_-;_-@_-</c:formatCode>
                <c:ptCount val="3"/>
                <c:pt idx="0">
                  <c:v>202000</c:v>
                </c:pt>
                <c:pt idx="1">
                  <c:v>101000</c:v>
                </c:pt>
                <c:pt idx="2">
                  <c:v>101000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('Crecimiento anual de ventas'!$A$33,'Crecimiento anual de ventas'!$A$35:$A$36)</c:f>
              <c:strCache>
                <c:ptCount val="3"/>
                <c:pt idx="0">
                  <c:v>11-dic-15</c:v>
                </c:pt>
                <c:pt idx="1">
                  <c:v>Oriana</c:v>
                </c:pt>
                <c:pt idx="2">
                  <c:v>Marisol</c:v>
                </c:pt>
              </c:strCache>
            </c:strRef>
          </c:cat>
          <c:val>
            <c:numRef>
              <c:f>'Crecimiento anual de ventas'!$C$34:$C$36</c:f>
              <c:numCache>
                <c:formatCode>\$#,##0.00;[Red]"-$"#,##0.00</c:formatCode>
                <c:ptCount val="3"/>
                <c:pt idx="0" formatCode="_-\$* #,##0.00_-;&quot;-$&quot;* #,##0.00_-;_-\$* \-??_-;_-@_-">
                  <c:v>32780</c:v>
                </c:pt>
                <c:pt idx="1">
                  <c:v>10775</c:v>
                </c:pt>
                <c:pt idx="2">
                  <c:v>22005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10016"/>
        <c:axId val="125511552"/>
      </c:barChart>
      <c:catAx>
        <c:axId val="125510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11552"/>
        <c:crosses val="autoZero"/>
        <c:auto val="1"/>
        <c:lblAlgn val="ctr"/>
        <c:lblOffset val="100"/>
        <c:noMultiLvlLbl val="1"/>
      </c:catAx>
      <c:valAx>
        <c:axId val="125511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100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ventas'!$G$34:$H$34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ventas'!$G$35:$H$35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2220588.2000000002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48416"/>
        <c:axId val="125549952"/>
      </c:barChart>
      <c:catAx>
        <c:axId val="125548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9952"/>
        <c:crosses val="autoZero"/>
        <c:auto val="1"/>
        <c:lblAlgn val="ctr"/>
        <c:lblOffset val="100"/>
        <c:noMultiLvlLbl val="1"/>
      </c:catAx>
      <c:valAx>
        <c:axId val="125549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5484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'Crecimiento anual de ventas'!$B$58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ventas'!$B$60:$C$60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206889.8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'Crecimiento anual de ventas'!$C$58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ventas'!$A$60:$A$61</c:f>
              <c:strCache>
                <c:ptCount val="2"/>
                <c:pt idx="0">
                  <c:v>Oriana</c:v>
                </c:pt>
                <c:pt idx="1">
                  <c:v>Marisol</c:v>
                </c:pt>
              </c:strCache>
            </c:strRef>
          </c:cat>
          <c:val>
            <c:numRef>
              <c:f>'Crecimiento anual de ventas'!$B$61:$C$61</c:f>
              <c:numCache>
                <c:formatCode>\$#,##0.00;[Red]"-$"#,##0.00</c:formatCode>
                <c:ptCount val="2"/>
                <c:pt idx="0" formatCode="_-\$* #,##0.00_-;&quot;-$&quot;* #,##0.00_-;_-\$* \-??_-;_-@_-">
                  <c:v>101000</c:v>
                </c:pt>
                <c:pt idx="1">
                  <c:v>79141.899999999994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53760"/>
        <c:axId val="125655296"/>
      </c:barChart>
      <c:catAx>
        <c:axId val="125653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655296"/>
        <c:crosses val="autoZero"/>
        <c:auto val="1"/>
        <c:lblAlgn val="ctr"/>
        <c:lblOffset val="100"/>
        <c:noMultiLvlLbl val="1"/>
      </c:catAx>
      <c:valAx>
        <c:axId val="125655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6537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'Crecimiento anual de ventas'!$G$59:$H$59</c:f>
              <c:strCache>
                <c:ptCount val="2"/>
                <c:pt idx="0">
                  <c:v>Planeado</c:v>
                </c:pt>
                <c:pt idx="1">
                  <c:v>Real</c:v>
                </c:pt>
              </c:strCache>
            </c:strRef>
          </c:cat>
          <c:val>
            <c:numRef>
              <c:f>'Crecimiento anual de ventas'!$G$60:$H$60</c:f>
              <c:numCache>
                <c:formatCode>_-\$* #,##0.00_-;"-$"* #,##0.00_-;_-\$* \-??_-;_-@_-</c:formatCode>
                <c:ptCount val="2"/>
                <c:pt idx="0">
                  <c:v>2424000</c:v>
                </c:pt>
                <c:pt idx="1">
                  <c:v>2473839.9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67584"/>
        <c:axId val="125693952"/>
      </c:barChart>
      <c:catAx>
        <c:axId val="125667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693952"/>
        <c:crosses val="autoZero"/>
        <c:auto val="1"/>
        <c:lblAlgn val="ctr"/>
        <c:lblOffset val="100"/>
        <c:noMultiLvlLbl val="1"/>
      </c:catAx>
      <c:valAx>
        <c:axId val="125693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.00_-;&quot;-$&quot;* #,##0.00_-;_-\$* \-??_-;_-@_-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256675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'Indice de Satisfacción'!$C$1:$D$1</c:f>
              <c:strCache>
                <c:ptCount val="1"/>
                <c:pt idx="0">
                  <c:v>Indice de Satisfacción</c:v>
                </c:pt>
              </c:strCache>
            </c:strRef>
          </c:tx>
          <c:invertIfNegative val="0"/>
          <c:cat>
            <c:strRef>
              <c:f>'Indice de Satisfacción'!$C$2:$S$2</c:f>
              <c:strCache>
                <c:ptCount val="17"/>
                <c:pt idx="0">
                  <c:v>Noviembre</c:v>
                </c:pt>
                <c:pt idx="1">
                  <c:v>Diciembre</c:v>
                </c:pt>
                <c:pt idx="2">
                  <c:v>P1364</c:v>
                </c:pt>
                <c:pt idx="3">
                  <c:v>P1378</c:v>
                </c:pt>
                <c:pt idx="4">
                  <c:v>P1351</c:v>
                </c:pt>
                <c:pt idx="5">
                  <c:v>P1378</c:v>
                </c:pt>
                <c:pt idx="6">
                  <c:v>P1381</c:v>
                </c:pt>
                <c:pt idx="7">
                  <c:v>P1382</c:v>
                </c:pt>
                <c:pt idx="8">
                  <c:v>P1387</c:v>
                </c:pt>
                <c:pt idx="9">
                  <c:v>P1393</c:v>
                </c:pt>
                <c:pt idx="10">
                  <c:v>P1397</c:v>
                </c:pt>
                <c:pt idx="11">
                  <c:v>P1377</c:v>
                </c:pt>
                <c:pt idx="12">
                  <c:v>P1398</c:v>
                </c:pt>
                <c:pt idx="13">
                  <c:v>P1399</c:v>
                </c:pt>
                <c:pt idx="14">
                  <c:v>P1363</c:v>
                </c:pt>
                <c:pt idx="15">
                  <c:v>P1404</c:v>
                </c:pt>
                <c:pt idx="16">
                  <c:v>P1390</c:v>
                </c:pt>
              </c:strCache>
            </c:strRef>
          </c:cat>
          <c:val>
            <c:numRef>
              <c:f>'Indice de Satisfacción'!$C$4:$S$4</c:f>
              <c:numCache>
                <c:formatCode>0.00%</c:formatCode>
                <c:ptCount val="17"/>
                <c:pt idx="1">
                  <c:v>1</c:v>
                </c:pt>
                <c:pt idx="2">
                  <c:v>0.97140000000000004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0.97</c:v>
                </c:pt>
                <c:pt idx="7">
                  <c:v>0.97</c:v>
                </c:pt>
                <c:pt idx="8">
                  <c:v>0.97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79072"/>
        <c:axId val="55380608"/>
      </c:barChart>
      <c:catAx>
        <c:axId val="5537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5380608"/>
        <c:crosses val="autoZero"/>
        <c:auto val="1"/>
        <c:lblAlgn val="ctr"/>
        <c:lblOffset val="100"/>
        <c:noMultiLvlLbl val="0"/>
      </c:catAx>
      <c:valAx>
        <c:axId val="553806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53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esfuerzo'!$E$162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esfuerzo'!$B$163:$B$168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esfuerzo'!$E$163:$E$168</c:f>
              <c:numCache>
                <c:formatCode>0%</c:formatCode>
                <c:ptCount val="6"/>
                <c:pt idx="0">
                  <c:v>0</c:v>
                </c:pt>
                <c:pt idx="1">
                  <c:v>-4.9714285714285715</c:v>
                </c:pt>
                <c:pt idx="2">
                  <c:v>0.46250000000000002</c:v>
                </c:pt>
                <c:pt idx="3">
                  <c:v>0.82608695652173914</c:v>
                </c:pt>
                <c:pt idx="4">
                  <c:v>0</c:v>
                </c:pt>
                <c:pt idx="5">
                  <c:v>0.78873239436619713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80800"/>
        <c:axId val="114382336"/>
      </c:barChart>
      <c:catAx>
        <c:axId val="11438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382336"/>
        <c:crosses val="autoZero"/>
        <c:auto val="1"/>
        <c:lblAlgn val="ctr"/>
        <c:lblOffset val="100"/>
        <c:noMultiLvlLbl val="1"/>
      </c:catAx>
      <c:valAx>
        <c:axId val="1143823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380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esfuerzo'!$C$174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esfuerzo'!$C$175:$C$180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esfuerzo'!$D$174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esfuerzo'!$D$175:$D$180</c:f>
              <c:numCache>
                <c:formatCode>General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</c:v>
                </c:pt>
                <c:pt idx="5">
                  <c:v>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04352"/>
        <c:axId val="114406144"/>
      </c:barChart>
      <c:catAx>
        <c:axId val="114404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06144"/>
        <c:crosses val="autoZero"/>
        <c:auto val="1"/>
        <c:lblAlgn val="ctr"/>
        <c:lblOffset val="100"/>
        <c:noMultiLvlLbl val="1"/>
      </c:catAx>
      <c:valAx>
        <c:axId val="1144061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04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esfuerzo'!$E$174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esfuerzo'!$B$175:$B$180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esfuerzo'!$E$175:$E$180</c:f>
              <c:numCache>
                <c:formatCode>0%</c:formatCode>
                <c:ptCount val="6"/>
                <c:pt idx="0">
                  <c:v>0.80392156862745101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-0.22222222222222221</c:v>
                </c:pt>
                <c:pt idx="5">
                  <c:v>0.70422535211267601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43008"/>
        <c:axId val="114444544"/>
      </c:barChart>
      <c:catAx>
        <c:axId val="114443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44544"/>
        <c:crosses val="autoZero"/>
        <c:auto val="1"/>
        <c:lblAlgn val="ctr"/>
        <c:lblOffset val="100"/>
        <c:noMultiLvlLbl val="1"/>
      </c:catAx>
      <c:valAx>
        <c:axId val="1144445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430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esfuerzo'!$C$189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esfuerzo'!$C$190:$C$195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esfuerzo'!$D$189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esfuerzo'!$D$190:$D$195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43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66176"/>
        <c:axId val="114099328"/>
      </c:barChart>
      <c:catAx>
        <c:axId val="114466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099328"/>
        <c:crosses val="autoZero"/>
        <c:auto val="1"/>
        <c:lblAlgn val="ctr"/>
        <c:lblOffset val="100"/>
        <c:noMultiLvlLbl val="1"/>
      </c:catAx>
      <c:valAx>
        <c:axId val="114099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4661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esfuerzo'!$E$189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esfuerzo'!$B$190:$B$195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esfuerzo'!$E$190:$E$195</c:f>
              <c:numCache>
                <c:formatCode>0%</c:formatCode>
                <c:ptCount val="6"/>
                <c:pt idx="0">
                  <c:v>0.76470588235294112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0.52222222222222225</c:v>
                </c:pt>
                <c:pt idx="5">
                  <c:v>0.97887323943661975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136192"/>
        <c:axId val="114137728"/>
      </c:barChart>
      <c:catAx>
        <c:axId val="114136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137728"/>
        <c:crosses val="autoZero"/>
        <c:auto val="1"/>
        <c:lblAlgn val="ctr"/>
        <c:lblOffset val="100"/>
        <c:noMultiLvlLbl val="1"/>
      </c:catAx>
      <c:valAx>
        <c:axId val="1141377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13619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esfuerzo'!$C$204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esfuerzo'!$C$205:$C$210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esfuerzo'!$D$204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esfuerzo'!$D$205:$D$210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46016"/>
        <c:axId val="114247552"/>
      </c:barChart>
      <c:catAx>
        <c:axId val="11424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247552"/>
        <c:crosses val="autoZero"/>
        <c:auto val="1"/>
        <c:lblAlgn val="ctr"/>
        <c:lblOffset val="100"/>
        <c:noMultiLvlLbl val="1"/>
      </c:catAx>
      <c:valAx>
        <c:axId val="1142475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2460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esfuerzo'!$E$204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esfuerzo'!$B$205:$B$210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esfuerzo'!$E$205:$E$210</c:f>
              <c:numCache>
                <c:formatCode>0%</c:formatCode>
                <c:ptCount val="6"/>
                <c:pt idx="0">
                  <c:v>0.94117647058823528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0.94444444444444442</c:v>
                </c:pt>
                <c:pt idx="5">
                  <c:v>0.97887323943661975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60224"/>
        <c:axId val="114294784"/>
      </c:barChart>
      <c:catAx>
        <c:axId val="114260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294784"/>
        <c:crosses val="autoZero"/>
        <c:auto val="1"/>
        <c:lblAlgn val="ctr"/>
        <c:lblOffset val="100"/>
        <c:noMultiLvlLbl val="1"/>
      </c:catAx>
      <c:valAx>
        <c:axId val="114294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2602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esfuerzo'!$C$219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esfuerzo'!$C$220:$C$225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esfuerzo'!$D$219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esfuerzo'!$D$220:$D$225</c:f>
              <c:numCache>
                <c:formatCode>General</c:formatCode>
                <c:ptCount val="6"/>
                <c:pt idx="0">
                  <c:v>601</c:v>
                </c:pt>
                <c:pt idx="1">
                  <c:v>57</c:v>
                </c:pt>
                <c:pt idx="2">
                  <c:v>317</c:v>
                </c:pt>
                <c:pt idx="3">
                  <c:v>11</c:v>
                </c:pt>
                <c:pt idx="4">
                  <c:v>0</c:v>
                </c:pt>
                <c:pt idx="5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337280"/>
        <c:axId val="114338816"/>
      </c:barChart>
      <c:catAx>
        <c:axId val="114337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338816"/>
        <c:crosses val="autoZero"/>
        <c:auto val="1"/>
        <c:lblAlgn val="ctr"/>
        <c:lblOffset val="100"/>
        <c:noMultiLvlLbl val="1"/>
      </c:catAx>
      <c:valAx>
        <c:axId val="1143388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3372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esfuerzo'!$C$38:$C$43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esfuerzo'!$D$38:$D$43</c:f>
              <c:numCache>
                <c:formatCode>General</c:formatCode>
                <c:ptCount val="6"/>
                <c:pt idx="0">
                  <c:v>6</c:v>
                </c:pt>
                <c:pt idx="1">
                  <c:v>21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472000"/>
        <c:axId val="89490176"/>
      </c:barChart>
      <c:catAx>
        <c:axId val="89472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490176"/>
        <c:crosses val="autoZero"/>
        <c:auto val="1"/>
        <c:lblAlgn val="ctr"/>
        <c:lblOffset val="100"/>
        <c:noMultiLvlLbl val="1"/>
      </c:catAx>
      <c:valAx>
        <c:axId val="894901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472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esfuerzo'!$E$219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esfuerzo'!$B$220:$B$225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esfuerzo'!$E$220:$E$225</c:f>
              <c:numCache>
                <c:formatCode>0%</c:formatCode>
                <c:ptCount val="6"/>
                <c:pt idx="0">
                  <c:v>-10.784313725490197</c:v>
                </c:pt>
                <c:pt idx="1">
                  <c:v>-0.62857142857142856</c:v>
                </c:pt>
                <c:pt idx="2">
                  <c:v>-0.32083333333333336</c:v>
                </c:pt>
                <c:pt idx="3">
                  <c:v>0.52173913043478259</c:v>
                </c:pt>
                <c:pt idx="4">
                  <c:v>0</c:v>
                </c:pt>
                <c:pt idx="5">
                  <c:v>0.852112676056338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60704"/>
        <c:axId val="114766592"/>
      </c:barChart>
      <c:catAx>
        <c:axId val="114760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766592"/>
        <c:crosses val="autoZero"/>
        <c:auto val="1"/>
        <c:lblAlgn val="ctr"/>
        <c:lblOffset val="100"/>
        <c:noMultiLvlLbl val="1"/>
      </c:catAx>
      <c:valAx>
        <c:axId val="1147665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7607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esfuerzo'!$C$231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esfuerzo'!$C$232:$C$237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esfuerzo'!$D$231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esfuerzo'!$D$232:$D$237</c:f>
              <c:numCache>
                <c:formatCode>General</c:formatCode>
                <c:ptCount val="6"/>
                <c:pt idx="0">
                  <c:v>14</c:v>
                </c:pt>
                <c:pt idx="1">
                  <c:v>90</c:v>
                </c:pt>
                <c:pt idx="2">
                  <c:v>89</c:v>
                </c:pt>
                <c:pt idx="3">
                  <c:v>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00896"/>
        <c:axId val="114814976"/>
      </c:barChart>
      <c:catAx>
        <c:axId val="11480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814976"/>
        <c:crosses val="autoZero"/>
        <c:auto val="1"/>
        <c:lblAlgn val="ctr"/>
        <c:lblOffset val="100"/>
        <c:noMultiLvlLbl val="1"/>
      </c:catAx>
      <c:valAx>
        <c:axId val="1148149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800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esfuerzo'!$E$231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esfuerzo'!$B$232:$B$237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esfuerzo'!$E$232:$E$237</c:f>
              <c:numCache>
                <c:formatCode>0%</c:formatCode>
                <c:ptCount val="6"/>
                <c:pt idx="0">
                  <c:v>0.72549019607843135</c:v>
                </c:pt>
                <c:pt idx="1">
                  <c:v>-1.5714285714285714</c:v>
                </c:pt>
                <c:pt idx="2">
                  <c:v>-0.1125</c:v>
                </c:pt>
                <c:pt idx="3">
                  <c:v>0.65217391304347827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15968"/>
        <c:axId val="114517504"/>
      </c:barChart>
      <c:catAx>
        <c:axId val="11451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517504"/>
        <c:crosses val="autoZero"/>
        <c:auto val="1"/>
        <c:lblAlgn val="ctr"/>
        <c:lblOffset val="100"/>
        <c:noMultiLvlLbl val="1"/>
      </c:catAx>
      <c:valAx>
        <c:axId val="114517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5159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esfuerzo'!$C$246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esfuerzo'!$C$247:$C$252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esfuerzo'!$D$246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esfuerzo'!$D$247:$D$252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43</c:v>
                </c:pt>
                <c:pt idx="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55904"/>
        <c:axId val="114701056"/>
      </c:barChart>
      <c:catAx>
        <c:axId val="114555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701056"/>
        <c:crosses val="autoZero"/>
        <c:auto val="1"/>
        <c:lblAlgn val="ctr"/>
        <c:lblOffset val="100"/>
        <c:noMultiLvlLbl val="1"/>
      </c:catAx>
      <c:valAx>
        <c:axId val="114701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55590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esfuerzo'!$E$246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esfuerzo'!$B$247:$B$252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esfuerzo'!$E$247:$E$252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0.56521739130434778</c:v>
                </c:pt>
                <c:pt idx="4">
                  <c:v>0.52222222222222225</c:v>
                </c:pt>
                <c:pt idx="5">
                  <c:v>0.96478873239436624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09248"/>
        <c:axId val="114710784"/>
      </c:barChart>
      <c:catAx>
        <c:axId val="114709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710784"/>
        <c:crosses val="autoZero"/>
        <c:auto val="1"/>
        <c:lblAlgn val="ctr"/>
        <c:lblOffset val="100"/>
        <c:noMultiLvlLbl val="1"/>
      </c:catAx>
      <c:valAx>
        <c:axId val="114710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709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esfuerzo'!$C$261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esfuerzo'!$C$262:$C$267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esfuerzo'!$D$261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esfuerzo'!$D$262:$D$267</c:f>
              <c:numCache>
                <c:formatCode>General</c:formatCode>
                <c:ptCount val="6"/>
                <c:pt idx="0">
                  <c:v>17</c:v>
                </c:pt>
                <c:pt idx="1">
                  <c:v>142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23168"/>
        <c:axId val="114824704"/>
      </c:barChart>
      <c:catAx>
        <c:axId val="114823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824704"/>
        <c:crosses val="autoZero"/>
        <c:auto val="1"/>
        <c:lblAlgn val="ctr"/>
        <c:lblOffset val="100"/>
        <c:noMultiLvlLbl val="1"/>
      </c:catAx>
      <c:valAx>
        <c:axId val="1148247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82316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esfuerzo'!$E$261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esfuerzo'!$B$262:$B$267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esfuerzo'!$E$262:$E$267</c:f>
              <c:numCache>
                <c:formatCode>0%</c:formatCode>
                <c:ptCount val="6"/>
                <c:pt idx="0">
                  <c:v>0.66666666666666663</c:v>
                </c:pt>
                <c:pt idx="1">
                  <c:v>-3.0571428571428569</c:v>
                </c:pt>
                <c:pt idx="2">
                  <c:v>1</c:v>
                </c:pt>
                <c:pt idx="3">
                  <c:v>0.78260869565217395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73856"/>
        <c:axId val="114875392"/>
      </c:barChart>
      <c:catAx>
        <c:axId val="114873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875392"/>
        <c:crosses val="autoZero"/>
        <c:auto val="1"/>
        <c:lblAlgn val="ctr"/>
        <c:lblOffset val="100"/>
        <c:noMultiLvlLbl val="1"/>
      </c:catAx>
      <c:valAx>
        <c:axId val="114875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873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esfuerzo'!$C$273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esfuerzo'!$C$274:$C$279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esfuerzo'!$D$273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esfuerzo'!$D$274:$D$279</c:f>
              <c:numCache>
                <c:formatCode>General</c:formatCode>
                <c:ptCount val="6"/>
                <c:pt idx="0">
                  <c:v>9</c:v>
                </c:pt>
                <c:pt idx="1">
                  <c:v>42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975872"/>
        <c:axId val="114977408"/>
      </c:barChart>
      <c:catAx>
        <c:axId val="1149758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977408"/>
        <c:crosses val="autoZero"/>
        <c:auto val="1"/>
        <c:lblAlgn val="ctr"/>
        <c:lblOffset val="100"/>
        <c:noMultiLvlLbl val="1"/>
      </c:catAx>
      <c:valAx>
        <c:axId val="114977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49758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esfuerzo'!$E$273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esfuerzo'!$B$274:$B$279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esfuerzo'!$E$274:$E$279</c:f>
              <c:numCache>
                <c:formatCode>0%</c:formatCode>
                <c:ptCount val="6"/>
                <c:pt idx="0">
                  <c:v>0.82352941176470584</c:v>
                </c:pt>
                <c:pt idx="1">
                  <c:v>-0.2</c:v>
                </c:pt>
                <c:pt idx="2">
                  <c:v>1</c:v>
                </c:pt>
                <c:pt idx="3">
                  <c:v>0.78260869565217395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92800"/>
        <c:axId val="115298688"/>
      </c:barChart>
      <c:catAx>
        <c:axId val="115292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298688"/>
        <c:crosses val="autoZero"/>
        <c:auto val="1"/>
        <c:lblAlgn val="ctr"/>
        <c:lblOffset val="100"/>
        <c:noMultiLvlLbl val="1"/>
      </c:catAx>
      <c:valAx>
        <c:axId val="1152986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292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esfuerzo'!$C$288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esfuerzo'!$C$289:$C$294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esfuerzo'!$D$288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esfuerzo'!$D$289:$D$294</c:f>
              <c:numCache>
                <c:formatCode>General</c:formatCode>
                <c:ptCount val="6"/>
                <c:pt idx="0">
                  <c:v>1</c:v>
                </c:pt>
                <c:pt idx="1">
                  <c:v>52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28896"/>
        <c:axId val="115330432"/>
      </c:barChart>
      <c:catAx>
        <c:axId val="115328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330432"/>
        <c:crosses val="autoZero"/>
        <c:auto val="1"/>
        <c:lblAlgn val="ctr"/>
        <c:lblOffset val="100"/>
        <c:noMultiLvlLbl val="1"/>
      </c:catAx>
      <c:valAx>
        <c:axId val="115330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3288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esfuerzo'!$B$38:$B$43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esfuerzo'!$E$38:$E$43</c:f>
              <c:numCache>
                <c:formatCode>0%</c:formatCode>
                <c:ptCount val="6"/>
                <c:pt idx="0">
                  <c:v>0.88235294117647056</c:v>
                </c:pt>
                <c:pt idx="1">
                  <c:v>0.4</c:v>
                </c:pt>
                <c:pt idx="2">
                  <c:v>1</c:v>
                </c:pt>
                <c:pt idx="3">
                  <c:v>0.47826086956521741</c:v>
                </c:pt>
                <c:pt idx="4">
                  <c:v>0</c:v>
                </c:pt>
                <c:pt idx="5">
                  <c:v>0.43661971830985913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10656"/>
        <c:axId val="89512192"/>
      </c:barChart>
      <c:catAx>
        <c:axId val="89510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512192"/>
        <c:crosses val="autoZero"/>
        <c:auto val="1"/>
        <c:lblAlgn val="ctr"/>
        <c:lblOffset val="100"/>
        <c:noMultiLvlLbl val="1"/>
      </c:catAx>
      <c:valAx>
        <c:axId val="895121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95106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esfuerzo'!$E$288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esfuerzo'!$B$289:$B$294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esfuerzo'!$E$289:$E$294</c:f>
              <c:numCache>
                <c:formatCode>0%</c:formatCode>
                <c:ptCount val="6"/>
                <c:pt idx="0">
                  <c:v>0.98039215686274506</c:v>
                </c:pt>
                <c:pt idx="1">
                  <c:v>-0.48571428571428571</c:v>
                </c:pt>
                <c:pt idx="2">
                  <c:v>1</c:v>
                </c:pt>
                <c:pt idx="3">
                  <c:v>0.91304347826086951</c:v>
                </c:pt>
                <c:pt idx="4">
                  <c:v>0</c:v>
                </c:pt>
                <c:pt idx="5">
                  <c:v>0.91549295774647887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35520"/>
        <c:axId val="115045504"/>
      </c:barChart>
      <c:catAx>
        <c:axId val="115035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045504"/>
        <c:crosses val="autoZero"/>
        <c:auto val="1"/>
        <c:lblAlgn val="ctr"/>
        <c:lblOffset val="100"/>
        <c:noMultiLvlLbl val="1"/>
      </c:catAx>
      <c:valAx>
        <c:axId val="11504550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035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esfuerzo'!$C$304:$C$309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esfuerzo'!$D$304:$D$309</c:f>
              <c:numCache>
                <c:formatCode>General</c:formatCode>
                <c:ptCount val="6"/>
                <c:pt idx="0">
                  <c:v>35</c:v>
                </c:pt>
                <c:pt idx="1">
                  <c:v>223</c:v>
                </c:pt>
                <c:pt idx="2">
                  <c:v>168</c:v>
                </c:pt>
                <c:pt idx="3">
                  <c:v>1</c:v>
                </c:pt>
                <c:pt idx="4">
                  <c:v>0</c:v>
                </c:pt>
                <c:pt idx="5">
                  <c:v>51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79808"/>
        <c:axId val="115229056"/>
      </c:barChart>
      <c:catAx>
        <c:axId val="115079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229056"/>
        <c:crosses val="autoZero"/>
        <c:auto val="1"/>
        <c:lblAlgn val="ctr"/>
        <c:lblOffset val="100"/>
        <c:noMultiLvlLbl val="1"/>
      </c:catAx>
      <c:valAx>
        <c:axId val="1152290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0798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esfuerzo'!$E$303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esfuerzo'!$B$304:$B$309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esfuerzo'!$E$304:$E$309</c:f>
              <c:numCache>
                <c:formatCode>0%</c:formatCode>
                <c:ptCount val="6"/>
                <c:pt idx="0">
                  <c:v>0.31372549019607843</c:v>
                </c:pt>
                <c:pt idx="1">
                  <c:v>-5.371428571428571</c:v>
                </c:pt>
                <c:pt idx="2">
                  <c:v>-1.1000000000000001</c:v>
                </c:pt>
                <c:pt idx="3">
                  <c:v>0.95652173913043481</c:v>
                </c:pt>
                <c:pt idx="4">
                  <c:v>0</c:v>
                </c:pt>
                <c:pt idx="5">
                  <c:v>0.64084507042253525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65536"/>
        <c:axId val="115267072"/>
      </c:barChart>
      <c:catAx>
        <c:axId val="11526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267072"/>
        <c:crosses val="autoZero"/>
        <c:auto val="1"/>
        <c:lblAlgn val="ctr"/>
        <c:lblOffset val="100"/>
        <c:noMultiLvlLbl val="1"/>
      </c:catAx>
      <c:valAx>
        <c:axId val="115267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2655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esfuerzo'!$C$318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esfuerzo'!$C$319:$C$324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esfuerzo'!$D$318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esfuerzo'!$D$319:$D$324</c:f>
              <c:numCache>
                <c:formatCode>General</c:formatCode>
                <c:ptCount val="6"/>
                <c:pt idx="0">
                  <c:v>22</c:v>
                </c:pt>
                <c:pt idx="1">
                  <c:v>90</c:v>
                </c:pt>
                <c:pt idx="2">
                  <c:v>0</c:v>
                </c:pt>
                <c:pt idx="3">
                  <c:v>58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63520"/>
        <c:axId val="115569408"/>
      </c:barChart>
      <c:catAx>
        <c:axId val="115563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569408"/>
        <c:crosses val="autoZero"/>
        <c:auto val="1"/>
        <c:lblAlgn val="ctr"/>
        <c:lblOffset val="100"/>
        <c:noMultiLvlLbl val="1"/>
      </c:catAx>
      <c:valAx>
        <c:axId val="1155694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56352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esfuerzo'!$E$318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esfuerzo'!$B$319:$B$324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esfuerzo'!$E$319:$E$324</c:f>
              <c:numCache>
                <c:formatCode>0%</c:formatCode>
                <c:ptCount val="6"/>
                <c:pt idx="0">
                  <c:v>0.56862745098039214</c:v>
                </c:pt>
                <c:pt idx="1">
                  <c:v>-1.5714285714285714</c:v>
                </c:pt>
                <c:pt idx="2">
                  <c:v>1</c:v>
                </c:pt>
                <c:pt idx="3">
                  <c:v>-1.5217391304347827</c:v>
                </c:pt>
                <c:pt idx="4">
                  <c:v>0</c:v>
                </c:pt>
                <c:pt idx="5">
                  <c:v>0.91549295774647887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598080"/>
        <c:axId val="115599616"/>
      </c:barChart>
      <c:catAx>
        <c:axId val="115598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599616"/>
        <c:crosses val="autoZero"/>
        <c:auto val="1"/>
        <c:lblAlgn val="ctr"/>
        <c:lblOffset val="100"/>
        <c:noMultiLvlLbl val="1"/>
      </c:catAx>
      <c:valAx>
        <c:axId val="1155996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59808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esfuerzo'!$C$333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esfuerzo'!$C$334:$C$339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esfuerzo'!$D$333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esfuerzo'!$D$334:$D$339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650560"/>
        <c:axId val="115652096"/>
      </c:barChart>
      <c:catAx>
        <c:axId val="11565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652096"/>
        <c:crosses val="autoZero"/>
        <c:auto val="1"/>
        <c:lblAlgn val="ctr"/>
        <c:lblOffset val="100"/>
        <c:noMultiLvlLbl val="1"/>
      </c:catAx>
      <c:valAx>
        <c:axId val="1156520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6505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esfuerzo'!$E$333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esfuerzo'!$B$334:$B$339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esfuerzo'!$E$334:$E$339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0.971830985915493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04352"/>
        <c:axId val="116005888"/>
      </c:barChart>
      <c:catAx>
        <c:axId val="116004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005888"/>
        <c:crosses val="autoZero"/>
        <c:auto val="1"/>
        <c:lblAlgn val="ctr"/>
        <c:lblOffset val="100"/>
        <c:noMultiLvlLbl val="1"/>
      </c:catAx>
      <c:valAx>
        <c:axId val="116005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004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esfuerzo'!$C$348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esfuerzo'!$C$349:$C$354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esfuerzo'!$D$348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esfuerzo'!$D$349:$D$354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149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52352"/>
        <c:axId val="116053888"/>
      </c:barChart>
      <c:catAx>
        <c:axId val="116052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053888"/>
        <c:crosses val="autoZero"/>
        <c:auto val="1"/>
        <c:lblAlgn val="ctr"/>
        <c:lblOffset val="100"/>
        <c:noMultiLvlLbl val="1"/>
      </c:catAx>
      <c:valAx>
        <c:axId val="116053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052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esfuerzo'!$E$348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esfuerzo'!$B$349:$B$354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esfuerzo'!$E$349:$E$354</c:f>
              <c:numCache>
                <c:formatCode>0%</c:formatCode>
                <c:ptCount val="6"/>
                <c:pt idx="0">
                  <c:v>0.98039215686274506</c:v>
                </c:pt>
                <c:pt idx="1">
                  <c:v>0.7142857142857143</c:v>
                </c:pt>
                <c:pt idx="2">
                  <c:v>0</c:v>
                </c:pt>
                <c:pt idx="3">
                  <c:v>1</c:v>
                </c:pt>
                <c:pt idx="4">
                  <c:v>0.37916666666666665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50784"/>
        <c:axId val="115752320"/>
      </c:barChart>
      <c:catAx>
        <c:axId val="115750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752320"/>
        <c:crosses val="autoZero"/>
        <c:auto val="1"/>
        <c:lblAlgn val="ctr"/>
        <c:lblOffset val="100"/>
        <c:noMultiLvlLbl val="1"/>
      </c:catAx>
      <c:valAx>
        <c:axId val="1157523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7507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esfuerzo'!$C$363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esfuerzo'!$C$364:$C$369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esfuerzo'!$D$363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esfuerzo'!$D$364:$D$369</c:f>
              <c:numCache>
                <c:formatCode>General</c:formatCode>
                <c:ptCount val="6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44</c:v>
                </c:pt>
                <c:pt idx="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03264"/>
        <c:axId val="115804800"/>
      </c:barChart>
      <c:catAx>
        <c:axId val="115803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04800"/>
        <c:crosses val="autoZero"/>
        <c:auto val="1"/>
        <c:lblAlgn val="ctr"/>
        <c:lblOffset val="100"/>
        <c:noMultiLvlLbl val="1"/>
      </c:catAx>
      <c:valAx>
        <c:axId val="1158048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032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esfuerzo'!$C$50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esfuerzo'!$C$51:$C$56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esfuerzo'!$D$50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esfuerzo'!$D$51:$D$56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244</c:v>
                </c:pt>
                <c:pt idx="3">
                  <c:v>15</c:v>
                </c:pt>
                <c:pt idx="4">
                  <c:v>0</c:v>
                </c:pt>
                <c:pt idx="5">
                  <c:v>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801664"/>
        <c:axId val="90803200"/>
      </c:barChart>
      <c:catAx>
        <c:axId val="9080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803200"/>
        <c:crosses val="autoZero"/>
        <c:auto val="1"/>
        <c:lblAlgn val="ctr"/>
        <c:lblOffset val="100"/>
        <c:noMultiLvlLbl val="1"/>
      </c:catAx>
      <c:valAx>
        <c:axId val="90803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0801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esfuerzo'!$E$363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esfuerzo'!$B$364:$B$369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esfuerzo'!$E$364:$E$369</c:f>
              <c:numCache>
                <c:formatCode>0%</c:formatCode>
                <c:ptCount val="6"/>
                <c:pt idx="0">
                  <c:v>0.90196078431372551</c:v>
                </c:pt>
                <c:pt idx="1">
                  <c:v>0.65714285714285714</c:v>
                </c:pt>
                <c:pt idx="2">
                  <c:v>0</c:v>
                </c:pt>
                <c:pt idx="3">
                  <c:v>1</c:v>
                </c:pt>
                <c:pt idx="4">
                  <c:v>0.51111111111111107</c:v>
                </c:pt>
                <c:pt idx="5">
                  <c:v>0.94366197183098588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33472"/>
        <c:axId val="115843456"/>
      </c:barChart>
      <c:catAx>
        <c:axId val="115833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43456"/>
        <c:crosses val="autoZero"/>
        <c:auto val="1"/>
        <c:lblAlgn val="ctr"/>
        <c:lblOffset val="100"/>
        <c:noMultiLvlLbl val="1"/>
      </c:catAx>
      <c:valAx>
        <c:axId val="115843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334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esfuerzo'!$C$379:$C$384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esfuerzo'!$D$379:$D$384</c:f>
              <c:numCache>
                <c:formatCode>General</c:formatCode>
                <c:ptCount val="6"/>
                <c:pt idx="0">
                  <c:v>105</c:v>
                </c:pt>
                <c:pt idx="1">
                  <c:v>102</c:v>
                </c:pt>
                <c:pt idx="2">
                  <c:v>0</c:v>
                </c:pt>
                <c:pt idx="3">
                  <c:v>5</c:v>
                </c:pt>
                <c:pt idx="4">
                  <c:v>249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73664"/>
        <c:axId val="115875200"/>
      </c:barChart>
      <c:catAx>
        <c:axId val="115873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75200"/>
        <c:crosses val="autoZero"/>
        <c:auto val="1"/>
        <c:lblAlgn val="ctr"/>
        <c:lblOffset val="100"/>
        <c:noMultiLvlLbl val="1"/>
      </c:catAx>
      <c:valAx>
        <c:axId val="115875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7366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esfuerzo'!$E$378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esfuerzo'!$B$379:$B$384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esfuerzo'!$E$379:$E$384</c:f>
              <c:numCache>
                <c:formatCode>0%</c:formatCode>
                <c:ptCount val="6"/>
                <c:pt idx="0">
                  <c:v>-1.0588235294117647</c:v>
                </c:pt>
                <c:pt idx="1">
                  <c:v>-1.9142857142857144</c:v>
                </c:pt>
                <c:pt idx="2">
                  <c:v>0</c:v>
                </c:pt>
                <c:pt idx="3">
                  <c:v>0.78260869565217395</c:v>
                </c:pt>
                <c:pt idx="4">
                  <c:v>-3.7499999999999999E-2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99776"/>
        <c:axId val="115922048"/>
      </c:barChart>
      <c:catAx>
        <c:axId val="115899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922048"/>
        <c:crosses val="autoZero"/>
        <c:auto val="1"/>
        <c:lblAlgn val="ctr"/>
        <c:lblOffset val="100"/>
        <c:noMultiLvlLbl val="1"/>
      </c:catAx>
      <c:valAx>
        <c:axId val="1159220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58997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esfuerzo'!$C$393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esfuerzo'!$C$394:$C$399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esfuerzo'!$D$393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esfuerzo'!$D$394:$D$399</c:f>
              <c:numCache>
                <c:formatCode>General</c:formatCode>
                <c:ptCount val="6"/>
                <c:pt idx="0">
                  <c:v>2340</c:v>
                </c:pt>
                <c:pt idx="1">
                  <c:v>3960</c:v>
                </c:pt>
                <c:pt idx="2">
                  <c:v>0</c:v>
                </c:pt>
                <c:pt idx="3">
                  <c:v>6</c:v>
                </c:pt>
                <c:pt idx="4">
                  <c:v>171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83328"/>
        <c:axId val="116093312"/>
      </c:barChart>
      <c:catAx>
        <c:axId val="11608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093312"/>
        <c:crosses val="autoZero"/>
        <c:auto val="1"/>
        <c:lblAlgn val="ctr"/>
        <c:lblOffset val="100"/>
        <c:noMultiLvlLbl val="1"/>
      </c:catAx>
      <c:valAx>
        <c:axId val="1160933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0833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esfuerzo'!$E$393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esfuerzo'!$B$394:$B$399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esfuerzo'!$E$394:$E$399</c:f>
              <c:numCache>
                <c:formatCode>0%</c:formatCode>
                <c:ptCount val="6"/>
                <c:pt idx="0">
                  <c:v>-44.882352941176471</c:v>
                </c:pt>
                <c:pt idx="1">
                  <c:v>-112.14285714285714</c:v>
                </c:pt>
                <c:pt idx="2">
                  <c:v>0</c:v>
                </c:pt>
                <c:pt idx="3">
                  <c:v>0.73913043478260865</c:v>
                </c:pt>
                <c:pt idx="4">
                  <c:v>0.28749999999999998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21984"/>
        <c:axId val="116123520"/>
      </c:barChart>
      <c:catAx>
        <c:axId val="1161219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123520"/>
        <c:crosses val="autoZero"/>
        <c:auto val="1"/>
        <c:lblAlgn val="ctr"/>
        <c:lblOffset val="100"/>
        <c:noMultiLvlLbl val="1"/>
      </c:catAx>
      <c:valAx>
        <c:axId val="116123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12198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esfuerzo'!$C$408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esfuerzo'!$C$409:$C$414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esfuerzo'!$D$408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esfuerzo'!$D$409:$D$414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</c:v>
                </c:pt>
                <c:pt idx="4">
                  <c:v>90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27456"/>
        <c:axId val="116237440"/>
      </c:barChart>
      <c:catAx>
        <c:axId val="116227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237440"/>
        <c:crosses val="autoZero"/>
        <c:auto val="1"/>
        <c:lblAlgn val="ctr"/>
        <c:lblOffset val="100"/>
        <c:noMultiLvlLbl val="1"/>
      </c:catAx>
      <c:valAx>
        <c:axId val="1162374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227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esfuerzo'!$E$408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esfuerzo'!$B$409:$B$414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esfuerzo'!$E$409:$E$414</c:f>
              <c:numCache>
                <c:formatCode>0%</c:formatCode>
                <c:ptCount val="6"/>
                <c:pt idx="0">
                  <c:v>1</c:v>
                </c:pt>
                <c:pt idx="1">
                  <c:v>0.48571428571428571</c:v>
                </c:pt>
                <c:pt idx="2">
                  <c:v>0</c:v>
                </c:pt>
                <c:pt idx="3">
                  <c:v>0.95652173913043481</c:v>
                </c:pt>
                <c:pt idx="4">
                  <c:v>0.625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32352"/>
        <c:axId val="116533888"/>
      </c:barChart>
      <c:catAx>
        <c:axId val="116532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33888"/>
        <c:crosses val="autoZero"/>
        <c:auto val="1"/>
        <c:lblAlgn val="ctr"/>
        <c:lblOffset val="100"/>
        <c:noMultiLvlLbl val="1"/>
      </c:catAx>
      <c:valAx>
        <c:axId val="1165338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323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esfuerzo'!$C$423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esfuerzo'!$C$424:$C$429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esfuerzo'!$D$423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esfuerzo'!$D$424:$D$429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61248"/>
        <c:axId val="116262784"/>
      </c:barChart>
      <c:catAx>
        <c:axId val="11626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262784"/>
        <c:crosses val="autoZero"/>
        <c:auto val="1"/>
        <c:lblAlgn val="ctr"/>
        <c:lblOffset val="100"/>
        <c:noMultiLvlLbl val="1"/>
      </c:catAx>
      <c:valAx>
        <c:axId val="1162627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26124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esfuerzo'!$E$423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esfuerzo'!$B$424:$B$429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esfuerzo'!$E$424:$E$429</c:f>
              <c:numCache>
                <c:formatCode>0%</c:formatCode>
                <c:ptCount val="6"/>
                <c:pt idx="0">
                  <c:v>0.88235294117647056</c:v>
                </c:pt>
                <c:pt idx="1">
                  <c:v>0.91428571428571426</c:v>
                </c:pt>
                <c:pt idx="2">
                  <c:v>1</c:v>
                </c:pt>
                <c:pt idx="3">
                  <c:v>0.47826086956521741</c:v>
                </c:pt>
                <c:pt idx="4">
                  <c:v>0</c:v>
                </c:pt>
                <c:pt idx="5">
                  <c:v>0.8098591549295775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95936"/>
        <c:axId val="116305920"/>
      </c:barChart>
      <c:catAx>
        <c:axId val="1162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305920"/>
        <c:crosses val="autoZero"/>
        <c:auto val="1"/>
        <c:lblAlgn val="ctr"/>
        <c:lblOffset val="100"/>
        <c:noMultiLvlLbl val="1"/>
      </c:catAx>
      <c:valAx>
        <c:axId val="116305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29593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esfuerzo'!$C$438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esfuerzo'!$C$439:$C$444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esfuerzo'!$D$438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esfuerzo'!$D$439:$D$444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09856"/>
        <c:axId val="116411392"/>
      </c:barChart>
      <c:catAx>
        <c:axId val="116409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411392"/>
        <c:crosses val="autoZero"/>
        <c:auto val="1"/>
        <c:lblAlgn val="ctr"/>
        <c:lblOffset val="100"/>
        <c:noMultiLvlLbl val="1"/>
      </c:catAx>
      <c:valAx>
        <c:axId val="1164113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4098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esfuerzo'!$E$50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esfuerzo'!$B$51:$B$56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esfuerzo'!$E$51:$E$56</c:f>
              <c:numCache>
                <c:formatCode>0%</c:formatCode>
                <c:ptCount val="6"/>
                <c:pt idx="0">
                  <c:v>0.88235294117647056</c:v>
                </c:pt>
                <c:pt idx="1">
                  <c:v>0.5714285714285714</c:v>
                </c:pt>
                <c:pt idx="2">
                  <c:v>-1.6666666666666666E-2</c:v>
                </c:pt>
                <c:pt idx="3">
                  <c:v>0.34782608695652173</c:v>
                </c:pt>
                <c:pt idx="4">
                  <c:v>0</c:v>
                </c:pt>
                <c:pt idx="5">
                  <c:v>0.53521126760563376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08000"/>
        <c:axId val="100217984"/>
      </c:barChart>
      <c:catAx>
        <c:axId val="100208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217984"/>
        <c:crosses val="autoZero"/>
        <c:auto val="1"/>
        <c:lblAlgn val="ctr"/>
        <c:lblOffset val="100"/>
        <c:noMultiLvlLbl val="1"/>
      </c:catAx>
      <c:valAx>
        <c:axId val="1002179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208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esfuerzo'!$E$438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esfuerzo'!$B$439:$B$444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esfuerzo'!$E$439:$E$444</c:f>
              <c:numCache>
                <c:formatCode>0%</c:formatCode>
                <c:ptCount val="6"/>
                <c:pt idx="0">
                  <c:v>0.96078431372549022</c:v>
                </c:pt>
                <c:pt idx="1">
                  <c:v>0.91428571428571426</c:v>
                </c:pt>
                <c:pt idx="2">
                  <c:v>1</c:v>
                </c:pt>
                <c:pt idx="3">
                  <c:v>0.43478260869565216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27776"/>
        <c:axId val="116437760"/>
      </c:barChart>
      <c:catAx>
        <c:axId val="116427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437760"/>
        <c:crosses val="autoZero"/>
        <c:auto val="1"/>
        <c:lblAlgn val="ctr"/>
        <c:lblOffset val="100"/>
        <c:noMultiLvlLbl val="1"/>
      </c:catAx>
      <c:valAx>
        <c:axId val="11643776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4277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esfuerzo'!$C$453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esfuerzo'!$C$454:$C$459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esfuerzo'!$D$453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esfuerzo'!$D$454:$D$459</c:f>
              <c:numCache>
                <c:formatCode>General</c:formatCode>
                <c:ptCount val="6"/>
                <c:pt idx="0">
                  <c:v>55</c:v>
                </c:pt>
                <c:pt idx="1">
                  <c:v>39</c:v>
                </c:pt>
                <c:pt idx="2">
                  <c:v>41</c:v>
                </c:pt>
                <c:pt idx="3">
                  <c:v>4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76160"/>
        <c:axId val="116490240"/>
      </c:barChart>
      <c:catAx>
        <c:axId val="116476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490240"/>
        <c:crosses val="autoZero"/>
        <c:auto val="1"/>
        <c:lblAlgn val="ctr"/>
        <c:lblOffset val="100"/>
        <c:noMultiLvlLbl val="1"/>
      </c:catAx>
      <c:valAx>
        <c:axId val="1164902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4761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esfuerzo'!$E$453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esfuerzo'!$B$454:$B$459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esfuerzo'!$E$454:$E$459</c:f>
              <c:numCache>
                <c:formatCode>0%</c:formatCode>
                <c:ptCount val="6"/>
                <c:pt idx="0">
                  <c:v>-7.8431372549019607E-2</c:v>
                </c:pt>
                <c:pt idx="1">
                  <c:v>-0.11428571428571428</c:v>
                </c:pt>
                <c:pt idx="2">
                  <c:v>0.82916666666666672</c:v>
                </c:pt>
                <c:pt idx="3">
                  <c:v>0.82608695652173914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18912"/>
        <c:axId val="116520448"/>
      </c:barChart>
      <c:catAx>
        <c:axId val="116518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20448"/>
        <c:crosses val="autoZero"/>
        <c:auto val="1"/>
        <c:lblAlgn val="ctr"/>
        <c:lblOffset val="100"/>
        <c:noMultiLvlLbl val="1"/>
      </c:catAx>
      <c:valAx>
        <c:axId val="11652044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5189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esfuerzo'!$C$468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esfuerzo'!$C$469:$C$474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esfuerzo'!$D$468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esfuerzo'!$D$469:$D$474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81728"/>
        <c:axId val="116683520"/>
      </c:barChart>
      <c:catAx>
        <c:axId val="116681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683520"/>
        <c:crosses val="autoZero"/>
        <c:auto val="1"/>
        <c:lblAlgn val="ctr"/>
        <c:lblOffset val="100"/>
        <c:noMultiLvlLbl val="1"/>
      </c:catAx>
      <c:valAx>
        <c:axId val="1166835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6817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esfuerzo'!$E$468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esfuerzo'!$B$469:$B$474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esfuerzo'!$E$469:$E$474</c:f>
              <c:numCache>
                <c:formatCode>0%</c:formatCode>
                <c:ptCount val="6"/>
                <c:pt idx="0">
                  <c:v>0.90196078431372551</c:v>
                </c:pt>
                <c:pt idx="1">
                  <c:v>0.94285714285714284</c:v>
                </c:pt>
                <c:pt idx="2">
                  <c:v>1</c:v>
                </c:pt>
                <c:pt idx="3">
                  <c:v>0.82608695652173914</c:v>
                </c:pt>
                <c:pt idx="4">
                  <c:v>0</c:v>
                </c:pt>
                <c:pt idx="5">
                  <c:v>0.92957746478873238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03008"/>
        <c:axId val="117004544"/>
      </c:barChart>
      <c:catAx>
        <c:axId val="117003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004544"/>
        <c:crosses val="autoZero"/>
        <c:auto val="1"/>
        <c:lblAlgn val="ctr"/>
        <c:lblOffset val="100"/>
        <c:noMultiLvlLbl val="1"/>
      </c:catAx>
      <c:valAx>
        <c:axId val="11700454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00300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esfuerzo'!$C$483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esfuerzo'!$C$484:$C$489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esfuerzo'!$D$483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esfuerzo'!$D$484:$D$489</c:f>
              <c:numCache>
                <c:formatCode>General</c:formatCode>
                <c:ptCount val="6"/>
                <c:pt idx="0">
                  <c:v>101</c:v>
                </c:pt>
                <c:pt idx="1">
                  <c:v>20</c:v>
                </c:pt>
                <c:pt idx="2">
                  <c:v>0</c:v>
                </c:pt>
                <c:pt idx="3">
                  <c:v>12</c:v>
                </c:pt>
                <c:pt idx="4">
                  <c:v>1094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20000"/>
        <c:axId val="116721536"/>
      </c:barChart>
      <c:catAx>
        <c:axId val="116720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721536"/>
        <c:crosses val="autoZero"/>
        <c:auto val="1"/>
        <c:lblAlgn val="ctr"/>
        <c:lblOffset val="100"/>
        <c:noMultiLvlLbl val="1"/>
      </c:catAx>
      <c:valAx>
        <c:axId val="116721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720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esfuerzo'!$E$483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esfuerzo'!$B$484:$B$489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esfuerzo'!$E$484:$E$489</c:f>
              <c:numCache>
                <c:formatCode>0%</c:formatCode>
                <c:ptCount val="6"/>
                <c:pt idx="0">
                  <c:v>-0.98039215686274506</c:v>
                </c:pt>
                <c:pt idx="1">
                  <c:v>0.42857142857142855</c:v>
                </c:pt>
                <c:pt idx="2">
                  <c:v>0</c:v>
                </c:pt>
                <c:pt idx="3">
                  <c:v>0.47826086956521741</c:v>
                </c:pt>
                <c:pt idx="4">
                  <c:v>-11.155555555555555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45728"/>
        <c:axId val="116747264"/>
      </c:barChart>
      <c:catAx>
        <c:axId val="116745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747264"/>
        <c:crosses val="autoZero"/>
        <c:auto val="1"/>
        <c:lblAlgn val="ctr"/>
        <c:lblOffset val="100"/>
        <c:noMultiLvlLbl val="1"/>
      </c:catAx>
      <c:valAx>
        <c:axId val="1167472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745728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esfuerzo'!$C$497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esfuerzo'!$C$498:$C$503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esfuerzo'!$D$497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esfuerzo'!$D$498:$D$503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101</c:v>
                </c:pt>
                <c:pt idx="3">
                  <c:v>5441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51456"/>
        <c:axId val="116852992"/>
      </c:barChart>
      <c:catAx>
        <c:axId val="1168514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852992"/>
        <c:crosses val="autoZero"/>
        <c:auto val="1"/>
        <c:lblAlgn val="ctr"/>
        <c:lblOffset val="100"/>
        <c:noMultiLvlLbl val="1"/>
      </c:catAx>
      <c:valAx>
        <c:axId val="11685299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8514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esfuerzo'!$E$497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esfuerzo'!$B$498:$B$503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esfuerzo'!$E$498:$E$503</c:f>
              <c:numCache>
                <c:formatCode>0%</c:formatCode>
                <c:ptCount val="6"/>
                <c:pt idx="0">
                  <c:v>0.86274509803921573</c:v>
                </c:pt>
                <c:pt idx="1">
                  <c:v>0.8571428571428571</c:v>
                </c:pt>
                <c:pt idx="2">
                  <c:v>0.57916666666666672</c:v>
                </c:pt>
                <c:pt idx="3">
                  <c:v>-235.56521739130434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873472"/>
        <c:axId val="116912128"/>
      </c:barChart>
      <c:catAx>
        <c:axId val="116873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912128"/>
        <c:crosses val="autoZero"/>
        <c:auto val="1"/>
        <c:lblAlgn val="ctr"/>
        <c:lblOffset val="100"/>
        <c:noMultiLvlLbl val="1"/>
      </c:catAx>
      <c:valAx>
        <c:axId val="1169121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87347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esfuerzo'!$C$512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esfuerzo'!$C$513:$C$518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esfuerzo'!$D$512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esfuerzo'!$D$513:$D$518</c:f>
              <c:numCache>
                <c:formatCode>General</c:formatCode>
                <c:ptCount val="6"/>
                <c:pt idx="0">
                  <c:v>33</c:v>
                </c:pt>
                <c:pt idx="1">
                  <c:v>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38240"/>
        <c:axId val="116939776"/>
      </c:barChart>
      <c:catAx>
        <c:axId val="116938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939776"/>
        <c:crosses val="autoZero"/>
        <c:auto val="1"/>
        <c:lblAlgn val="ctr"/>
        <c:lblOffset val="100"/>
        <c:noMultiLvlLbl val="1"/>
      </c:catAx>
      <c:valAx>
        <c:axId val="116939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93824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esfuerzo'!$C$64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esfuerzo'!$C$65:$C$70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esfuerzo'!$D$64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esfuerzo'!$D$65:$D$70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76</c:v>
                </c:pt>
                <c:pt idx="3">
                  <c:v>23</c:v>
                </c:pt>
                <c:pt idx="4">
                  <c:v>0</c:v>
                </c:pt>
                <c:pt idx="5">
                  <c:v>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58944"/>
        <c:axId val="100260480"/>
      </c:barChart>
      <c:catAx>
        <c:axId val="100258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260480"/>
        <c:crosses val="autoZero"/>
        <c:auto val="1"/>
        <c:lblAlgn val="ctr"/>
        <c:lblOffset val="100"/>
        <c:noMultiLvlLbl val="1"/>
      </c:catAx>
      <c:valAx>
        <c:axId val="100260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025894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esfuerzo'!$E$512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esfuerzo'!$B$513:$B$518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esfuerzo'!$E$513:$E$518</c:f>
              <c:numCache>
                <c:formatCode>0%</c:formatCode>
                <c:ptCount val="6"/>
                <c:pt idx="0">
                  <c:v>0.35294117647058826</c:v>
                </c:pt>
                <c:pt idx="1">
                  <c:v>-0.6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0.95774647887323938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76256"/>
        <c:axId val="117051776"/>
      </c:barChart>
      <c:catAx>
        <c:axId val="116976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051776"/>
        <c:crosses val="autoZero"/>
        <c:auto val="1"/>
        <c:lblAlgn val="ctr"/>
        <c:lblOffset val="100"/>
        <c:noMultiLvlLbl val="1"/>
      </c:catAx>
      <c:valAx>
        <c:axId val="1170517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69762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esfuerzo'!$C$527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esfuerzo'!$C$528:$C$533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240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esfuerzo'!$D$527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esfuerzo'!$D$528:$D$533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170</c:v>
                </c:pt>
                <c:pt idx="5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090176"/>
        <c:axId val="117091712"/>
      </c:barChart>
      <c:catAx>
        <c:axId val="117090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091712"/>
        <c:crosses val="autoZero"/>
        <c:auto val="1"/>
        <c:lblAlgn val="ctr"/>
        <c:lblOffset val="100"/>
        <c:noMultiLvlLbl val="1"/>
      </c:catAx>
      <c:valAx>
        <c:axId val="117091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09017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esfuerzo'!$E$527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esfuerzo'!$B$528:$B$533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esfuerzo'!$E$528:$E$533</c:f>
              <c:numCache>
                <c:formatCode>0%</c:formatCode>
                <c:ptCount val="6"/>
                <c:pt idx="0">
                  <c:v>0.84313725490196079</c:v>
                </c:pt>
                <c:pt idx="1">
                  <c:v>0.91428571428571426</c:v>
                </c:pt>
                <c:pt idx="2">
                  <c:v>0</c:v>
                </c:pt>
                <c:pt idx="3">
                  <c:v>1</c:v>
                </c:pt>
                <c:pt idx="4">
                  <c:v>0.29166666666666669</c:v>
                </c:pt>
                <c:pt idx="5">
                  <c:v>0.95070422535211263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04000"/>
        <c:axId val="117396608"/>
      </c:barChart>
      <c:catAx>
        <c:axId val="117104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396608"/>
        <c:crosses val="autoZero"/>
        <c:auto val="1"/>
        <c:lblAlgn val="ctr"/>
        <c:lblOffset val="100"/>
        <c:noMultiLvlLbl val="1"/>
      </c:catAx>
      <c:valAx>
        <c:axId val="1173966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104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esfuerzo'!$C$7:$C$12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esfuerzo'!$D$7:$D$12</c:f>
              <c:numCache>
                <c:formatCode>General</c:formatCode>
                <c:ptCount val="6"/>
                <c:pt idx="0">
                  <c:v>195</c:v>
                </c:pt>
                <c:pt idx="1">
                  <c:v>0</c:v>
                </c:pt>
                <c:pt idx="2">
                  <c:v>45</c:v>
                </c:pt>
                <c:pt idx="3">
                  <c:v>147</c:v>
                </c:pt>
                <c:pt idx="4">
                  <c:v>0</c:v>
                </c:pt>
                <c:pt idx="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430912"/>
        <c:axId val="117178752"/>
      </c:barChart>
      <c:catAx>
        <c:axId val="11743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178752"/>
        <c:crosses val="autoZero"/>
        <c:auto val="1"/>
        <c:lblAlgn val="ctr"/>
        <c:lblOffset val="100"/>
        <c:noMultiLvlLbl val="1"/>
      </c:catAx>
      <c:valAx>
        <c:axId val="117178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43091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esfuerzo'!$B$7:$B$12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esfuerzo'!$E$7:$E$12</c:f>
              <c:numCache>
                <c:formatCode>0%</c:formatCode>
                <c:ptCount val="6"/>
                <c:pt idx="0">
                  <c:v>-2.8235294117647061</c:v>
                </c:pt>
                <c:pt idx="1">
                  <c:v>1</c:v>
                </c:pt>
                <c:pt idx="2">
                  <c:v>0.4375</c:v>
                </c:pt>
                <c:pt idx="3">
                  <c:v>-5.3913043478260869</c:v>
                </c:pt>
                <c:pt idx="4">
                  <c:v>1</c:v>
                </c:pt>
                <c:pt idx="5">
                  <c:v>0.12676056338028169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32000"/>
        <c:axId val="117233536"/>
      </c:barChart>
      <c:catAx>
        <c:axId val="117232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233536"/>
        <c:crosses val="autoZero"/>
        <c:auto val="1"/>
        <c:lblAlgn val="ctr"/>
        <c:lblOffset val="100"/>
        <c:noMultiLvlLbl val="1"/>
      </c:catAx>
      <c:valAx>
        <c:axId val="1172335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17232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esfuerzo'!$C$539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esfuerzo'!$B$540:$B$545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esfuerzo'!$C$540:$C$545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240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esfuerzo'!$D$539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esfuerzo'!$B$540:$B$545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esfuerzo'!$D$540:$D$545</c:f>
              <c:numCache>
                <c:formatCode>General</c:formatCode>
                <c:ptCount val="6"/>
                <c:pt idx="0">
                  <c:v>472</c:v>
                </c:pt>
                <c:pt idx="1">
                  <c:v>19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262976"/>
        <c:axId val="117268864"/>
      </c:barChart>
      <c:catAx>
        <c:axId val="11726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268864"/>
        <c:crosses val="autoZero"/>
        <c:auto val="1"/>
        <c:lblAlgn val="ctr"/>
        <c:lblOffset val="100"/>
        <c:noMultiLvlLbl val="0"/>
      </c:catAx>
      <c:valAx>
        <c:axId val="117268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6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esfuerzo'!$E$539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esfuerzo'!$B$540:$B$545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esfuerzo'!$E$540:$E$545</c:f>
              <c:numCache>
                <c:formatCode>0%</c:formatCode>
                <c:ptCount val="6"/>
                <c:pt idx="0">
                  <c:v>-8.2549019607843146</c:v>
                </c:pt>
                <c:pt idx="1">
                  <c:v>0.45714285714285713</c:v>
                </c:pt>
                <c:pt idx="2">
                  <c:v>1</c:v>
                </c:pt>
                <c:pt idx="3">
                  <c:v>0.56521739130434778</c:v>
                </c:pt>
                <c:pt idx="4">
                  <c:v>1</c:v>
                </c:pt>
                <c:pt idx="5">
                  <c:v>0.94366197183098588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301248"/>
        <c:axId val="117302784"/>
      </c:barChart>
      <c:catAx>
        <c:axId val="11730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302784"/>
        <c:crosses val="autoZero"/>
        <c:auto val="1"/>
        <c:lblAlgn val="ctr"/>
        <c:lblOffset val="100"/>
        <c:noMultiLvlLbl val="0"/>
      </c:catAx>
      <c:valAx>
        <c:axId val="117302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730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esfuerzo'!$C$550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esfuerzo'!$B$551:$B$556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esfuerzo'!$C$551:$C$556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esfuerzo'!$D$550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esfuerzo'!$B$551:$B$556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esfuerzo'!$D$551:$D$556</c:f>
              <c:numCache>
                <c:formatCode>General</c:formatCode>
                <c:ptCount val="6"/>
                <c:pt idx="0">
                  <c:v>24</c:v>
                </c:pt>
                <c:pt idx="1">
                  <c:v>44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09184"/>
        <c:axId val="109741952"/>
      </c:barChart>
      <c:catAx>
        <c:axId val="109709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741952"/>
        <c:crosses val="autoZero"/>
        <c:auto val="1"/>
        <c:lblAlgn val="ctr"/>
        <c:lblOffset val="100"/>
        <c:noMultiLvlLbl val="0"/>
      </c:catAx>
      <c:valAx>
        <c:axId val="10974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09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esfuerzo'!$E$550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esfuerzo'!$B$551:$B$556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esfuerzo'!$E$551:$E$556</c:f>
              <c:numCache>
                <c:formatCode>0%</c:formatCode>
                <c:ptCount val="6"/>
                <c:pt idx="0">
                  <c:v>0.52941176470588236</c:v>
                </c:pt>
                <c:pt idx="1">
                  <c:v>-0.25714285714285712</c:v>
                </c:pt>
                <c:pt idx="2">
                  <c:v>0</c:v>
                </c:pt>
                <c:pt idx="3">
                  <c:v>0.39130434782608697</c:v>
                </c:pt>
                <c:pt idx="4">
                  <c:v>1</c:v>
                </c:pt>
                <c:pt idx="5">
                  <c:v>0.77464788732394363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69600"/>
        <c:axId val="131395968"/>
      </c:barChart>
      <c:catAx>
        <c:axId val="13136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95968"/>
        <c:crosses val="autoZero"/>
        <c:auto val="1"/>
        <c:lblAlgn val="ctr"/>
        <c:lblOffset val="100"/>
        <c:noMultiLvlLbl val="0"/>
      </c:catAx>
      <c:valAx>
        <c:axId val="1313959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136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esfuerzo'!$C$561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esfuerzo'!$B$562:$B$567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esfuerzo'!$C$562:$C$567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esfuerzo'!$D$561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esfuerzo'!$B$562:$B$567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esfuerzo'!$D$562:$D$567</c:f>
              <c:numCache>
                <c:formatCode>General</c:formatCode>
                <c:ptCount val="6"/>
                <c:pt idx="0">
                  <c:v>54</c:v>
                </c:pt>
                <c:pt idx="1">
                  <c:v>34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40384"/>
        <c:axId val="127441920"/>
      </c:barChart>
      <c:catAx>
        <c:axId val="12744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441920"/>
        <c:crosses val="autoZero"/>
        <c:auto val="1"/>
        <c:lblAlgn val="ctr"/>
        <c:lblOffset val="100"/>
        <c:noMultiLvlLbl val="0"/>
      </c:catAx>
      <c:valAx>
        <c:axId val="1274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s-MX" b="1">
                <a:solidFill>
                  <a:srgbClr val="000000"/>
                </a:solidFill>
                <a:latin typeface="Calibri"/>
              </a:rPr>
              <a:t>Desviación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esfuerzo'!$E$64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esfuerzo'!$B$65:$B$70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esfuerzo'!$E$65:$E$70</c:f>
              <c:numCache>
                <c:formatCode>0%</c:formatCode>
                <c:ptCount val="6"/>
                <c:pt idx="0">
                  <c:v>0.86274509803921573</c:v>
                </c:pt>
                <c:pt idx="1">
                  <c:v>0.7142857142857143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0.4859154929577465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47360"/>
        <c:axId val="102477824"/>
      </c:barChart>
      <c:catAx>
        <c:axId val="102447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477824"/>
        <c:crosses val="autoZero"/>
        <c:auto val="1"/>
        <c:lblAlgn val="ctr"/>
        <c:lblOffset val="100"/>
        <c:noMultiLvlLbl val="1"/>
      </c:catAx>
      <c:valAx>
        <c:axId val="1024778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44736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esfuerzo'!$E$561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esfuerzo'!$B$562:$B$567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esfuerzo'!$E$562:$E$567</c:f>
              <c:numCache>
                <c:formatCode>0%</c:formatCode>
                <c:ptCount val="6"/>
                <c:pt idx="0">
                  <c:v>-5.8823529411764705E-2</c:v>
                </c:pt>
                <c:pt idx="1">
                  <c:v>2.8571428571428571E-2</c:v>
                </c:pt>
                <c:pt idx="2">
                  <c:v>0</c:v>
                </c:pt>
                <c:pt idx="3">
                  <c:v>0.21739130434782608</c:v>
                </c:pt>
                <c:pt idx="4">
                  <c:v>0</c:v>
                </c:pt>
                <c:pt idx="5">
                  <c:v>0.92253521126760563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09888"/>
        <c:axId val="102723584"/>
      </c:barChart>
      <c:catAx>
        <c:axId val="1027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723584"/>
        <c:crosses val="autoZero"/>
        <c:auto val="1"/>
        <c:lblAlgn val="ctr"/>
        <c:lblOffset val="100"/>
        <c:noMultiLvlLbl val="0"/>
      </c:catAx>
      <c:valAx>
        <c:axId val="102723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270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esfuerzo'!$C$573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esfuerzo'!$B$574:$B$579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esfuerzo'!$C$574:$C$579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esfuerzo'!$D$573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esfuerzo'!$B$574:$B$579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esfuerzo'!$D$574:$D$579</c:f>
              <c:numCache>
                <c:formatCode>General</c:formatCode>
                <c:ptCount val="6"/>
                <c:pt idx="0">
                  <c:v>53</c:v>
                </c:pt>
                <c:pt idx="1">
                  <c:v>44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167808"/>
        <c:axId val="125183104"/>
      </c:barChart>
      <c:catAx>
        <c:axId val="12016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5183104"/>
        <c:crosses val="autoZero"/>
        <c:auto val="1"/>
        <c:lblAlgn val="ctr"/>
        <c:lblOffset val="100"/>
        <c:noMultiLvlLbl val="0"/>
      </c:catAx>
      <c:valAx>
        <c:axId val="1251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16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esfuerzo'!$E$573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esfuerzo'!$B$574:$B$579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esfuerzo'!$E$574:$E$579</c:f>
              <c:numCache>
                <c:formatCode>0%</c:formatCode>
                <c:ptCount val="6"/>
                <c:pt idx="0">
                  <c:v>-3.9215686274509803E-2</c:v>
                </c:pt>
                <c:pt idx="1">
                  <c:v>-0.25714285714285712</c:v>
                </c:pt>
                <c:pt idx="2">
                  <c:v>0</c:v>
                </c:pt>
                <c:pt idx="3">
                  <c:v>0.13043478260869565</c:v>
                </c:pt>
                <c:pt idx="4">
                  <c:v>0</c:v>
                </c:pt>
                <c:pt idx="5">
                  <c:v>0.86619718309859151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14240"/>
        <c:axId val="131039616"/>
      </c:barChart>
      <c:catAx>
        <c:axId val="13071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39616"/>
        <c:crosses val="autoZero"/>
        <c:auto val="1"/>
        <c:lblAlgn val="ctr"/>
        <c:lblOffset val="100"/>
        <c:noMultiLvlLbl val="0"/>
      </c:catAx>
      <c:valAx>
        <c:axId val="1310396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71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esfuerzo'!$C$584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esfuerzo'!$B$585:$B$590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esfuerzo'!$C$585:$C$590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esfuerzo'!$D$584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esfuerzo'!$B$585:$B$590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esfuerzo'!$D$585:$D$590</c:f>
              <c:numCache>
                <c:formatCode>General</c:formatCode>
                <c:ptCount val="6"/>
                <c:pt idx="0">
                  <c:v>155</c:v>
                </c:pt>
                <c:pt idx="1">
                  <c:v>32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76640"/>
        <c:axId val="102709120"/>
      </c:barChart>
      <c:catAx>
        <c:axId val="10057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709120"/>
        <c:crosses val="autoZero"/>
        <c:auto val="1"/>
        <c:lblAlgn val="ctr"/>
        <c:lblOffset val="100"/>
        <c:noMultiLvlLbl val="0"/>
      </c:catAx>
      <c:valAx>
        <c:axId val="10270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esfuerzo'!$E$584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esfuerzo'!$B$585:$B$590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esfuerzo'!$E$585:$E$590</c:f>
              <c:numCache>
                <c:formatCode>0%</c:formatCode>
                <c:ptCount val="6"/>
                <c:pt idx="0">
                  <c:v>-2.0392156862745097</c:v>
                </c:pt>
                <c:pt idx="1">
                  <c:v>8.5714285714285715E-2</c:v>
                </c:pt>
                <c:pt idx="2">
                  <c:v>0</c:v>
                </c:pt>
                <c:pt idx="3">
                  <c:v>8.6956521739130432E-2</c:v>
                </c:pt>
                <c:pt idx="4">
                  <c:v>0</c:v>
                </c:pt>
                <c:pt idx="5">
                  <c:v>0.92957746478873238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39200"/>
        <c:axId val="134578560"/>
      </c:barChart>
      <c:catAx>
        <c:axId val="1307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78560"/>
        <c:crosses val="autoZero"/>
        <c:auto val="1"/>
        <c:lblAlgn val="ctr"/>
        <c:lblOffset val="100"/>
        <c:noMultiLvlLbl val="0"/>
      </c:catAx>
      <c:valAx>
        <c:axId val="134578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073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esfuerzo'!$C$595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esfuerzo'!$B$596:$B$601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esfuerzo'!$C$596:$C$601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90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esfuerzo'!$D$595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esfuerzo'!$B$596:$B$601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esfuerzo'!$D$596:$D$601</c:f>
              <c:numCache>
                <c:formatCode>General</c:formatCode>
                <c:ptCount val="6"/>
                <c:pt idx="0">
                  <c:v>465</c:v>
                </c:pt>
                <c:pt idx="1">
                  <c:v>6</c:v>
                </c:pt>
                <c:pt idx="2">
                  <c:v>135</c:v>
                </c:pt>
                <c:pt idx="3">
                  <c:v>14</c:v>
                </c:pt>
                <c:pt idx="4">
                  <c:v>0</c:v>
                </c:pt>
                <c:pt idx="5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28768"/>
        <c:axId val="109285760"/>
      </c:barChart>
      <c:catAx>
        <c:axId val="1029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85760"/>
        <c:crosses val="autoZero"/>
        <c:auto val="1"/>
        <c:lblAlgn val="ctr"/>
        <c:lblOffset val="100"/>
        <c:noMultiLvlLbl val="0"/>
      </c:catAx>
      <c:valAx>
        <c:axId val="1092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esfuerzo'!$E$595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esfuerzo'!$B$596:$B$601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esfuerzo'!$E$596:$E$601</c:f>
              <c:numCache>
                <c:formatCode>0%</c:formatCode>
                <c:ptCount val="6"/>
                <c:pt idx="0">
                  <c:v>-8.117647058823529</c:v>
                </c:pt>
                <c:pt idx="1">
                  <c:v>0.82857142857142863</c:v>
                </c:pt>
                <c:pt idx="2">
                  <c:v>-0.5</c:v>
                </c:pt>
                <c:pt idx="3">
                  <c:v>0.39130434782608697</c:v>
                </c:pt>
                <c:pt idx="4">
                  <c:v>0</c:v>
                </c:pt>
                <c:pt idx="5">
                  <c:v>0.75352112676056338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05760"/>
        <c:axId val="136016640"/>
      </c:barChart>
      <c:catAx>
        <c:axId val="12760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16640"/>
        <c:crosses val="autoZero"/>
        <c:auto val="1"/>
        <c:lblAlgn val="ctr"/>
        <c:lblOffset val="100"/>
        <c:noMultiLvlLbl val="0"/>
      </c:catAx>
      <c:valAx>
        <c:axId val="136016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760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esfuerzo'!$C$607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esfuerzo'!$B$608:$B$613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esfuerzo'!$C$608:$C$613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120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esfuerzo'!$D$607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esfuerzo'!$B$608:$B$613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esfuerzo'!$D$608:$D$613</c:f>
              <c:numCache>
                <c:formatCode>General</c:formatCode>
                <c:ptCount val="6"/>
                <c:pt idx="0">
                  <c:v>112</c:v>
                </c:pt>
                <c:pt idx="1">
                  <c:v>76</c:v>
                </c:pt>
                <c:pt idx="2">
                  <c:v>89</c:v>
                </c:pt>
                <c:pt idx="3">
                  <c:v>22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16992"/>
        <c:axId val="137322880"/>
      </c:barChart>
      <c:catAx>
        <c:axId val="1373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322880"/>
        <c:crosses val="autoZero"/>
        <c:auto val="1"/>
        <c:lblAlgn val="ctr"/>
        <c:lblOffset val="100"/>
        <c:noMultiLvlLbl val="0"/>
      </c:catAx>
      <c:valAx>
        <c:axId val="1373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31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esfuerzo'!$E$607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esfuerzo'!$B$608:$B$613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esfuerzo'!$E$608:$E$613</c:f>
              <c:numCache>
                <c:formatCode>0%</c:formatCode>
                <c:ptCount val="6"/>
                <c:pt idx="0">
                  <c:v>-1.196078431372549</c:v>
                </c:pt>
                <c:pt idx="1">
                  <c:v>-1.1714285714285715</c:v>
                </c:pt>
                <c:pt idx="2">
                  <c:v>0.25833333333333336</c:v>
                </c:pt>
                <c:pt idx="3">
                  <c:v>4.3478260869565216E-2</c:v>
                </c:pt>
                <c:pt idx="4">
                  <c:v>0</c:v>
                </c:pt>
                <c:pt idx="5">
                  <c:v>0.90845070422535212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90656"/>
        <c:axId val="137592192"/>
      </c:barChart>
      <c:catAx>
        <c:axId val="13759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7592192"/>
        <c:crosses val="autoZero"/>
        <c:auto val="1"/>
        <c:lblAlgn val="ctr"/>
        <c:lblOffset val="100"/>
        <c:noMultiLvlLbl val="0"/>
      </c:catAx>
      <c:valAx>
        <c:axId val="137592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59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esfuerzo'!$C$620:$C$625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90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esfuerzo'!$D$619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esfuerzo'!$D$620:$D$625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0</c:v>
                </c:pt>
                <c:pt idx="3">
                  <c:v>32</c:v>
                </c:pt>
                <c:pt idx="4">
                  <c:v>0</c:v>
                </c:pt>
                <c:pt idx="5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15456"/>
        <c:axId val="103488128"/>
      </c:barChart>
      <c:catAx>
        <c:axId val="102915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88128"/>
        <c:crosses val="autoZero"/>
        <c:auto val="1"/>
        <c:lblAlgn val="ctr"/>
        <c:lblOffset val="100"/>
        <c:noMultiLvlLbl val="0"/>
      </c:catAx>
      <c:valAx>
        <c:axId val="10348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1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'Desviacion de esfuerzo'!$C$78</c:f>
              <c:strCache>
                <c:ptCount val="1"/>
                <c:pt idx="0">
                  <c:v>Planeado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esfuerzo'!$C$79:$C$84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ser>
          <c:idx val="1"/>
          <c:order val="1"/>
          <c:tx>
            <c:strRef>
              <c:f>'Desviacion de esfuerzo'!$D$78</c:f>
              <c:strCache>
                <c:ptCount val="1"/>
                <c:pt idx="0">
                  <c:v>Real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1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strRef>
              <c:f>'Desviacion de esfuerzo'!$B$79:$B$84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esfuerzo'!$D$79:$D$84</c:f>
              <c:numCache>
                <c:formatCode>General</c:formatCode>
                <c:ptCount val="6"/>
                <c:pt idx="0">
                  <c:v>988</c:v>
                </c:pt>
                <c:pt idx="1">
                  <c:v>15</c:v>
                </c:pt>
                <c:pt idx="2">
                  <c:v>0</c:v>
                </c:pt>
                <c:pt idx="3">
                  <c:v>41</c:v>
                </c:pt>
                <c:pt idx="4">
                  <c:v>0</c:v>
                </c:pt>
                <c:pt idx="5">
                  <c:v>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03552"/>
        <c:axId val="102505088"/>
      </c:barChart>
      <c:catAx>
        <c:axId val="102503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505088"/>
        <c:crosses val="autoZero"/>
        <c:auto val="1"/>
        <c:lblAlgn val="ctr"/>
        <c:lblOffset val="100"/>
        <c:noMultiLvlLbl val="1"/>
      </c:catAx>
      <c:valAx>
        <c:axId val="102505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503552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esfuerzo'!$B$620:$B$625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esfuerzo'!$E$620:$E$625</c:f>
              <c:numCache>
                <c:formatCode>0%</c:formatCode>
                <c:ptCount val="6"/>
                <c:pt idx="0">
                  <c:v>0.90196078431372551</c:v>
                </c:pt>
                <c:pt idx="1">
                  <c:v>0.8571428571428571</c:v>
                </c:pt>
                <c:pt idx="2">
                  <c:v>0</c:v>
                </c:pt>
                <c:pt idx="3">
                  <c:v>-0.39130434782608697</c:v>
                </c:pt>
                <c:pt idx="4">
                  <c:v>1</c:v>
                </c:pt>
                <c:pt idx="5">
                  <c:v>0.72535211267605637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31456"/>
        <c:axId val="140932992"/>
      </c:barChart>
      <c:catAx>
        <c:axId val="14093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932992"/>
        <c:crosses val="autoZero"/>
        <c:auto val="1"/>
        <c:lblAlgn val="ctr"/>
        <c:lblOffset val="100"/>
        <c:noMultiLvlLbl val="0"/>
      </c:catAx>
      <c:valAx>
        <c:axId val="1409329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93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esfuerzo'!$C$631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esfuerzo'!$B$632:$B$637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esfuerzo'!$C$632:$C$637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300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esfuerzo'!$D$631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esfuerzo'!$B$632:$B$637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esfuerzo'!$D$632:$D$637</c:f>
              <c:numCache>
                <c:formatCode>General</c:formatCode>
                <c:ptCount val="6"/>
                <c:pt idx="0">
                  <c:v>110</c:v>
                </c:pt>
                <c:pt idx="1">
                  <c:v>117</c:v>
                </c:pt>
                <c:pt idx="2">
                  <c:v>410</c:v>
                </c:pt>
                <c:pt idx="3">
                  <c:v>3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38688"/>
        <c:axId val="127628032"/>
      </c:barChart>
      <c:catAx>
        <c:axId val="12753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628032"/>
        <c:crosses val="autoZero"/>
        <c:auto val="1"/>
        <c:lblAlgn val="ctr"/>
        <c:lblOffset val="100"/>
        <c:noMultiLvlLbl val="0"/>
      </c:catAx>
      <c:valAx>
        <c:axId val="12762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53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esfuerzo'!$E$631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esfuerzo'!$B$632:$B$637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esfuerzo'!$E$632:$E$637</c:f>
              <c:numCache>
                <c:formatCode>0%</c:formatCode>
                <c:ptCount val="6"/>
                <c:pt idx="0">
                  <c:v>-1.1568627450980393</c:v>
                </c:pt>
                <c:pt idx="1">
                  <c:v>-2.342857142857143</c:v>
                </c:pt>
                <c:pt idx="2">
                  <c:v>-0.36666666666666664</c:v>
                </c:pt>
                <c:pt idx="3">
                  <c:v>0.86956521739130432</c:v>
                </c:pt>
                <c:pt idx="4">
                  <c:v>0</c:v>
                </c:pt>
                <c:pt idx="5">
                  <c:v>0.78873239436619713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825920"/>
        <c:axId val="141827456"/>
      </c:barChart>
      <c:catAx>
        <c:axId val="14182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27456"/>
        <c:crosses val="autoZero"/>
        <c:auto val="1"/>
        <c:lblAlgn val="ctr"/>
        <c:lblOffset val="100"/>
        <c:noMultiLvlLbl val="0"/>
      </c:catAx>
      <c:valAx>
        <c:axId val="141827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182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esfuerzo'!$C$642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esfuerzo'!$B$643:$B$648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esfuerzo'!$C$643:$C$648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esfuerzo'!$D$642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esfuerzo'!$B$643:$B$648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esfuerzo'!$D$643:$D$648</c:f>
              <c:numCache>
                <c:formatCode>General</c:formatCode>
                <c:ptCount val="6"/>
                <c:pt idx="0">
                  <c:v>153</c:v>
                </c:pt>
                <c:pt idx="1">
                  <c:v>57</c:v>
                </c:pt>
                <c:pt idx="2">
                  <c:v>0</c:v>
                </c:pt>
                <c:pt idx="3">
                  <c:v>37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42944"/>
        <c:axId val="136877568"/>
      </c:barChart>
      <c:catAx>
        <c:axId val="136642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77568"/>
        <c:crosses val="autoZero"/>
        <c:auto val="1"/>
        <c:lblAlgn val="ctr"/>
        <c:lblOffset val="100"/>
        <c:noMultiLvlLbl val="0"/>
      </c:catAx>
      <c:valAx>
        <c:axId val="13687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42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esfuerzo'!$E$642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esfuerzo'!$B$643:$B$648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esfuerzo'!$E$643:$E$648</c:f>
              <c:numCache>
                <c:formatCode>0%</c:formatCode>
                <c:ptCount val="6"/>
                <c:pt idx="0">
                  <c:v>-2</c:v>
                </c:pt>
                <c:pt idx="1">
                  <c:v>-0.62857142857142856</c:v>
                </c:pt>
                <c:pt idx="2">
                  <c:v>0</c:v>
                </c:pt>
                <c:pt idx="3">
                  <c:v>-0.60869565217391308</c:v>
                </c:pt>
                <c:pt idx="4">
                  <c:v>0</c:v>
                </c:pt>
                <c:pt idx="5">
                  <c:v>0.89436619718309862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96864"/>
        <c:axId val="145398400"/>
      </c:barChart>
      <c:catAx>
        <c:axId val="1453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98400"/>
        <c:crosses val="autoZero"/>
        <c:auto val="1"/>
        <c:lblAlgn val="ctr"/>
        <c:lblOffset val="100"/>
        <c:noMultiLvlLbl val="0"/>
      </c:catAx>
      <c:valAx>
        <c:axId val="1453984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396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esfuerzo'!$C$657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esfuerzo'!$B$658:$B$663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esfuerzo'!$C$658:$C$663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esfuerzo'!$D$657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esfuerzo'!$B$658:$B$663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esfuerzo'!$D$658:$D$663</c:f>
              <c:numCache>
                <c:formatCode>General</c:formatCode>
                <c:ptCount val="6"/>
                <c:pt idx="0">
                  <c:v>1</c:v>
                </c:pt>
                <c:pt idx="1">
                  <c:v>208</c:v>
                </c:pt>
                <c:pt idx="2">
                  <c:v>14</c:v>
                </c:pt>
                <c:pt idx="3">
                  <c:v>6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20320"/>
        <c:axId val="120922112"/>
      </c:barChart>
      <c:catAx>
        <c:axId val="120920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22112"/>
        <c:crosses val="autoZero"/>
        <c:auto val="1"/>
        <c:lblAlgn val="ctr"/>
        <c:lblOffset val="100"/>
        <c:noMultiLvlLbl val="0"/>
      </c:catAx>
      <c:valAx>
        <c:axId val="1209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20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esfuerzo'!$E$657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esfuerzo'!$B$658:$B$663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esfuerzo'!$E$658:$E$663</c:f>
              <c:numCache>
                <c:formatCode>0%</c:formatCode>
                <c:ptCount val="6"/>
                <c:pt idx="0">
                  <c:v>0.98039215686274506</c:v>
                </c:pt>
                <c:pt idx="1">
                  <c:v>-4.9428571428571431</c:v>
                </c:pt>
                <c:pt idx="2">
                  <c:v>0.82499999999999996</c:v>
                </c:pt>
                <c:pt idx="3">
                  <c:v>0.73913043478260865</c:v>
                </c:pt>
                <c:pt idx="4">
                  <c:v>0</c:v>
                </c:pt>
                <c:pt idx="5">
                  <c:v>0.87323943661971826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33696"/>
        <c:axId val="145420288"/>
      </c:barChart>
      <c:catAx>
        <c:axId val="13753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420288"/>
        <c:crosses val="autoZero"/>
        <c:auto val="1"/>
        <c:lblAlgn val="ctr"/>
        <c:lblOffset val="100"/>
        <c:noMultiLvlLbl val="0"/>
      </c:catAx>
      <c:valAx>
        <c:axId val="1454202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53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esfuerzo'!$C$669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esfuerzo'!$B$670:$B$675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esfuerzo'!$C$670:$C$675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esfuerzo'!$D$669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esfuerzo'!$B$670:$B$675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esfuerzo'!$D$670:$D$675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37472"/>
        <c:axId val="120967168"/>
      </c:barChart>
      <c:catAx>
        <c:axId val="1209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67168"/>
        <c:crosses val="autoZero"/>
        <c:auto val="1"/>
        <c:lblAlgn val="ctr"/>
        <c:lblOffset val="100"/>
        <c:noMultiLvlLbl val="0"/>
      </c:catAx>
      <c:valAx>
        <c:axId val="1209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93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esfuerzo'!$E$669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esfuerzo'!$B$670:$B$675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esfuerzo'!$E$670:$E$675</c:f>
              <c:numCache>
                <c:formatCode>0%</c:formatCode>
                <c:ptCount val="6"/>
                <c:pt idx="0">
                  <c:v>0.80392156862745101</c:v>
                </c:pt>
                <c:pt idx="1">
                  <c:v>0.91428571428571426</c:v>
                </c:pt>
                <c:pt idx="2">
                  <c:v>0</c:v>
                </c:pt>
                <c:pt idx="3">
                  <c:v>0.2608695652173913</c:v>
                </c:pt>
                <c:pt idx="4">
                  <c:v>0</c:v>
                </c:pt>
                <c:pt idx="5">
                  <c:v>0.88028169014084512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300096"/>
        <c:axId val="145332480"/>
      </c:barChart>
      <c:catAx>
        <c:axId val="14530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32480"/>
        <c:crosses val="autoZero"/>
        <c:auto val="1"/>
        <c:lblAlgn val="ctr"/>
        <c:lblOffset val="100"/>
        <c:noMultiLvlLbl val="0"/>
      </c:catAx>
      <c:valAx>
        <c:axId val="1453324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30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esfuerzo'!$C$681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esfuerzo'!$B$682:$B$687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esfuerzo'!$C$682:$C$687</c:f>
              <c:numCache>
                <c:formatCode>General</c:formatCode>
                <c:ptCount val="6"/>
                <c:pt idx="0">
                  <c:v>51</c:v>
                </c:pt>
                <c:pt idx="1">
                  <c:v>35</c:v>
                </c:pt>
                <c:pt idx="2">
                  <c:v>180</c:v>
                </c:pt>
                <c:pt idx="3">
                  <c:v>23</c:v>
                </c:pt>
                <c:pt idx="4">
                  <c:v>0</c:v>
                </c:pt>
                <c:pt idx="5">
                  <c:v>142</c:v>
                </c:pt>
              </c:numCache>
            </c:numRef>
          </c:val>
        </c:ser>
        <c:ser>
          <c:idx val="1"/>
          <c:order val="1"/>
          <c:tx>
            <c:strRef>
              <c:f>'Desviacion de esfuerzo'!$D$681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cat>
            <c:strRef>
              <c:f>'Desviacion de esfuerzo'!$B$682:$B$687</c:f>
              <c:strCache>
                <c:ptCount val="6"/>
                <c:pt idx="0">
                  <c:v>Ventas</c:v>
                </c:pt>
                <c:pt idx="1">
                  <c:v>Planeación</c:v>
                </c:pt>
                <c:pt idx="2">
                  <c:v>Implementación</c:v>
                </c:pt>
                <c:pt idx="3">
                  <c:v>Cierre</c:v>
                </c:pt>
                <c:pt idx="4">
                  <c:v>Garantia</c:v>
                </c:pt>
                <c:pt idx="5">
                  <c:v>Soporte</c:v>
                </c:pt>
              </c:strCache>
            </c:strRef>
          </c:cat>
          <c:val>
            <c:numRef>
              <c:f>'Desviacion de esfuerzo'!$D$682:$D$687</c:f>
              <c:numCache>
                <c:formatCode>General</c:formatCode>
                <c:ptCount val="6"/>
                <c:pt idx="0">
                  <c:v>605</c:v>
                </c:pt>
                <c:pt idx="1">
                  <c:v>4</c:v>
                </c:pt>
                <c:pt idx="2">
                  <c:v>79</c:v>
                </c:pt>
                <c:pt idx="3">
                  <c:v>12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86048"/>
        <c:axId val="134387584"/>
      </c:barChart>
      <c:catAx>
        <c:axId val="13438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87584"/>
        <c:crosses val="autoZero"/>
        <c:auto val="1"/>
        <c:lblAlgn val="ctr"/>
        <c:lblOffset val="100"/>
        <c:noMultiLvlLbl val="0"/>
      </c:catAx>
      <c:valAx>
        <c:axId val="13438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8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26.xml"/><Relationship Id="rId21" Type="http://schemas.openxmlformats.org/officeDocument/2006/relationships/chart" Target="../charts/chart121.xml"/><Relationship Id="rId34" Type="http://schemas.openxmlformats.org/officeDocument/2006/relationships/chart" Target="../charts/chart134.xml"/><Relationship Id="rId42" Type="http://schemas.openxmlformats.org/officeDocument/2006/relationships/chart" Target="../charts/chart142.xml"/><Relationship Id="rId47" Type="http://schemas.openxmlformats.org/officeDocument/2006/relationships/chart" Target="../charts/chart147.xml"/><Relationship Id="rId50" Type="http://schemas.openxmlformats.org/officeDocument/2006/relationships/chart" Target="../charts/chart150.xml"/><Relationship Id="rId55" Type="http://schemas.openxmlformats.org/officeDocument/2006/relationships/chart" Target="../charts/chart155.xml"/><Relationship Id="rId63" Type="http://schemas.openxmlformats.org/officeDocument/2006/relationships/chart" Target="../charts/chart163.xml"/><Relationship Id="rId68" Type="http://schemas.openxmlformats.org/officeDocument/2006/relationships/chart" Target="../charts/chart168.xml"/><Relationship Id="rId76" Type="http://schemas.openxmlformats.org/officeDocument/2006/relationships/chart" Target="../charts/chart176.xml"/><Relationship Id="rId84" Type="http://schemas.openxmlformats.org/officeDocument/2006/relationships/chart" Target="../charts/chart184.xml"/><Relationship Id="rId89" Type="http://schemas.openxmlformats.org/officeDocument/2006/relationships/chart" Target="../charts/chart189.xml"/><Relationship Id="rId97" Type="http://schemas.openxmlformats.org/officeDocument/2006/relationships/chart" Target="../charts/chart197.xml"/><Relationship Id="rId7" Type="http://schemas.openxmlformats.org/officeDocument/2006/relationships/chart" Target="../charts/chart107.xml"/><Relationship Id="rId71" Type="http://schemas.openxmlformats.org/officeDocument/2006/relationships/chart" Target="../charts/chart171.xml"/><Relationship Id="rId92" Type="http://schemas.openxmlformats.org/officeDocument/2006/relationships/chart" Target="../charts/chart192.xml"/><Relationship Id="rId2" Type="http://schemas.openxmlformats.org/officeDocument/2006/relationships/chart" Target="../charts/chart102.xml"/><Relationship Id="rId16" Type="http://schemas.openxmlformats.org/officeDocument/2006/relationships/chart" Target="../charts/chart116.xml"/><Relationship Id="rId29" Type="http://schemas.openxmlformats.org/officeDocument/2006/relationships/chart" Target="../charts/chart129.xml"/><Relationship Id="rId11" Type="http://schemas.openxmlformats.org/officeDocument/2006/relationships/chart" Target="../charts/chart111.xml"/><Relationship Id="rId24" Type="http://schemas.openxmlformats.org/officeDocument/2006/relationships/chart" Target="../charts/chart124.xml"/><Relationship Id="rId32" Type="http://schemas.openxmlformats.org/officeDocument/2006/relationships/chart" Target="../charts/chart132.xml"/><Relationship Id="rId37" Type="http://schemas.openxmlformats.org/officeDocument/2006/relationships/chart" Target="../charts/chart137.xml"/><Relationship Id="rId40" Type="http://schemas.openxmlformats.org/officeDocument/2006/relationships/chart" Target="../charts/chart140.xml"/><Relationship Id="rId45" Type="http://schemas.openxmlformats.org/officeDocument/2006/relationships/chart" Target="../charts/chart145.xml"/><Relationship Id="rId53" Type="http://schemas.openxmlformats.org/officeDocument/2006/relationships/chart" Target="../charts/chart153.xml"/><Relationship Id="rId58" Type="http://schemas.openxmlformats.org/officeDocument/2006/relationships/chart" Target="../charts/chart158.xml"/><Relationship Id="rId66" Type="http://schemas.openxmlformats.org/officeDocument/2006/relationships/chart" Target="../charts/chart166.xml"/><Relationship Id="rId74" Type="http://schemas.openxmlformats.org/officeDocument/2006/relationships/chart" Target="../charts/chart174.xml"/><Relationship Id="rId79" Type="http://schemas.openxmlformats.org/officeDocument/2006/relationships/chart" Target="../charts/chart179.xml"/><Relationship Id="rId87" Type="http://schemas.openxmlformats.org/officeDocument/2006/relationships/chart" Target="../charts/chart187.xml"/><Relationship Id="rId5" Type="http://schemas.openxmlformats.org/officeDocument/2006/relationships/chart" Target="../charts/chart105.xml"/><Relationship Id="rId61" Type="http://schemas.openxmlformats.org/officeDocument/2006/relationships/chart" Target="../charts/chart161.xml"/><Relationship Id="rId82" Type="http://schemas.openxmlformats.org/officeDocument/2006/relationships/chart" Target="../charts/chart182.xml"/><Relationship Id="rId90" Type="http://schemas.openxmlformats.org/officeDocument/2006/relationships/chart" Target="../charts/chart190.xml"/><Relationship Id="rId95" Type="http://schemas.openxmlformats.org/officeDocument/2006/relationships/chart" Target="../charts/chart195.xml"/><Relationship Id="rId19" Type="http://schemas.openxmlformats.org/officeDocument/2006/relationships/chart" Target="../charts/chart119.xml"/><Relationship Id="rId14" Type="http://schemas.openxmlformats.org/officeDocument/2006/relationships/chart" Target="../charts/chart114.xml"/><Relationship Id="rId22" Type="http://schemas.openxmlformats.org/officeDocument/2006/relationships/chart" Target="../charts/chart122.xml"/><Relationship Id="rId27" Type="http://schemas.openxmlformats.org/officeDocument/2006/relationships/chart" Target="../charts/chart127.xml"/><Relationship Id="rId30" Type="http://schemas.openxmlformats.org/officeDocument/2006/relationships/chart" Target="../charts/chart130.xml"/><Relationship Id="rId35" Type="http://schemas.openxmlformats.org/officeDocument/2006/relationships/chart" Target="../charts/chart135.xml"/><Relationship Id="rId43" Type="http://schemas.openxmlformats.org/officeDocument/2006/relationships/chart" Target="../charts/chart143.xml"/><Relationship Id="rId48" Type="http://schemas.openxmlformats.org/officeDocument/2006/relationships/chart" Target="../charts/chart148.xml"/><Relationship Id="rId56" Type="http://schemas.openxmlformats.org/officeDocument/2006/relationships/chart" Target="../charts/chart156.xml"/><Relationship Id="rId64" Type="http://schemas.openxmlformats.org/officeDocument/2006/relationships/chart" Target="../charts/chart164.xml"/><Relationship Id="rId69" Type="http://schemas.openxmlformats.org/officeDocument/2006/relationships/chart" Target="../charts/chart169.xml"/><Relationship Id="rId77" Type="http://schemas.openxmlformats.org/officeDocument/2006/relationships/chart" Target="../charts/chart177.xml"/><Relationship Id="rId100" Type="http://schemas.openxmlformats.org/officeDocument/2006/relationships/chart" Target="../charts/chart200.xml"/><Relationship Id="rId8" Type="http://schemas.openxmlformats.org/officeDocument/2006/relationships/chart" Target="../charts/chart108.xml"/><Relationship Id="rId51" Type="http://schemas.openxmlformats.org/officeDocument/2006/relationships/chart" Target="../charts/chart151.xml"/><Relationship Id="rId72" Type="http://schemas.openxmlformats.org/officeDocument/2006/relationships/chart" Target="../charts/chart172.xml"/><Relationship Id="rId80" Type="http://schemas.openxmlformats.org/officeDocument/2006/relationships/chart" Target="../charts/chart180.xml"/><Relationship Id="rId85" Type="http://schemas.openxmlformats.org/officeDocument/2006/relationships/chart" Target="../charts/chart185.xml"/><Relationship Id="rId93" Type="http://schemas.openxmlformats.org/officeDocument/2006/relationships/chart" Target="../charts/chart193.xml"/><Relationship Id="rId98" Type="http://schemas.openxmlformats.org/officeDocument/2006/relationships/chart" Target="../charts/chart198.xml"/><Relationship Id="rId3" Type="http://schemas.openxmlformats.org/officeDocument/2006/relationships/chart" Target="../charts/chart103.xml"/><Relationship Id="rId12" Type="http://schemas.openxmlformats.org/officeDocument/2006/relationships/chart" Target="../charts/chart112.xml"/><Relationship Id="rId17" Type="http://schemas.openxmlformats.org/officeDocument/2006/relationships/chart" Target="../charts/chart117.xml"/><Relationship Id="rId25" Type="http://schemas.openxmlformats.org/officeDocument/2006/relationships/chart" Target="../charts/chart125.xml"/><Relationship Id="rId33" Type="http://schemas.openxmlformats.org/officeDocument/2006/relationships/chart" Target="../charts/chart133.xml"/><Relationship Id="rId38" Type="http://schemas.openxmlformats.org/officeDocument/2006/relationships/chart" Target="../charts/chart138.xml"/><Relationship Id="rId46" Type="http://schemas.openxmlformats.org/officeDocument/2006/relationships/chart" Target="../charts/chart146.xml"/><Relationship Id="rId59" Type="http://schemas.openxmlformats.org/officeDocument/2006/relationships/chart" Target="../charts/chart159.xml"/><Relationship Id="rId67" Type="http://schemas.openxmlformats.org/officeDocument/2006/relationships/chart" Target="../charts/chart167.xml"/><Relationship Id="rId20" Type="http://schemas.openxmlformats.org/officeDocument/2006/relationships/chart" Target="../charts/chart120.xml"/><Relationship Id="rId41" Type="http://schemas.openxmlformats.org/officeDocument/2006/relationships/chart" Target="../charts/chart141.xml"/><Relationship Id="rId54" Type="http://schemas.openxmlformats.org/officeDocument/2006/relationships/chart" Target="../charts/chart154.xml"/><Relationship Id="rId62" Type="http://schemas.openxmlformats.org/officeDocument/2006/relationships/chart" Target="../charts/chart162.xml"/><Relationship Id="rId70" Type="http://schemas.openxmlformats.org/officeDocument/2006/relationships/chart" Target="../charts/chart170.xml"/><Relationship Id="rId75" Type="http://schemas.openxmlformats.org/officeDocument/2006/relationships/chart" Target="../charts/chart175.xml"/><Relationship Id="rId83" Type="http://schemas.openxmlformats.org/officeDocument/2006/relationships/chart" Target="../charts/chart183.xml"/><Relationship Id="rId88" Type="http://schemas.openxmlformats.org/officeDocument/2006/relationships/chart" Target="../charts/chart188.xml"/><Relationship Id="rId91" Type="http://schemas.openxmlformats.org/officeDocument/2006/relationships/chart" Target="../charts/chart191.xml"/><Relationship Id="rId96" Type="http://schemas.openxmlformats.org/officeDocument/2006/relationships/chart" Target="../charts/chart196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15" Type="http://schemas.openxmlformats.org/officeDocument/2006/relationships/chart" Target="../charts/chart115.xml"/><Relationship Id="rId23" Type="http://schemas.openxmlformats.org/officeDocument/2006/relationships/chart" Target="../charts/chart123.xml"/><Relationship Id="rId28" Type="http://schemas.openxmlformats.org/officeDocument/2006/relationships/chart" Target="../charts/chart128.xml"/><Relationship Id="rId36" Type="http://schemas.openxmlformats.org/officeDocument/2006/relationships/chart" Target="../charts/chart136.xml"/><Relationship Id="rId49" Type="http://schemas.openxmlformats.org/officeDocument/2006/relationships/chart" Target="../charts/chart149.xml"/><Relationship Id="rId57" Type="http://schemas.openxmlformats.org/officeDocument/2006/relationships/chart" Target="../charts/chart157.xml"/><Relationship Id="rId10" Type="http://schemas.openxmlformats.org/officeDocument/2006/relationships/chart" Target="../charts/chart110.xml"/><Relationship Id="rId31" Type="http://schemas.openxmlformats.org/officeDocument/2006/relationships/chart" Target="../charts/chart131.xml"/><Relationship Id="rId44" Type="http://schemas.openxmlformats.org/officeDocument/2006/relationships/chart" Target="../charts/chart144.xml"/><Relationship Id="rId52" Type="http://schemas.openxmlformats.org/officeDocument/2006/relationships/chart" Target="../charts/chart152.xml"/><Relationship Id="rId60" Type="http://schemas.openxmlformats.org/officeDocument/2006/relationships/chart" Target="../charts/chart160.xml"/><Relationship Id="rId65" Type="http://schemas.openxmlformats.org/officeDocument/2006/relationships/chart" Target="../charts/chart165.xml"/><Relationship Id="rId73" Type="http://schemas.openxmlformats.org/officeDocument/2006/relationships/chart" Target="../charts/chart173.xml"/><Relationship Id="rId78" Type="http://schemas.openxmlformats.org/officeDocument/2006/relationships/chart" Target="../charts/chart178.xml"/><Relationship Id="rId81" Type="http://schemas.openxmlformats.org/officeDocument/2006/relationships/chart" Target="../charts/chart181.xml"/><Relationship Id="rId86" Type="http://schemas.openxmlformats.org/officeDocument/2006/relationships/chart" Target="../charts/chart186.xml"/><Relationship Id="rId94" Type="http://schemas.openxmlformats.org/officeDocument/2006/relationships/chart" Target="../charts/chart194.xml"/><Relationship Id="rId99" Type="http://schemas.openxmlformats.org/officeDocument/2006/relationships/chart" Target="../charts/chart199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Relationship Id="rId13" Type="http://schemas.openxmlformats.org/officeDocument/2006/relationships/chart" Target="../charts/chart113.xml"/><Relationship Id="rId18" Type="http://schemas.openxmlformats.org/officeDocument/2006/relationships/chart" Target="../charts/chart118.xml"/><Relationship Id="rId39" Type="http://schemas.openxmlformats.org/officeDocument/2006/relationships/chart" Target="../charts/chart13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2.xml"/><Relationship Id="rId1" Type="http://schemas.openxmlformats.org/officeDocument/2006/relationships/chart" Target="../charts/chart20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4.xml"/><Relationship Id="rId1" Type="http://schemas.openxmlformats.org/officeDocument/2006/relationships/chart" Target="../charts/chart20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9.xml"/><Relationship Id="rId7" Type="http://schemas.openxmlformats.org/officeDocument/2006/relationships/chart" Target="../charts/chart213.xml"/><Relationship Id="rId2" Type="http://schemas.openxmlformats.org/officeDocument/2006/relationships/chart" Target="../charts/chart208.xml"/><Relationship Id="rId1" Type="http://schemas.openxmlformats.org/officeDocument/2006/relationships/chart" Target="../charts/chart207.xml"/><Relationship Id="rId6" Type="http://schemas.openxmlformats.org/officeDocument/2006/relationships/chart" Target="../charts/chart212.xml"/><Relationship Id="rId5" Type="http://schemas.openxmlformats.org/officeDocument/2006/relationships/chart" Target="../charts/chart211.xml"/><Relationship Id="rId4" Type="http://schemas.openxmlformats.org/officeDocument/2006/relationships/chart" Target="../charts/chart2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630360</xdr:colOff>
      <xdr:row>18</xdr:row>
      <xdr:rowOff>33840</xdr:rowOff>
    </xdr:from>
    <xdr:to>
      <xdr:col>18</xdr:col>
      <xdr:colOff>551160</xdr:colOff>
      <xdr:row>29</xdr:row>
      <xdr:rowOff>175680</xdr:rowOff>
    </xdr:to>
    <xdr:graphicFrame macro="">
      <xdr:nvGraphicFramePr>
        <xdr:cNvPr id="2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403200</xdr:colOff>
      <xdr:row>18</xdr:row>
      <xdr:rowOff>12600</xdr:rowOff>
    </xdr:from>
    <xdr:to>
      <xdr:col>12</xdr:col>
      <xdr:colOff>111240</xdr:colOff>
      <xdr:row>29</xdr:row>
      <xdr:rowOff>101520</xdr:rowOff>
    </xdr:to>
    <xdr:graphicFrame macro="">
      <xdr:nvGraphicFramePr>
        <xdr:cNvPr id="3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302040</xdr:colOff>
      <xdr:row>33</xdr:row>
      <xdr:rowOff>89640</xdr:rowOff>
    </xdr:from>
    <xdr:to>
      <xdr:col>12</xdr:col>
      <xdr:colOff>344160</xdr:colOff>
      <xdr:row>45</xdr:row>
      <xdr:rowOff>27000</xdr:rowOff>
    </xdr:to>
    <xdr:graphicFrame macro="">
      <xdr:nvGraphicFramePr>
        <xdr:cNvPr id="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387000</xdr:colOff>
      <xdr:row>33</xdr:row>
      <xdr:rowOff>79200</xdr:rowOff>
    </xdr:from>
    <xdr:to>
      <xdr:col>19</xdr:col>
      <xdr:colOff>238320</xdr:colOff>
      <xdr:row>44</xdr:row>
      <xdr:rowOff>143280</xdr:rowOff>
    </xdr:to>
    <xdr:graphicFrame macro="">
      <xdr:nvGraphicFramePr>
        <xdr:cNvPr id="5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249120</xdr:colOff>
      <xdr:row>48</xdr:row>
      <xdr:rowOff>79560</xdr:rowOff>
    </xdr:from>
    <xdr:to>
      <xdr:col>11</xdr:col>
      <xdr:colOff>407520</xdr:colOff>
      <xdr:row>58</xdr:row>
      <xdr:rowOff>90360</xdr:rowOff>
    </xdr:to>
    <xdr:graphicFrame macro="">
      <xdr:nvGraphicFramePr>
        <xdr:cNvPr id="6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238680</xdr:colOff>
      <xdr:row>49</xdr:row>
      <xdr:rowOff>2160</xdr:rowOff>
    </xdr:from>
    <xdr:to>
      <xdr:col>17</xdr:col>
      <xdr:colOff>58320</xdr:colOff>
      <xdr:row>57</xdr:row>
      <xdr:rowOff>175320</xdr:rowOff>
    </xdr:to>
    <xdr:graphicFrame macro="">
      <xdr:nvGraphicFramePr>
        <xdr:cNvPr id="7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344520</xdr:colOff>
      <xdr:row>62</xdr:row>
      <xdr:rowOff>15480</xdr:rowOff>
    </xdr:from>
    <xdr:to>
      <xdr:col>11</xdr:col>
      <xdr:colOff>428760</xdr:colOff>
      <xdr:row>74</xdr:row>
      <xdr:rowOff>5760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90360</xdr:colOff>
      <xdr:row>61</xdr:row>
      <xdr:rowOff>185040</xdr:rowOff>
    </xdr:from>
    <xdr:to>
      <xdr:col>17</xdr:col>
      <xdr:colOff>227520</xdr:colOff>
      <xdr:row>73</xdr:row>
      <xdr:rowOff>154080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323280</xdr:colOff>
      <xdr:row>76</xdr:row>
      <xdr:rowOff>47520</xdr:rowOff>
    </xdr:from>
    <xdr:to>
      <xdr:col>11</xdr:col>
      <xdr:colOff>217080</xdr:colOff>
      <xdr:row>87</xdr:row>
      <xdr:rowOff>27000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450360</xdr:colOff>
      <xdr:row>75</xdr:row>
      <xdr:rowOff>185040</xdr:rowOff>
    </xdr:from>
    <xdr:to>
      <xdr:col>17</xdr:col>
      <xdr:colOff>555840</xdr:colOff>
      <xdr:row>87</xdr:row>
      <xdr:rowOff>48240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365760</xdr:colOff>
      <xdr:row>88</xdr:row>
      <xdr:rowOff>153360</xdr:rowOff>
    </xdr:from>
    <xdr:to>
      <xdr:col>11</xdr:col>
      <xdr:colOff>577080</xdr:colOff>
      <xdr:row>100</xdr:row>
      <xdr:rowOff>5760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281160</xdr:colOff>
      <xdr:row>88</xdr:row>
      <xdr:rowOff>132120</xdr:rowOff>
    </xdr:from>
    <xdr:to>
      <xdr:col>18</xdr:col>
      <xdr:colOff>227880</xdr:colOff>
      <xdr:row>100</xdr:row>
      <xdr:rowOff>69480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334080</xdr:colOff>
      <xdr:row>101</xdr:row>
      <xdr:rowOff>143640</xdr:rowOff>
    </xdr:from>
    <xdr:to>
      <xdr:col>11</xdr:col>
      <xdr:colOff>715875</xdr:colOff>
      <xdr:row>113</xdr:row>
      <xdr:rowOff>143280</xdr:rowOff>
    </xdr:to>
    <xdr:graphicFrame macro="">
      <xdr:nvGraphicFramePr>
        <xdr:cNvPr id="14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281160</xdr:colOff>
      <xdr:row>101</xdr:row>
      <xdr:rowOff>186120</xdr:rowOff>
    </xdr:from>
    <xdr:to>
      <xdr:col>18</xdr:col>
      <xdr:colOff>312480</xdr:colOff>
      <xdr:row>113</xdr:row>
      <xdr:rowOff>164520</xdr:rowOff>
    </xdr:to>
    <xdr:graphicFrame macro="">
      <xdr:nvGraphicFramePr>
        <xdr:cNvPr id="15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312840</xdr:colOff>
      <xdr:row>116</xdr:row>
      <xdr:rowOff>6120</xdr:rowOff>
    </xdr:from>
    <xdr:to>
      <xdr:col>11</xdr:col>
      <xdr:colOff>291240</xdr:colOff>
      <xdr:row>126</xdr:row>
      <xdr:rowOff>154440</xdr:rowOff>
    </xdr:to>
    <xdr:graphicFrame macro="">
      <xdr:nvGraphicFramePr>
        <xdr:cNvPr id="16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12</xdr:col>
      <xdr:colOff>48240</xdr:colOff>
      <xdr:row>116</xdr:row>
      <xdr:rowOff>5040</xdr:rowOff>
    </xdr:from>
    <xdr:to>
      <xdr:col>18</xdr:col>
      <xdr:colOff>111240</xdr:colOff>
      <xdr:row>126</xdr:row>
      <xdr:rowOff>186120</xdr:rowOff>
    </xdr:to>
    <xdr:graphicFrame macro="">
      <xdr:nvGraphicFramePr>
        <xdr:cNvPr id="17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228240</xdr:colOff>
      <xdr:row>130</xdr:row>
      <xdr:rowOff>16560</xdr:rowOff>
    </xdr:from>
    <xdr:to>
      <xdr:col>11</xdr:col>
      <xdr:colOff>312480</xdr:colOff>
      <xdr:row>141</xdr:row>
      <xdr:rowOff>6840</xdr:rowOff>
    </xdr:to>
    <xdr:graphicFrame macro="">
      <xdr:nvGraphicFramePr>
        <xdr:cNvPr id="18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12</xdr:col>
      <xdr:colOff>37440</xdr:colOff>
      <xdr:row>129</xdr:row>
      <xdr:rowOff>175320</xdr:rowOff>
    </xdr:from>
    <xdr:to>
      <xdr:col>17</xdr:col>
      <xdr:colOff>735480</xdr:colOff>
      <xdr:row>140</xdr:row>
      <xdr:rowOff>174960</xdr:rowOff>
    </xdr:to>
    <xdr:graphicFrame macro="">
      <xdr:nvGraphicFramePr>
        <xdr:cNvPr id="19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143</xdr:row>
      <xdr:rowOff>163800</xdr:rowOff>
    </xdr:from>
    <xdr:to>
      <xdr:col>11</xdr:col>
      <xdr:colOff>716430</xdr:colOff>
      <xdr:row>155</xdr:row>
      <xdr:rowOff>122040</xdr:rowOff>
    </xdr:to>
    <xdr:graphicFrame macro="">
      <xdr:nvGraphicFramePr>
        <xdr:cNvPr id="20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12</xdr:col>
      <xdr:colOff>164520</xdr:colOff>
      <xdr:row>143</xdr:row>
      <xdr:rowOff>186120</xdr:rowOff>
    </xdr:from>
    <xdr:to>
      <xdr:col>17</xdr:col>
      <xdr:colOff>534600</xdr:colOff>
      <xdr:row>155</xdr:row>
      <xdr:rowOff>165600</xdr:rowOff>
    </xdr:to>
    <xdr:graphicFrame macro="">
      <xdr:nvGraphicFramePr>
        <xdr:cNvPr id="21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270360</xdr:colOff>
      <xdr:row>157</xdr:row>
      <xdr:rowOff>153720</xdr:rowOff>
    </xdr:from>
    <xdr:to>
      <xdr:col>11</xdr:col>
      <xdr:colOff>428760</xdr:colOff>
      <xdr:row>168</xdr:row>
      <xdr:rowOff>175320</xdr:rowOff>
    </xdr:to>
    <xdr:graphicFrame macro="">
      <xdr:nvGraphicFramePr>
        <xdr:cNvPr id="22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714960</xdr:colOff>
      <xdr:row>157</xdr:row>
      <xdr:rowOff>165240</xdr:rowOff>
    </xdr:from>
    <xdr:to>
      <xdr:col>17</xdr:col>
      <xdr:colOff>481680</xdr:colOff>
      <xdr:row>168</xdr:row>
      <xdr:rowOff>101160</xdr:rowOff>
    </xdr:to>
    <xdr:graphicFrame macro="">
      <xdr:nvGraphicFramePr>
        <xdr:cNvPr id="23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323280</xdr:colOff>
      <xdr:row>171</xdr:row>
      <xdr:rowOff>122400</xdr:rowOff>
    </xdr:from>
    <xdr:to>
      <xdr:col>11</xdr:col>
      <xdr:colOff>534600</xdr:colOff>
      <xdr:row>182</xdr:row>
      <xdr:rowOff>16560</xdr:rowOff>
    </xdr:to>
    <xdr:graphicFrame macro="">
      <xdr:nvGraphicFramePr>
        <xdr:cNvPr id="24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736200</xdr:colOff>
      <xdr:row>171</xdr:row>
      <xdr:rowOff>59040</xdr:rowOff>
    </xdr:from>
    <xdr:to>
      <xdr:col>17</xdr:col>
      <xdr:colOff>185400</xdr:colOff>
      <xdr:row>182</xdr:row>
      <xdr:rowOff>48600</xdr:rowOff>
    </xdr:to>
    <xdr:graphicFrame macro="">
      <xdr:nvGraphicFramePr>
        <xdr:cNvPr id="25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387000</xdr:colOff>
      <xdr:row>186</xdr:row>
      <xdr:rowOff>122400</xdr:rowOff>
    </xdr:from>
    <xdr:to>
      <xdr:col>11</xdr:col>
      <xdr:colOff>608760</xdr:colOff>
      <xdr:row>197</xdr:row>
      <xdr:rowOff>70560</xdr:rowOff>
    </xdr:to>
    <xdr:graphicFrame macro="">
      <xdr:nvGraphicFramePr>
        <xdr:cNvPr id="26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249120</xdr:colOff>
      <xdr:row>186</xdr:row>
      <xdr:rowOff>122400</xdr:rowOff>
    </xdr:from>
    <xdr:to>
      <xdr:col>17</xdr:col>
      <xdr:colOff>758910</xdr:colOff>
      <xdr:row>197</xdr:row>
      <xdr:rowOff>123480</xdr:rowOff>
    </xdr:to>
    <xdr:graphicFrame macro="">
      <xdr:nvGraphicFramePr>
        <xdr:cNvPr id="27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334080</xdr:colOff>
      <xdr:row>200</xdr:row>
      <xdr:rowOff>175320</xdr:rowOff>
    </xdr:from>
    <xdr:to>
      <xdr:col>11</xdr:col>
      <xdr:colOff>714600</xdr:colOff>
      <xdr:row>212</xdr:row>
      <xdr:rowOff>79560</xdr:rowOff>
    </xdr:to>
    <xdr:graphicFrame macro="">
      <xdr:nvGraphicFramePr>
        <xdr:cNvPr id="28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281160</xdr:colOff>
      <xdr:row>200</xdr:row>
      <xdr:rowOff>111960</xdr:rowOff>
    </xdr:from>
    <xdr:to>
      <xdr:col>18</xdr:col>
      <xdr:colOff>280800</xdr:colOff>
      <xdr:row>211</xdr:row>
      <xdr:rowOff>155160</xdr:rowOff>
    </xdr:to>
    <xdr:graphicFrame macro="">
      <xdr:nvGraphicFramePr>
        <xdr:cNvPr id="29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207000</xdr:colOff>
      <xdr:row>215</xdr:row>
      <xdr:rowOff>144000</xdr:rowOff>
    </xdr:from>
    <xdr:to>
      <xdr:col>11</xdr:col>
      <xdr:colOff>716790</xdr:colOff>
      <xdr:row>226</xdr:row>
      <xdr:rowOff>59760</xdr:rowOff>
    </xdr:to>
    <xdr:graphicFrame macro="">
      <xdr:nvGraphicFramePr>
        <xdr:cNvPr id="30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154080</xdr:colOff>
      <xdr:row>215</xdr:row>
      <xdr:rowOff>112320</xdr:rowOff>
    </xdr:from>
    <xdr:to>
      <xdr:col>17</xdr:col>
      <xdr:colOff>555840</xdr:colOff>
      <xdr:row>226</xdr:row>
      <xdr:rowOff>6840</xdr:rowOff>
    </xdr:to>
    <xdr:graphicFrame macro="">
      <xdr:nvGraphicFramePr>
        <xdr:cNvPr id="31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323280</xdr:colOff>
      <xdr:row>228</xdr:row>
      <xdr:rowOff>16920</xdr:rowOff>
    </xdr:from>
    <xdr:to>
      <xdr:col>11</xdr:col>
      <xdr:colOff>555840</xdr:colOff>
      <xdr:row>239</xdr:row>
      <xdr:rowOff>144720</xdr:rowOff>
    </xdr:to>
    <xdr:graphicFrame macro="">
      <xdr:nvGraphicFramePr>
        <xdr:cNvPr id="32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736200</xdr:colOff>
      <xdr:row>227</xdr:row>
      <xdr:rowOff>186480</xdr:rowOff>
    </xdr:from>
    <xdr:to>
      <xdr:col>17</xdr:col>
      <xdr:colOff>651240</xdr:colOff>
      <xdr:row>239</xdr:row>
      <xdr:rowOff>164880</xdr:rowOff>
    </xdr:to>
    <xdr:graphicFrame macro="">
      <xdr:nvGraphicFramePr>
        <xdr:cNvPr id="33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217440</xdr:colOff>
      <xdr:row>242</xdr:row>
      <xdr:rowOff>143640</xdr:rowOff>
    </xdr:from>
    <xdr:to>
      <xdr:col>11</xdr:col>
      <xdr:colOff>407520</xdr:colOff>
      <xdr:row>254</xdr:row>
      <xdr:rowOff>100800</xdr:rowOff>
    </xdr:to>
    <xdr:graphicFrame macro="">
      <xdr:nvGraphicFramePr>
        <xdr:cNvPr id="34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11</xdr:col>
      <xdr:colOff>556200</xdr:colOff>
      <xdr:row>243</xdr:row>
      <xdr:rowOff>16560</xdr:rowOff>
    </xdr:from>
    <xdr:to>
      <xdr:col>17</xdr:col>
      <xdr:colOff>555840</xdr:colOff>
      <xdr:row>254</xdr:row>
      <xdr:rowOff>164520</xdr:rowOff>
    </xdr:to>
    <xdr:graphicFrame macro="">
      <xdr:nvGraphicFramePr>
        <xdr:cNvPr id="35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238680</xdr:colOff>
      <xdr:row>257</xdr:row>
      <xdr:rowOff>144000</xdr:rowOff>
    </xdr:from>
    <xdr:to>
      <xdr:col>11</xdr:col>
      <xdr:colOff>598320</xdr:colOff>
      <xdr:row>269</xdr:row>
      <xdr:rowOff>7200</xdr:rowOff>
    </xdr:to>
    <xdr:graphicFrame macro="">
      <xdr:nvGraphicFramePr>
        <xdr:cNvPr id="36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12</xdr:col>
      <xdr:colOff>48240</xdr:colOff>
      <xdr:row>257</xdr:row>
      <xdr:rowOff>175680</xdr:rowOff>
    </xdr:from>
    <xdr:to>
      <xdr:col>17</xdr:col>
      <xdr:colOff>661680</xdr:colOff>
      <xdr:row>269</xdr:row>
      <xdr:rowOff>28080</xdr:rowOff>
    </xdr:to>
    <xdr:graphicFrame macro="">
      <xdr:nvGraphicFramePr>
        <xdr:cNvPr id="37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291600</xdr:colOff>
      <xdr:row>270</xdr:row>
      <xdr:rowOff>133560</xdr:rowOff>
    </xdr:from>
    <xdr:to>
      <xdr:col>11</xdr:col>
      <xdr:colOff>365400</xdr:colOff>
      <xdr:row>282</xdr:row>
      <xdr:rowOff>60120</xdr:rowOff>
    </xdr:to>
    <xdr:graphicFrame macro="">
      <xdr:nvGraphicFramePr>
        <xdr:cNvPr id="38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12</xdr:col>
      <xdr:colOff>37440</xdr:colOff>
      <xdr:row>270</xdr:row>
      <xdr:rowOff>154800</xdr:rowOff>
    </xdr:from>
    <xdr:to>
      <xdr:col>17</xdr:col>
      <xdr:colOff>566280</xdr:colOff>
      <xdr:row>282</xdr:row>
      <xdr:rowOff>48600</xdr:rowOff>
    </xdr:to>
    <xdr:graphicFrame macro="">
      <xdr:nvGraphicFramePr>
        <xdr:cNvPr id="39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259920</xdr:colOff>
      <xdr:row>286</xdr:row>
      <xdr:rowOff>48600</xdr:rowOff>
    </xdr:from>
    <xdr:to>
      <xdr:col>11</xdr:col>
      <xdr:colOff>344160</xdr:colOff>
      <xdr:row>297</xdr:row>
      <xdr:rowOff>38880</xdr:rowOff>
    </xdr:to>
    <xdr:graphicFrame macro="">
      <xdr:nvGraphicFramePr>
        <xdr:cNvPr id="40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37440</xdr:colOff>
      <xdr:row>286</xdr:row>
      <xdr:rowOff>80280</xdr:rowOff>
    </xdr:from>
    <xdr:to>
      <xdr:col>17</xdr:col>
      <xdr:colOff>428760</xdr:colOff>
      <xdr:row>297</xdr:row>
      <xdr:rowOff>58680</xdr:rowOff>
    </xdr:to>
    <xdr:graphicFrame macro="">
      <xdr:nvGraphicFramePr>
        <xdr:cNvPr id="41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249120</xdr:colOff>
      <xdr:row>300</xdr:row>
      <xdr:rowOff>6480</xdr:rowOff>
    </xdr:from>
    <xdr:to>
      <xdr:col>11</xdr:col>
      <xdr:colOff>312120</xdr:colOff>
      <xdr:row>311</xdr:row>
      <xdr:rowOff>28080</xdr:rowOff>
    </xdr:to>
    <xdr:graphicFrame macro="">
      <xdr:nvGraphicFramePr>
        <xdr:cNvPr id="42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672480</xdr:colOff>
      <xdr:row>300</xdr:row>
      <xdr:rowOff>6480</xdr:rowOff>
    </xdr:from>
    <xdr:to>
      <xdr:col>17</xdr:col>
      <xdr:colOff>640440</xdr:colOff>
      <xdr:row>311</xdr:row>
      <xdr:rowOff>6840</xdr:rowOff>
    </xdr:to>
    <xdr:graphicFrame macro="">
      <xdr:nvGraphicFramePr>
        <xdr:cNvPr id="43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291600</xdr:colOff>
      <xdr:row>314</xdr:row>
      <xdr:rowOff>27360</xdr:rowOff>
    </xdr:from>
    <xdr:to>
      <xdr:col>11</xdr:col>
      <xdr:colOff>534600</xdr:colOff>
      <xdr:row>325</xdr:row>
      <xdr:rowOff>134280</xdr:rowOff>
    </xdr:to>
    <xdr:graphicFrame macro="">
      <xdr:nvGraphicFramePr>
        <xdr:cNvPr id="44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11</xdr:col>
      <xdr:colOff>736200</xdr:colOff>
      <xdr:row>314</xdr:row>
      <xdr:rowOff>16560</xdr:rowOff>
    </xdr:from>
    <xdr:to>
      <xdr:col>17</xdr:col>
      <xdr:colOff>746280</xdr:colOff>
      <xdr:row>325</xdr:row>
      <xdr:rowOff>28080</xdr:rowOff>
    </xdr:to>
    <xdr:graphicFrame macro="">
      <xdr:nvGraphicFramePr>
        <xdr:cNvPr id="45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249120</xdr:colOff>
      <xdr:row>328</xdr:row>
      <xdr:rowOff>154440</xdr:rowOff>
    </xdr:from>
    <xdr:to>
      <xdr:col>11</xdr:col>
      <xdr:colOff>481680</xdr:colOff>
      <xdr:row>340</xdr:row>
      <xdr:rowOff>144720</xdr:rowOff>
    </xdr:to>
    <xdr:graphicFrame macro="">
      <xdr:nvGraphicFramePr>
        <xdr:cNvPr id="46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27000</xdr:colOff>
      <xdr:row>328</xdr:row>
      <xdr:rowOff>154440</xdr:rowOff>
    </xdr:from>
    <xdr:to>
      <xdr:col>18</xdr:col>
      <xdr:colOff>58320</xdr:colOff>
      <xdr:row>341</xdr:row>
      <xdr:rowOff>37800</xdr:rowOff>
    </xdr:to>
    <xdr:graphicFrame macro="">
      <xdr:nvGraphicFramePr>
        <xdr:cNvPr id="47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259920</xdr:colOff>
      <xdr:row>344</xdr:row>
      <xdr:rowOff>6120</xdr:rowOff>
    </xdr:from>
    <xdr:to>
      <xdr:col>11</xdr:col>
      <xdr:colOff>608760</xdr:colOff>
      <xdr:row>355</xdr:row>
      <xdr:rowOff>81360</xdr:rowOff>
    </xdr:to>
    <xdr:graphicFrame macro="">
      <xdr:nvGraphicFramePr>
        <xdr:cNvPr id="48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12</xdr:col>
      <xdr:colOff>58680</xdr:colOff>
      <xdr:row>344</xdr:row>
      <xdr:rowOff>27360</xdr:rowOff>
    </xdr:from>
    <xdr:to>
      <xdr:col>18</xdr:col>
      <xdr:colOff>693360</xdr:colOff>
      <xdr:row>358</xdr:row>
      <xdr:rowOff>132840</xdr:rowOff>
    </xdr:to>
    <xdr:graphicFrame macro="">
      <xdr:nvGraphicFramePr>
        <xdr:cNvPr id="49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164520</xdr:colOff>
      <xdr:row>360</xdr:row>
      <xdr:rowOff>175680</xdr:rowOff>
    </xdr:from>
    <xdr:to>
      <xdr:col>11</xdr:col>
      <xdr:colOff>439200</xdr:colOff>
      <xdr:row>372</xdr:row>
      <xdr:rowOff>154800</xdr:rowOff>
    </xdr:to>
    <xdr:graphicFrame macro="">
      <xdr:nvGraphicFramePr>
        <xdr:cNvPr id="50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704160</xdr:colOff>
      <xdr:row>361</xdr:row>
      <xdr:rowOff>80640</xdr:rowOff>
    </xdr:from>
    <xdr:to>
      <xdr:col>17</xdr:col>
      <xdr:colOff>725040</xdr:colOff>
      <xdr:row>372</xdr:row>
      <xdr:rowOff>70560</xdr:rowOff>
    </xdr:to>
    <xdr:graphicFrame macro="">
      <xdr:nvGraphicFramePr>
        <xdr:cNvPr id="51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175320</xdr:colOff>
      <xdr:row>375</xdr:row>
      <xdr:rowOff>59040</xdr:rowOff>
    </xdr:from>
    <xdr:to>
      <xdr:col>11</xdr:col>
      <xdr:colOff>545400</xdr:colOff>
      <xdr:row>387</xdr:row>
      <xdr:rowOff>6840</xdr:rowOff>
    </xdr:to>
    <xdr:graphicFrame macro="">
      <xdr:nvGraphicFramePr>
        <xdr:cNvPr id="52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704160</xdr:colOff>
      <xdr:row>375</xdr:row>
      <xdr:rowOff>59040</xdr:rowOff>
    </xdr:from>
    <xdr:to>
      <xdr:col>17</xdr:col>
      <xdr:colOff>756720</xdr:colOff>
      <xdr:row>386</xdr:row>
      <xdr:rowOff>154440</xdr:rowOff>
    </xdr:to>
    <xdr:graphicFrame macro="">
      <xdr:nvGraphicFramePr>
        <xdr:cNvPr id="53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154080</xdr:colOff>
      <xdr:row>389</xdr:row>
      <xdr:rowOff>143640</xdr:rowOff>
    </xdr:from>
    <xdr:to>
      <xdr:col>11</xdr:col>
      <xdr:colOff>587520</xdr:colOff>
      <xdr:row>401</xdr:row>
      <xdr:rowOff>144360</xdr:rowOff>
    </xdr:to>
    <xdr:graphicFrame macro="">
      <xdr:nvGraphicFramePr>
        <xdr:cNvPr id="54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12</xdr:col>
      <xdr:colOff>58680</xdr:colOff>
      <xdr:row>389</xdr:row>
      <xdr:rowOff>186120</xdr:rowOff>
    </xdr:from>
    <xdr:to>
      <xdr:col>18</xdr:col>
      <xdr:colOff>79560</xdr:colOff>
      <xdr:row>401</xdr:row>
      <xdr:rowOff>122400</xdr:rowOff>
    </xdr:to>
    <xdr:graphicFrame macro="">
      <xdr:nvGraphicFramePr>
        <xdr:cNvPr id="55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291600</xdr:colOff>
      <xdr:row>406</xdr:row>
      <xdr:rowOff>37800</xdr:rowOff>
    </xdr:from>
    <xdr:to>
      <xdr:col>11</xdr:col>
      <xdr:colOff>693360</xdr:colOff>
      <xdr:row>417</xdr:row>
      <xdr:rowOff>123120</xdr:rowOff>
    </xdr:to>
    <xdr:graphicFrame macro="">
      <xdr:nvGraphicFramePr>
        <xdr:cNvPr id="56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12</xdr:col>
      <xdr:colOff>101160</xdr:colOff>
      <xdr:row>405</xdr:row>
      <xdr:rowOff>48600</xdr:rowOff>
    </xdr:from>
    <xdr:to>
      <xdr:col>18</xdr:col>
      <xdr:colOff>217080</xdr:colOff>
      <xdr:row>417</xdr:row>
      <xdr:rowOff>143640</xdr:rowOff>
    </xdr:to>
    <xdr:graphicFrame macro="">
      <xdr:nvGraphicFramePr>
        <xdr:cNvPr id="57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207000</xdr:colOff>
      <xdr:row>419</xdr:row>
      <xdr:rowOff>154440</xdr:rowOff>
    </xdr:from>
    <xdr:to>
      <xdr:col>11</xdr:col>
      <xdr:colOff>715875</xdr:colOff>
      <xdr:row>431</xdr:row>
      <xdr:rowOff>155520</xdr:rowOff>
    </xdr:to>
    <xdr:graphicFrame macro="">
      <xdr:nvGraphicFramePr>
        <xdr:cNvPr id="58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12</xdr:col>
      <xdr:colOff>291600</xdr:colOff>
      <xdr:row>419</xdr:row>
      <xdr:rowOff>154440</xdr:rowOff>
    </xdr:from>
    <xdr:to>
      <xdr:col>18</xdr:col>
      <xdr:colOff>354600</xdr:colOff>
      <xdr:row>431</xdr:row>
      <xdr:rowOff>123840</xdr:rowOff>
    </xdr:to>
    <xdr:graphicFrame macro="">
      <xdr:nvGraphicFramePr>
        <xdr:cNvPr id="59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164520</xdr:colOff>
      <xdr:row>435</xdr:row>
      <xdr:rowOff>27360</xdr:rowOff>
    </xdr:from>
    <xdr:to>
      <xdr:col>11</xdr:col>
      <xdr:colOff>513360</xdr:colOff>
      <xdr:row>446</xdr:row>
      <xdr:rowOff>81000</xdr:rowOff>
    </xdr:to>
    <xdr:graphicFrame macro="">
      <xdr:nvGraphicFramePr>
        <xdr:cNvPr id="60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11</xdr:col>
      <xdr:colOff>725400</xdr:colOff>
      <xdr:row>434</xdr:row>
      <xdr:rowOff>175320</xdr:rowOff>
    </xdr:from>
    <xdr:to>
      <xdr:col>18</xdr:col>
      <xdr:colOff>100800</xdr:colOff>
      <xdr:row>447</xdr:row>
      <xdr:rowOff>6840</xdr:rowOff>
    </xdr:to>
    <xdr:graphicFrame macro="">
      <xdr:nvGraphicFramePr>
        <xdr:cNvPr id="61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270360</xdr:colOff>
      <xdr:row>449</xdr:row>
      <xdr:rowOff>154800</xdr:rowOff>
    </xdr:from>
    <xdr:to>
      <xdr:col>11</xdr:col>
      <xdr:colOff>672120</xdr:colOff>
      <xdr:row>461</xdr:row>
      <xdr:rowOff>70920</xdr:rowOff>
    </xdr:to>
    <xdr:graphicFrame macro="">
      <xdr:nvGraphicFramePr>
        <xdr:cNvPr id="62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259920</xdr:colOff>
      <xdr:row>449</xdr:row>
      <xdr:rowOff>122760</xdr:rowOff>
    </xdr:from>
    <xdr:to>
      <xdr:col>18</xdr:col>
      <xdr:colOff>365400</xdr:colOff>
      <xdr:row>461</xdr:row>
      <xdr:rowOff>155160</xdr:rowOff>
    </xdr:to>
    <xdr:graphicFrame macro="">
      <xdr:nvGraphicFramePr>
        <xdr:cNvPr id="63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429120</xdr:colOff>
      <xdr:row>465</xdr:row>
      <xdr:rowOff>59040</xdr:rowOff>
    </xdr:from>
    <xdr:to>
      <xdr:col>12</xdr:col>
      <xdr:colOff>111240</xdr:colOff>
      <xdr:row>477</xdr:row>
      <xdr:rowOff>38520</xdr:rowOff>
    </xdr:to>
    <xdr:graphicFrame macro="">
      <xdr:nvGraphicFramePr>
        <xdr:cNvPr id="64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12</xdr:col>
      <xdr:colOff>354960</xdr:colOff>
      <xdr:row>465</xdr:row>
      <xdr:rowOff>69480</xdr:rowOff>
    </xdr:from>
    <xdr:to>
      <xdr:col>18</xdr:col>
      <xdr:colOff>365040</xdr:colOff>
      <xdr:row>477</xdr:row>
      <xdr:rowOff>6840</xdr:rowOff>
    </xdr:to>
    <xdr:graphicFrame macro="">
      <xdr:nvGraphicFramePr>
        <xdr:cNvPr id="65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291600</xdr:colOff>
      <xdr:row>480</xdr:row>
      <xdr:rowOff>16920</xdr:rowOff>
    </xdr:from>
    <xdr:to>
      <xdr:col>11</xdr:col>
      <xdr:colOff>717705</xdr:colOff>
      <xdr:row>491</xdr:row>
      <xdr:rowOff>165600</xdr:rowOff>
    </xdr:to>
    <xdr:graphicFrame macro="">
      <xdr:nvGraphicFramePr>
        <xdr:cNvPr id="66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12</xdr:col>
      <xdr:colOff>270360</xdr:colOff>
      <xdr:row>480</xdr:row>
      <xdr:rowOff>6480</xdr:rowOff>
    </xdr:from>
    <xdr:to>
      <xdr:col>18</xdr:col>
      <xdr:colOff>206640</xdr:colOff>
      <xdr:row>492</xdr:row>
      <xdr:rowOff>6120</xdr:rowOff>
    </xdr:to>
    <xdr:graphicFrame macro="">
      <xdr:nvGraphicFramePr>
        <xdr:cNvPr id="67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228240</xdr:colOff>
      <xdr:row>494</xdr:row>
      <xdr:rowOff>186120</xdr:rowOff>
    </xdr:from>
    <xdr:to>
      <xdr:col>11</xdr:col>
      <xdr:colOff>661680</xdr:colOff>
      <xdr:row>506</xdr:row>
      <xdr:rowOff>123480</xdr:rowOff>
    </xdr:to>
    <xdr:graphicFrame macro="">
      <xdr:nvGraphicFramePr>
        <xdr:cNvPr id="68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12</xdr:col>
      <xdr:colOff>249120</xdr:colOff>
      <xdr:row>495</xdr:row>
      <xdr:rowOff>16560</xdr:rowOff>
    </xdr:from>
    <xdr:to>
      <xdr:col>18</xdr:col>
      <xdr:colOff>365040</xdr:colOff>
      <xdr:row>506</xdr:row>
      <xdr:rowOff>133560</xdr:rowOff>
    </xdr:to>
    <xdr:graphicFrame macro="">
      <xdr:nvGraphicFramePr>
        <xdr:cNvPr id="69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509</xdr:row>
      <xdr:rowOff>48600</xdr:rowOff>
    </xdr:from>
    <xdr:to>
      <xdr:col>11</xdr:col>
      <xdr:colOff>716430</xdr:colOff>
      <xdr:row>520</xdr:row>
      <xdr:rowOff>186840</xdr:rowOff>
    </xdr:to>
    <xdr:graphicFrame macro="">
      <xdr:nvGraphicFramePr>
        <xdr:cNvPr id="70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12</xdr:col>
      <xdr:colOff>397440</xdr:colOff>
      <xdr:row>509</xdr:row>
      <xdr:rowOff>69480</xdr:rowOff>
    </xdr:from>
    <xdr:to>
      <xdr:col>18</xdr:col>
      <xdr:colOff>502920</xdr:colOff>
      <xdr:row>520</xdr:row>
      <xdr:rowOff>123120</xdr:rowOff>
    </xdr:to>
    <xdr:graphicFrame macro="">
      <xdr:nvGraphicFramePr>
        <xdr:cNvPr id="71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217440</xdr:colOff>
      <xdr:row>524</xdr:row>
      <xdr:rowOff>154440</xdr:rowOff>
    </xdr:from>
    <xdr:to>
      <xdr:col>11</xdr:col>
      <xdr:colOff>716790</xdr:colOff>
      <xdr:row>534</xdr:row>
      <xdr:rowOff>328084</xdr:rowOff>
    </xdr:to>
    <xdr:graphicFrame macro="">
      <xdr:nvGraphicFramePr>
        <xdr:cNvPr id="72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185760</xdr:colOff>
      <xdr:row>524</xdr:row>
      <xdr:rowOff>164880</xdr:rowOff>
    </xdr:from>
    <xdr:to>
      <xdr:col>18</xdr:col>
      <xdr:colOff>312480</xdr:colOff>
      <xdr:row>534</xdr:row>
      <xdr:rowOff>296334</xdr:rowOff>
    </xdr:to>
    <xdr:graphicFrame macro="">
      <xdr:nvGraphicFramePr>
        <xdr:cNvPr id="73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249120</xdr:colOff>
      <xdr:row>3</xdr:row>
      <xdr:rowOff>54360</xdr:rowOff>
    </xdr:from>
    <xdr:to>
      <xdr:col>11</xdr:col>
      <xdr:colOff>492120</xdr:colOff>
      <xdr:row>14</xdr:row>
      <xdr:rowOff>65520</xdr:rowOff>
    </xdr:to>
    <xdr:graphicFrame macro="">
      <xdr:nvGraphicFramePr>
        <xdr:cNvPr id="74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12</xdr:col>
      <xdr:colOff>69480</xdr:colOff>
      <xdr:row>3</xdr:row>
      <xdr:rowOff>33480</xdr:rowOff>
    </xdr:from>
    <xdr:to>
      <xdr:col>18</xdr:col>
      <xdr:colOff>217440</xdr:colOff>
      <xdr:row>14</xdr:row>
      <xdr:rowOff>76680</xdr:rowOff>
    </xdr:to>
    <xdr:graphicFrame macro="">
      <xdr:nvGraphicFramePr>
        <xdr:cNvPr id="75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</xdr:col>
      <xdr:colOff>317499</xdr:colOff>
      <xdr:row>535</xdr:row>
      <xdr:rowOff>9525</xdr:rowOff>
    </xdr:from>
    <xdr:to>
      <xdr:col>11</xdr:col>
      <xdr:colOff>518582</xdr:colOff>
      <xdr:row>545</xdr:row>
      <xdr:rowOff>137584</xdr:rowOff>
    </xdr:to>
    <xdr:graphicFrame macro="">
      <xdr:nvGraphicFramePr>
        <xdr:cNvPr id="7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12</xdr:col>
      <xdr:colOff>264584</xdr:colOff>
      <xdr:row>535</xdr:row>
      <xdr:rowOff>9524</xdr:rowOff>
    </xdr:from>
    <xdr:to>
      <xdr:col>18</xdr:col>
      <xdr:colOff>190501</xdr:colOff>
      <xdr:row>545</xdr:row>
      <xdr:rowOff>179916</xdr:rowOff>
    </xdr:to>
    <xdr:graphicFrame macro="">
      <xdr:nvGraphicFramePr>
        <xdr:cNvPr id="7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</xdr:col>
      <xdr:colOff>243417</xdr:colOff>
      <xdr:row>547</xdr:row>
      <xdr:rowOff>105833</xdr:rowOff>
    </xdr:from>
    <xdr:to>
      <xdr:col>11</xdr:col>
      <xdr:colOff>497417</xdr:colOff>
      <xdr:row>558</xdr:row>
      <xdr:rowOff>43390</xdr:rowOff>
    </xdr:to>
    <xdr:graphicFrame macro="">
      <xdr:nvGraphicFramePr>
        <xdr:cNvPr id="78" name="7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</xdr:col>
      <xdr:colOff>222250</xdr:colOff>
      <xdr:row>547</xdr:row>
      <xdr:rowOff>116417</xdr:rowOff>
    </xdr:from>
    <xdr:to>
      <xdr:col>18</xdr:col>
      <xdr:colOff>42333</xdr:colOff>
      <xdr:row>557</xdr:row>
      <xdr:rowOff>170391</xdr:rowOff>
    </xdr:to>
    <xdr:graphicFrame macro="">
      <xdr:nvGraphicFramePr>
        <xdr:cNvPr id="79" name="7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</xdr:col>
      <xdr:colOff>232833</xdr:colOff>
      <xdr:row>559</xdr:row>
      <xdr:rowOff>148167</xdr:rowOff>
    </xdr:from>
    <xdr:to>
      <xdr:col>11</xdr:col>
      <xdr:colOff>253999</xdr:colOff>
      <xdr:row>569</xdr:row>
      <xdr:rowOff>1058</xdr:rowOff>
    </xdr:to>
    <xdr:graphicFrame macro="">
      <xdr:nvGraphicFramePr>
        <xdr:cNvPr id="80" name="7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</xdr:col>
      <xdr:colOff>486833</xdr:colOff>
      <xdr:row>559</xdr:row>
      <xdr:rowOff>137583</xdr:rowOff>
    </xdr:from>
    <xdr:to>
      <xdr:col>17</xdr:col>
      <xdr:colOff>243416</xdr:colOff>
      <xdr:row>569</xdr:row>
      <xdr:rowOff>21167</xdr:rowOff>
    </xdr:to>
    <xdr:graphicFrame macro="">
      <xdr:nvGraphicFramePr>
        <xdr:cNvPr id="81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</xdr:col>
      <xdr:colOff>264584</xdr:colOff>
      <xdr:row>570</xdr:row>
      <xdr:rowOff>126999</xdr:rowOff>
    </xdr:from>
    <xdr:to>
      <xdr:col>11</xdr:col>
      <xdr:colOff>10584</xdr:colOff>
      <xdr:row>580</xdr:row>
      <xdr:rowOff>85723</xdr:rowOff>
    </xdr:to>
    <xdr:graphicFrame macro="">
      <xdr:nvGraphicFramePr>
        <xdr:cNvPr id="82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11</xdr:col>
      <xdr:colOff>465666</xdr:colOff>
      <xdr:row>570</xdr:row>
      <xdr:rowOff>169334</xdr:rowOff>
    </xdr:from>
    <xdr:to>
      <xdr:col>17</xdr:col>
      <xdr:colOff>21167</xdr:colOff>
      <xdr:row>580</xdr:row>
      <xdr:rowOff>63501</xdr:rowOff>
    </xdr:to>
    <xdr:graphicFrame macro="">
      <xdr:nvGraphicFramePr>
        <xdr:cNvPr id="83" name="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5</xdr:col>
      <xdr:colOff>232834</xdr:colOff>
      <xdr:row>582</xdr:row>
      <xdr:rowOff>0</xdr:rowOff>
    </xdr:from>
    <xdr:to>
      <xdr:col>11</xdr:col>
      <xdr:colOff>338666</xdr:colOff>
      <xdr:row>591</xdr:row>
      <xdr:rowOff>137583</xdr:rowOff>
    </xdr:to>
    <xdr:graphicFrame macro="">
      <xdr:nvGraphicFramePr>
        <xdr:cNvPr id="84" name="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11</xdr:col>
      <xdr:colOff>529166</xdr:colOff>
      <xdr:row>581</xdr:row>
      <xdr:rowOff>158749</xdr:rowOff>
    </xdr:from>
    <xdr:to>
      <xdr:col>17</xdr:col>
      <xdr:colOff>444500</xdr:colOff>
      <xdr:row>592</xdr:row>
      <xdr:rowOff>64556</xdr:rowOff>
    </xdr:to>
    <xdr:graphicFrame macro="">
      <xdr:nvGraphicFramePr>
        <xdr:cNvPr id="85" name="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5</xdr:col>
      <xdr:colOff>148167</xdr:colOff>
      <xdr:row>593</xdr:row>
      <xdr:rowOff>42332</xdr:rowOff>
    </xdr:from>
    <xdr:to>
      <xdr:col>11</xdr:col>
      <xdr:colOff>222250</xdr:colOff>
      <xdr:row>603</xdr:row>
      <xdr:rowOff>106890</xdr:rowOff>
    </xdr:to>
    <xdr:graphicFrame macro="">
      <xdr:nvGraphicFramePr>
        <xdr:cNvPr id="86" name="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11</xdr:col>
      <xdr:colOff>571499</xdr:colOff>
      <xdr:row>592</xdr:row>
      <xdr:rowOff>169332</xdr:rowOff>
    </xdr:from>
    <xdr:to>
      <xdr:col>17</xdr:col>
      <xdr:colOff>444500</xdr:colOff>
      <xdr:row>603</xdr:row>
      <xdr:rowOff>63501</xdr:rowOff>
    </xdr:to>
    <xdr:graphicFrame macro="">
      <xdr:nvGraphicFramePr>
        <xdr:cNvPr id="87" name="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5</xdr:col>
      <xdr:colOff>370417</xdr:colOff>
      <xdr:row>604</xdr:row>
      <xdr:rowOff>158750</xdr:rowOff>
    </xdr:from>
    <xdr:to>
      <xdr:col>11</xdr:col>
      <xdr:colOff>476249</xdr:colOff>
      <xdr:row>615</xdr:row>
      <xdr:rowOff>74085</xdr:rowOff>
    </xdr:to>
    <xdr:graphicFrame macro="">
      <xdr:nvGraphicFramePr>
        <xdr:cNvPr id="88" name="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12</xdr:col>
      <xdr:colOff>0</xdr:colOff>
      <xdr:row>604</xdr:row>
      <xdr:rowOff>179917</xdr:rowOff>
    </xdr:from>
    <xdr:to>
      <xdr:col>17</xdr:col>
      <xdr:colOff>550333</xdr:colOff>
      <xdr:row>615</xdr:row>
      <xdr:rowOff>31750</xdr:rowOff>
    </xdr:to>
    <xdr:graphicFrame macro="">
      <xdr:nvGraphicFramePr>
        <xdr:cNvPr id="89" name="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275167</xdr:colOff>
      <xdr:row>617</xdr:row>
      <xdr:rowOff>31750</xdr:rowOff>
    </xdr:from>
    <xdr:to>
      <xdr:col>11</xdr:col>
      <xdr:colOff>571500</xdr:colOff>
      <xdr:row>627</xdr:row>
      <xdr:rowOff>149224</xdr:rowOff>
    </xdr:to>
    <xdr:graphicFrame macro="">
      <xdr:nvGraphicFramePr>
        <xdr:cNvPr id="90" name="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11</xdr:col>
      <xdr:colOff>687916</xdr:colOff>
      <xdr:row>617</xdr:row>
      <xdr:rowOff>10584</xdr:rowOff>
    </xdr:from>
    <xdr:to>
      <xdr:col>17</xdr:col>
      <xdr:colOff>222250</xdr:colOff>
      <xdr:row>627</xdr:row>
      <xdr:rowOff>117474</xdr:rowOff>
    </xdr:to>
    <xdr:graphicFrame macro="">
      <xdr:nvGraphicFramePr>
        <xdr:cNvPr id="91" name="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5</xdr:col>
      <xdr:colOff>232834</xdr:colOff>
      <xdr:row>629</xdr:row>
      <xdr:rowOff>126999</xdr:rowOff>
    </xdr:from>
    <xdr:to>
      <xdr:col>11</xdr:col>
      <xdr:colOff>306917</xdr:colOff>
      <xdr:row>639</xdr:row>
      <xdr:rowOff>180973</xdr:rowOff>
    </xdr:to>
    <xdr:graphicFrame macro="">
      <xdr:nvGraphicFramePr>
        <xdr:cNvPr id="92" name="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11</xdr:col>
      <xdr:colOff>550332</xdr:colOff>
      <xdr:row>629</xdr:row>
      <xdr:rowOff>126999</xdr:rowOff>
    </xdr:from>
    <xdr:to>
      <xdr:col>17</xdr:col>
      <xdr:colOff>381000</xdr:colOff>
      <xdr:row>639</xdr:row>
      <xdr:rowOff>180973</xdr:rowOff>
    </xdr:to>
    <xdr:graphicFrame macro="">
      <xdr:nvGraphicFramePr>
        <xdr:cNvPr id="93" name="9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5</xdr:col>
      <xdr:colOff>158750</xdr:colOff>
      <xdr:row>639</xdr:row>
      <xdr:rowOff>148167</xdr:rowOff>
    </xdr:from>
    <xdr:to>
      <xdr:col>11</xdr:col>
      <xdr:colOff>338666</xdr:colOff>
      <xdr:row>652</xdr:row>
      <xdr:rowOff>137584</xdr:rowOff>
    </xdr:to>
    <xdr:graphicFrame macro="">
      <xdr:nvGraphicFramePr>
        <xdr:cNvPr id="94" name="9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11</xdr:col>
      <xdr:colOff>539750</xdr:colOff>
      <xdr:row>641</xdr:row>
      <xdr:rowOff>52917</xdr:rowOff>
    </xdr:from>
    <xdr:to>
      <xdr:col>17</xdr:col>
      <xdr:colOff>391584</xdr:colOff>
      <xdr:row>653</xdr:row>
      <xdr:rowOff>31750</xdr:rowOff>
    </xdr:to>
    <xdr:graphicFrame macro="">
      <xdr:nvGraphicFramePr>
        <xdr:cNvPr id="95" name="9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137583</xdr:colOff>
      <xdr:row>655</xdr:row>
      <xdr:rowOff>84666</xdr:rowOff>
    </xdr:from>
    <xdr:to>
      <xdr:col>11</xdr:col>
      <xdr:colOff>222249</xdr:colOff>
      <xdr:row>664</xdr:row>
      <xdr:rowOff>180973</xdr:rowOff>
    </xdr:to>
    <xdr:graphicFrame macro="">
      <xdr:nvGraphicFramePr>
        <xdr:cNvPr id="96" name="9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11</xdr:col>
      <xdr:colOff>359833</xdr:colOff>
      <xdr:row>655</xdr:row>
      <xdr:rowOff>21166</xdr:rowOff>
    </xdr:from>
    <xdr:to>
      <xdr:col>17</xdr:col>
      <xdr:colOff>232834</xdr:colOff>
      <xdr:row>665</xdr:row>
      <xdr:rowOff>22223</xdr:rowOff>
    </xdr:to>
    <xdr:graphicFrame macro="">
      <xdr:nvGraphicFramePr>
        <xdr:cNvPr id="97" name="9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5</xdr:col>
      <xdr:colOff>254000</xdr:colOff>
      <xdr:row>666</xdr:row>
      <xdr:rowOff>158748</xdr:rowOff>
    </xdr:from>
    <xdr:to>
      <xdr:col>11</xdr:col>
      <xdr:colOff>317500</xdr:colOff>
      <xdr:row>676</xdr:row>
      <xdr:rowOff>159806</xdr:rowOff>
    </xdr:to>
    <xdr:graphicFrame macro="">
      <xdr:nvGraphicFramePr>
        <xdr:cNvPr id="98" name="9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11</xdr:col>
      <xdr:colOff>455082</xdr:colOff>
      <xdr:row>666</xdr:row>
      <xdr:rowOff>74084</xdr:rowOff>
    </xdr:from>
    <xdr:to>
      <xdr:col>17</xdr:col>
      <xdr:colOff>211666</xdr:colOff>
      <xdr:row>676</xdr:row>
      <xdr:rowOff>159807</xdr:rowOff>
    </xdr:to>
    <xdr:graphicFrame macro="">
      <xdr:nvGraphicFramePr>
        <xdr:cNvPr id="99" name="9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5</xdr:col>
      <xdr:colOff>201083</xdr:colOff>
      <xdr:row>678</xdr:row>
      <xdr:rowOff>179916</xdr:rowOff>
    </xdr:from>
    <xdr:to>
      <xdr:col>11</xdr:col>
      <xdr:colOff>158749</xdr:colOff>
      <xdr:row>689</xdr:row>
      <xdr:rowOff>43390</xdr:rowOff>
    </xdr:to>
    <xdr:graphicFrame macro="">
      <xdr:nvGraphicFramePr>
        <xdr:cNvPr id="100" name="9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11</xdr:col>
      <xdr:colOff>338666</xdr:colOff>
      <xdr:row>678</xdr:row>
      <xdr:rowOff>105834</xdr:rowOff>
    </xdr:from>
    <xdr:to>
      <xdr:col>17</xdr:col>
      <xdr:colOff>127000</xdr:colOff>
      <xdr:row>689</xdr:row>
      <xdr:rowOff>117475</xdr:rowOff>
    </xdr:to>
    <xdr:graphicFrame macro="">
      <xdr:nvGraphicFramePr>
        <xdr:cNvPr id="101" name="10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307800</xdr:colOff>
      <xdr:row>15</xdr:row>
      <xdr:rowOff>150120</xdr:rowOff>
    </xdr:from>
    <xdr:to>
      <xdr:col>11</xdr:col>
      <xdr:colOff>598320</xdr:colOff>
      <xdr:row>27</xdr:row>
      <xdr:rowOff>18720</xdr:rowOff>
    </xdr:to>
    <xdr:graphicFrame macro="">
      <xdr:nvGraphicFramePr>
        <xdr:cNvPr id="74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460800</xdr:colOff>
      <xdr:row>15</xdr:row>
      <xdr:rowOff>118440</xdr:rowOff>
    </xdr:from>
    <xdr:to>
      <xdr:col>18</xdr:col>
      <xdr:colOff>222120</xdr:colOff>
      <xdr:row>27</xdr:row>
      <xdr:rowOff>71640</xdr:rowOff>
    </xdr:to>
    <xdr:graphicFrame macro="">
      <xdr:nvGraphicFramePr>
        <xdr:cNvPr id="75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587880</xdr:colOff>
      <xdr:row>33</xdr:row>
      <xdr:rowOff>106200</xdr:rowOff>
    </xdr:from>
    <xdr:to>
      <xdr:col>11</xdr:col>
      <xdr:colOff>365400</xdr:colOff>
      <xdr:row>43</xdr:row>
      <xdr:rowOff>168840</xdr:rowOff>
    </xdr:to>
    <xdr:graphicFrame macro="">
      <xdr:nvGraphicFramePr>
        <xdr:cNvPr id="76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122400</xdr:colOff>
      <xdr:row>33</xdr:row>
      <xdr:rowOff>106200</xdr:rowOff>
    </xdr:from>
    <xdr:to>
      <xdr:col>17</xdr:col>
      <xdr:colOff>555840</xdr:colOff>
      <xdr:row>44</xdr:row>
      <xdr:rowOff>10080</xdr:rowOff>
    </xdr:to>
    <xdr:graphicFrame macro="">
      <xdr:nvGraphicFramePr>
        <xdr:cNvPr id="7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291600</xdr:colOff>
      <xdr:row>45</xdr:row>
      <xdr:rowOff>139680</xdr:rowOff>
    </xdr:from>
    <xdr:to>
      <xdr:col>11</xdr:col>
      <xdr:colOff>344520</xdr:colOff>
      <xdr:row>57</xdr:row>
      <xdr:rowOff>96840</xdr:rowOff>
    </xdr:to>
    <xdr:graphicFrame macro="">
      <xdr:nvGraphicFramePr>
        <xdr:cNvPr id="7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694080</xdr:colOff>
      <xdr:row>45</xdr:row>
      <xdr:rowOff>150120</xdr:rowOff>
    </xdr:from>
    <xdr:to>
      <xdr:col>17</xdr:col>
      <xdr:colOff>513720</xdr:colOff>
      <xdr:row>57</xdr:row>
      <xdr:rowOff>107280</xdr:rowOff>
    </xdr:to>
    <xdr:graphicFrame macro="">
      <xdr:nvGraphicFramePr>
        <xdr:cNvPr id="7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302040</xdr:colOff>
      <xdr:row>60</xdr:row>
      <xdr:rowOff>33480</xdr:rowOff>
    </xdr:from>
    <xdr:to>
      <xdr:col>11</xdr:col>
      <xdr:colOff>429120</xdr:colOff>
      <xdr:row>72</xdr:row>
      <xdr:rowOff>24120</xdr:rowOff>
    </xdr:to>
    <xdr:graphicFrame macro="">
      <xdr:nvGraphicFramePr>
        <xdr:cNvPr id="8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725760</xdr:colOff>
      <xdr:row>60</xdr:row>
      <xdr:rowOff>43920</xdr:rowOff>
    </xdr:from>
    <xdr:to>
      <xdr:col>17</xdr:col>
      <xdr:colOff>693720</xdr:colOff>
      <xdr:row>72</xdr:row>
      <xdr:rowOff>161280</xdr:rowOff>
    </xdr:to>
    <xdr:graphicFrame macro="">
      <xdr:nvGraphicFramePr>
        <xdr:cNvPr id="8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</xdr:col>
      <xdr:colOff>270360</xdr:colOff>
      <xdr:row>76</xdr:row>
      <xdr:rowOff>33480</xdr:rowOff>
    </xdr:from>
    <xdr:to>
      <xdr:col>11</xdr:col>
      <xdr:colOff>397440</xdr:colOff>
      <xdr:row>87</xdr:row>
      <xdr:rowOff>172080</xdr:rowOff>
    </xdr:to>
    <xdr:graphicFrame macro="">
      <xdr:nvGraphicFramePr>
        <xdr:cNvPr id="8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</xdr:col>
      <xdr:colOff>651600</xdr:colOff>
      <xdr:row>75</xdr:row>
      <xdr:rowOff>181440</xdr:rowOff>
    </xdr:from>
    <xdr:to>
      <xdr:col>17</xdr:col>
      <xdr:colOff>418320</xdr:colOff>
      <xdr:row>88</xdr:row>
      <xdr:rowOff>1440</xdr:rowOff>
    </xdr:to>
    <xdr:graphicFrame macro="">
      <xdr:nvGraphicFramePr>
        <xdr:cNvPr id="8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259920</xdr:colOff>
      <xdr:row>90</xdr:row>
      <xdr:rowOff>118080</xdr:rowOff>
    </xdr:from>
    <xdr:to>
      <xdr:col>11</xdr:col>
      <xdr:colOff>429120</xdr:colOff>
      <xdr:row>102</xdr:row>
      <xdr:rowOff>2880</xdr:rowOff>
    </xdr:to>
    <xdr:graphicFrame macro="">
      <xdr:nvGraphicFramePr>
        <xdr:cNvPr id="8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619920</xdr:colOff>
      <xdr:row>90</xdr:row>
      <xdr:rowOff>149760</xdr:rowOff>
    </xdr:from>
    <xdr:to>
      <xdr:col>17</xdr:col>
      <xdr:colOff>545400</xdr:colOff>
      <xdr:row>102</xdr:row>
      <xdr:rowOff>87480</xdr:rowOff>
    </xdr:to>
    <xdr:graphicFrame macro="">
      <xdr:nvGraphicFramePr>
        <xdr:cNvPr id="8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302040</xdr:colOff>
      <xdr:row>105</xdr:row>
      <xdr:rowOff>1800</xdr:rowOff>
    </xdr:from>
    <xdr:to>
      <xdr:col>11</xdr:col>
      <xdr:colOff>587880</xdr:colOff>
      <xdr:row>116</xdr:row>
      <xdr:rowOff>171720</xdr:rowOff>
    </xdr:to>
    <xdr:graphicFrame macro="">
      <xdr:nvGraphicFramePr>
        <xdr:cNvPr id="8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12</xdr:col>
      <xdr:colOff>196200</xdr:colOff>
      <xdr:row>104</xdr:row>
      <xdr:rowOff>160560</xdr:rowOff>
    </xdr:from>
    <xdr:to>
      <xdr:col>18</xdr:col>
      <xdr:colOff>68760</xdr:colOff>
      <xdr:row>117</xdr:row>
      <xdr:rowOff>44640</xdr:rowOff>
    </xdr:to>
    <xdr:graphicFrame macro="">
      <xdr:nvGraphicFramePr>
        <xdr:cNvPr id="8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5</xdr:col>
      <xdr:colOff>207000</xdr:colOff>
      <xdr:row>120</xdr:row>
      <xdr:rowOff>23040</xdr:rowOff>
    </xdr:from>
    <xdr:to>
      <xdr:col>11</xdr:col>
      <xdr:colOff>450360</xdr:colOff>
      <xdr:row>132</xdr:row>
      <xdr:rowOff>37440</xdr:rowOff>
    </xdr:to>
    <xdr:graphicFrame macro="">
      <xdr:nvGraphicFramePr>
        <xdr:cNvPr id="8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</xdr:col>
      <xdr:colOff>789480</xdr:colOff>
      <xdr:row>120</xdr:row>
      <xdr:rowOff>1800</xdr:rowOff>
    </xdr:from>
    <xdr:to>
      <xdr:col>17</xdr:col>
      <xdr:colOff>693720</xdr:colOff>
      <xdr:row>132</xdr:row>
      <xdr:rowOff>90360</xdr:rowOff>
    </xdr:to>
    <xdr:graphicFrame macro="">
      <xdr:nvGraphicFramePr>
        <xdr:cNvPr id="8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</xdr:col>
      <xdr:colOff>376200</xdr:colOff>
      <xdr:row>135</xdr:row>
      <xdr:rowOff>36720</xdr:rowOff>
    </xdr:from>
    <xdr:to>
      <xdr:col>11</xdr:col>
      <xdr:colOff>460800</xdr:colOff>
      <xdr:row>147</xdr:row>
      <xdr:rowOff>37800</xdr:rowOff>
    </xdr:to>
    <xdr:graphicFrame macro="">
      <xdr:nvGraphicFramePr>
        <xdr:cNvPr id="9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</xdr:col>
      <xdr:colOff>747000</xdr:colOff>
      <xdr:row>135</xdr:row>
      <xdr:rowOff>26280</xdr:rowOff>
    </xdr:from>
    <xdr:to>
      <xdr:col>17</xdr:col>
      <xdr:colOff>598320</xdr:colOff>
      <xdr:row>147</xdr:row>
      <xdr:rowOff>79200</xdr:rowOff>
    </xdr:to>
    <xdr:graphicFrame macro="">
      <xdr:nvGraphicFramePr>
        <xdr:cNvPr id="9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</xdr:col>
      <xdr:colOff>302040</xdr:colOff>
      <xdr:row>150</xdr:row>
      <xdr:rowOff>36720</xdr:rowOff>
    </xdr:from>
    <xdr:to>
      <xdr:col>11</xdr:col>
      <xdr:colOff>534960</xdr:colOff>
      <xdr:row>162</xdr:row>
      <xdr:rowOff>57600</xdr:rowOff>
    </xdr:to>
    <xdr:graphicFrame macro="">
      <xdr:nvGraphicFramePr>
        <xdr:cNvPr id="9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11</xdr:col>
      <xdr:colOff>736560</xdr:colOff>
      <xdr:row>150</xdr:row>
      <xdr:rowOff>26280</xdr:rowOff>
    </xdr:from>
    <xdr:to>
      <xdr:col>17</xdr:col>
      <xdr:colOff>640800</xdr:colOff>
      <xdr:row>162</xdr:row>
      <xdr:rowOff>25920</xdr:rowOff>
    </xdr:to>
    <xdr:graphicFrame macro="">
      <xdr:nvGraphicFramePr>
        <xdr:cNvPr id="9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</xdr:col>
      <xdr:colOff>281160</xdr:colOff>
      <xdr:row>164</xdr:row>
      <xdr:rowOff>163800</xdr:rowOff>
    </xdr:from>
    <xdr:to>
      <xdr:col>11</xdr:col>
      <xdr:colOff>439920</xdr:colOff>
      <xdr:row>176</xdr:row>
      <xdr:rowOff>132840</xdr:rowOff>
    </xdr:to>
    <xdr:graphicFrame macro="">
      <xdr:nvGraphicFramePr>
        <xdr:cNvPr id="9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</xdr:col>
      <xdr:colOff>704520</xdr:colOff>
      <xdr:row>164</xdr:row>
      <xdr:rowOff>89640</xdr:rowOff>
    </xdr:from>
    <xdr:to>
      <xdr:col>17</xdr:col>
      <xdr:colOff>513720</xdr:colOff>
      <xdr:row>176</xdr:row>
      <xdr:rowOff>79920</xdr:rowOff>
    </xdr:to>
    <xdr:graphicFrame macro="">
      <xdr:nvGraphicFramePr>
        <xdr:cNvPr id="9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5</xdr:col>
      <xdr:colOff>302040</xdr:colOff>
      <xdr:row>179</xdr:row>
      <xdr:rowOff>37080</xdr:rowOff>
    </xdr:from>
    <xdr:to>
      <xdr:col>11</xdr:col>
      <xdr:colOff>460800</xdr:colOff>
      <xdr:row>191</xdr:row>
      <xdr:rowOff>27000</xdr:rowOff>
    </xdr:to>
    <xdr:graphicFrame macro="">
      <xdr:nvGraphicFramePr>
        <xdr:cNvPr id="9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</xdr:col>
      <xdr:colOff>778680</xdr:colOff>
      <xdr:row>179</xdr:row>
      <xdr:rowOff>26640</xdr:rowOff>
    </xdr:from>
    <xdr:to>
      <xdr:col>17</xdr:col>
      <xdr:colOff>587880</xdr:colOff>
      <xdr:row>190</xdr:row>
      <xdr:rowOff>185760</xdr:rowOff>
    </xdr:to>
    <xdr:graphicFrame macro="">
      <xdr:nvGraphicFramePr>
        <xdr:cNvPr id="9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5</xdr:col>
      <xdr:colOff>334080</xdr:colOff>
      <xdr:row>193</xdr:row>
      <xdr:rowOff>58320</xdr:rowOff>
    </xdr:from>
    <xdr:to>
      <xdr:col>11</xdr:col>
      <xdr:colOff>577440</xdr:colOff>
      <xdr:row>205</xdr:row>
      <xdr:rowOff>111600</xdr:rowOff>
    </xdr:to>
    <xdr:graphicFrame macro="">
      <xdr:nvGraphicFramePr>
        <xdr:cNvPr id="98" name="2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12</xdr:col>
      <xdr:colOff>58680</xdr:colOff>
      <xdr:row>193</xdr:row>
      <xdr:rowOff>58320</xdr:rowOff>
    </xdr:from>
    <xdr:to>
      <xdr:col>17</xdr:col>
      <xdr:colOff>619560</xdr:colOff>
      <xdr:row>205</xdr:row>
      <xdr:rowOff>90360</xdr:rowOff>
    </xdr:to>
    <xdr:graphicFrame macro="">
      <xdr:nvGraphicFramePr>
        <xdr:cNvPr id="9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5</xdr:col>
      <xdr:colOff>344520</xdr:colOff>
      <xdr:row>208</xdr:row>
      <xdr:rowOff>47520</xdr:rowOff>
    </xdr:from>
    <xdr:to>
      <xdr:col>11</xdr:col>
      <xdr:colOff>513720</xdr:colOff>
      <xdr:row>220</xdr:row>
      <xdr:rowOff>111600</xdr:rowOff>
    </xdr:to>
    <xdr:graphicFrame macro="">
      <xdr:nvGraphicFramePr>
        <xdr:cNvPr id="100" name="2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12</xdr:col>
      <xdr:colOff>164520</xdr:colOff>
      <xdr:row>207</xdr:row>
      <xdr:rowOff>173520</xdr:rowOff>
    </xdr:from>
    <xdr:to>
      <xdr:col>17</xdr:col>
      <xdr:colOff>768795</xdr:colOff>
      <xdr:row>220</xdr:row>
      <xdr:rowOff>121320</xdr:rowOff>
    </xdr:to>
    <xdr:graphicFrame macro="">
      <xdr:nvGraphicFramePr>
        <xdr:cNvPr id="10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5</xdr:col>
      <xdr:colOff>365760</xdr:colOff>
      <xdr:row>223</xdr:row>
      <xdr:rowOff>68400</xdr:rowOff>
    </xdr:from>
    <xdr:to>
      <xdr:col>11</xdr:col>
      <xdr:colOff>534960</xdr:colOff>
      <xdr:row>235</xdr:row>
      <xdr:rowOff>100800</xdr:rowOff>
    </xdr:to>
    <xdr:graphicFrame macro="">
      <xdr:nvGraphicFramePr>
        <xdr:cNvPr id="102" name="3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12</xdr:col>
      <xdr:colOff>101160</xdr:colOff>
      <xdr:row>223</xdr:row>
      <xdr:rowOff>36720</xdr:rowOff>
    </xdr:from>
    <xdr:to>
      <xdr:col>17</xdr:col>
      <xdr:colOff>736200</xdr:colOff>
      <xdr:row>235</xdr:row>
      <xdr:rowOff>78840</xdr:rowOff>
    </xdr:to>
    <xdr:graphicFrame macro="">
      <xdr:nvGraphicFramePr>
        <xdr:cNvPr id="103" name="3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5</xdr:col>
      <xdr:colOff>534960</xdr:colOff>
      <xdr:row>239</xdr:row>
      <xdr:rowOff>5040</xdr:rowOff>
    </xdr:from>
    <xdr:to>
      <xdr:col>11</xdr:col>
      <xdr:colOff>302040</xdr:colOff>
      <xdr:row>252</xdr:row>
      <xdr:rowOff>37800</xdr:rowOff>
    </xdr:to>
    <xdr:graphicFrame macro="">
      <xdr:nvGraphicFramePr>
        <xdr:cNvPr id="10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</xdr:col>
      <xdr:colOff>556560</xdr:colOff>
      <xdr:row>239</xdr:row>
      <xdr:rowOff>36720</xdr:rowOff>
    </xdr:from>
    <xdr:to>
      <xdr:col>17</xdr:col>
      <xdr:colOff>418680</xdr:colOff>
      <xdr:row>252</xdr:row>
      <xdr:rowOff>29160</xdr:rowOff>
    </xdr:to>
    <xdr:graphicFrame macro="">
      <xdr:nvGraphicFramePr>
        <xdr:cNvPr id="10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5</xdr:col>
      <xdr:colOff>323280</xdr:colOff>
      <xdr:row>254</xdr:row>
      <xdr:rowOff>26640</xdr:rowOff>
    </xdr:from>
    <xdr:to>
      <xdr:col>11</xdr:col>
      <xdr:colOff>482040</xdr:colOff>
      <xdr:row>266</xdr:row>
      <xdr:rowOff>79920</xdr:rowOff>
    </xdr:to>
    <xdr:graphicFrame macro="">
      <xdr:nvGraphicFramePr>
        <xdr:cNvPr id="106" name="3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12</xdr:col>
      <xdr:colOff>27000</xdr:colOff>
      <xdr:row>254</xdr:row>
      <xdr:rowOff>79560</xdr:rowOff>
    </xdr:from>
    <xdr:to>
      <xdr:col>17</xdr:col>
      <xdr:colOff>630360</xdr:colOff>
      <xdr:row>266</xdr:row>
      <xdr:rowOff>154080</xdr:rowOff>
    </xdr:to>
    <xdr:graphicFrame macro="">
      <xdr:nvGraphicFramePr>
        <xdr:cNvPr id="107" name="3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5</xdr:col>
      <xdr:colOff>259920</xdr:colOff>
      <xdr:row>269</xdr:row>
      <xdr:rowOff>58320</xdr:rowOff>
    </xdr:from>
    <xdr:to>
      <xdr:col>11</xdr:col>
      <xdr:colOff>132840</xdr:colOff>
      <xdr:row>281</xdr:row>
      <xdr:rowOff>37440</xdr:rowOff>
    </xdr:to>
    <xdr:graphicFrame macro="">
      <xdr:nvGraphicFramePr>
        <xdr:cNvPr id="108" name="3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11</xdr:col>
      <xdr:colOff>419040</xdr:colOff>
      <xdr:row>269</xdr:row>
      <xdr:rowOff>26640</xdr:rowOff>
    </xdr:from>
    <xdr:to>
      <xdr:col>17</xdr:col>
      <xdr:colOff>355320</xdr:colOff>
      <xdr:row>281</xdr:row>
      <xdr:rowOff>68400</xdr:rowOff>
    </xdr:to>
    <xdr:graphicFrame macro="">
      <xdr:nvGraphicFramePr>
        <xdr:cNvPr id="109" name="3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5</xdr:col>
      <xdr:colOff>334080</xdr:colOff>
      <xdr:row>284</xdr:row>
      <xdr:rowOff>79200</xdr:rowOff>
    </xdr:from>
    <xdr:to>
      <xdr:col>11</xdr:col>
      <xdr:colOff>556200</xdr:colOff>
      <xdr:row>296</xdr:row>
      <xdr:rowOff>143640</xdr:rowOff>
    </xdr:to>
    <xdr:graphicFrame macro="">
      <xdr:nvGraphicFramePr>
        <xdr:cNvPr id="110" name="3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11</xdr:col>
      <xdr:colOff>799920</xdr:colOff>
      <xdr:row>284</xdr:row>
      <xdr:rowOff>89640</xdr:rowOff>
    </xdr:from>
    <xdr:to>
      <xdr:col>17</xdr:col>
      <xdr:colOff>651240</xdr:colOff>
      <xdr:row>296</xdr:row>
      <xdr:rowOff>133200</xdr:rowOff>
    </xdr:to>
    <xdr:graphicFrame macro="">
      <xdr:nvGraphicFramePr>
        <xdr:cNvPr id="11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5</xdr:col>
      <xdr:colOff>418680</xdr:colOff>
      <xdr:row>299</xdr:row>
      <xdr:rowOff>5040</xdr:rowOff>
    </xdr:from>
    <xdr:to>
      <xdr:col>11</xdr:col>
      <xdr:colOff>567000</xdr:colOff>
      <xdr:row>311</xdr:row>
      <xdr:rowOff>27360</xdr:rowOff>
    </xdr:to>
    <xdr:graphicFrame macro="">
      <xdr:nvGraphicFramePr>
        <xdr:cNvPr id="112" name="4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12</xdr:col>
      <xdr:colOff>334080</xdr:colOff>
      <xdr:row>298</xdr:row>
      <xdr:rowOff>142560</xdr:rowOff>
    </xdr:from>
    <xdr:to>
      <xdr:col>18</xdr:col>
      <xdr:colOff>238320</xdr:colOff>
      <xdr:row>311</xdr:row>
      <xdr:rowOff>16560</xdr:rowOff>
    </xdr:to>
    <xdr:graphicFrame macro="">
      <xdr:nvGraphicFramePr>
        <xdr:cNvPr id="113" name="4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5</xdr:col>
      <xdr:colOff>407880</xdr:colOff>
      <xdr:row>313</xdr:row>
      <xdr:rowOff>185040</xdr:rowOff>
    </xdr:from>
    <xdr:to>
      <xdr:col>11</xdr:col>
      <xdr:colOff>492480</xdr:colOff>
      <xdr:row>325</xdr:row>
      <xdr:rowOff>175320</xdr:rowOff>
    </xdr:to>
    <xdr:graphicFrame macro="">
      <xdr:nvGraphicFramePr>
        <xdr:cNvPr id="114" name="4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</xdr:col>
      <xdr:colOff>715320</xdr:colOff>
      <xdr:row>314</xdr:row>
      <xdr:rowOff>5040</xdr:rowOff>
    </xdr:from>
    <xdr:to>
      <xdr:col>17</xdr:col>
      <xdr:colOff>513720</xdr:colOff>
      <xdr:row>326</xdr:row>
      <xdr:rowOff>16200</xdr:rowOff>
    </xdr:to>
    <xdr:graphicFrame macro="">
      <xdr:nvGraphicFramePr>
        <xdr:cNvPr id="115" name="4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5</xdr:col>
      <xdr:colOff>312840</xdr:colOff>
      <xdr:row>329</xdr:row>
      <xdr:rowOff>37440</xdr:rowOff>
    </xdr:from>
    <xdr:to>
      <xdr:col>11</xdr:col>
      <xdr:colOff>567000</xdr:colOff>
      <xdr:row>341</xdr:row>
      <xdr:rowOff>16200</xdr:rowOff>
    </xdr:to>
    <xdr:graphicFrame macro="">
      <xdr:nvGraphicFramePr>
        <xdr:cNvPr id="11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12</xdr:col>
      <xdr:colOff>48240</xdr:colOff>
      <xdr:row>329</xdr:row>
      <xdr:rowOff>58320</xdr:rowOff>
    </xdr:from>
    <xdr:to>
      <xdr:col>17</xdr:col>
      <xdr:colOff>587880</xdr:colOff>
      <xdr:row>341</xdr:row>
      <xdr:rowOff>101160</xdr:rowOff>
    </xdr:to>
    <xdr:graphicFrame macro="">
      <xdr:nvGraphicFramePr>
        <xdr:cNvPr id="11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5</xdr:col>
      <xdr:colOff>291600</xdr:colOff>
      <xdr:row>344</xdr:row>
      <xdr:rowOff>79560</xdr:rowOff>
    </xdr:from>
    <xdr:to>
      <xdr:col>11</xdr:col>
      <xdr:colOff>460800</xdr:colOff>
      <xdr:row>356</xdr:row>
      <xdr:rowOff>5760</xdr:rowOff>
    </xdr:to>
    <xdr:graphicFrame macro="">
      <xdr:nvGraphicFramePr>
        <xdr:cNvPr id="11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12</xdr:col>
      <xdr:colOff>79920</xdr:colOff>
      <xdr:row>344</xdr:row>
      <xdr:rowOff>111240</xdr:rowOff>
    </xdr:from>
    <xdr:to>
      <xdr:col>17</xdr:col>
      <xdr:colOff>524520</xdr:colOff>
      <xdr:row>356</xdr:row>
      <xdr:rowOff>68400</xdr:rowOff>
    </xdr:to>
    <xdr:graphicFrame macro="">
      <xdr:nvGraphicFramePr>
        <xdr:cNvPr id="11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5</xdr:col>
      <xdr:colOff>334080</xdr:colOff>
      <xdr:row>358</xdr:row>
      <xdr:rowOff>153360</xdr:rowOff>
    </xdr:from>
    <xdr:to>
      <xdr:col>11</xdr:col>
      <xdr:colOff>302400</xdr:colOff>
      <xdr:row>371</xdr:row>
      <xdr:rowOff>69480</xdr:rowOff>
    </xdr:to>
    <xdr:graphicFrame macro="">
      <xdr:nvGraphicFramePr>
        <xdr:cNvPr id="12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11</xdr:col>
      <xdr:colOff>577800</xdr:colOff>
      <xdr:row>358</xdr:row>
      <xdr:rowOff>132480</xdr:rowOff>
    </xdr:from>
    <xdr:to>
      <xdr:col>17</xdr:col>
      <xdr:colOff>302400</xdr:colOff>
      <xdr:row>370</xdr:row>
      <xdr:rowOff>101520</xdr:rowOff>
    </xdr:to>
    <xdr:graphicFrame macro="">
      <xdr:nvGraphicFramePr>
        <xdr:cNvPr id="121" name="5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5</xdr:col>
      <xdr:colOff>302040</xdr:colOff>
      <xdr:row>373</xdr:row>
      <xdr:rowOff>100080</xdr:rowOff>
    </xdr:from>
    <xdr:to>
      <xdr:col>11</xdr:col>
      <xdr:colOff>79920</xdr:colOff>
      <xdr:row>385</xdr:row>
      <xdr:rowOff>175320</xdr:rowOff>
    </xdr:to>
    <xdr:graphicFrame macro="">
      <xdr:nvGraphicFramePr>
        <xdr:cNvPr id="12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oneCell">
    <xdr:from>
      <xdr:col>11</xdr:col>
      <xdr:colOff>291960</xdr:colOff>
      <xdr:row>373</xdr:row>
      <xdr:rowOff>68400</xdr:rowOff>
    </xdr:from>
    <xdr:to>
      <xdr:col>17</xdr:col>
      <xdr:colOff>37440</xdr:colOff>
      <xdr:row>385</xdr:row>
      <xdr:rowOff>132840</xdr:rowOff>
    </xdr:to>
    <xdr:graphicFrame macro="">
      <xdr:nvGraphicFramePr>
        <xdr:cNvPr id="12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oneCell">
    <xdr:from>
      <xdr:col>5</xdr:col>
      <xdr:colOff>302040</xdr:colOff>
      <xdr:row>387</xdr:row>
      <xdr:rowOff>185400</xdr:rowOff>
    </xdr:from>
    <xdr:to>
      <xdr:col>11</xdr:col>
      <xdr:colOff>418320</xdr:colOff>
      <xdr:row>399</xdr:row>
      <xdr:rowOff>68760</xdr:rowOff>
    </xdr:to>
    <xdr:graphicFrame macro="">
      <xdr:nvGraphicFramePr>
        <xdr:cNvPr id="12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oneCell">
    <xdr:from>
      <xdr:col>11</xdr:col>
      <xdr:colOff>789480</xdr:colOff>
      <xdr:row>388</xdr:row>
      <xdr:rowOff>15480</xdr:rowOff>
    </xdr:from>
    <xdr:to>
      <xdr:col>17</xdr:col>
      <xdr:colOff>587880</xdr:colOff>
      <xdr:row>399</xdr:row>
      <xdr:rowOff>57600</xdr:rowOff>
    </xdr:to>
    <xdr:graphicFrame macro="">
      <xdr:nvGraphicFramePr>
        <xdr:cNvPr id="12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oneCell">
    <xdr:from>
      <xdr:col>5</xdr:col>
      <xdr:colOff>207000</xdr:colOff>
      <xdr:row>402</xdr:row>
      <xdr:rowOff>26280</xdr:rowOff>
    </xdr:from>
    <xdr:to>
      <xdr:col>11</xdr:col>
      <xdr:colOff>323280</xdr:colOff>
      <xdr:row>413</xdr:row>
      <xdr:rowOff>175320</xdr:rowOff>
    </xdr:to>
    <xdr:graphicFrame macro="">
      <xdr:nvGraphicFramePr>
        <xdr:cNvPr id="12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oneCell">
    <xdr:from>
      <xdr:col>11</xdr:col>
      <xdr:colOff>546120</xdr:colOff>
      <xdr:row>402</xdr:row>
      <xdr:rowOff>47160</xdr:rowOff>
    </xdr:from>
    <xdr:to>
      <xdr:col>17</xdr:col>
      <xdr:colOff>397440</xdr:colOff>
      <xdr:row>414</xdr:row>
      <xdr:rowOff>122400</xdr:rowOff>
    </xdr:to>
    <xdr:graphicFrame macro="">
      <xdr:nvGraphicFramePr>
        <xdr:cNvPr id="127" name="5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5</xdr:col>
      <xdr:colOff>259920</xdr:colOff>
      <xdr:row>417</xdr:row>
      <xdr:rowOff>121320</xdr:rowOff>
    </xdr:from>
    <xdr:to>
      <xdr:col>11</xdr:col>
      <xdr:colOff>408240</xdr:colOff>
      <xdr:row>429</xdr:row>
      <xdr:rowOff>101160</xdr:rowOff>
    </xdr:to>
    <xdr:graphicFrame macro="">
      <xdr:nvGraphicFramePr>
        <xdr:cNvPr id="128" name="5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oneCell">
    <xdr:from>
      <xdr:col>11</xdr:col>
      <xdr:colOff>789480</xdr:colOff>
      <xdr:row>417</xdr:row>
      <xdr:rowOff>79200</xdr:rowOff>
    </xdr:from>
    <xdr:to>
      <xdr:col>17</xdr:col>
      <xdr:colOff>609120</xdr:colOff>
      <xdr:row>429</xdr:row>
      <xdr:rowOff>143640</xdr:rowOff>
    </xdr:to>
    <xdr:graphicFrame macro="">
      <xdr:nvGraphicFramePr>
        <xdr:cNvPr id="129" name="5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5</xdr:col>
      <xdr:colOff>185760</xdr:colOff>
      <xdr:row>432</xdr:row>
      <xdr:rowOff>79200</xdr:rowOff>
    </xdr:from>
    <xdr:to>
      <xdr:col>11</xdr:col>
      <xdr:colOff>344520</xdr:colOff>
      <xdr:row>444</xdr:row>
      <xdr:rowOff>57960</xdr:rowOff>
    </xdr:to>
    <xdr:graphicFrame macro="">
      <xdr:nvGraphicFramePr>
        <xdr:cNvPr id="130" name="5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oneCell">
    <xdr:from>
      <xdr:col>11</xdr:col>
      <xdr:colOff>725760</xdr:colOff>
      <xdr:row>432</xdr:row>
      <xdr:rowOff>47160</xdr:rowOff>
    </xdr:from>
    <xdr:to>
      <xdr:col>17</xdr:col>
      <xdr:colOff>524160</xdr:colOff>
      <xdr:row>444</xdr:row>
      <xdr:rowOff>47160</xdr:rowOff>
    </xdr:to>
    <xdr:graphicFrame macro="">
      <xdr:nvGraphicFramePr>
        <xdr:cNvPr id="131" name="6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5</xdr:col>
      <xdr:colOff>387000</xdr:colOff>
      <xdr:row>446</xdr:row>
      <xdr:rowOff>174240</xdr:rowOff>
    </xdr:from>
    <xdr:to>
      <xdr:col>11</xdr:col>
      <xdr:colOff>588240</xdr:colOff>
      <xdr:row>459</xdr:row>
      <xdr:rowOff>5760</xdr:rowOff>
    </xdr:to>
    <xdr:graphicFrame macro="">
      <xdr:nvGraphicFramePr>
        <xdr:cNvPr id="132" name="6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oneCell">
    <xdr:from>
      <xdr:col>12</xdr:col>
      <xdr:colOff>79920</xdr:colOff>
      <xdr:row>446</xdr:row>
      <xdr:rowOff>216720</xdr:rowOff>
    </xdr:from>
    <xdr:to>
      <xdr:col>17</xdr:col>
      <xdr:colOff>683280</xdr:colOff>
      <xdr:row>459</xdr:row>
      <xdr:rowOff>58680</xdr:rowOff>
    </xdr:to>
    <xdr:graphicFrame macro="">
      <xdr:nvGraphicFramePr>
        <xdr:cNvPr id="133" name="6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oneCell">
    <xdr:from>
      <xdr:col>5</xdr:col>
      <xdr:colOff>312840</xdr:colOff>
      <xdr:row>461</xdr:row>
      <xdr:rowOff>132120</xdr:rowOff>
    </xdr:from>
    <xdr:to>
      <xdr:col>11</xdr:col>
      <xdr:colOff>450360</xdr:colOff>
      <xdr:row>473</xdr:row>
      <xdr:rowOff>48240</xdr:rowOff>
    </xdr:to>
    <xdr:graphicFrame macro="">
      <xdr:nvGraphicFramePr>
        <xdr:cNvPr id="134" name="6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12</xdr:col>
      <xdr:colOff>111600</xdr:colOff>
      <xdr:row>461</xdr:row>
      <xdr:rowOff>47160</xdr:rowOff>
    </xdr:from>
    <xdr:to>
      <xdr:col>17</xdr:col>
      <xdr:colOff>704160</xdr:colOff>
      <xdr:row>472</xdr:row>
      <xdr:rowOff>185400</xdr:rowOff>
    </xdr:to>
    <xdr:graphicFrame macro="">
      <xdr:nvGraphicFramePr>
        <xdr:cNvPr id="135" name="6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oneCell">
    <xdr:from>
      <xdr:col>5</xdr:col>
      <xdr:colOff>238680</xdr:colOff>
      <xdr:row>476</xdr:row>
      <xdr:rowOff>26640</xdr:rowOff>
    </xdr:from>
    <xdr:to>
      <xdr:col>11</xdr:col>
      <xdr:colOff>302040</xdr:colOff>
      <xdr:row>488</xdr:row>
      <xdr:rowOff>16560</xdr:rowOff>
    </xdr:to>
    <xdr:graphicFrame macro="">
      <xdr:nvGraphicFramePr>
        <xdr:cNvPr id="13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oneCell">
    <xdr:from>
      <xdr:col>11</xdr:col>
      <xdr:colOff>683640</xdr:colOff>
      <xdr:row>475</xdr:row>
      <xdr:rowOff>185400</xdr:rowOff>
    </xdr:from>
    <xdr:to>
      <xdr:col>17</xdr:col>
      <xdr:colOff>492840</xdr:colOff>
      <xdr:row>488</xdr:row>
      <xdr:rowOff>69840</xdr:rowOff>
    </xdr:to>
    <xdr:graphicFrame macro="">
      <xdr:nvGraphicFramePr>
        <xdr:cNvPr id="137" name="6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oneCell">
    <xdr:from>
      <xdr:col>5</xdr:col>
      <xdr:colOff>302040</xdr:colOff>
      <xdr:row>489</xdr:row>
      <xdr:rowOff>185400</xdr:rowOff>
    </xdr:from>
    <xdr:to>
      <xdr:col>11</xdr:col>
      <xdr:colOff>333720</xdr:colOff>
      <xdr:row>501</xdr:row>
      <xdr:rowOff>111600</xdr:rowOff>
    </xdr:to>
    <xdr:graphicFrame macro="">
      <xdr:nvGraphicFramePr>
        <xdr:cNvPr id="138" name="6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oneCell">
    <xdr:from>
      <xdr:col>11</xdr:col>
      <xdr:colOff>799920</xdr:colOff>
      <xdr:row>490</xdr:row>
      <xdr:rowOff>26640</xdr:rowOff>
    </xdr:from>
    <xdr:to>
      <xdr:col>17</xdr:col>
      <xdr:colOff>566640</xdr:colOff>
      <xdr:row>502</xdr:row>
      <xdr:rowOff>16560</xdr:rowOff>
    </xdr:to>
    <xdr:graphicFrame macro="">
      <xdr:nvGraphicFramePr>
        <xdr:cNvPr id="139" name="6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oneCell">
    <xdr:from>
      <xdr:col>5</xdr:col>
      <xdr:colOff>185760</xdr:colOff>
      <xdr:row>505</xdr:row>
      <xdr:rowOff>26640</xdr:rowOff>
    </xdr:from>
    <xdr:to>
      <xdr:col>11</xdr:col>
      <xdr:colOff>101160</xdr:colOff>
      <xdr:row>517</xdr:row>
      <xdr:rowOff>59040</xdr:rowOff>
    </xdr:to>
    <xdr:graphicFrame macro="">
      <xdr:nvGraphicFramePr>
        <xdr:cNvPr id="140" name="6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oneCell">
    <xdr:from>
      <xdr:col>11</xdr:col>
      <xdr:colOff>493200</xdr:colOff>
      <xdr:row>505</xdr:row>
      <xdr:rowOff>47520</xdr:rowOff>
    </xdr:from>
    <xdr:to>
      <xdr:col>17</xdr:col>
      <xdr:colOff>355320</xdr:colOff>
      <xdr:row>517</xdr:row>
      <xdr:rowOff>37800</xdr:rowOff>
    </xdr:to>
    <xdr:graphicFrame macro="">
      <xdr:nvGraphicFramePr>
        <xdr:cNvPr id="141" name="7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oneCell">
    <xdr:from>
      <xdr:col>5</xdr:col>
      <xdr:colOff>354960</xdr:colOff>
      <xdr:row>521</xdr:row>
      <xdr:rowOff>31680</xdr:rowOff>
    </xdr:from>
    <xdr:to>
      <xdr:col>11</xdr:col>
      <xdr:colOff>122040</xdr:colOff>
      <xdr:row>533</xdr:row>
      <xdr:rowOff>101160</xdr:rowOff>
    </xdr:to>
    <xdr:graphicFrame macro="">
      <xdr:nvGraphicFramePr>
        <xdr:cNvPr id="142" name="7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oneCell">
    <xdr:from>
      <xdr:col>11</xdr:col>
      <xdr:colOff>482400</xdr:colOff>
      <xdr:row>521</xdr:row>
      <xdr:rowOff>68760</xdr:rowOff>
    </xdr:from>
    <xdr:to>
      <xdr:col>17</xdr:col>
      <xdr:colOff>291600</xdr:colOff>
      <xdr:row>533</xdr:row>
      <xdr:rowOff>111600</xdr:rowOff>
    </xdr:to>
    <xdr:graphicFrame macro="">
      <xdr:nvGraphicFramePr>
        <xdr:cNvPr id="143" name="7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oneCell">
    <xdr:from>
      <xdr:col>5</xdr:col>
      <xdr:colOff>513720</xdr:colOff>
      <xdr:row>536</xdr:row>
      <xdr:rowOff>79560</xdr:rowOff>
    </xdr:from>
    <xdr:to>
      <xdr:col>11</xdr:col>
      <xdr:colOff>613833</xdr:colOff>
      <xdr:row>546</xdr:row>
      <xdr:rowOff>42334</xdr:rowOff>
    </xdr:to>
    <xdr:graphicFrame macro="">
      <xdr:nvGraphicFramePr>
        <xdr:cNvPr id="144" name="7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oneCell">
    <xdr:from>
      <xdr:col>12</xdr:col>
      <xdr:colOff>228240</xdr:colOff>
      <xdr:row>536</xdr:row>
      <xdr:rowOff>58320</xdr:rowOff>
    </xdr:from>
    <xdr:to>
      <xdr:col>17</xdr:col>
      <xdr:colOff>770070</xdr:colOff>
      <xdr:row>548</xdr:row>
      <xdr:rowOff>52200</xdr:rowOff>
    </xdr:to>
    <xdr:graphicFrame macro="">
      <xdr:nvGraphicFramePr>
        <xdr:cNvPr id="145" name="7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oneCell">
    <xdr:from>
      <xdr:col>5</xdr:col>
      <xdr:colOff>312840</xdr:colOff>
      <xdr:row>1</xdr:row>
      <xdr:rowOff>54360</xdr:rowOff>
    </xdr:from>
    <xdr:to>
      <xdr:col>11</xdr:col>
      <xdr:colOff>503280</xdr:colOff>
      <xdr:row>13</xdr:row>
      <xdr:rowOff>33840</xdr:rowOff>
    </xdr:to>
    <xdr:graphicFrame macro="">
      <xdr:nvGraphicFramePr>
        <xdr:cNvPr id="146" name="7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oneCell">
    <xdr:from>
      <xdr:col>11</xdr:col>
      <xdr:colOff>789480</xdr:colOff>
      <xdr:row>0</xdr:row>
      <xdr:rowOff>160200</xdr:rowOff>
    </xdr:from>
    <xdr:to>
      <xdr:col>17</xdr:col>
      <xdr:colOff>619920</xdr:colOff>
      <xdr:row>12</xdr:row>
      <xdr:rowOff>139680</xdr:rowOff>
    </xdr:to>
    <xdr:graphicFrame macro="">
      <xdr:nvGraphicFramePr>
        <xdr:cNvPr id="147" name="7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</xdr:col>
      <xdr:colOff>201082</xdr:colOff>
      <xdr:row>550</xdr:row>
      <xdr:rowOff>21167</xdr:rowOff>
    </xdr:from>
    <xdr:to>
      <xdr:col>11</xdr:col>
      <xdr:colOff>42332</xdr:colOff>
      <xdr:row>560</xdr:row>
      <xdr:rowOff>11641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11</xdr:col>
      <xdr:colOff>222249</xdr:colOff>
      <xdr:row>549</xdr:row>
      <xdr:rowOff>52916</xdr:rowOff>
    </xdr:from>
    <xdr:to>
      <xdr:col>16</xdr:col>
      <xdr:colOff>624417</xdr:colOff>
      <xdr:row>559</xdr:row>
      <xdr:rowOff>180973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</xdr:col>
      <xdr:colOff>243416</xdr:colOff>
      <xdr:row>563</xdr:row>
      <xdr:rowOff>63500</xdr:rowOff>
    </xdr:from>
    <xdr:to>
      <xdr:col>11</xdr:col>
      <xdr:colOff>232833</xdr:colOff>
      <xdr:row>574</xdr:row>
      <xdr:rowOff>53973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11</xdr:col>
      <xdr:colOff>507999</xdr:colOff>
      <xdr:row>563</xdr:row>
      <xdr:rowOff>169333</xdr:rowOff>
    </xdr:from>
    <xdr:to>
      <xdr:col>17</xdr:col>
      <xdr:colOff>21166</xdr:colOff>
      <xdr:row>574</xdr:row>
      <xdr:rowOff>22224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</xdr:col>
      <xdr:colOff>232832</xdr:colOff>
      <xdr:row>575</xdr:row>
      <xdr:rowOff>42333</xdr:rowOff>
    </xdr:from>
    <xdr:to>
      <xdr:col>11</xdr:col>
      <xdr:colOff>10582</xdr:colOff>
      <xdr:row>585</xdr:row>
      <xdr:rowOff>64557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11</xdr:col>
      <xdr:colOff>243415</xdr:colOff>
      <xdr:row>575</xdr:row>
      <xdr:rowOff>0</xdr:rowOff>
    </xdr:from>
    <xdr:to>
      <xdr:col>16</xdr:col>
      <xdr:colOff>560916</xdr:colOff>
      <xdr:row>585</xdr:row>
      <xdr:rowOff>105835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</xdr:col>
      <xdr:colOff>116416</xdr:colOff>
      <xdr:row>587</xdr:row>
      <xdr:rowOff>84667</xdr:rowOff>
    </xdr:from>
    <xdr:to>
      <xdr:col>11</xdr:col>
      <xdr:colOff>42333</xdr:colOff>
      <xdr:row>598</xdr:row>
      <xdr:rowOff>84667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11</xdr:col>
      <xdr:colOff>391583</xdr:colOff>
      <xdr:row>587</xdr:row>
      <xdr:rowOff>10584</xdr:rowOff>
    </xdr:from>
    <xdr:to>
      <xdr:col>17</xdr:col>
      <xdr:colOff>74083</xdr:colOff>
      <xdr:row>598</xdr:row>
      <xdr:rowOff>96308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5</xdr:col>
      <xdr:colOff>179916</xdr:colOff>
      <xdr:row>600</xdr:row>
      <xdr:rowOff>137582</xdr:rowOff>
    </xdr:from>
    <xdr:to>
      <xdr:col>11</xdr:col>
      <xdr:colOff>169333</xdr:colOff>
      <xdr:row>612</xdr:row>
      <xdr:rowOff>11640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11</xdr:col>
      <xdr:colOff>391583</xdr:colOff>
      <xdr:row>600</xdr:row>
      <xdr:rowOff>116416</xdr:rowOff>
    </xdr:from>
    <xdr:to>
      <xdr:col>17</xdr:col>
      <xdr:colOff>127000</xdr:colOff>
      <xdr:row>612</xdr:row>
      <xdr:rowOff>11641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5</xdr:col>
      <xdr:colOff>201082</xdr:colOff>
      <xdr:row>615</xdr:row>
      <xdr:rowOff>105833</xdr:rowOff>
    </xdr:from>
    <xdr:to>
      <xdr:col>11</xdr:col>
      <xdr:colOff>179916</xdr:colOff>
      <xdr:row>626</xdr:row>
      <xdr:rowOff>32808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11</xdr:col>
      <xdr:colOff>465666</xdr:colOff>
      <xdr:row>615</xdr:row>
      <xdr:rowOff>116416</xdr:rowOff>
    </xdr:from>
    <xdr:to>
      <xdr:col>17</xdr:col>
      <xdr:colOff>137583</xdr:colOff>
      <xdr:row>625</xdr:row>
      <xdr:rowOff>180974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5</xdr:col>
      <xdr:colOff>232833</xdr:colOff>
      <xdr:row>628</xdr:row>
      <xdr:rowOff>137584</xdr:rowOff>
    </xdr:from>
    <xdr:to>
      <xdr:col>11</xdr:col>
      <xdr:colOff>349250</xdr:colOff>
      <xdr:row>640</xdr:row>
      <xdr:rowOff>22224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11</xdr:col>
      <xdr:colOff>529166</xdr:colOff>
      <xdr:row>629</xdr:row>
      <xdr:rowOff>63500</xdr:rowOff>
    </xdr:from>
    <xdr:to>
      <xdr:col>17</xdr:col>
      <xdr:colOff>190500</xdr:colOff>
      <xdr:row>640</xdr:row>
      <xdr:rowOff>1057</xdr:rowOff>
    </xdr:to>
    <xdr:graphicFrame macro="">
      <xdr:nvGraphicFramePr>
        <xdr:cNvPr id="15" name="1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158750</xdr:colOff>
      <xdr:row>641</xdr:row>
      <xdr:rowOff>158750</xdr:rowOff>
    </xdr:from>
    <xdr:to>
      <xdr:col>10</xdr:col>
      <xdr:colOff>751418</xdr:colOff>
      <xdr:row>652</xdr:row>
      <xdr:rowOff>43391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11</xdr:col>
      <xdr:colOff>211666</xdr:colOff>
      <xdr:row>641</xdr:row>
      <xdr:rowOff>95248</xdr:rowOff>
    </xdr:from>
    <xdr:to>
      <xdr:col>16</xdr:col>
      <xdr:colOff>529167</xdr:colOff>
      <xdr:row>652</xdr:row>
      <xdr:rowOff>32806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5</xdr:col>
      <xdr:colOff>349249</xdr:colOff>
      <xdr:row>659</xdr:row>
      <xdr:rowOff>126999</xdr:rowOff>
    </xdr:from>
    <xdr:to>
      <xdr:col>11</xdr:col>
      <xdr:colOff>179916</xdr:colOff>
      <xdr:row>669</xdr:row>
      <xdr:rowOff>128057</xdr:rowOff>
    </xdr:to>
    <xdr:graphicFrame macro="">
      <xdr:nvGraphicFramePr>
        <xdr:cNvPr id="18" name="1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11</xdr:col>
      <xdr:colOff>359832</xdr:colOff>
      <xdr:row>659</xdr:row>
      <xdr:rowOff>127000</xdr:rowOff>
    </xdr:from>
    <xdr:to>
      <xdr:col>16</xdr:col>
      <xdr:colOff>666750</xdr:colOff>
      <xdr:row>669</xdr:row>
      <xdr:rowOff>180975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5</xdr:col>
      <xdr:colOff>148166</xdr:colOff>
      <xdr:row>672</xdr:row>
      <xdr:rowOff>0</xdr:rowOff>
    </xdr:from>
    <xdr:to>
      <xdr:col>11</xdr:col>
      <xdr:colOff>275166</xdr:colOff>
      <xdr:row>682</xdr:row>
      <xdr:rowOff>170390</xdr:rowOff>
    </xdr:to>
    <xdr:graphicFrame macro="">
      <xdr:nvGraphicFramePr>
        <xdr:cNvPr id="20" name="1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11</xdr:col>
      <xdr:colOff>412750</xdr:colOff>
      <xdr:row>672</xdr:row>
      <xdr:rowOff>84667</xdr:rowOff>
    </xdr:from>
    <xdr:to>
      <xdr:col>17</xdr:col>
      <xdr:colOff>0</xdr:colOff>
      <xdr:row>682</xdr:row>
      <xdr:rowOff>106891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137582</xdr:colOff>
      <xdr:row>685</xdr:row>
      <xdr:rowOff>84666</xdr:rowOff>
    </xdr:from>
    <xdr:to>
      <xdr:col>11</xdr:col>
      <xdr:colOff>137582</xdr:colOff>
      <xdr:row>695</xdr:row>
      <xdr:rowOff>159807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11</xdr:col>
      <xdr:colOff>243416</xdr:colOff>
      <xdr:row>685</xdr:row>
      <xdr:rowOff>116415</xdr:rowOff>
    </xdr:from>
    <xdr:to>
      <xdr:col>16</xdr:col>
      <xdr:colOff>666750</xdr:colOff>
      <xdr:row>696</xdr:row>
      <xdr:rowOff>53973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5</xdr:col>
      <xdr:colOff>190500</xdr:colOff>
      <xdr:row>697</xdr:row>
      <xdr:rowOff>169333</xdr:rowOff>
    </xdr:from>
    <xdr:to>
      <xdr:col>11</xdr:col>
      <xdr:colOff>158750</xdr:colOff>
      <xdr:row>708</xdr:row>
      <xdr:rowOff>75141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11</xdr:col>
      <xdr:colOff>285749</xdr:colOff>
      <xdr:row>697</xdr:row>
      <xdr:rowOff>169332</xdr:rowOff>
    </xdr:from>
    <xdr:to>
      <xdr:col>16</xdr:col>
      <xdr:colOff>698500</xdr:colOff>
      <xdr:row>707</xdr:row>
      <xdr:rowOff>170390</xdr:rowOff>
    </xdr:to>
    <xdr:graphicFrame macro="">
      <xdr:nvGraphicFramePr>
        <xdr:cNvPr id="25" name="2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5</xdr:col>
      <xdr:colOff>222249</xdr:colOff>
      <xdr:row>710</xdr:row>
      <xdr:rowOff>158749</xdr:rowOff>
    </xdr:from>
    <xdr:to>
      <xdr:col>11</xdr:col>
      <xdr:colOff>222249</xdr:colOff>
      <xdr:row>721</xdr:row>
      <xdr:rowOff>1056</xdr:rowOff>
    </xdr:to>
    <xdr:graphicFrame macro="">
      <xdr:nvGraphicFramePr>
        <xdr:cNvPr id="26" name="2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11</xdr:col>
      <xdr:colOff>275166</xdr:colOff>
      <xdr:row>711</xdr:row>
      <xdr:rowOff>21167</xdr:rowOff>
    </xdr:from>
    <xdr:to>
      <xdr:col>16</xdr:col>
      <xdr:colOff>656167</xdr:colOff>
      <xdr:row>720</xdr:row>
      <xdr:rowOff>138641</xdr:rowOff>
    </xdr:to>
    <xdr:graphicFrame macro="">
      <xdr:nvGraphicFramePr>
        <xdr:cNvPr id="27" name="2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86040</xdr:colOff>
      <xdr:row>15</xdr:row>
      <xdr:rowOff>94320</xdr:rowOff>
    </xdr:from>
    <xdr:to>
      <xdr:col>11</xdr:col>
      <xdr:colOff>83880</xdr:colOff>
      <xdr:row>30</xdr:row>
      <xdr:rowOff>15840</xdr:rowOff>
    </xdr:to>
    <xdr:graphicFrame macro="">
      <xdr:nvGraphicFramePr>
        <xdr:cNvPr id="148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58</xdr:col>
      <xdr:colOff>495000</xdr:colOff>
      <xdr:row>14</xdr:row>
      <xdr:rowOff>161280</xdr:rowOff>
    </xdr:from>
    <xdr:to>
      <xdr:col>63</xdr:col>
      <xdr:colOff>769185</xdr:colOff>
      <xdr:row>29</xdr:row>
      <xdr:rowOff>73440</xdr:rowOff>
    </xdr:to>
    <xdr:graphicFrame macro="">
      <xdr:nvGraphicFramePr>
        <xdr:cNvPr id="149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86400</xdr:colOff>
      <xdr:row>14</xdr:row>
      <xdr:rowOff>35640</xdr:rowOff>
    </xdr:from>
    <xdr:to>
      <xdr:col>7</xdr:col>
      <xdr:colOff>293040</xdr:colOff>
      <xdr:row>30</xdr:row>
      <xdr:rowOff>86760</xdr:rowOff>
    </xdr:to>
    <xdr:graphicFrame macro="">
      <xdr:nvGraphicFramePr>
        <xdr:cNvPr id="150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55</xdr:col>
      <xdr:colOff>419040</xdr:colOff>
      <xdr:row>13</xdr:row>
      <xdr:rowOff>186480</xdr:rowOff>
    </xdr:from>
    <xdr:to>
      <xdr:col>61</xdr:col>
      <xdr:colOff>378720</xdr:colOff>
      <xdr:row>30</xdr:row>
      <xdr:rowOff>48600</xdr:rowOff>
    </xdr:to>
    <xdr:graphicFrame macro="">
      <xdr:nvGraphicFramePr>
        <xdr:cNvPr id="151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162000</xdr:colOff>
      <xdr:row>6</xdr:row>
      <xdr:rowOff>183960</xdr:rowOff>
    </xdr:from>
    <xdr:to>
      <xdr:col>5</xdr:col>
      <xdr:colOff>617040</xdr:colOff>
      <xdr:row>21</xdr:row>
      <xdr:rowOff>181800</xdr:rowOff>
    </xdr:to>
    <xdr:graphicFrame macro="">
      <xdr:nvGraphicFramePr>
        <xdr:cNvPr id="15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78480</xdr:colOff>
      <xdr:row>7</xdr:row>
      <xdr:rowOff>24120</xdr:rowOff>
    </xdr:from>
    <xdr:to>
      <xdr:col>5</xdr:col>
      <xdr:colOff>601920</xdr:colOff>
      <xdr:row>22</xdr:row>
      <xdr:rowOff>21960</xdr:rowOff>
    </xdr:to>
    <xdr:graphicFrame macro="">
      <xdr:nvGraphicFramePr>
        <xdr:cNvPr id="153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162000</xdr:colOff>
      <xdr:row>0</xdr:row>
      <xdr:rowOff>22320</xdr:rowOff>
    </xdr:from>
    <xdr:to>
      <xdr:col>3</xdr:col>
      <xdr:colOff>654840</xdr:colOff>
      <xdr:row>12</xdr:row>
      <xdr:rowOff>134640</xdr:rowOff>
    </xdr:to>
    <xdr:graphicFrame macro="">
      <xdr:nvGraphicFramePr>
        <xdr:cNvPr id="154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304710</xdr:colOff>
      <xdr:row>16</xdr:row>
      <xdr:rowOff>85020</xdr:rowOff>
    </xdr:from>
    <xdr:to>
      <xdr:col>11</xdr:col>
      <xdr:colOff>188070</xdr:colOff>
      <xdr:row>30</xdr:row>
      <xdr:rowOff>189840</xdr:rowOff>
    </xdr:to>
    <xdr:graphicFrame macro="">
      <xdr:nvGraphicFramePr>
        <xdr:cNvPr id="155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1162080</xdr:colOff>
      <xdr:row>0</xdr:row>
      <xdr:rowOff>31680</xdr:rowOff>
    </xdr:from>
    <xdr:to>
      <xdr:col>11</xdr:col>
      <xdr:colOff>674280</xdr:colOff>
      <xdr:row>11</xdr:row>
      <xdr:rowOff>20160</xdr:rowOff>
    </xdr:to>
    <xdr:graphicFrame macro="">
      <xdr:nvGraphicFramePr>
        <xdr:cNvPr id="156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606600</xdr:colOff>
      <xdr:row>38</xdr:row>
      <xdr:rowOff>110520</xdr:rowOff>
    </xdr:from>
    <xdr:to>
      <xdr:col>4</xdr:col>
      <xdr:colOff>320040</xdr:colOff>
      <xdr:row>52</xdr:row>
      <xdr:rowOff>186120</xdr:rowOff>
    </xdr:to>
    <xdr:graphicFrame macro="">
      <xdr:nvGraphicFramePr>
        <xdr:cNvPr id="157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1082880</xdr:colOff>
      <xdr:row>39</xdr:row>
      <xdr:rowOff>5760</xdr:rowOff>
    </xdr:from>
    <xdr:to>
      <xdr:col>10</xdr:col>
      <xdr:colOff>482040</xdr:colOff>
      <xdr:row>53</xdr:row>
      <xdr:rowOff>81360</xdr:rowOff>
    </xdr:to>
    <xdr:graphicFrame macro="">
      <xdr:nvGraphicFramePr>
        <xdr:cNvPr id="158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274680</xdr:colOff>
      <xdr:row>62</xdr:row>
      <xdr:rowOff>186120</xdr:rowOff>
    </xdr:from>
    <xdr:to>
      <xdr:col>4</xdr:col>
      <xdr:colOff>703110</xdr:colOff>
      <xdr:row>73</xdr:row>
      <xdr:rowOff>9720</xdr:rowOff>
    </xdr:to>
    <xdr:graphicFrame macro="">
      <xdr:nvGraphicFramePr>
        <xdr:cNvPr id="159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</xdr:col>
      <xdr:colOff>1303200</xdr:colOff>
      <xdr:row>62</xdr:row>
      <xdr:rowOff>52920</xdr:rowOff>
    </xdr:from>
    <xdr:to>
      <xdr:col>10</xdr:col>
      <xdr:colOff>702750</xdr:colOff>
      <xdr:row>72</xdr:row>
      <xdr:rowOff>152640</xdr:rowOff>
    </xdr:to>
    <xdr:graphicFrame macro="">
      <xdr:nvGraphicFramePr>
        <xdr:cNvPr id="160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8</xdr:row>
      <xdr:rowOff>33337</xdr:rowOff>
    </xdr:from>
    <xdr:to>
      <xdr:col>10</xdr:col>
      <xdr:colOff>0</xdr:colOff>
      <xdr:row>22</xdr:row>
      <xdr:rowOff>109537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7"/>
  <sheetViews>
    <sheetView topLeftCell="A666" zoomScale="90" zoomScaleNormal="90" workbookViewId="0">
      <selection activeCell="B692" sqref="B692"/>
    </sheetView>
  </sheetViews>
  <sheetFormatPr baseColWidth="10" defaultColWidth="9.140625" defaultRowHeight="15" x14ac:dyDescent="0.25"/>
  <cols>
    <col min="1" max="1" width="2.28515625"/>
    <col min="2" max="2" width="45"/>
    <col min="3" max="3" width="10.140625"/>
    <col min="4" max="4" width="9.7109375"/>
    <col min="5" max="5" width="10.140625"/>
    <col min="6" max="6" width="8.5703125"/>
    <col min="7" max="7" width="10.140625"/>
    <col min="8" max="8" width="9.7109375"/>
    <col min="9" max="10" width="11.42578125"/>
    <col min="11" max="16" width="10.7109375"/>
    <col min="17" max="17" width="13"/>
    <col min="18" max="1025" width="11.42578125"/>
  </cols>
  <sheetData>
    <row r="1" spans="1:11" x14ac:dyDescent="0.25">
      <c r="A1" s="1"/>
      <c r="B1" s="1" t="s">
        <v>0</v>
      </c>
      <c r="K1" s="1" t="s">
        <v>1</v>
      </c>
    </row>
    <row r="2" spans="1:11" ht="14.45" customHeight="1" x14ac:dyDescent="0.25">
      <c r="A2" s="1"/>
    </row>
    <row r="3" spans="1:11" ht="18.75" customHeight="1" x14ac:dyDescent="0.25">
      <c r="A3" s="1"/>
    </row>
    <row r="4" spans="1:11" x14ac:dyDescent="0.25">
      <c r="A4" s="1"/>
    </row>
    <row r="5" spans="1:11" x14ac:dyDescent="0.25">
      <c r="A5" s="1"/>
    </row>
    <row r="6" spans="1:11" ht="21" x14ac:dyDescent="0.25">
      <c r="A6" s="1"/>
      <c r="B6" s="2">
        <v>42335</v>
      </c>
      <c r="C6" s="3" t="s">
        <v>2</v>
      </c>
      <c r="D6" s="3" t="s">
        <v>3</v>
      </c>
      <c r="E6" s="3" t="s">
        <v>4</v>
      </c>
    </row>
    <row r="7" spans="1:11" x14ac:dyDescent="0.25">
      <c r="A7" s="1"/>
      <c r="B7" s="4" t="s">
        <v>5</v>
      </c>
      <c r="C7" s="5">
        <v>51</v>
      </c>
      <c r="D7" s="5">
        <v>195</v>
      </c>
      <c r="E7" s="6">
        <f t="shared" ref="E7:E12" si="0">(C7-D7)/C7</f>
        <v>-2.8235294117647061</v>
      </c>
    </row>
    <row r="8" spans="1:11" x14ac:dyDescent="0.25">
      <c r="A8" s="1"/>
      <c r="B8" s="7" t="s">
        <v>6</v>
      </c>
      <c r="C8" s="8">
        <v>35</v>
      </c>
      <c r="D8" s="8">
        <v>0</v>
      </c>
      <c r="E8" s="9">
        <f t="shared" si="0"/>
        <v>1</v>
      </c>
    </row>
    <row r="9" spans="1:11" x14ac:dyDescent="0.25">
      <c r="A9" s="1"/>
      <c r="B9" s="7" t="s">
        <v>7</v>
      </c>
      <c r="C9" s="8">
        <v>80</v>
      </c>
      <c r="D9" s="8">
        <v>45</v>
      </c>
      <c r="E9" s="9">
        <f t="shared" si="0"/>
        <v>0.4375</v>
      </c>
    </row>
    <row r="10" spans="1:11" x14ac:dyDescent="0.25">
      <c r="A10" s="1"/>
      <c r="B10" s="7" t="s">
        <v>8</v>
      </c>
      <c r="C10" s="8">
        <v>23</v>
      </c>
      <c r="D10" s="8">
        <v>147</v>
      </c>
      <c r="E10" s="9">
        <f t="shared" si="0"/>
        <v>-5.3913043478260869</v>
      </c>
    </row>
    <row r="11" spans="1:11" x14ac:dyDescent="0.25">
      <c r="A11" s="1"/>
      <c r="B11" s="7" t="s">
        <v>9</v>
      </c>
      <c r="C11" s="8">
        <v>90</v>
      </c>
      <c r="D11" s="8">
        <v>0</v>
      </c>
      <c r="E11" s="9">
        <f t="shared" si="0"/>
        <v>1</v>
      </c>
    </row>
    <row r="12" spans="1:11" x14ac:dyDescent="0.25">
      <c r="B12" s="7" t="s">
        <v>10</v>
      </c>
      <c r="C12" s="8">
        <v>142</v>
      </c>
      <c r="D12" s="8">
        <v>124</v>
      </c>
      <c r="E12" s="9">
        <f t="shared" si="0"/>
        <v>0.12676056338028169</v>
      </c>
    </row>
    <row r="13" spans="1:11" x14ac:dyDescent="0.25">
      <c r="C13" s="10"/>
      <c r="D13" s="11"/>
    </row>
    <row r="14" spans="1:11" ht="32.25" customHeight="1" x14ac:dyDescent="0.25">
      <c r="C14" s="10"/>
      <c r="D14" s="11"/>
    </row>
    <row r="15" spans="1:11" ht="18.75" customHeight="1" x14ac:dyDescent="0.25">
      <c r="C15" s="10"/>
      <c r="D15" s="11"/>
    </row>
    <row r="16" spans="1:11" ht="18.75" customHeight="1" x14ac:dyDescent="0.25">
      <c r="C16" s="10"/>
      <c r="D16" s="11"/>
    </row>
    <row r="17" spans="2:5" x14ac:dyDescent="0.25">
      <c r="C17" s="10"/>
      <c r="D17" s="11"/>
    </row>
    <row r="18" spans="2:5" s="12" customFormat="1" x14ac:dyDescent="0.25">
      <c r="C18" s="13"/>
    </row>
    <row r="20" spans="2:5" ht="21" x14ac:dyDescent="0.25">
      <c r="B20" s="2">
        <v>42349</v>
      </c>
      <c r="C20" s="3" t="s">
        <v>2</v>
      </c>
      <c r="D20" s="3" t="s">
        <v>3</v>
      </c>
      <c r="E20" s="3" t="s">
        <v>4</v>
      </c>
    </row>
    <row r="21" spans="2:5" x14ac:dyDescent="0.25">
      <c r="B21" s="4" t="s">
        <v>5</v>
      </c>
      <c r="C21" s="5">
        <f>51*4</f>
        <v>204</v>
      </c>
      <c r="D21" s="5">
        <v>74</v>
      </c>
      <c r="E21" s="6">
        <f t="shared" ref="E21:E26" si="1">(C21-D21)/C21</f>
        <v>0.63725490196078427</v>
      </c>
    </row>
    <row r="22" spans="2:5" x14ac:dyDescent="0.25">
      <c r="B22" s="7" t="s">
        <v>6</v>
      </c>
      <c r="C22" s="8">
        <f>35*4</f>
        <v>140</v>
      </c>
      <c r="D22" s="8">
        <v>54</v>
      </c>
      <c r="E22" s="9">
        <f t="shared" si="1"/>
        <v>0.61428571428571432</v>
      </c>
    </row>
    <row r="23" spans="2:5" x14ac:dyDescent="0.25">
      <c r="B23" s="7" t="s">
        <v>7</v>
      </c>
      <c r="C23" s="8">
        <v>80</v>
      </c>
      <c r="D23" s="8">
        <v>40</v>
      </c>
      <c r="E23" s="9">
        <f t="shared" si="1"/>
        <v>0.5</v>
      </c>
    </row>
    <row r="24" spans="2:5" x14ac:dyDescent="0.25">
      <c r="B24" s="7" t="s">
        <v>8</v>
      </c>
      <c r="C24" s="8">
        <f>23*4</f>
        <v>92</v>
      </c>
      <c r="D24" s="8">
        <v>45</v>
      </c>
      <c r="E24" s="9">
        <f t="shared" si="1"/>
        <v>0.51086956521739135</v>
      </c>
    </row>
    <row r="25" spans="2:5" x14ac:dyDescent="0.25">
      <c r="B25" s="7" t="s">
        <v>9</v>
      </c>
      <c r="C25" s="8">
        <v>90</v>
      </c>
      <c r="D25" s="8">
        <v>187</v>
      </c>
      <c r="E25" s="9">
        <f t="shared" si="1"/>
        <v>-1.0777777777777777</v>
      </c>
    </row>
    <row r="26" spans="2:5" x14ac:dyDescent="0.25">
      <c r="B26" s="7" t="s">
        <v>10</v>
      </c>
      <c r="C26" s="8">
        <f>142*4</f>
        <v>568</v>
      </c>
      <c r="D26" s="8">
        <v>463</v>
      </c>
      <c r="E26" s="9">
        <f t="shared" si="1"/>
        <v>0.18485915492957747</v>
      </c>
    </row>
    <row r="32" spans="2:5" s="12" customFormat="1" x14ac:dyDescent="0.25"/>
    <row r="34" spans="2:5" s="11" customFormat="1" x14ac:dyDescent="0.25"/>
    <row r="36" spans="2:5" ht="18.75" x14ac:dyDescent="0.3">
      <c r="B36" s="14" t="s">
        <v>11</v>
      </c>
    </row>
    <row r="37" spans="2:5" ht="21" x14ac:dyDescent="0.25">
      <c r="B37" s="2">
        <v>42366</v>
      </c>
      <c r="C37" s="15" t="s">
        <v>2</v>
      </c>
      <c r="D37" s="15" t="s">
        <v>3</v>
      </c>
      <c r="E37" s="15" t="s">
        <v>4</v>
      </c>
    </row>
    <row r="38" spans="2:5" x14ac:dyDescent="0.25">
      <c r="B38" s="4" t="s">
        <v>5</v>
      </c>
      <c r="C38" s="5">
        <v>51</v>
      </c>
      <c r="D38" s="5">
        <v>6</v>
      </c>
      <c r="E38" s="6">
        <f t="shared" ref="E38:E43" si="2">(C38-D38)/C38</f>
        <v>0.88235294117647056</v>
      </c>
    </row>
    <row r="39" spans="2:5" x14ac:dyDescent="0.25">
      <c r="B39" s="7" t="s">
        <v>6</v>
      </c>
      <c r="C39" s="8">
        <v>35</v>
      </c>
      <c r="D39" s="8">
        <v>21</v>
      </c>
      <c r="E39" s="9">
        <f t="shared" si="2"/>
        <v>0.4</v>
      </c>
    </row>
    <row r="40" spans="2:5" x14ac:dyDescent="0.25">
      <c r="B40" s="7" t="s">
        <v>7</v>
      </c>
      <c r="C40" s="8">
        <v>80</v>
      </c>
      <c r="D40" s="8">
        <v>0</v>
      </c>
      <c r="E40" s="9">
        <f t="shared" si="2"/>
        <v>1</v>
      </c>
    </row>
    <row r="41" spans="2:5" x14ac:dyDescent="0.25">
      <c r="B41" s="7" t="s">
        <v>8</v>
      </c>
      <c r="C41" s="8">
        <v>23</v>
      </c>
      <c r="D41" s="8">
        <v>12</v>
      </c>
      <c r="E41" s="9">
        <f t="shared" si="2"/>
        <v>0.47826086956521741</v>
      </c>
    </row>
    <row r="42" spans="2:5" x14ac:dyDescent="0.25">
      <c r="B42" s="7" t="s">
        <v>9</v>
      </c>
      <c r="C42" s="8">
        <v>0</v>
      </c>
      <c r="D42" s="8">
        <v>0</v>
      </c>
      <c r="E42" s="9" t="e">
        <f t="shared" si="2"/>
        <v>#DIV/0!</v>
      </c>
    </row>
    <row r="43" spans="2:5" x14ac:dyDescent="0.25">
      <c r="B43" s="7" t="s">
        <v>10</v>
      </c>
      <c r="C43" s="8">
        <v>142</v>
      </c>
      <c r="D43" s="8">
        <f>39+41</f>
        <v>80</v>
      </c>
      <c r="E43" s="9">
        <f t="shared" si="2"/>
        <v>0.43661971830985913</v>
      </c>
    </row>
    <row r="48" spans="2:5" s="12" customFormat="1" x14ac:dyDescent="0.25"/>
    <row r="49" spans="2:5" ht="18.75" x14ac:dyDescent="0.3">
      <c r="B49" s="16" t="s">
        <v>12</v>
      </c>
    </row>
    <row r="50" spans="2:5" ht="21" x14ac:dyDescent="0.25">
      <c r="B50" s="2">
        <v>42335</v>
      </c>
      <c r="C50" s="3" t="s">
        <v>2</v>
      </c>
      <c r="D50" s="3" t="s">
        <v>3</v>
      </c>
      <c r="E50" s="3" t="s">
        <v>4</v>
      </c>
    </row>
    <row r="51" spans="2:5" x14ac:dyDescent="0.25">
      <c r="B51" s="4" t="s">
        <v>5</v>
      </c>
      <c r="C51" s="5">
        <v>51</v>
      </c>
      <c r="D51" s="5">
        <v>6</v>
      </c>
      <c r="E51" s="6">
        <f t="shared" ref="E51:E56" si="3">(C51-D51)/C51</f>
        <v>0.88235294117647056</v>
      </c>
    </row>
    <row r="52" spans="2:5" x14ac:dyDescent="0.25">
      <c r="B52" s="7" t="s">
        <v>6</v>
      </c>
      <c r="C52" s="8">
        <v>35</v>
      </c>
      <c r="D52" s="8">
        <v>15</v>
      </c>
      <c r="E52" s="9">
        <f t="shared" si="3"/>
        <v>0.5714285714285714</v>
      </c>
    </row>
    <row r="53" spans="2:5" x14ac:dyDescent="0.25">
      <c r="B53" s="7" t="s">
        <v>7</v>
      </c>
      <c r="C53" s="8">
        <v>240</v>
      </c>
      <c r="D53" s="8">
        <v>244</v>
      </c>
      <c r="E53" s="9">
        <f t="shared" si="3"/>
        <v>-1.6666666666666666E-2</v>
      </c>
    </row>
    <row r="54" spans="2:5" x14ac:dyDescent="0.25">
      <c r="B54" s="7" t="s">
        <v>8</v>
      </c>
      <c r="C54" s="8">
        <v>23</v>
      </c>
      <c r="D54" s="8">
        <v>15</v>
      </c>
      <c r="E54" s="9">
        <f t="shared" si="3"/>
        <v>0.34782608695652173</v>
      </c>
    </row>
    <row r="55" spans="2:5" x14ac:dyDescent="0.25">
      <c r="B55" s="7" t="s">
        <v>9</v>
      </c>
      <c r="C55" s="8">
        <v>0</v>
      </c>
      <c r="D55" s="8">
        <v>0</v>
      </c>
      <c r="E55" s="9" t="e">
        <f t="shared" si="3"/>
        <v>#DIV/0!</v>
      </c>
    </row>
    <row r="56" spans="2:5" x14ac:dyDescent="0.25">
      <c r="B56" s="7" t="s">
        <v>10</v>
      </c>
      <c r="C56" s="8">
        <v>142</v>
      </c>
      <c r="D56" s="8">
        <v>66</v>
      </c>
      <c r="E56" s="9">
        <f t="shared" si="3"/>
        <v>0.53521126760563376</v>
      </c>
    </row>
    <row r="62" spans="2:5" s="12" customFormat="1" x14ac:dyDescent="0.25"/>
    <row r="63" spans="2:5" ht="18.75" x14ac:dyDescent="0.3">
      <c r="B63" s="16" t="s">
        <v>13</v>
      </c>
    </row>
    <row r="64" spans="2:5" ht="21" x14ac:dyDescent="0.25">
      <c r="B64" s="2">
        <v>42335</v>
      </c>
      <c r="C64" s="3" t="s">
        <v>2</v>
      </c>
      <c r="D64" s="3" t="s">
        <v>3</v>
      </c>
      <c r="E64" s="3" t="s">
        <v>4</v>
      </c>
    </row>
    <row r="65" spans="2:5" x14ac:dyDescent="0.25">
      <c r="B65" s="4" t="s">
        <v>5</v>
      </c>
      <c r="C65" s="5">
        <v>51</v>
      </c>
      <c r="D65" s="5">
        <v>7</v>
      </c>
      <c r="E65" s="6">
        <f t="shared" ref="E65:E70" si="4">(C65-D65)/C65</f>
        <v>0.86274509803921573</v>
      </c>
    </row>
    <row r="66" spans="2:5" x14ac:dyDescent="0.25">
      <c r="B66" s="7" t="s">
        <v>6</v>
      </c>
      <c r="C66" s="8">
        <v>35</v>
      </c>
      <c r="D66" s="8">
        <v>10</v>
      </c>
      <c r="E66" s="9">
        <f t="shared" si="4"/>
        <v>0.7142857142857143</v>
      </c>
    </row>
    <row r="67" spans="2:5" x14ac:dyDescent="0.25">
      <c r="B67" s="7" t="s">
        <v>7</v>
      </c>
      <c r="C67" s="8">
        <v>80</v>
      </c>
      <c r="D67" s="8">
        <v>76</v>
      </c>
      <c r="E67" s="9">
        <f t="shared" si="4"/>
        <v>0.05</v>
      </c>
    </row>
    <row r="68" spans="2:5" x14ac:dyDescent="0.25">
      <c r="B68" s="7" t="s">
        <v>8</v>
      </c>
      <c r="C68" s="8">
        <v>23</v>
      </c>
      <c r="D68" s="8">
        <v>23</v>
      </c>
      <c r="E68" s="9">
        <f t="shared" si="4"/>
        <v>0</v>
      </c>
    </row>
    <row r="69" spans="2:5" x14ac:dyDescent="0.25">
      <c r="B69" s="7" t="s">
        <v>9</v>
      </c>
      <c r="C69" s="8">
        <v>0</v>
      </c>
      <c r="D69" s="8">
        <v>0</v>
      </c>
      <c r="E69" s="9" t="e">
        <f t="shared" si="4"/>
        <v>#DIV/0!</v>
      </c>
    </row>
    <row r="70" spans="2:5" x14ac:dyDescent="0.25">
      <c r="B70" s="7" t="s">
        <v>10</v>
      </c>
      <c r="C70" s="8">
        <v>142</v>
      </c>
      <c r="D70" s="8">
        <v>73</v>
      </c>
      <c r="E70" s="9">
        <f t="shared" si="4"/>
        <v>0.4859154929577465</v>
      </c>
    </row>
    <row r="76" spans="2:5" s="12" customFormat="1" x14ac:dyDescent="0.25"/>
    <row r="77" spans="2:5" ht="18.75" x14ac:dyDescent="0.3">
      <c r="B77" s="16" t="s">
        <v>14</v>
      </c>
    </row>
    <row r="78" spans="2:5" ht="21" x14ac:dyDescent="0.25">
      <c r="B78" s="2">
        <v>42335</v>
      </c>
      <c r="C78" s="3" t="s">
        <v>2</v>
      </c>
      <c r="D78" s="3" t="s">
        <v>3</v>
      </c>
      <c r="E78" s="3" t="s">
        <v>4</v>
      </c>
    </row>
    <row r="79" spans="2:5" x14ac:dyDescent="0.25">
      <c r="B79" s="4" t="s">
        <v>5</v>
      </c>
      <c r="C79" s="5">
        <v>51</v>
      </c>
      <c r="D79" s="5">
        <v>988</v>
      </c>
      <c r="E79" s="6">
        <f t="shared" ref="E79:E84" si="5">(C79-D79)/C79</f>
        <v>-18.372549019607842</v>
      </c>
    </row>
    <row r="80" spans="2:5" x14ac:dyDescent="0.25">
      <c r="B80" s="7" t="s">
        <v>6</v>
      </c>
      <c r="C80" s="8">
        <v>35</v>
      </c>
      <c r="D80" s="8">
        <v>15</v>
      </c>
      <c r="E80" s="9">
        <f t="shared" si="5"/>
        <v>0.5714285714285714</v>
      </c>
    </row>
    <row r="81" spans="2:5" x14ac:dyDescent="0.25">
      <c r="B81" s="7" t="s">
        <v>7</v>
      </c>
      <c r="C81" s="8">
        <v>80</v>
      </c>
      <c r="D81" s="8">
        <v>0</v>
      </c>
      <c r="E81" s="9">
        <f t="shared" si="5"/>
        <v>1</v>
      </c>
    </row>
    <row r="82" spans="2:5" x14ac:dyDescent="0.25">
      <c r="B82" s="7" t="s">
        <v>8</v>
      </c>
      <c r="C82" s="8">
        <v>23</v>
      </c>
      <c r="D82" s="8">
        <v>41</v>
      </c>
      <c r="E82" s="9">
        <f t="shared" si="5"/>
        <v>-0.78260869565217395</v>
      </c>
    </row>
    <row r="83" spans="2:5" x14ac:dyDescent="0.25">
      <c r="B83" s="7" t="s">
        <v>9</v>
      </c>
      <c r="C83" s="8">
        <v>0</v>
      </c>
      <c r="D83" s="8">
        <v>0</v>
      </c>
      <c r="E83" s="9" t="e">
        <f t="shared" si="5"/>
        <v>#DIV/0!</v>
      </c>
    </row>
    <row r="84" spans="2:5" x14ac:dyDescent="0.25">
      <c r="B84" s="7" t="s">
        <v>10</v>
      </c>
      <c r="C84" s="8">
        <v>142</v>
      </c>
      <c r="D84" s="8">
        <v>64</v>
      </c>
      <c r="E84" s="9">
        <f t="shared" si="5"/>
        <v>0.54929577464788737</v>
      </c>
    </row>
    <row r="89" spans="2:5" s="12" customFormat="1" x14ac:dyDescent="0.25"/>
    <row r="90" spans="2:5" ht="18.75" x14ac:dyDescent="0.3">
      <c r="B90" s="16" t="s">
        <v>15</v>
      </c>
    </row>
    <row r="91" spans="2:5" ht="21" x14ac:dyDescent="0.25">
      <c r="B91" s="2">
        <v>42335</v>
      </c>
      <c r="C91" s="3" t="s">
        <v>2</v>
      </c>
      <c r="D91" s="3" t="s">
        <v>3</v>
      </c>
      <c r="E91" s="3" t="s">
        <v>4</v>
      </c>
    </row>
    <row r="92" spans="2:5" x14ac:dyDescent="0.25">
      <c r="B92" s="4" t="s">
        <v>5</v>
      </c>
      <c r="C92" s="5">
        <v>51</v>
      </c>
      <c r="D92" s="5">
        <v>15</v>
      </c>
      <c r="E92" s="6">
        <f t="shared" ref="E92:E97" si="6">(C92-D92)/C92</f>
        <v>0.70588235294117652</v>
      </c>
    </row>
    <row r="93" spans="2:5" x14ac:dyDescent="0.25">
      <c r="B93" s="7" t="s">
        <v>6</v>
      </c>
      <c r="C93" s="8">
        <v>35</v>
      </c>
      <c r="D93" s="8">
        <v>90</v>
      </c>
      <c r="E93" s="9">
        <f t="shared" si="6"/>
        <v>-1.5714285714285714</v>
      </c>
    </row>
    <row r="94" spans="2:5" x14ac:dyDescent="0.25">
      <c r="B94" s="7" t="s">
        <v>7</v>
      </c>
      <c r="C94" s="8">
        <v>80</v>
      </c>
      <c r="D94" s="8">
        <v>89</v>
      </c>
      <c r="E94" s="9">
        <f t="shared" si="6"/>
        <v>-0.1125</v>
      </c>
    </row>
    <row r="95" spans="2:5" x14ac:dyDescent="0.25">
      <c r="B95" s="7" t="s">
        <v>8</v>
      </c>
      <c r="C95" s="8">
        <v>23</v>
      </c>
      <c r="D95" s="8">
        <v>8</v>
      </c>
      <c r="E95" s="9">
        <f t="shared" si="6"/>
        <v>0.65217391304347827</v>
      </c>
    </row>
    <row r="96" spans="2:5" x14ac:dyDescent="0.25">
      <c r="B96" s="7" t="s">
        <v>9</v>
      </c>
      <c r="C96" s="8">
        <v>0</v>
      </c>
      <c r="D96" s="8">
        <v>0</v>
      </c>
      <c r="E96" s="9" t="e">
        <f t="shared" si="6"/>
        <v>#DIV/0!</v>
      </c>
    </row>
    <row r="97" spans="2:5" x14ac:dyDescent="0.25">
      <c r="B97" s="7" t="s">
        <v>10</v>
      </c>
      <c r="C97" s="8">
        <v>142</v>
      </c>
      <c r="D97" s="8">
        <v>17</v>
      </c>
      <c r="E97" s="9">
        <f t="shared" si="6"/>
        <v>0.88028169014084512</v>
      </c>
    </row>
    <row r="102" spans="2:5" s="12" customFormat="1" x14ac:dyDescent="0.25"/>
    <row r="104" spans="2:5" ht="18.75" x14ac:dyDescent="0.3">
      <c r="B104" s="16" t="s">
        <v>16</v>
      </c>
    </row>
    <row r="105" spans="2:5" ht="21" x14ac:dyDescent="0.25">
      <c r="B105" s="2">
        <v>42335</v>
      </c>
      <c r="C105" s="3" t="s">
        <v>2</v>
      </c>
      <c r="D105" s="3" t="s">
        <v>3</v>
      </c>
      <c r="E105" s="3" t="s">
        <v>4</v>
      </c>
    </row>
    <row r="106" spans="2:5" x14ac:dyDescent="0.25">
      <c r="B106" s="4" t="s">
        <v>5</v>
      </c>
      <c r="C106" s="5">
        <v>51</v>
      </c>
      <c r="D106" s="5">
        <v>20</v>
      </c>
      <c r="E106" s="6">
        <f t="shared" ref="E106:E111" si="7">(C106-D106)/C106</f>
        <v>0.60784313725490191</v>
      </c>
    </row>
    <row r="107" spans="2:5" x14ac:dyDescent="0.25">
      <c r="B107" s="7" t="s">
        <v>6</v>
      </c>
      <c r="C107" s="8">
        <v>35</v>
      </c>
      <c r="D107" s="8">
        <v>5</v>
      </c>
      <c r="E107" s="9">
        <f t="shared" si="7"/>
        <v>0.8571428571428571</v>
      </c>
    </row>
    <row r="108" spans="2:5" x14ac:dyDescent="0.25">
      <c r="B108" s="7" t="s">
        <v>7</v>
      </c>
      <c r="C108" s="8">
        <v>80</v>
      </c>
      <c r="D108" s="8">
        <v>0</v>
      </c>
      <c r="E108" s="9">
        <f t="shared" si="7"/>
        <v>1</v>
      </c>
    </row>
    <row r="109" spans="2:5" x14ac:dyDescent="0.25">
      <c r="B109" s="7" t="s">
        <v>8</v>
      </c>
      <c r="C109" s="8">
        <v>23</v>
      </c>
      <c r="D109" s="8">
        <v>10</v>
      </c>
      <c r="E109" s="9">
        <f t="shared" si="7"/>
        <v>0.56521739130434778</v>
      </c>
    </row>
    <row r="110" spans="2:5" x14ac:dyDescent="0.25">
      <c r="B110" s="7" t="s">
        <v>9</v>
      </c>
      <c r="C110" s="8">
        <v>0</v>
      </c>
      <c r="D110" s="8">
        <v>0</v>
      </c>
      <c r="E110" s="9" t="e">
        <f t="shared" si="7"/>
        <v>#DIV/0!</v>
      </c>
    </row>
    <row r="111" spans="2:5" x14ac:dyDescent="0.25">
      <c r="B111" s="7" t="s">
        <v>10</v>
      </c>
      <c r="C111" s="8">
        <v>142</v>
      </c>
      <c r="D111" s="8">
        <v>27</v>
      </c>
      <c r="E111" s="9">
        <f t="shared" si="7"/>
        <v>0.8098591549295775</v>
      </c>
    </row>
    <row r="116" spans="2:5" s="12" customFormat="1" x14ac:dyDescent="0.25"/>
    <row r="118" spans="2:5" ht="18.75" x14ac:dyDescent="0.3">
      <c r="B118" s="16" t="s">
        <v>17</v>
      </c>
    </row>
    <row r="119" spans="2:5" ht="21" x14ac:dyDescent="0.25">
      <c r="B119" s="2">
        <v>42335</v>
      </c>
      <c r="C119" s="3" t="s">
        <v>2</v>
      </c>
      <c r="D119" s="3" t="s">
        <v>3</v>
      </c>
      <c r="E119" s="3" t="s">
        <v>4</v>
      </c>
    </row>
    <row r="120" spans="2:5" x14ac:dyDescent="0.25">
      <c r="B120" s="4" t="s">
        <v>5</v>
      </c>
      <c r="C120" s="5">
        <v>51</v>
      </c>
      <c r="D120" s="5">
        <v>0</v>
      </c>
      <c r="E120" s="6">
        <f t="shared" ref="E120:E125" si="8">(C120-D120)/C120</f>
        <v>1</v>
      </c>
    </row>
    <row r="121" spans="2:5" x14ac:dyDescent="0.25">
      <c r="B121" s="7" t="s">
        <v>6</v>
      </c>
      <c r="C121" s="8">
        <v>35</v>
      </c>
      <c r="D121" s="8">
        <v>22</v>
      </c>
      <c r="E121" s="9">
        <f t="shared" si="8"/>
        <v>0.37142857142857144</v>
      </c>
    </row>
    <row r="122" spans="2:5" x14ac:dyDescent="0.25">
      <c r="B122" s="7" t="s">
        <v>7</v>
      </c>
      <c r="C122" s="8">
        <v>0</v>
      </c>
      <c r="D122" s="8">
        <v>0</v>
      </c>
      <c r="E122" s="9" t="e">
        <f t="shared" si="8"/>
        <v>#DIV/0!</v>
      </c>
    </row>
    <row r="123" spans="2:5" x14ac:dyDescent="0.25">
      <c r="B123" s="7" t="s">
        <v>8</v>
      </c>
      <c r="C123" s="8">
        <v>23</v>
      </c>
      <c r="D123" s="8">
        <v>27</v>
      </c>
      <c r="E123" s="9">
        <f t="shared" si="8"/>
        <v>-0.17391304347826086</v>
      </c>
    </row>
    <row r="124" spans="2:5" x14ac:dyDescent="0.25">
      <c r="B124" s="7" t="s">
        <v>9</v>
      </c>
      <c r="C124" s="8">
        <v>90</v>
      </c>
      <c r="D124" s="8">
        <v>1</v>
      </c>
      <c r="E124" s="9">
        <f t="shared" si="8"/>
        <v>0.98888888888888893</v>
      </c>
    </row>
    <row r="125" spans="2:5" x14ac:dyDescent="0.25">
      <c r="B125" s="7" t="s">
        <v>10</v>
      </c>
      <c r="C125" s="8">
        <v>142</v>
      </c>
      <c r="D125" s="8">
        <v>0</v>
      </c>
      <c r="E125" s="9">
        <f t="shared" si="8"/>
        <v>1</v>
      </c>
    </row>
    <row r="130" spans="2:5" s="12" customFormat="1" x14ac:dyDescent="0.25"/>
    <row r="133" spans="2:5" ht="18.75" x14ac:dyDescent="0.3">
      <c r="B133" s="16" t="s">
        <v>18</v>
      </c>
    </row>
    <row r="134" spans="2:5" ht="21" x14ac:dyDescent="0.25">
      <c r="B134" s="2">
        <v>42335</v>
      </c>
      <c r="C134" s="3" t="s">
        <v>2</v>
      </c>
      <c r="D134" s="3" t="s">
        <v>3</v>
      </c>
      <c r="E134" s="3" t="s">
        <v>4</v>
      </c>
    </row>
    <row r="135" spans="2:5" x14ac:dyDescent="0.25">
      <c r="B135" s="4" t="s">
        <v>5</v>
      </c>
      <c r="C135" s="5">
        <v>51</v>
      </c>
      <c r="D135" s="5">
        <v>10</v>
      </c>
      <c r="E135" s="6">
        <f t="shared" ref="E135:E140" si="9">(C135-D135)/C135</f>
        <v>0.80392156862745101</v>
      </c>
    </row>
    <row r="136" spans="2:5" x14ac:dyDescent="0.25">
      <c r="B136" s="7" t="s">
        <v>6</v>
      </c>
      <c r="C136" s="8">
        <v>35</v>
      </c>
      <c r="D136" s="8">
        <v>0</v>
      </c>
      <c r="E136" s="9">
        <f t="shared" si="9"/>
        <v>1</v>
      </c>
    </row>
    <row r="137" spans="2:5" x14ac:dyDescent="0.25">
      <c r="B137" s="7" t="s">
        <v>7</v>
      </c>
      <c r="C137" s="8">
        <v>80</v>
      </c>
      <c r="D137" s="8">
        <v>0</v>
      </c>
      <c r="E137" s="9">
        <f t="shared" si="9"/>
        <v>1</v>
      </c>
    </row>
    <row r="138" spans="2:5" x14ac:dyDescent="0.25">
      <c r="B138" s="7" t="s">
        <v>8</v>
      </c>
      <c r="C138" s="8">
        <v>23</v>
      </c>
      <c r="D138" s="8">
        <v>0</v>
      </c>
      <c r="E138" s="9">
        <f t="shared" si="9"/>
        <v>1</v>
      </c>
    </row>
    <row r="139" spans="2:5" x14ac:dyDescent="0.25">
      <c r="B139" s="7" t="s">
        <v>9</v>
      </c>
      <c r="C139" s="8">
        <v>0</v>
      </c>
      <c r="D139" s="8">
        <v>0</v>
      </c>
      <c r="E139" s="9" t="e">
        <f t="shared" si="9"/>
        <v>#DIV/0!</v>
      </c>
    </row>
    <row r="140" spans="2:5" x14ac:dyDescent="0.25">
      <c r="B140" s="7" t="s">
        <v>10</v>
      </c>
      <c r="C140" s="8">
        <v>142</v>
      </c>
      <c r="D140" s="8">
        <v>42</v>
      </c>
      <c r="E140" s="9">
        <f t="shared" si="9"/>
        <v>0.70422535211267601</v>
      </c>
    </row>
    <row r="143" spans="2:5" s="12" customFormat="1" x14ac:dyDescent="0.25"/>
    <row r="146" spans="2:5" ht="18.75" x14ac:dyDescent="0.3">
      <c r="B146" s="16" t="s">
        <v>19</v>
      </c>
    </row>
    <row r="147" spans="2:5" ht="21" x14ac:dyDescent="0.25">
      <c r="B147" s="2">
        <v>42335</v>
      </c>
      <c r="C147" s="3" t="s">
        <v>2</v>
      </c>
      <c r="D147" s="3" t="s">
        <v>3</v>
      </c>
      <c r="E147" s="3" t="s">
        <v>4</v>
      </c>
    </row>
    <row r="148" spans="2:5" x14ac:dyDescent="0.25">
      <c r="B148" s="4" t="s">
        <v>5</v>
      </c>
      <c r="C148" s="5">
        <v>51</v>
      </c>
      <c r="D148" s="5">
        <v>5</v>
      </c>
      <c r="E148" s="6">
        <f t="shared" ref="E148:E153" si="10">(C148-D148)/C148</f>
        <v>0.90196078431372551</v>
      </c>
    </row>
    <row r="149" spans="2:5" x14ac:dyDescent="0.25">
      <c r="B149" s="7" t="s">
        <v>6</v>
      </c>
      <c r="C149" s="8">
        <v>35</v>
      </c>
      <c r="D149" s="8">
        <v>0</v>
      </c>
      <c r="E149" s="9">
        <f t="shared" si="10"/>
        <v>1</v>
      </c>
    </row>
    <row r="150" spans="2:5" x14ac:dyDescent="0.25">
      <c r="B150" s="7" t="s">
        <v>7</v>
      </c>
      <c r="C150" s="8">
        <v>0</v>
      </c>
      <c r="D150" s="8">
        <v>0</v>
      </c>
      <c r="E150" s="9" t="e">
        <f t="shared" si="10"/>
        <v>#DIV/0!</v>
      </c>
    </row>
    <row r="151" spans="2:5" x14ac:dyDescent="0.25">
      <c r="B151" s="7" t="s">
        <v>8</v>
      </c>
      <c r="C151" s="8">
        <v>23</v>
      </c>
      <c r="D151" s="8">
        <v>0</v>
      </c>
      <c r="E151" s="9">
        <f t="shared" si="10"/>
        <v>1</v>
      </c>
    </row>
    <row r="152" spans="2:5" x14ac:dyDescent="0.25">
      <c r="B152" s="7" t="s">
        <v>9</v>
      </c>
      <c r="C152" s="8">
        <v>90</v>
      </c>
      <c r="D152" s="8">
        <v>113</v>
      </c>
      <c r="E152" s="9">
        <f t="shared" si="10"/>
        <v>-0.25555555555555554</v>
      </c>
    </row>
    <row r="153" spans="2:5" x14ac:dyDescent="0.25">
      <c r="B153" s="7" t="s">
        <v>10</v>
      </c>
      <c r="C153" s="8">
        <v>142</v>
      </c>
      <c r="D153" s="8">
        <v>96</v>
      </c>
      <c r="E153" s="9">
        <f t="shared" si="10"/>
        <v>0.323943661971831</v>
      </c>
    </row>
    <row r="158" spans="2:5" s="12" customFormat="1" x14ac:dyDescent="0.25"/>
    <row r="161" spans="2:5" ht="18.75" x14ac:dyDescent="0.3">
      <c r="B161" s="16" t="s">
        <v>20</v>
      </c>
    </row>
    <row r="162" spans="2:5" ht="21" x14ac:dyDescent="0.25">
      <c r="B162" s="2">
        <v>42335</v>
      </c>
      <c r="C162" s="3" t="s">
        <v>2</v>
      </c>
      <c r="D162" s="3" t="s">
        <v>3</v>
      </c>
      <c r="E162" s="3" t="s">
        <v>4</v>
      </c>
    </row>
    <row r="163" spans="2:5" x14ac:dyDescent="0.25">
      <c r="B163" s="4" t="s">
        <v>5</v>
      </c>
      <c r="C163" s="5">
        <v>51</v>
      </c>
      <c r="D163" s="5">
        <v>51</v>
      </c>
      <c r="E163" s="6">
        <f t="shared" ref="E163:E168" si="11">(C163-D163)/C163</f>
        <v>0</v>
      </c>
    </row>
    <row r="164" spans="2:5" x14ac:dyDescent="0.25">
      <c r="B164" s="7" t="s">
        <v>6</v>
      </c>
      <c r="C164" s="8">
        <v>35</v>
      </c>
      <c r="D164" s="8">
        <v>209</v>
      </c>
      <c r="E164" s="9">
        <f t="shared" si="11"/>
        <v>-4.9714285714285715</v>
      </c>
    </row>
    <row r="165" spans="2:5" x14ac:dyDescent="0.25">
      <c r="B165" s="7" t="s">
        <v>7</v>
      </c>
      <c r="C165" s="8">
        <v>80</v>
      </c>
      <c r="D165" s="8">
        <v>43</v>
      </c>
      <c r="E165" s="9">
        <f t="shared" si="11"/>
        <v>0.46250000000000002</v>
      </c>
    </row>
    <row r="166" spans="2:5" x14ac:dyDescent="0.25">
      <c r="B166" s="7" t="s">
        <v>8</v>
      </c>
      <c r="C166" s="8">
        <v>23</v>
      </c>
      <c r="D166" s="8">
        <v>4</v>
      </c>
      <c r="E166" s="9">
        <f t="shared" si="11"/>
        <v>0.82608695652173914</v>
      </c>
    </row>
    <row r="167" spans="2:5" x14ac:dyDescent="0.25">
      <c r="B167" s="7" t="s">
        <v>9</v>
      </c>
      <c r="C167" s="8">
        <v>0</v>
      </c>
      <c r="D167" s="8">
        <v>0</v>
      </c>
      <c r="E167" s="9" t="e">
        <f t="shared" si="11"/>
        <v>#DIV/0!</v>
      </c>
    </row>
    <row r="168" spans="2:5" x14ac:dyDescent="0.25">
      <c r="B168" s="7" t="s">
        <v>10</v>
      </c>
      <c r="C168" s="8">
        <v>142</v>
      </c>
      <c r="D168" s="8">
        <v>30</v>
      </c>
      <c r="E168" s="9">
        <f t="shared" si="11"/>
        <v>0.78873239436619713</v>
      </c>
    </row>
    <row r="171" spans="2:5" s="12" customFormat="1" x14ac:dyDescent="0.25"/>
    <row r="173" spans="2:5" ht="18.75" x14ac:dyDescent="0.3">
      <c r="B173" s="16" t="s">
        <v>21</v>
      </c>
    </row>
    <row r="174" spans="2:5" ht="21" x14ac:dyDescent="0.25">
      <c r="B174" s="2">
        <v>42335</v>
      </c>
      <c r="C174" s="3" t="s">
        <v>2</v>
      </c>
      <c r="D174" s="3" t="s">
        <v>3</v>
      </c>
      <c r="E174" s="3" t="s">
        <v>4</v>
      </c>
    </row>
    <row r="175" spans="2:5" x14ac:dyDescent="0.25">
      <c r="B175" s="4" t="s">
        <v>5</v>
      </c>
      <c r="C175" s="5">
        <v>51</v>
      </c>
      <c r="D175" s="5">
        <v>10</v>
      </c>
      <c r="E175" s="6">
        <f t="shared" ref="E175:E180" si="12">(C175-D175)/C175</f>
        <v>0.80392156862745101</v>
      </c>
    </row>
    <row r="176" spans="2:5" x14ac:dyDescent="0.25">
      <c r="B176" s="7" t="s">
        <v>6</v>
      </c>
      <c r="C176" s="8">
        <v>35</v>
      </c>
      <c r="D176" s="8">
        <v>0</v>
      </c>
      <c r="E176" s="9">
        <f t="shared" si="12"/>
        <v>1</v>
      </c>
    </row>
    <row r="177" spans="2:5" x14ac:dyDescent="0.25">
      <c r="B177" s="7" t="s">
        <v>7</v>
      </c>
      <c r="C177" s="8">
        <v>0</v>
      </c>
      <c r="D177" s="8">
        <v>0</v>
      </c>
      <c r="E177" s="9" t="e">
        <f t="shared" si="12"/>
        <v>#DIV/0!</v>
      </c>
    </row>
    <row r="178" spans="2:5" x14ac:dyDescent="0.25">
      <c r="B178" s="7" t="s">
        <v>8</v>
      </c>
      <c r="C178" s="8">
        <v>23</v>
      </c>
      <c r="D178" s="8">
        <v>0</v>
      </c>
      <c r="E178" s="9">
        <f t="shared" si="12"/>
        <v>1</v>
      </c>
    </row>
    <row r="179" spans="2:5" x14ac:dyDescent="0.25">
      <c r="B179" s="7" t="s">
        <v>9</v>
      </c>
      <c r="C179" s="8">
        <v>90</v>
      </c>
      <c r="D179" s="8">
        <v>110</v>
      </c>
      <c r="E179" s="9">
        <f t="shared" si="12"/>
        <v>-0.22222222222222221</v>
      </c>
    </row>
    <row r="180" spans="2:5" x14ac:dyDescent="0.25">
      <c r="B180" s="7" t="s">
        <v>10</v>
      </c>
      <c r="C180" s="8">
        <v>142</v>
      </c>
      <c r="D180" s="8">
        <v>42</v>
      </c>
      <c r="E180" s="9">
        <f t="shared" si="12"/>
        <v>0.70422535211267601</v>
      </c>
    </row>
    <row r="186" spans="2:5" s="12" customFormat="1" x14ac:dyDescent="0.25"/>
    <row r="187" spans="2:5" ht="15.75" customHeight="1" x14ac:dyDescent="0.25"/>
    <row r="188" spans="2:5" ht="18.75" x14ac:dyDescent="0.3">
      <c r="B188" s="16" t="s">
        <v>22</v>
      </c>
    </row>
    <row r="189" spans="2:5" ht="21" x14ac:dyDescent="0.25">
      <c r="B189" s="2">
        <v>42335</v>
      </c>
      <c r="C189" s="3" t="s">
        <v>2</v>
      </c>
      <c r="D189" s="3" t="s">
        <v>3</v>
      </c>
      <c r="E189" s="3" t="s">
        <v>4</v>
      </c>
    </row>
    <row r="190" spans="2:5" x14ac:dyDescent="0.25">
      <c r="B190" s="4" t="s">
        <v>5</v>
      </c>
      <c r="C190" s="5">
        <v>51</v>
      </c>
      <c r="D190" s="5">
        <v>12</v>
      </c>
      <c r="E190" s="6">
        <f t="shared" ref="E190:E195" si="13">(C190-D190)/C190</f>
        <v>0.76470588235294112</v>
      </c>
    </row>
    <row r="191" spans="2:5" x14ac:dyDescent="0.25">
      <c r="B191" s="7" t="s">
        <v>6</v>
      </c>
      <c r="C191" s="8">
        <v>35</v>
      </c>
      <c r="D191" s="8">
        <v>0</v>
      </c>
      <c r="E191" s="9">
        <f t="shared" si="13"/>
        <v>1</v>
      </c>
    </row>
    <row r="192" spans="2:5" x14ac:dyDescent="0.25">
      <c r="B192" s="7" t="s">
        <v>7</v>
      </c>
      <c r="C192" s="8">
        <v>0</v>
      </c>
      <c r="D192" s="8">
        <v>0</v>
      </c>
      <c r="E192" s="9" t="e">
        <f t="shared" si="13"/>
        <v>#DIV/0!</v>
      </c>
    </row>
    <row r="193" spans="2:5" x14ac:dyDescent="0.25">
      <c r="B193" s="7" t="s">
        <v>8</v>
      </c>
      <c r="C193" s="8">
        <v>23</v>
      </c>
      <c r="D193" s="8">
        <v>0</v>
      </c>
      <c r="E193" s="9">
        <f t="shared" si="13"/>
        <v>1</v>
      </c>
    </row>
    <row r="194" spans="2:5" x14ac:dyDescent="0.25">
      <c r="B194" s="7" t="s">
        <v>9</v>
      </c>
      <c r="C194" s="8">
        <v>90</v>
      </c>
      <c r="D194" s="8">
        <v>43</v>
      </c>
      <c r="E194" s="9">
        <f t="shared" si="13"/>
        <v>0.52222222222222225</v>
      </c>
    </row>
    <row r="195" spans="2:5" x14ac:dyDescent="0.25">
      <c r="B195" s="7" t="s">
        <v>10</v>
      </c>
      <c r="C195" s="8">
        <v>142</v>
      </c>
      <c r="D195" s="8">
        <v>3</v>
      </c>
      <c r="E195" s="9">
        <f t="shared" si="13"/>
        <v>0.97887323943661975</v>
      </c>
    </row>
    <row r="200" spans="2:5" s="12" customFormat="1" x14ac:dyDescent="0.25"/>
    <row r="203" spans="2:5" ht="18.75" x14ac:dyDescent="0.3">
      <c r="B203" s="16" t="s">
        <v>23</v>
      </c>
    </row>
    <row r="204" spans="2:5" ht="21" x14ac:dyDescent="0.25">
      <c r="B204" s="2">
        <v>42335</v>
      </c>
      <c r="C204" s="3" t="s">
        <v>2</v>
      </c>
      <c r="D204" s="3" t="s">
        <v>3</v>
      </c>
      <c r="E204" s="3" t="s">
        <v>4</v>
      </c>
    </row>
    <row r="205" spans="2:5" x14ac:dyDescent="0.25">
      <c r="B205" s="4" t="s">
        <v>5</v>
      </c>
      <c r="C205" s="5">
        <v>51</v>
      </c>
      <c r="D205" s="5">
        <v>3</v>
      </c>
      <c r="E205" s="6">
        <f t="shared" ref="E205:E210" si="14">(C205-D205)/C205</f>
        <v>0.94117647058823528</v>
      </c>
    </row>
    <row r="206" spans="2:5" x14ac:dyDescent="0.25">
      <c r="B206" s="7" t="s">
        <v>6</v>
      </c>
      <c r="C206" s="8">
        <v>35</v>
      </c>
      <c r="D206" s="8">
        <v>0</v>
      </c>
      <c r="E206" s="9">
        <f t="shared" si="14"/>
        <v>1</v>
      </c>
    </row>
    <row r="207" spans="2:5" x14ac:dyDescent="0.25">
      <c r="B207" s="7" t="s">
        <v>7</v>
      </c>
      <c r="C207" s="8">
        <v>0</v>
      </c>
      <c r="D207" s="8">
        <v>0</v>
      </c>
      <c r="E207" s="9" t="e">
        <f t="shared" si="14"/>
        <v>#DIV/0!</v>
      </c>
    </row>
    <row r="208" spans="2:5" x14ac:dyDescent="0.25">
      <c r="B208" s="7" t="s">
        <v>8</v>
      </c>
      <c r="C208" s="8">
        <v>23</v>
      </c>
      <c r="D208" s="8">
        <v>0</v>
      </c>
      <c r="E208" s="9">
        <f t="shared" si="14"/>
        <v>1</v>
      </c>
    </row>
    <row r="209" spans="2:5" x14ac:dyDescent="0.25">
      <c r="B209" s="7" t="s">
        <v>9</v>
      </c>
      <c r="C209" s="8">
        <v>90</v>
      </c>
      <c r="D209" s="8">
        <v>5</v>
      </c>
      <c r="E209" s="9">
        <f t="shared" si="14"/>
        <v>0.94444444444444442</v>
      </c>
    </row>
    <row r="210" spans="2:5" x14ac:dyDescent="0.25">
      <c r="B210" s="7" t="s">
        <v>10</v>
      </c>
      <c r="C210" s="8">
        <v>142</v>
      </c>
      <c r="D210" s="8">
        <v>3</v>
      </c>
      <c r="E210" s="9">
        <f t="shared" si="14"/>
        <v>0.97887323943661975</v>
      </c>
    </row>
    <row r="215" spans="2:5" s="12" customFormat="1" x14ac:dyDescent="0.25"/>
    <row r="218" spans="2:5" ht="18.75" x14ac:dyDescent="0.3">
      <c r="B218" s="16" t="s">
        <v>24</v>
      </c>
    </row>
    <row r="219" spans="2:5" ht="21" x14ac:dyDescent="0.25">
      <c r="B219" s="2">
        <v>42335</v>
      </c>
      <c r="C219" s="3" t="s">
        <v>2</v>
      </c>
      <c r="D219" s="3" t="s">
        <v>3</v>
      </c>
      <c r="E219" s="3" t="s">
        <v>4</v>
      </c>
    </row>
    <row r="220" spans="2:5" x14ac:dyDescent="0.25">
      <c r="B220" s="4" t="s">
        <v>5</v>
      </c>
      <c r="C220" s="5">
        <v>51</v>
      </c>
      <c r="D220" s="5">
        <v>601</v>
      </c>
      <c r="E220" s="6">
        <f t="shared" ref="E220:E225" si="15">(C220-D220)/C220</f>
        <v>-10.784313725490197</v>
      </c>
    </row>
    <row r="221" spans="2:5" x14ac:dyDescent="0.25">
      <c r="B221" s="7" t="s">
        <v>6</v>
      </c>
      <c r="C221" s="8">
        <v>35</v>
      </c>
      <c r="D221" s="8">
        <v>57</v>
      </c>
      <c r="E221" s="9">
        <f t="shared" si="15"/>
        <v>-0.62857142857142856</v>
      </c>
    </row>
    <row r="222" spans="2:5" x14ac:dyDescent="0.25">
      <c r="B222" s="7" t="s">
        <v>7</v>
      </c>
      <c r="C222" s="8">
        <v>240</v>
      </c>
      <c r="D222" s="8">
        <v>317</v>
      </c>
      <c r="E222" s="9">
        <f t="shared" si="15"/>
        <v>-0.32083333333333336</v>
      </c>
    </row>
    <row r="223" spans="2:5" x14ac:dyDescent="0.25">
      <c r="B223" s="7" t="s">
        <v>8</v>
      </c>
      <c r="C223" s="8">
        <v>23</v>
      </c>
      <c r="D223" s="8">
        <v>11</v>
      </c>
      <c r="E223" s="9">
        <f t="shared" si="15"/>
        <v>0.52173913043478259</v>
      </c>
    </row>
    <row r="224" spans="2:5" x14ac:dyDescent="0.25">
      <c r="B224" s="7" t="s">
        <v>9</v>
      </c>
      <c r="C224" s="8">
        <v>0</v>
      </c>
      <c r="D224" s="8">
        <v>0</v>
      </c>
      <c r="E224" s="9" t="e">
        <f t="shared" si="15"/>
        <v>#DIV/0!</v>
      </c>
    </row>
    <row r="225" spans="2:5" x14ac:dyDescent="0.25">
      <c r="B225" s="7" t="s">
        <v>10</v>
      </c>
      <c r="C225" s="8">
        <v>142</v>
      </c>
      <c r="D225" s="8">
        <v>21</v>
      </c>
      <c r="E225" s="9">
        <f t="shared" si="15"/>
        <v>0.852112676056338</v>
      </c>
    </row>
    <row r="228" spans="2:5" s="12" customFormat="1" x14ac:dyDescent="0.25"/>
    <row r="230" spans="2:5" ht="18.75" x14ac:dyDescent="0.3">
      <c r="B230" s="16" t="s">
        <v>15</v>
      </c>
    </row>
    <row r="231" spans="2:5" ht="21" x14ac:dyDescent="0.25">
      <c r="B231" s="2">
        <v>42335</v>
      </c>
      <c r="C231" s="3" t="s">
        <v>2</v>
      </c>
      <c r="D231" s="3" t="s">
        <v>3</v>
      </c>
      <c r="E231" s="3" t="s">
        <v>4</v>
      </c>
    </row>
    <row r="232" spans="2:5" x14ac:dyDescent="0.25">
      <c r="B232" s="4" t="s">
        <v>5</v>
      </c>
      <c r="C232" s="5">
        <v>51</v>
      </c>
      <c r="D232" s="5">
        <v>14</v>
      </c>
      <c r="E232" s="6">
        <f t="shared" ref="E232:E237" si="16">(C232-D232)/C232</f>
        <v>0.72549019607843135</v>
      </c>
    </row>
    <row r="233" spans="2:5" x14ac:dyDescent="0.25">
      <c r="B233" s="7" t="s">
        <v>6</v>
      </c>
      <c r="C233" s="8">
        <v>35</v>
      </c>
      <c r="D233" s="8">
        <v>90</v>
      </c>
      <c r="E233" s="9">
        <f t="shared" si="16"/>
        <v>-1.5714285714285714</v>
      </c>
    </row>
    <row r="234" spans="2:5" x14ac:dyDescent="0.25">
      <c r="B234" s="7" t="s">
        <v>7</v>
      </c>
      <c r="C234" s="8">
        <v>80</v>
      </c>
      <c r="D234" s="8">
        <v>89</v>
      </c>
      <c r="E234" s="9">
        <f t="shared" si="16"/>
        <v>-0.1125</v>
      </c>
    </row>
    <row r="235" spans="2:5" x14ac:dyDescent="0.25">
      <c r="B235" s="7" t="s">
        <v>8</v>
      </c>
      <c r="C235" s="8">
        <v>23</v>
      </c>
      <c r="D235" s="8">
        <v>8</v>
      </c>
      <c r="E235" s="9">
        <f t="shared" si="16"/>
        <v>0.65217391304347827</v>
      </c>
    </row>
    <row r="236" spans="2:5" x14ac:dyDescent="0.25">
      <c r="B236" s="7" t="s">
        <v>9</v>
      </c>
      <c r="C236" s="8">
        <v>0</v>
      </c>
      <c r="D236" s="8">
        <v>0</v>
      </c>
      <c r="E236" s="9" t="e">
        <f t="shared" si="16"/>
        <v>#DIV/0!</v>
      </c>
    </row>
    <row r="237" spans="2:5" x14ac:dyDescent="0.25">
      <c r="B237" s="7" t="s">
        <v>10</v>
      </c>
      <c r="C237" s="8">
        <v>142</v>
      </c>
      <c r="D237" s="8">
        <v>11</v>
      </c>
      <c r="E237" s="9">
        <f t="shared" si="16"/>
        <v>0.92253521126760563</v>
      </c>
    </row>
    <row r="242" spans="2:5" s="12" customFormat="1" x14ac:dyDescent="0.25"/>
    <row r="245" spans="2:5" ht="18.75" x14ac:dyDescent="0.3">
      <c r="B245" s="16" t="s">
        <v>25</v>
      </c>
    </row>
    <row r="246" spans="2:5" ht="21" x14ac:dyDescent="0.25">
      <c r="B246" s="2">
        <v>42335</v>
      </c>
      <c r="C246" s="3" t="s">
        <v>2</v>
      </c>
      <c r="D246" s="3" t="s">
        <v>3</v>
      </c>
      <c r="E246" s="3" t="s">
        <v>4</v>
      </c>
    </row>
    <row r="247" spans="2:5" x14ac:dyDescent="0.25">
      <c r="B247" s="4" t="s">
        <v>5</v>
      </c>
      <c r="C247" s="5">
        <v>51</v>
      </c>
      <c r="D247" s="5">
        <v>0</v>
      </c>
      <c r="E247" s="6">
        <f t="shared" ref="E247:E252" si="17">(C247-D247)/C247</f>
        <v>1</v>
      </c>
    </row>
    <row r="248" spans="2:5" x14ac:dyDescent="0.25">
      <c r="B248" s="7" t="s">
        <v>6</v>
      </c>
      <c r="C248" s="8">
        <v>35</v>
      </c>
      <c r="D248" s="8">
        <v>0</v>
      </c>
      <c r="E248" s="9">
        <f t="shared" si="17"/>
        <v>1</v>
      </c>
    </row>
    <row r="249" spans="2:5" x14ac:dyDescent="0.25">
      <c r="B249" s="7" t="s">
        <v>7</v>
      </c>
      <c r="C249" s="8">
        <v>0</v>
      </c>
      <c r="D249" s="8">
        <v>0</v>
      </c>
      <c r="E249" s="9" t="e">
        <f t="shared" si="17"/>
        <v>#DIV/0!</v>
      </c>
    </row>
    <row r="250" spans="2:5" x14ac:dyDescent="0.25">
      <c r="B250" s="7" t="s">
        <v>8</v>
      </c>
      <c r="C250" s="8">
        <v>23</v>
      </c>
      <c r="D250" s="8">
        <v>10</v>
      </c>
      <c r="E250" s="9">
        <f t="shared" si="17"/>
        <v>0.56521739130434778</v>
      </c>
    </row>
    <row r="251" spans="2:5" x14ac:dyDescent="0.25">
      <c r="B251" s="7" t="s">
        <v>9</v>
      </c>
      <c r="C251" s="8">
        <v>90</v>
      </c>
      <c r="D251" s="8">
        <v>43</v>
      </c>
      <c r="E251" s="9">
        <f t="shared" si="17"/>
        <v>0.52222222222222225</v>
      </c>
    </row>
    <row r="252" spans="2:5" x14ac:dyDescent="0.25">
      <c r="B252" s="7" t="s">
        <v>10</v>
      </c>
      <c r="C252" s="8">
        <v>142</v>
      </c>
      <c r="D252" s="8">
        <v>5</v>
      </c>
      <c r="E252" s="9">
        <f t="shared" si="17"/>
        <v>0.96478873239436624</v>
      </c>
    </row>
    <row r="253" spans="2:5" ht="14.25" customHeight="1" x14ac:dyDescent="0.25"/>
    <row r="254" spans="2:5" ht="14.25" customHeight="1" x14ac:dyDescent="0.25"/>
    <row r="255" spans="2:5" ht="14.25" customHeight="1" x14ac:dyDescent="0.25"/>
    <row r="256" spans="2:5" ht="14.25" customHeight="1" x14ac:dyDescent="0.25"/>
    <row r="257" spans="2:5" s="12" customFormat="1" x14ac:dyDescent="0.25"/>
    <row r="260" spans="2:5" ht="18.75" x14ac:dyDescent="0.3">
      <c r="B260" s="16" t="s">
        <v>26</v>
      </c>
    </row>
    <row r="261" spans="2:5" ht="21" x14ac:dyDescent="0.25">
      <c r="B261" s="2">
        <v>42335</v>
      </c>
      <c r="C261" s="3" t="s">
        <v>2</v>
      </c>
      <c r="D261" s="3" t="s">
        <v>3</v>
      </c>
      <c r="E261" s="3" t="s">
        <v>4</v>
      </c>
    </row>
    <row r="262" spans="2:5" x14ac:dyDescent="0.25">
      <c r="B262" s="4" t="s">
        <v>5</v>
      </c>
      <c r="C262" s="5">
        <v>51</v>
      </c>
      <c r="D262" s="5">
        <v>17</v>
      </c>
      <c r="E262" s="6">
        <f t="shared" ref="E262:E267" si="18">(C262-D262)/C262</f>
        <v>0.66666666666666663</v>
      </c>
    </row>
    <row r="263" spans="2:5" x14ac:dyDescent="0.25">
      <c r="B263" s="7" t="s">
        <v>6</v>
      </c>
      <c r="C263" s="8">
        <v>35</v>
      </c>
      <c r="D263" s="8">
        <v>142</v>
      </c>
      <c r="E263" s="9">
        <f t="shared" si="18"/>
        <v>-3.0571428571428569</v>
      </c>
    </row>
    <row r="264" spans="2:5" x14ac:dyDescent="0.25">
      <c r="B264" s="7" t="s">
        <v>7</v>
      </c>
      <c r="C264" s="8">
        <v>80</v>
      </c>
      <c r="D264" s="8">
        <v>0</v>
      </c>
      <c r="E264" s="9">
        <f t="shared" si="18"/>
        <v>1</v>
      </c>
    </row>
    <row r="265" spans="2:5" x14ac:dyDescent="0.25">
      <c r="B265" s="7" t="s">
        <v>8</v>
      </c>
      <c r="C265" s="8">
        <v>23</v>
      </c>
      <c r="D265" s="8">
        <v>5</v>
      </c>
      <c r="E265" s="9">
        <f t="shared" si="18"/>
        <v>0.78260869565217395</v>
      </c>
    </row>
    <row r="266" spans="2:5" x14ac:dyDescent="0.25">
      <c r="B266" s="7" t="s">
        <v>9</v>
      </c>
      <c r="C266" s="8">
        <v>0</v>
      </c>
      <c r="D266" s="8">
        <v>0</v>
      </c>
      <c r="E266" s="9" t="e">
        <f t="shared" si="18"/>
        <v>#DIV/0!</v>
      </c>
    </row>
    <row r="267" spans="2:5" x14ac:dyDescent="0.25">
      <c r="B267" s="7" t="s">
        <v>10</v>
      </c>
      <c r="C267" s="8">
        <v>142</v>
      </c>
      <c r="D267" s="8">
        <v>6</v>
      </c>
      <c r="E267" s="9">
        <f t="shared" si="18"/>
        <v>0.95774647887323938</v>
      </c>
    </row>
    <row r="271" spans="2:5" s="12" customFormat="1" x14ac:dyDescent="0.25"/>
    <row r="272" spans="2:5" ht="18.75" x14ac:dyDescent="0.3">
      <c r="B272" s="16" t="s">
        <v>27</v>
      </c>
    </row>
    <row r="273" spans="2:5" ht="21" x14ac:dyDescent="0.25">
      <c r="B273" s="2">
        <v>42335</v>
      </c>
      <c r="C273" s="3" t="s">
        <v>2</v>
      </c>
      <c r="D273" s="3" t="s">
        <v>3</v>
      </c>
      <c r="E273" s="3" t="s">
        <v>4</v>
      </c>
    </row>
    <row r="274" spans="2:5" x14ac:dyDescent="0.25">
      <c r="B274" s="4" t="s">
        <v>5</v>
      </c>
      <c r="C274" s="5">
        <v>51</v>
      </c>
      <c r="D274" s="5">
        <v>9</v>
      </c>
      <c r="E274" s="6">
        <f t="shared" ref="E274:E279" si="19">(C274-D274)/C274</f>
        <v>0.82352941176470584</v>
      </c>
    </row>
    <row r="275" spans="2:5" x14ac:dyDescent="0.25">
      <c r="B275" s="7" t="s">
        <v>6</v>
      </c>
      <c r="C275" s="8">
        <v>35</v>
      </c>
      <c r="D275" s="8">
        <v>42</v>
      </c>
      <c r="E275" s="9">
        <f t="shared" si="19"/>
        <v>-0.2</v>
      </c>
    </row>
    <row r="276" spans="2:5" x14ac:dyDescent="0.25">
      <c r="B276" s="7" t="s">
        <v>7</v>
      </c>
      <c r="C276" s="8">
        <v>80</v>
      </c>
      <c r="D276" s="8">
        <v>0</v>
      </c>
      <c r="E276" s="9">
        <f t="shared" si="19"/>
        <v>1</v>
      </c>
    </row>
    <row r="277" spans="2:5" x14ac:dyDescent="0.25">
      <c r="B277" s="7" t="s">
        <v>8</v>
      </c>
      <c r="C277" s="8">
        <v>23</v>
      </c>
      <c r="D277" s="8">
        <v>5</v>
      </c>
      <c r="E277" s="9">
        <f t="shared" si="19"/>
        <v>0.78260869565217395</v>
      </c>
    </row>
    <row r="278" spans="2:5" x14ac:dyDescent="0.25">
      <c r="B278" s="7" t="s">
        <v>9</v>
      </c>
      <c r="C278" s="8">
        <v>0</v>
      </c>
      <c r="D278" s="8">
        <v>0</v>
      </c>
      <c r="E278" s="9" t="e">
        <f t="shared" si="19"/>
        <v>#DIV/0!</v>
      </c>
    </row>
    <row r="279" spans="2:5" x14ac:dyDescent="0.25">
      <c r="B279" s="7" t="s">
        <v>10</v>
      </c>
      <c r="C279" s="8">
        <v>142</v>
      </c>
      <c r="D279" s="8">
        <v>15</v>
      </c>
      <c r="E279" s="9">
        <f t="shared" si="19"/>
        <v>0.89436619718309862</v>
      </c>
    </row>
    <row r="285" spans="2:5" s="12" customFormat="1" x14ac:dyDescent="0.25"/>
    <row r="287" spans="2:5" ht="18.75" x14ac:dyDescent="0.3">
      <c r="B287" s="16" t="s">
        <v>28</v>
      </c>
    </row>
    <row r="288" spans="2:5" ht="21" x14ac:dyDescent="0.25">
      <c r="B288" s="2">
        <v>42335</v>
      </c>
      <c r="C288" s="3" t="s">
        <v>2</v>
      </c>
      <c r="D288" s="3" t="s">
        <v>3</v>
      </c>
      <c r="E288" s="3" t="s">
        <v>4</v>
      </c>
    </row>
    <row r="289" spans="2:5" x14ac:dyDescent="0.25">
      <c r="B289" s="4" t="s">
        <v>5</v>
      </c>
      <c r="C289" s="5">
        <v>51</v>
      </c>
      <c r="D289" s="5">
        <v>1</v>
      </c>
      <c r="E289" s="6">
        <f t="shared" ref="E289:E294" si="20">(C289-D289)/C289</f>
        <v>0.98039215686274506</v>
      </c>
    </row>
    <row r="290" spans="2:5" x14ac:dyDescent="0.25">
      <c r="B290" s="7" t="s">
        <v>6</v>
      </c>
      <c r="C290" s="8">
        <v>35</v>
      </c>
      <c r="D290" s="8">
        <v>52</v>
      </c>
      <c r="E290" s="9">
        <f t="shared" si="20"/>
        <v>-0.48571428571428571</v>
      </c>
    </row>
    <row r="291" spans="2:5" x14ac:dyDescent="0.25">
      <c r="B291" s="7" t="s">
        <v>7</v>
      </c>
      <c r="C291" s="8">
        <v>80</v>
      </c>
      <c r="D291" s="8">
        <v>0</v>
      </c>
      <c r="E291" s="9">
        <f t="shared" si="20"/>
        <v>1</v>
      </c>
    </row>
    <row r="292" spans="2:5" x14ac:dyDescent="0.25">
      <c r="B292" s="7" t="s">
        <v>8</v>
      </c>
      <c r="C292" s="8">
        <v>23</v>
      </c>
      <c r="D292" s="8">
        <v>2</v>
      </c>
      <c r="E292" s="9">
        <f t="shared" si="20"/>
        <v>0.91304347826086951</v>
      </c>
    </row>
    <row r="293" spans="2:5" x14ac:dyDescent="0.25">
      <c r="B293" s="7" t="s">
        <v>9</v>
      </c>
      <c r="C293" s="8">
        <v>0</v>
      </c>
      <c r="D293" s="8">
        <v>0</v>
      </c>
      <c r="E293" s="9" t="e">
        <f t="shared" si="20"/>
        <v>#DIV/0!</v>
      </c>
    </row>
    <row r="294" spans="2:5" x14ac:dyDescent="0.25">
      <c r="B294" s="7" t="s">
        <v>10</v>
      </c>
      <c r="C294" s="8">
        <v>142</v>
      </c>
      <c r="D294" s="8">
        <v>12</v>
      </c>
      <c r="E294" s="9">
        <f t="shared" si="20"/>
        <v>0.91549295774647887</v>
      </c>
    </row>
    <row r="300" spans="2:5" s="12" customFormat="1" x14ac:dyDescent="0.25"/>
    <row r="302" spans="2:5" ht="18.75" x14ac:dyDescent="0.3">
      <c r="B302" s="16" t="s">
        <v>29</v>
      </c>
    </row>
    <row r="303" spans="2:5" ht="21" x14ac:dyDescent="0.25">
      <c r="B303" s="2">
        <v>42335</v>
      </c>
      <c r="C303" s="3" t="s">
        <v>2</v>
      </c>
      <c r="D303" s="3" t="s">
        <v>3</v>
      </c>
      <c r="E303" s="3" t="s">
        <v>4</v>
      </c>
    </row>
    <row r="304" spans="2:5" x14ac:dyDescent="0.25">
      <c r="B304" s="4" t="s">
        <v>5</v>
      </c>
      <c r="C304" s="5">
        <v>51</v>
      </c>
      <c r="D304" s="5">
        <v>35</v>
      </c>
      <c r="E304" s="6">
        <f t="shared" ref="E304:E309" si="21">(C304-D304)/C304</f>
        <v>0.31372549019607843</v>
      </c>
    </row>
    <row r="305" spans="2:5" x14ac:dyDescent="0.25">
      <c r="B305" s="7" t="s">
        <v>6</v>
      </c>
      <c r="C305" s="8">
        <v>35</v>
      </c>
      <c r="D305" s="8">
        <v>223</v>
      </c>
      <c r="E305" s="9">
        <f t="shared" si="21"/>
        <v>-5.371428571428571</v>
      </c>
    </row>
    <row r="306" spans="2:5" x14ac:dyDescent="0.25">
      <c r="B306" s="7" t="s">
        <v>7</v>
      </c>
      <c r="C306" s="8">
        <v>80</v>
      </c>
      <c r="D306" s="8">
        <v>168</v>
      </c>
      <c r="E306" s="9">
        <f t="shared" si="21"/>
        <v>-1.1000000000000001</v>
      </c>
    </row>
    <row r="307" spans="2:5" x14ac:dyDescent="0.25">
      <c r="B307" s="7" t="s">
        <v>8</v>
      </c>
      <c r="C307" s="8">
        <v>23</v>
      </c>
      <c r="D307" s="8">
        <v>1</v>
      </c>
      <c r="E307" s="9">
        <f t="shared" si="21"/>
        <v>0.95652173913043481</v>
      </c>
    </row>
    <row r="308" spans="2:5" x14ac:dyDescent="0.25">
      <c r="B308" s="7" t="s">
        <v>9</v>
      </c>
      <c r="C308" s="8">
        <v>0</v>
      </c>
      <c r="D308" s="8">
        <v>0</v>
      </c>
      <c r="E308" s="9" t="e">
        <f t="shared" si="21"/>
        <v>#DIV/0!</v>
      </c>
    </row>
    <row r="309" spans="2:5" x14ac:dyDescent="0.25">
      <c r="B309" s="7" t="s">
        <v>10</v>
      </c>
      <c r="C309" s="8">
        <v>142</v>
      </c>
      <c r="D309" s="8">
        <v>51</v>
      </c>
      <c r="E309" s="9">
        <f t="shared" si="21"/>
        <v>0.64084507042253525</v>
      </c>
    </row>
    <row r="314" spans="2:5" s="12" customFormat="1" x14ac:dyDescent="0.25"/>
    <row r="317" spans="2:5" ht="18.75" x14ac:dyDescent="0.3">
      <c r="B317" s="16" t="s">
        <v>30</v>
      </c>
    </row>
    <row r="318" spans="2:5" ht="21" x14ac:dyDescent="0.25">
      <c r="B318" s="2">
        <v>42335</v>
      </c>
      <c r="C318" s="3" t="s">
        <v>2</v>
      </c>
      <c r="D318" s="3" t="s">
        <v>3</v>
      </c>
      <c r="E318" s="3" t="s">
        <v>4</v>
      </c>
    </row>
    <row r="319" spans="2:5" x14ac:dyDescent="0.25">
      <c r="B319" s="4" t="s">
        <v>5</v>
      </c>
      <c r="C319" s="5">
        <v>51</v>
      </c>
      <c r="D319" s="5">
        <v>22</v>
      </c>
      <c r="E319" s="6">
        <f t="shared" ref="E319:E324" si="22">(C319-D319)/C319</f>
        <v>0.56862745098039214</v>
      </c>
    </row>
    <row r="320" spans="2:5" x14ac:dyDescent="0.25">
      <c r="B320" s="7" t="s">
        <v>6</v>
      </c>
      <c r="C320" s="8">
        <v>35</v>
      </c>
      <c r="D320" s="8">
        <v>90</v>
      </c>
      <c r="E320" s="9">
        <f t="shared" si="22"/>
        <v>-1.5714285714285714</v>
      </c>
    </row>
    <row r="321" spans="2:5" x14ac:dyDescent="0.25">
      <c r="B321" s="7" t="s">
        <v>7</v>
      </c>
      <c r="C321" s="8">
        <v>80</v>
      </c>
      <c r="D321" s="8">
        <v>0</v>
      </c>
      <c r="E321" s="9">
        <f t="shared" si="22"/>
        <v>1</v>
      </c>
    </row>
    <row r="322" spans="2:5" x14ac:dyDescent="0.25">
      <c r="B322" s="7" t="s">
        <v>8</v>
      </c>
      <c r="C322" s="8">
        <v>23</v>
      </c>
      <c r="D322" s="8">
        <v>58</v>
      </c>
      <c r="E322" s="9">
        <f t="shared" si="22"/>
        <v>-1.5217391304347827</v>
      </c>
    </row>
    <row r="323" spans="2:5" x14ac:dyDescent="0.25">
      <c r="B323" s="7" t="s">
        <v>9</v>
      </c>
      <c r="C323" s="8">
        <v>0</v>
      </c>
      <c r="D323" s="8">
        <v>0</v>
      </c>
      <c r="E323" s="9" t="e">
        <f t="shared" si="22"/>
        <v>#DIV/0!</v>
      </c>
    </row>
    <row r="324" spans="2:5" x14ac:dyDescent="0.25">
      <c r="B324" s="7" t="s">
        <v>10</v>
      </c>
      <c r="C324" s="8">
        <v>142</v>
      </c>
      <c r="D324" s="8">
        <v>12</v>
      </c>
      <c r="E324" s="9">
        <f t="shared" si="22"/>
        <v>0.91549295774647887</v>
      </c>
    </row>
    <row r="329" spans="2:5" s="12" customFormat="1" x14ac:dyDescent="0.25"/>
    <row r="332" spans="2:5" ht="18.75" x14ac:dyDescent="0.3">
      <c r="B332" s="16" t="s">
        <v>31</v>
      </c>
    </row>
    <row r="333" spans="2:5" ht="21" x14ac:dyDescent="0.25">
      <c r="B333" s="2">
        <v>42335</v>
      </c>
      <c r="C333" s="3" t="s">
        <v>2</v>
      </c>
      <c r="D333" s="3" t="s">
        <v>3</v>
      </c>
      <c r="E333" s="3" t="s">
        <v>4</v>
      </c>
    </row>
    <row r="334" spans="2:5" x14ac:dyDescent="0.25">
      <c r="B334" s="4" t="s">
        <v>5</v>
      </c>
      <c r="C334" s="5">
        <v>51</v>
      </c>
      <c r="D334" s="5">
        <v>0</v>
      </c>
      <c r="E334" s="6">
        <f t="shared" ref="E334:E339" si="23">(C334-D334)/C334</f>
        <v>1</v>
      </c>
    </row>
    <row r="335" spans="2:5" x14ac:dyDescent="0.25">
      <c r="B335" s="7" t="s">
        <v>6</v>
      </c>
      <c r="C335" s="8">
        <v>35</v>
      </c>
      <c r="D335" s="8">
        <v>0</v>
      </c>
      <c r="E335" s="9">
        <f t="shared" si="23"/>
        <v>1</v>
      </c>
    </row>
    <row r="336" spans="2:5" x14ac:dyDescent="0.25">
      <c r="B336" s="7" t="s">
        <v>7</v>
      </c>
      <c r="C336" s="8">
        <v>0</v>
      </c>
      <c r="D336" s="8">
        <v>0</v>
      </c>
      <c r="E336" s="9" t="e">
        <f t="shared" si="23"/>
        <v>#DIV/0!</v>
      </c>
    </row>
    <row r="337" spans="2:5" x14ac:dyDescent="0.25">
      <c r="B337" s="7" t="s">
        <v>8</v>
      </c>
      <c r="C337" s="8">
        <v>23</v>
      </c>
      <c r="D337" s="8">
        <v>0</v>
      </c>
      <c r="E337" s="9">
        <f t="shared" si="23"/>
        <v>1</v>
      </c>
    </row>
    <row r="338" spans="2:5" x14ac:dyDescent="0.25">
      <c r="B338" s="7" t="s">
        <v>9</v>
      </c>
      <c r="C338" s="8">
        <v>90</v>
      </c>
      <c r="D338" s="8">
        <v>45</v>
      </c>
      <c r="E338" s="9">
        <f t="shared" si="23"/>
        <v>0.5</v>
      </c>
    </row>
    <row r="339" spans="2:5" x14ac:dyDescent="0.25">
      <c r="B339" s="7" t="s">
        <v>10</v>
      </c>
      <c r="C339" s="8">
        <v>142</v>
      </c>
      <c r="D339" s="8">
        <v>4</v>
      </c>
      <c r="E339" s="9">
        <f t="shared" si="23"/>
        <v>0.971830985915493</v>
      </c>
    </row>
    <row r="344" spans="2:5" s="12" customFormat="1" x14ac:dyDescent="0.25"/>
    <row r="347" spans="2:5" ht="18.75" x14ac:dyDescent="0.3">
      <c r="B347" s="16" t="s">
        <v>32</v>
      </c>
    </row>
    <row r="348" spans="2:5" ht="21" x14ac:dyDescent="0.25">
      <c r="B348" s="2">
        <v>42335</v>
      </c>
      <c r="C348" s="3" t="s">
        <v>2</v>
      </c>
      <c r="D348" s="3" t="s">
        <v>3</v>
      </c>
      <c r="E348" s="3" t="s">
        <v>4</v>
      </c>
    </row>
    <row r="349" spans="2:5" x14ac:dyDescent="0.25">
      <c r="B349" s="4" t="s">
        <v>5</v>
      </c>
      <c r="C349" s="5">
        <v>51</v>
      </c>
      <c r="D349" s="5">
        <v>1</v>
      </c>
      <c r="E349" s="6">
        <f t="shared" ref="E349:E354" si="24">(C349-D349)/C349</f>
        <v>0.98039215686274506</v>
      </c>
    </row>
    <row r="350" spans="2:5" x14ac:dyDescent="0.25">
      <c r="B350" s="7" t="s">
        <v>6</v>
      </c>
      <c r="C350" s="8">
        <v>35</v>
      </c>
      <c r="D350" s="8">
        <v>10</v>
      </c>
      <c r="E350" s="9">
        <f t="shared" si="24"/>
        <v>0.7142857142857143</v>
      </c>
    </row>
    <row r="351" spans="2:5" x14ac:dyDescent="0.25">
      <c r="B351" s="7" t="s">
        <v>7</v>
      </c>
      <c r="C351" s="8">
        <v>0</v>
      </c>
      <c r="D351" s="8">
        <v>0</v>
      </c>
      <c r="E351" s="9" t="e">
        <f t="shared" si="24"/>
        <v>#DIV/0!</v>
      </c>
    </row>
    <row r="352" spans="2:5" x14ac:dyDescent="0.25">
      <c r="B352" s="7" t="s">
        <v>8</v>
      </c>
      <c r="C352" s="8">
        <v>23</v>
      </c>
      <c r="D352" s="8">
        <v>0</v>
      </c>
      <c r="E352" s="9">
        <f t="shared" si="24"/>
        <v>1</v>
      </c>
    </row>
    <row r="353" spans="2:5" x14ac:dyDescent="0.25">
      <c r="B353" s="7" t="s">
        <v>9</v>
      </c>
      <c r="C353" s="8">
        <v>240</v>
      </c>
      <c r="D353" s="8">
        <v>149</v>
      </c>
      <c r="E353" s="9">
        <f t="shared" si="24"/>
        <v>0.37916666666666665</v>
      </c>
    </row>
    <row r="354" spans="2:5" x14ac:dyDescent="0.25">
      <c r="B354" s="7" t="s">
        <v>10</v>
      </c>
      <c r="C354" s="8">
        <v>142</v>
      </c>
      <c r="D354" s="8">
        <v>6</v>
      </c>
      <c r="E354" s="9">
        <f t="shared" si="24"/>
        <v>0.95774647887323938</v>
      </c>
    </row>
    <row r="361" spans="2:5" s="12" customFormat="1" x14ac:dyDescent="0.25"/>
    <row r="362" spans="2:5" ht="18.75" x14ac:dyDescent="0.3">
      <c r="B362" s="16" t="s">
        <v>33</v>
      </c>
    </row>
    <row r="363" spans="2:5" ht="21" x14ac:dyDescent="0.25">
      <c r="B363" s="2">
        <v>42335</v>
      </c>
      <c r="C363" s="3" t="s">
        <v>2</v>
      </c>
      <c r="D363" s="3" t="s">
        <v>3</v>
      </c>
      <c r="E363" s="3" t="s">
        <v>4</v>
      </c>
    </row>
    <row r="364" spans="2:5" x14ac:dyDescent="0.25">
      <c r="B364" s="4" t="s">
        <v>5</v>
      </c>
      <c r="C364" s="5">
        <v>51</v>
      </c>
      <c r="D364" s="5">
        <v>5</v>
      </c>
      <c r="E364" s="6">
        <f t="shared" ref="E364:E369" si="25">(C364-D364)/C364</f>
        <v>0.90196078431372551</v>
      </c>
    </row>
    <row r="365" spans="2:5" x14ac:dyDescent="0.25">
      <c r="B365" s="7" t="s">
        <v>6</v>
      </c>
      <c r="C365" s="8">
        <v>35</v>
      </c>
      <c r="D365" s="8">
        <v>12</v>
      </c>
      <c r="E365" s="9">
        <f t="shared" si="25"/>
        <v>0.65714285714285714</v>
      </c>
    </row>
    <row r="366" spans="2:5" x14ac:dyDescent="0.25">
      <c r="B366" s="7" t="s">
        <v>7</v>
      </c>
      <c r="C366" s="8">
        <v>0</v>
      </c>
      <c r="D366" s="8">
        <v>0</v>
      </c>
      <c r="E366" s="9" t="e">
        <f t="shared" si="25"/>
        <v>#DIV/0!</v>
      </c>
    </row>
    <row r="367" spans="2:5" x14ac:dyDescent="0.25">
      <c r="B367" s="7" t="s">
        <v>8</v>
      </c>
      <c r="C367" s="8">
        <v>23</v>
      </c>
      <c r="D367" s="8">
        <v>0</v>
      </c>
      <c r="E367" s="9">
        <f t="shared" si="25"/>
        <v>1</v>
      </c>
    </row>
    <row r="368" spans="2:5" x14ac:dyDescent="0.25">
      <c r="B368" s="7" t="s">
        <v>9</v>
      </c>
      <c r="C368" s="8">
        <v>90</v>
      </c>
      <c r="D368" s="8">
        <v>44</v>
      </c>
      <c r="E368" s="9">
        <f t="shared" si="25"/>
        <v>0.51111111111111107</v>
      </c>
    </row>
    <row r="369" spans="2:5" x14ac:dyDescent="0.25">
      <c r="B369" s="7" t="s">
        <v>10</v>
      </c>
      <c r="C369" s="8">
        <v>142</v>
      </c>
      <c r="D369" s="8">
        <v>8</v>
      </c>
      <c r="E369" s="9">
        <f t="shared" si="25"/>
        <v>0.94366197183098588</v>
      </c>
    </row>
    <row r="375" spans="2:5" s="12" customFormat="1" x14ac:dyDescent="0.25"/>
    <row r="377" spans="2:5" ht="18.75" x14ac:dyDescent="0.3">
      <c r="B377" s="16" t="s">
        <v>34</v>
      </c>
    </row>
    <row r="378" spans="2:5" ht="21" x14ac:dyDescent="0.25">
      <c r="B378" s="2">
        <v>42335</v>
      </c>
      <c r="C378" s="3" t="s">
        <v>2</v>
      </c>
      <c r="D378" s="3" t="s">
        <v>3</v>
      </c>
      <c r="E378" s="3" t="s">
        <v>4</v>
      </c>
    </row>
    <row r="379" spans="2:5" x14ac:dyDescent="0.25">
      <c r="B379" s="4" t="s">
        <v>5</v>
      </c>
      <c r="C379" s="5">
        <v>51</v>
      </c>
      <c r="D379" s="5">
        <v>105</v>
      </c>
      <c r="E379" s="6">
        <f t="shared" ref="E379:E384" si="26">(C379-D379)/C379</f>
        <v>-1.0588235294117647</v>
      </c>
    </row>
    <row r="380" spans="2:5" x14ac:dyDescent="0.25">
      <c r="B380" s="7" t="s">
        <v>6</v>
      </c>
      <c r="C380" s="8">
        <v>35</v>
      </c>
      <c r="D380" s="8">
        <v>102</v>
      </c>
      <c r="E380" s="9">
        <f t="shared" si="26"/>
        <v>-1.9142857142857144</v>
      </c>
    </row>
    <row r="381" spans="2:5" x14ac:dyDescent="0.25">
      <c r="B381" s="7" t="s">
        <v>7</v>
      </c>
      <c r="C381" s="8">
        <v>0</v>
      </c>
      <c r="D381" s="8">
        <v>0</v>
      </c>
      <c r="E381" s="9" t="e">
        <f t="shared" si="26"/>
        <v>#DIV/0!</v>
      </c>
    </row>
    <row r="382" spans="2:5" x14ac:dyDescent="0.25">
      <c r="B382" s="7" t="s">
        <v>8</v>
      </c>
      <c r="C382" s="8">
        <v>23</v>
      </c>
      <c r="D382" s="8">
        <v>5</v>
      </c>
      <c r="E382" s="9">
        <f t="shared" si="26"/>
        <v>0.78260869565217395</v>
      </c>
    </row>
    <row r="383" spans="2:5" x14ac:dyDescent="0.25">
      <c r="B383" s="7" t="s">
        <v>9</v>
      </c>
      <c r="C383" s="8">
        <v>240</v>
      </c>
      <c r="D383" s="8">
        <v>249</v>
      </c>
      <c r="E383" s="9">
        <f t="shared" si="26"/>
        <v>-3.7499999999999999E-2</v>
      </c>
    </row>
    <row r="384" spans="2:5" x14ac:dyDescent="0.25">
      <c r="B384" s="7" t="s">
        <v>10</v>
      </c>
      <c r="C384" s="8">
        <v>142</v>
      </c>
      <c r="D384" s="8">
        <v>6</v>
      </c>
      <c r="E384" s="9">
        <f t="shared" si="26"/>
        <v>0.95774647887323938</v>
      </c>
    </row>
    <row r="390" spans="2:5" s="12" customFormat="1" x14ac:dyDescent="0.25"/>
    <row r="392" spans="2:5" ht="18.75" x14ac:dyDescent="0.3">
      <c r="B392" s="16" t="s">
        <v>35</v>
      </c>
    </row>
    <row r="393" spans="2:5" ht="21" x14ac:dyDescent="0.25">
      <c r="B393" s="2">
        <v>42335</v>
      </c>
      <c r="C393" s="3" t="s">
        <v>2</v>
      </c>
      <c r="D393" s="3" t="s">
        <v>3</v>
      </c>
      <c r="E393" s="3" t="s">
        <v>4</v>
      </c>
    </row>
    <row r="394" spans="2:5" x14ac:dyDescent="0.25">
      <c r="B394" s="4" t="s">
        <v>5</v>
      </c>
      <c r="C394" s="5">
        <v>51</v>
      </c>
      <c r="D394" s="5">
        <v>2340</v>
      </c>
      <c r="E394" s="6">
        <f t="shared" ref="E394:E399" si="27">(C394-D394)/C394</f>
        <v>-44.882352941176471</v>
      </c>
    </row>
    <row r="395" spans="2:5" x14ac:dyDescent="0.25">
      <c r="B395" s="7" t="s">
        <v>6</v>
      </c>
      <c r="C395" s="8">
        <v>35</v>
      </c>
      <c r="D395" s="8">
        <v>3960</v>
      </c>
      <c r="E395" s="9">
        <f t="shared" si="27"/>
        <v>-112.14285714285714</v>
      </c>
    </row>
    <row r="396" spans="2:5" x14ac:dyDescent="0.25">
      <c r="B396" s="7" t="s">
        <v>7</v>
      </c>
      <c r="C396" s="8">
        <v>0</v>
      </c>
      <c r="D396" s="8">
        <v>0</v>
      </c>
      <c r="E396" s="9" t="e">
        <f t="shared" si="27"/>
        <v>#DIV/0!</v>
      </c>
    </row>
    <row r="397" spans="2:5" x14ac:dyDescent="0.25">
      <c r="B397" s="7" t="s">
        <v>8</v>
      </c>
      <c r="C397" s="8">
        <v>23</v>
      </c>
      <c r="D397" s="8">
        <v>6</v>
      </c>
      <c r="E397" s="9">
        <f t="shared" si="27"/>
        <v>0.73913043478260865</v>
      </c>
    </row>
    <row r="398" spans="2:5" x14ac:dyDescent="0.25">
      <c r="B398" s="7" t="s">
        <v>9</v>
      </c>
      <c r="C398" s="8">
        <v>240</v>
      </c>
      <c r="D398" s="8">
        <v>171</v>
      </c>
      <c r="E398" s="9">
        <f t="shared" si="27"/>
        <v>0.28749999999999998</v>
      </c>
    </row>
    <row r="399" spans="2:5" x14ac:dyDescent="0.25">
      <c r="B399" s="7" t="s">
        <v>10</v>
      </c>
      <c r="C399" s="8">
        <v>142</v>
      </c>
      <c r="D399" s="8">
        <v>6</v>
      </c>
      <c r="E399" s="9">
        <f t="shared" si="27"/>
        <v>0.95774647887323938</v>
      </c>
    </row>
    <row r="405" spans="2:5" s="12" customFormat="1" x14ac:dyDescent="0.25"/>
    <row r="407" spans="2:5" ht="18.75" x14ac:dyDescent="0.3">
      <c r="B407" s="16" t="s">
        <v>36</v>
      </c>
    </row>
    <row r="408" spans="2:5" ht="21" x14ac:dyDescent="0.25">
      <c r="B408" s="2">
        <v>42335</v>
      </c>
      <c r="C408" s="3" t="s">
        <v>2</v>
      </c>
      <c r="D408" s="3" t="s">
        <v>3</v>
      </c>
      <c r="E408" s="3" t="s">
        <v>4</v>
      </c>
    </row>
    <row r="409" spans="2:5" x14ac:dyDescent="0.25">
      <c r="B409" s="4" t="s">
        <v>5</v>
      </c>
      <c r="C409" s="5">
        <v>51</v>
      </c>
      <c r="D409" s="5">
        <v>0</v>
      </c>
      <c r="E409" s="6">
        <f t="shared" ref="E409:E414" si="28">(C409-D409)/C409</f>
        <v>1</v>
      </c>
    </row>
    <row r="410" spans="2:5" x14ac:dyDescent="0.25">
      <c r="B410" s="7" t="s">
        <v>6</v>
      </c>
      <c r="C410" s="8">
        <v>35</v>
      </c>
      <c r="D410" s="8">
        <v>18</v>
      </c>
      <c r="E410" s="9">
        <f t="shared" si="28"/>
        <v>0.48571428571428571</v>
      </c>
    </row>
    <row r="411" spans="2:5" x14ac:dyDescent="0.25">
      <c r="B411" s="7" t="s">
        <v>7</v>
      </c>
      <c r="C411" s="8">
        <v>0</v>
      </c>
      <c r="D411" s="8">
        <v>0</v>
      </c>
      <c r="E411" s="9" t="e">
        <f t="shared" si="28"/>
        <v>#DIV/0!</v>
      </c>
    </row>
    <row r="412" spans="2:5" x14ac:dyDescent="0.25">
      <c r="B412" s="7" t="s">
        <v>8</v>
      </c>
      <c r="C412" s="8">
        <v>23</v>
      </c>
      <c r="D412" s="8">
        <v>1</v>
      </c>
      <c r="E412" s="9">
        <f t="shared" si="28"/>
        <v>0.95652173913043481</v>
      </c>
    </row>
    <row r="413" spans="2:5" x14ac:dyDescent="0.25">
      <c r="B413" s="7" t="s">
        <v>9</v>
      </c>
      <c r="C413" s="8">
        <v>240</v>
      </c>
      <c r="D413" s="8">
        <v>90</v>
      </c>
      <c r="E413" s="9">
        <f t="shared" si="28"/>
        <v>0.625</v>
      </c>
    </row>
    <row r="414" spans="2:5" x14ac:dyDescent="0.25">
      <c r="B414" s="7" t="s">
        <v>10</v>
      </c>
      <c r="C414" s="8">
        <v>142</v>
      </c>
      <c r="D414" s="8">
        <v>6</v>
      </c>
      <c r="E414" s="9">
        <f t="shared" si="28"/>
        <v>0.95774647887323938</v>
      </c>
    </row>
    <row r="420" spans="2:5" s="12" customFormat="1" x14ac:dyDescent="0.25"/>
    <row r="422" spans="2:5" ht="20.25" customHeight="1" x14ac:dyDescent="0.3">
      <c r="B422" s="16" t="s">
        <v>37</v>
      </c>
    </row>
    <row r="423" spans="2:5" ht="20.25" customHeight="1" x14ac:dyDescent="0.25">
      <c r="B423" s="2">
        <v>42335</v>
      </c>
      <c r="C423" s="3" t="s">
        <v>2</v>
      </c>
      <c r="D423" s="3" t="s">
        <v>3</v>
      </c>
      <c r="E423" s="3" t="s">
        <v>4</v>
      </c>
    </row>
    <row r="424" spans="2:5" x14ac:dyDescent="0.25">
      <c r="B424" s="4" t="s">
        <v>5</v>
      </c>
      <c r="C424" s="5">
        <v>51</v>
      </c>
      <c r="D424" s="5">
        <v>6</v>
      </c>
      <c r="E424" s="6">
        <f t="shared" ref="E424:E429" si="29">(C424-D424)/C424</f>
        <v>0.88235294117647056</v>
      </c>
    </row>
    <row r="425" spans="2:5" x14ac:dyDescent="0.25">
      <c r="B425" s="7" t="s">
        <v>6</v>
      </c>
      <c r="C425" s="8">
        <v>35</v>
      </c>
      <c r="D425" s="8">
        <v>3</v>
      </c>
      <c r="E425" s="9">
        <f t="shared" si="29"/>
        <v>0.91428571428571426</v>
      </c>
    </row>
    <row r="426" spans="2:5" x14ac:dyDescent="0.25">
      <c r="B426" s="7" t="s">
        <v>7</v>
      </c>
      <c r="C426" s="8">
        <v>80</v>
      </c>
      <c r="D426" s="8">
        <v>0</v>
      </c>
      <c r="E426" s="9">
        <f t="shared" si="29"/>
        <v>1</v>
      </c>
    </row>
    <row r="427" spans="2:5" x14ac:dyDescent="0.25">
      <c r="B427" s="7" t="s">
        <v>8</v>
      </c>
      <c r="C427" s="8">
        <v>23</v>
      </c>
      <c r="D427" s="8">
        <v>12</v>
      </c>
      <c r="E427" s="9">
        <f t="shared" si="29"/>
        <v>0.47826086956521741</v>
      </c>
    </row>
    <row r="428" spans="2:5" x14ac:dyDescent="0.25">
      <c r="B428" s="7" t="s">
        <v>9</v>
      </c>
      <c r="C428" s="8">
        <v>0</v>
      </c>
      <c r="D428" s="8">
        <v>0</v>
      </c>
      <c r="E428" s="9" t="e">
        <f t="shared" si="29"/>
        <v>#DIV/0!</v>
      </c>
    </row>
    <row r="429" spans="2:5" x14ac:dyDescent="0.25">
      <c r="B429" s="7" t="s">
        <v>10</v>
      </c>
      <c r="C429" s="8">
        <v>142</v>
      </c>
      <c r="D429" s="8">
        <v>27</v>
      </c>
      <c r="E429" s="9">
        <f t="shared" si="29"/>
        <v>0.8098591549295775</v>
      </c>
    </row>
    <row r="435" spans="2:5" s="12" customFormat="1" x14ac:dyDescent="0.25"/>
    <row r="437" spans="2:5" ht="18.75" x14ac:dyDescent="0.3">
      <c r="B437" s="16" t="s">
        <v>38</v>
      </c>
    </row>
    <row r="438" spans="2:5" ht="21" x14ac:dyDescent="0.25">
      <c r="B438" s="2">
        <v>42335</v>
      </c>
      <c r="C438" s="3" t="s">
        <v>2</v>
      </c>
      <c r="D438" s="3" t="s">
        <v>3</v>
      </c>
      <c r="E438" s="3" t="s">
        <v>4</v>
      </c>
    </row>
    <row r="439" spans="2:5" x14ac:dyDescent="0.25">
      <c r="B439" s="4" t="s">
        <v>5</v>
      </c>
      <c r="C439" s="5">
        <v>51</v>
      </c>
      <c r="D439" s="5">
        <v>2</v>
      </c>
      <c r="E439" s="6">
        <f t="shared" ref="E439:E444" si="30">(C439-D439)/C439</f>
        <v>0.96078431372549022</v>
      </c>
    </row>
    <row r="440" spans="2:5" x14ac:dyDescent="0.25">
      <c r="B440" s="7" t="s">
        <v>6</v>
      </c>
      <c r="C440" s="8">
        <v>35</v>
      </c>
      <c r="D440" s="8">
        <v>3</v>
      </c>
      <c r="E440" s="9">
        <f t="shared" si="30"/>
        <v>0.91428571428571426</v>
      </c>
    </row>
    <row r="441" spans="2:5" x14ac:dyDescent="0.25">
      <c r="B441" s="7" t="s">
        <v>7</v>
      </c>
      <c r="C441" s="8">
        <v>80</v>
      </c>
      <c r="D441" s="8">
        <v>0</v>
      </c>
      <c r="E441" s="9">
        <f t="shared" si="30"/>
        <v>1</v>
      </c>
    </row>
    <row r="442" spans="2:5" x14ac:dyDescent="0.25">
      <c r="B442" s="7" t="s">
        <v>8</v>
      </c>
      <c r="C442" s="8">
        <v>23</v>
      </c>
      <c r="D442" s="8">
        <v>13</v>
      </c>
      <c r="E442" s="9">
        <f t="shared" si="30"/>
        <v>0.43478260869565216</v>
      </c>
    </row>
    <row r="443" spans="2:5" x14ac:dyDescent="0.25">
      <c r="B443" s="7" t="s">
        <v>9</v>
      </c>
      <c r="C443" s="8">
        <v>0</v>
      </c>
      <c r="D443" s="8">
        <v>0</v>
      </c>
      <c r="E443" s="9" t="e">
        <f t="shared" si="30"/>
        <v>#DIV/0!</v>
      </c>
    </row>
    <row r="444" spans="2:5" x14ac:dyDescent="0.25">
      <c r="B444" s="7" t="s">
        <v>10</v>
      </c>
      <c r="C444" s="8">
        <v>142</v>
      </c>
      <c r="D444" s="8">
        <v>15</v>
      </c>
      <c r="E444" s="9">
        <f t="shared" si="30"/>
        <v>0.89436619718309862</v>
      </c>
    </row>
    <row r="450" spans="2:5" s="12" customFormat="1" x14ac:dyDescent="0.25"/>
    <row r="452" spans="2:5" ht="18.75" x14ac:dyDescent="0.3">
      <c r="B452" s="16" t="s">
        <v>39</v>
      </c>
    </row>
    <row r="453" spans="2:5" ht="21" x14ac:dyDescent="0.25">
      <c r="B453" s="2">
        <v>42335</v>
      </c>
      <c r="C453" s="3" t="s">
        <v>2</v>
      </c>
      <c r="D453" s="3" t="s">
        <v>3</v>
      </c>
      <c r="E453" s="3" t="s">
        <v>4</v>
      </c>
    </row>
    <row r="454" spans="2:5" x14ac:dyDescent="0.25">
      <c r="B454" s="4" t="s">
        <v>5</v>
      </c>
      <c r="C454" s="5">
        <v>51</v>
      </c>
      <c r="D454" s="5">
        <v>55</v>
      </c>
      <c r="E454" s="6">
        <f t="shared" ref="E454:E459" si="31">(C454-D454)/C454</f>
        <v>-7.8431372549019607E-2</v>
      </c>
    </row>
    <row r="455" spans="2:5" x14ac:dyDescent="0.25">
      <c r="B455" s="7" t="s">
        <v>6</v>
      </c>
      <c r="C455" s="8">
        <v>35</v>
      </c>
      <c r="D455" s="8">
        <v>39</v>
      </c>
      <c r="E455" s="9">
        <f t="shared" si="31"/>
        <v>-0.11428571428571428</v>
      </c>
    </row>
    <row r="456" spans="2:5" x14ac:dyDescent="0.25">
      <c r="B456" s="7" t="s">
        <v>7</v>
      </c>
      <c r="C456" s="8">
        <v>240</v>
      </c>
      <c r="D456" s="8">
        <v>41</v>
      </c>
      <c r="E456" s="9">
        <f t="shared" si="31"/>
        <v>0.82916666666666672</v>
      </c>
    </row>
    <row r="457" spans="2:5" x14ac:dyDescent="0.25">
      <c r="B457" s="7" t="s">
        <v>8</v>
      </c>
      <c r="C457" s="8">
        <v>23</v>
      </c>
      <c r="D457" s="8">
        <v>4</v>
      </c>
      <c r="E457" s="9">
        <f t="shared" si="31"/>
        <v>0.82608695652173914</v>
      </c>
    </row>
    <row r="458" spans="2:5" x14ac:dyDescent="0.25">
      <c r="B458" s="7" t="s">
        <v>9</v>
      </c>
      <c r="C458" s="8">
        <v>0</v>
      </c>
      <c r="D458" s="8">
        <v>0</v>
      </c>
      <c r="E458" s="9" t="e">
        <f t="shared" si="31"/>
        <v>#DIV/0!</v>
      </c>
    </row>
    <row r="459" spans="2:5" x14ac:dyDescent="0.25">
      <c r="B459" s="7" t="s">
        <v>10</v>
      </c>
      <c r="C459" s="8">
        <v>142</v>
      </c>
      <c r="D459" s="8">
        <v>6</v>
      </c>
      <c r="E459" s="9">
        <f t="shared" si="31"/>
        <v>0.95774647887323938</v>
      </c>
    </row>
    <row r="465" spans="2:5" s="12" customFormat="1" x14ac:dyDescent="0.25"/>
    <row r="467" spans="2:5" ht="18.75" x14ac:dyDescent="0.3">
      <c r="B467" s="16" t="s">
        <v>40</v>
      </c>
    </row>
    <row r="468" spans="2:5" ht="21" x14ac:dyDescent="0.25">
      <c r="B468" s="2">
        <v>42335</v>
      </c>
      <c r="C468" s="3" t="s">
        <v>2</v>
      </c>
      <c r="D468" s="3" t="s">
        <v>3</v>
      </c>
      <c r="E468" s="3" t="s">
        <v>4</v>
      </c>
    </row>
    <row r="469" spans="2:5" x14ac:dyDescent="0.25">
      <c r="B469" s="4" t="s">
        <v>5</v>
      </c>
      <c r="C469" s="5">
        <v>51</v>
      </c>
      <c r="D469" s="5">
        <v>5</v>
      </c>
      <c r="E469" s="6">
        <f t="shared" ref="E469:E474" si="32">(C469-D469)/C469</f>
        <v>0.90196078431372551</v>
      </c>
    </row>
    <row r="470" spans="2:5" x14ac:dyDescent="0.25">
      <c r="B470" s="7" t="s">
        <v>6</v>
      </c>
      <c r="C470" s="8">
        <v>35</v>
      </c>
      <c r="D470" s="8">
        <v>2</v>
      </c>
      <c r="E470" s="9">
        <f t="shared" si="32"/>
        <v>0.94285714285714284</v>
      </c>
    </row>
    <row r="471" spans="2:5" x14ac:dyDescent="0.25">
      <c r="B471" s="7" t="s">
        <v>7</v>
      </c>
      <c r="C471" s="8">
        <v>240</v>
      </c>
      <c r="D471" s="8">
        <v>0</v>
      </c>
      <c r="E471" s="9">
        <f t="shared" si="32"/>
        <v>1</v>
      </c>
    </row>
    <row r="472" spans="2:5" x14ac:dyDescent="0.25">
      <c r="B472" s="7" t="s">
        <v>8</v>
      </c>
      <c r="C472" s="8">
        <v>23</v>
      </c>
      <c r="D472" s="8">
        <v>4</v>
      </c>
      <c r="E472" s="9">
        <f t="shared" si="32"/>
        <v>0.82608695652173914</v>
      </c>
    </row>
    <row r="473" spans="2:5" x14ac:dyDescent="0.25">
      <c r="B473" s="7" t="s">
        <v>9</v>
      </c>
      <c r="C473" s="8">
        <v>0</v>
      </c>
      <c r="D473" s="8">
        <v>0</v>
      </c>
      <c r="E473" s="9" t="e">
        <f t="shared" si="32"/>
        <v>#DIV/0!</v>
      </c>
    </row>
    <row r="474" spans="2:5" x14ac:dyDescent="0.25">
      <c r="B474" s="7" t="s">
        <v>10</v>
      </c>
      <c r="C474" s="8">
        <v>142</v>
      </c>
      <c r="D474" s="8">
        <v>10</v>
      </c>
      <c r="E474" s="9">
        <f t="shared" si="32"/>
        <v>0.92957746478873238</v>
      </c>
    </row>
    <row r="480" spans="2:5" s="12" customFormat="1" x14ac:dyDescent="0.25"/>
    <row r="482" spans="2:5" ht="18.75" x14ac:dyDescent="0.3">
      <c r="B482" s="16" t="s">
        <v>41</v>
      </c>
    </row>
    <row r="483" spans="2:5" ht="21" x14ac:dyDescent="0.25">
      <c r="B483" s="2">
        <v>42335</v>
      </c>
      <c r="C483" s="3" t="s">
        <v>2</v>
      </c>
      <c r="D483" s="3" t="s">
        <v>3</v>
      </c>
      <c r="E483" s="3" t="s">
        <v>4</v>
      </c>
    </row>
    <row r="484" spans="2:5" x14ac:dyDescent="0.25">
      <c r="B484" s="4" t="s">
        <v>5</v>
      </c>
      <c r="C484" s="5">
        <v>51</v>
      </c>
      <c r="D484" s="5">
        <v>101</v>
      </c>
      <c r="E484" s="6">
        <f t="shared" ref="E484:E489" si="33">(C484-D484)/C484</f>
        <v>-0.98039215686274506</v>
      </c>
    </row>
    <row r="485" spans="2:5" x14ac:dyDescent="0.25">
      <c r="B485" s="7" t="s">
        <v>6</v>
      </c>
      <c r="C485" s="8">
        <v>35</v>
      </c>
      <c r="D485" s="8">
        <v>20</v>
      </c>
      <c r="E485" s="9">
        <f t="shared" si="33"/>
        <v>0.42857142857142855</v>
      </c>
    </row>
    <row r="486" spans="2:5" x14ac:dyDescent="0.25">
      <c r="B486" s="7" t="s">
        <v>7</v>
      </c>
      <c r="C486" s="8">
        <v>0</v>
      </c>
      <c r="D486" s="8">
        <v>0</v>
      </c>
      <c r="E486" s="9" t="e">
        <f t="shared" si="33"/>
        <v>#DIV/0!</v>
      </c>
    </row>
    <row r="487" spans="2:5" x14ac:dyDescent="0.25">
      <c r="B487" s="7" t="s">
        <v>8</v>
      </c>
      <c r="C487" s="8">
        <v>23</v>
      </c>
      <c r="D487" s="8">
        <v>12</v>
      </c>
      <c r="E487" s="9">
        <f t="shared" si="33"/>
        <v>0.47826086956521741</v>
      </c>
    </row>
    <row r="488" spans="2:5" x14ac:dyDescent="0.25">
      <c r="B488" s="7" t="s">
        <v>9</v>
      </c>
      <c r="C488" s="8">
        <v>90</v>
      </c>
      <c r="D488" s="8">
        <v>1094</v>
      </c>
      <c r="E488" s="9">
        <f t="shared" si="33"/>
        <v>-11.155555555555555</v>
      </c>
    </row>
    <row r="489" spans="2:5" x14ac:dyDescent="0.25">
      <c r="B489" s="7" t="s">
        <v>10</v>
      </c>
      <c r="C489" s="8">
        <v>142</v>
      </c>
      <c r="D489" s="8">
        <v>6</v>
      </c>
      <c r="E489" s="9">
        <f t="shared" si="33"/>
        <v>0.95774647887323938</v>
      </c>
    </row>
    <row r="495" spans="2:5" s="12" customFormat="1" x14ac:dyDescent="0.25"/>
    <row r="496" spans="2:5" ht="18.75" x14ac:dyDescent="0.3">
      <c r="B496" s="16" t="s">
        <v>42</v>
      </c>
    </row>
    <row r="497" spans="2:5" ht="21" x14ac:dyDescent="0.25">
      <c r="B497" s="2">
        <v>42335</v>
      </c>
      <c r="C497" s="3" t="s">
        <v>2</v>
      </c>
      <c r="D497" s="3" t="s">
        <v>3</v>
      </c>
      <c r="E497" s="3" t="s">
        <v>4</v>
      </c>
    </row>
    <row r="498" spans="2:5" x14ac:dyDescent="0.25">
      <c r="B498" s="4" t="s">
        <v>5</v>
      </c>
      <c r="C498" s="5">
        <v>51</v>
      </c>
      <c r="D498" s="5">
        <v>7</v>
      </c>
      <c r="E498" s="6">
        <f t="shared" ref="E498:E503" si="34">(C498-D498)/C498</f>
        <v>0.86274509803921573</v>
      </c>
    </row>
    <row r="499" spans="2:5" x14ac:dyDescent="0.25">
      <c r="B499" s="7" t="s">
        <v>6</v>
      </c>
      <c r="C499" s="8">
        <v>35</v>
      </c>
      <c r="D499" s="8">
        <v>5</v>
      </c>
      <c r="E499" s="9">
        <f t="shared" si="34"/>
        <v>0.8571428571428571</v>
      </c>
    </row>
    <row r="500" spans="2:5" x14ac:dyDescent="0.25">
      <c r="B500" s="7" t="s">
        <v>7</v>
      </c>
      <c r="C500" s="8">
        <v>240</v>
      </c>
      <c r="D500" s="8">
        <v>101</v>
      </c>
      <c r="E500" s="9">
        <f t="shared" si="34"/>
        <v>0.57916666666666672</v>
      </c>
    </row>
    <row r="501" spans="2:5" x14ac:dyDescent="0.25">
      <c r="B501" s="7" t="s">
        <v>8</v>
      </c>
      <c r="C501" s="8">
        <v>23</v>
      </c>
      <c r="D501" s="8">
        <v>5441</v>
      </c>
      <c r="E501" s="9">
        <f t="shared" si="34"/>
        <v>-235.56521739130434</v>
      </c>
    </row>
    <row r="502" spans="2:5" x14ac:dyDescent="0.25">
      <c r="B502" s="7" t="s">
        <v>9</v>
      </c>
      <c r="C502" s="8">
        <v>0</v>
      </c>
      <c r="D502" s="8">
        <v>0</v>
      </c>
      <c r="E502" s="9" t="e">
        <f t="shared" si="34"/>
        <v>#DIV/0!</v>
      </c>
    </row>
    <row r="503" spans="2:5" x14ac:dyDescent="0.25">
      <c r="B503" s="7" t="s">
        <v>10</v>
      </c>
      <c r="C503" s="8">
        <v>142</v>
      </c>
      <c r="D503" s="8">
        <v>11</v>
      </c>
      <c r="E503" s="9">
        <f t="shared" si="34"/>
        <v>0.92253521126760563</v>
      </c>
    </row>
    <row r="509" spans="2:5" s="12" customFormat="1" x14ac:dyDescent="0.25"/>
    <row r="511" spans="2:5" ht="18.75" x14ac:dyDescent="0.3">
      <c r="B511" s="16" t="s">
        <v>43</v>
      </c>
    </row>
    <row r="512" spans="2:5" ht="21" x14ac:dyDescent="0.25">
      <c r="B512" s="2">
        <v>42335</v>
      </c>
      <c r="C512" s="3" t="s">
        <v>2</v>
      </c>
      <c r="D512" s="3" t="s">
        <v>3</v>
      </c>
      <c r="E512" s="3" t="s">
        <v>4</v>
      </c>
    </row>
    <row r="513" spans="2:5" x14ac:dyDescent="0.25">
      <c r="B513" s="4" t="s">
        <v>5</v>
      </c>
      <c r="C513" s="5">
        <v>51</v>
      </c>
      <c r="D513" s="5">
        <v>33</v>
      </c>
      <c r="E513" s="6">
        <f t="shared" ref="E513:E518" si="35">(C513-D513)/C513</f>
        <v>0.35294117647058826</v>
      </c>
    </row>
    <row r="514" spans="2:5" x14ac:dyDescent="0.25">
      <c r="B514" s="7" t="s">
        <v>6</v>
      </c>
      <c r="C514" s="8">
        <v>35</v>
      </c>
      <c r="D514" s="8">
        <v>56</v>
      </c>
      <c r="E514" s="9">
        <f t="shared" si="35"/>
        <v>-0.6</v>
      </c>
    </row>
    <row r="515" spans="2:5" x14ac:dyDescent="0.25">
      <c r="B515" s="7" t="s">
        <v>7</v>
      </c>
      <c r="C515" s="8">
        <v>80</v>
      </c>
      <c r="D515" s="8">
        <v>0</v>
      </c>
      <c r="E515" s="9">
        <f t="shared" si="35"/>
        <v>1</v>
      </c>
    </row>
    <row r="516" spans="2:5" x14ac:dyDescent="0.25">
      <c r="B516" s="7" t="s">
        <v>8</v>
      </c>
      <c r="C516" s="8">
        <v>23</v>
      </c>
      <c r="D516" s="8">
        <v>0</v>
      </c>
      <c r="E516" s="9">
        <f t="shared" si="35"/>
        <v>1</v>
      </c>
    </row>
    <row r="517" spans="2:5" x14ac:dyDescent="0.25">
      <c r="B517" s="7" t="s">
        <v>9</v>
      </c>
      <c r="C517" s="8">
        <v>0</v>
      </c>
      <c r="D517" s="8">
        <v>0</v>
      </c>
      <c r="E517" s="9" t="e">
        <f t="shared" si="35"/>
        <v>#DIV/0!</v>
      </c>
    </row>
    <row r="518" spans="2:5" x14ac:dyDescent="0.25">
      <c r="B518" s="7" t="s">
        <v>10</v>
      </c>
      <c r="C518" s="8">
        <v>142</v>
      </c>
      <c r="D518" s="8">
        <v>6</v>
      </c>
      <c r="E518" s="9">
        <f t="shared" si="35"/>
        <v>0.95774647887323938</v>
      </c>
    </row>
    <row r="524" spans="2:5" s="12" customFormat="1" x14ac:dyDescent="0.25"/>
    <row r="526" spans="2:5" ht="18.75" x14ac:dyDescent="0.3">
      <c r="B526" s="16" t="s">
        <v>44</v>
      </c>
    </row>
    <row r="527" spans="2:5" ht="21" x14ac:dyDescent="0.25">
      <c r="B527" s="2">
        <v>42335</v>
      </c>
      <c r="C527" s="3" t="s">
        <v>2</v>
      </c>
      <c r="D527" s="3" t="s">
        <v>3</v>
      </c>
      <c r="E527" s="3" t="s">
        <v>4</v>
      </c>
    </row>
    <row r="528" spans="2:5" x14ac:dyDescent="0.25">
      <c r="B528" s="4" t="s">
        <v>5</v>
      </c>
      <c r="C528" s="5">
        <v>51</v>
      </c>
      <c r="D528" s="5">
        <v>8</v>
      </c>
      <c r="E528" s="6">
        <f t="shared" ref="E528:E533" si="36">(C528-D528)/C528</f>
        <v>0.84313725490196079</v>
      </c>
    </row>
    <row r="529" spans="2:5" x14ac:dyDescent="0.25">
      <c r="B529" s="7" t="s">
        <v>6</v>
      </c>
      <c r="C529" s="8">
        <v>35</v>
      </c>
      <c r="D529" s="8">
        <v>3</v>
      </c>
      <c r="E529" s="9">
        <f t="shared" si="36"/>
        <v>0.91428571428571426</v>
      </c>
    </row>
    <row r="530" spans="2:5" x14ac:dyDescent="0.25">
      <c r="B530" s="7" t="s">
        <v>7</v>
      </c>
      <c r="C530" s="8">
        <v>0</v>
      </c>
      <c r="D530" s="8">
        <v>0</v>
      </c>
      <c r="E530" s="9" t="e">
        <f t="shared" si="36"/>
        <v>#DIV/0!</v>
      </c>
    </row>
    <row r="531" spans="2:5" x14ac:dyDescent="0.25">
      <c r="B531" s="7" t="s">
        <v>8</v>
      </c>
      <c r="C531" s="8">
        <v>23</v>
      </c>
      <c r="D531" s="8">
        <v>0</v>
      </c>
      <c r="E531" s="9">
        <f t="shared" si="36"/>
        <v>1</v>
      </c>
    </row>
    <row r="532" spans="2:5" x14ac:dyDescent="0.25">
      <c r="B532" s="7" t="s">
        <v>9</v>
      </c>
      <c r="C532" s="8">
        <v>240</v>
      </c>
      <c r="D532" s="8">
        <v>170</v>
      </c>
      <c r="E532" s="9">
        <f t="shared" si="36"/>
        <v>0.29166666666666669</v>
      </c>
    </row>
    <row r="533" spans="2:5" x14ac:dyDescent="0.25">
      <c r="B533" s="7" t="s">
        <v>10</v>
      </c>
      <c r="C533" s="8">
        <v>142</v>
      </c>
      <c r="D533" s="8">
        <v>7</v>
      </c>
      <c r="E533" s="9">
        <f t="shared" si="36"/>
        <v>0.95070422535211263</v>
      </c>
    </row>
    <row r="535" spans="2:5" ht="64.5" x14ac:dyDescent="0.25">
      <c r="B535" s="67" t="s">
        <v>92</v>
      </c>
    </row>
    <row r="538" spans="2:5" x14ac:dyDescent="0.25">
      <c r="B538" t="s">
        <v>80</v>
      </c>
    </row>
    <row r="539" spans="2:5" ht="21" x14ac:dyDescent="0.25">
      <c r="B539" s="2">
        <v>42388</v>
      </c>
      <c r="C539" s="3" t="s">
        <v>2</v>
      </c>
      <c r="D539" s="3" t="s">
        <v>3</v>
      </c>
      <c r="E539" s="3" t="s">
        <v>4</v>
      </c>
    </row>
    <row r="540" spans="2:5" x14ac:dyDescent="0.25">
      <c r="B540" s="4" t="s">
        <v>5</v>
      </c>
      <c r="C540" s="5">
        <v>51</v>
      </c>
      <c r="D540" s="5">
        <v>472</v>
      </c>
      <c r="E540" s="6">
        <f t="shared" ref="E540:E544" si="37">(C540-D540)/C540</f>
        <v>-8.2549019607843146</v>
      </c>
    </row>
    <row r="541" spans="2:5" x14ac:dyDescent="0.25">
      <c r="B541" s="7" t="s">
        <v>6</v>
      </c>
      <c r="C541" s="8">
        <v>35</v>
      </c>
      <c r="D541" s="8">
        <v>19</v>
      </c>
      <c r="E541" s="9">
        <f t="shared" si="37"/>
        <v>0.45714285714285713</v>
      </c>
    </row>
    <row r="542" spans="2:5" x14ac:dyDescent="0.25">
      <c r="B542" s="7" t="s">
        <v>7</v>
      </c>
      <c r="C542" s="8">
        <v>240</v>
      </c>
      <c r="D542" s="8">
        <v>0</v>
      </c>
      <c r="E542" s="9">
        <f t="shared" si="37"/>
        <v>1</v>
      </c>
    </row>
    <row r="543" spans="2:5" x14ac:dyDescent="0.25">
      <c r="B543" s="7" t="s">
        <v>8</v>
      </c>
      <c r="C543" s="8">
        <v>23</v>
      </c>
      <c r="D543" s="8">
        <v>10</v>
      </c>
      <c r="E543" s="9">
        <f t="shared" si="37"/>
        <v>0.56521739130434778</v>
      </c>
    </row>
    <row r="544" spans="2:5" x14ac:dyDescent="0.25">
      <c r="B544" s="7" t="s">
        <v>9</v>
      </c>
      <c r="C544" s="8">
        <v>90</v>
      </c>
      <c r="D544" s="8">
        <v>0</v>
      </c>
      <c r="E544" s="9">
        <f t="shared" si="37"/>
        <v>1</v>
      </c>
    </row>
    <row r="545" spans="2:5" x14ac:dyDescent="0.25">
      <c r="B545" s="7" t="s">
        <v>10</v>
      </c>
      <c r="C545" s="8">
        <v>142</v>
      </c>
      <c r="D545" s="8">
        <v>8</v>
      </c>
      <c r="E545" s="9">
        <f>(C545-D545)/C545</f>
        <v>0.94366197183098588</v>
      </c>
    </row>
    <row r="546" spans="2:5" x14ac:dyDescent="0.25">
      <c r="D546" s="69"/>
    </row>
    <row r="549" spans="2:5" x14ac:dyDescent="0.25">
      <c r="B549" t="s">
        <v>79</v>
      </c>
    </row>
    <row r="550" spans="2:5" ht="21" x14ac:dyDescent="0.25">
      <c r="B550" s="2">
        <v>42388</v>
      </c>
      <c r="C550" s="3" t="s">
        <v>2</v>
      </c>
      <c r="D550" s="3" t="s">
        <v>3</v>
      </c>
      <c r="E550" s="3" t="s">
        <v>4</v>
      </c>
    </row>
    <row r="551" spans="2:5" x14ac:dyDescent="0.25">
      <c r="B551" s="4" t="s">
        <v>5</v>
      </c>
      <c r="C551" s="5">
        <v>51</v>
      </c>
      <c r="D551" s="5">
        <v>24</v>
      </c>
      <c r="E551" s="6">
        <f t="shared" ref="E551:E556" si="38">(C551-D551)/C551</f>
        <v>0.52941176470588236</v>
      </c>
    </row>
    <row r="552" spans="2:5" x14ac:dyDescent="0.25">
      <c r="B552" s="7" t="s">
        <v>6</v>
      </c>
      <c r="C552" s="8">
        <v>35</v>
      </c>
      <c r="D552" s="8">
        <v>44</v>
      </c>
      <c r="E552" s="9">
        <f t="shared" si="38"/>
        <v>-0.25714285714285712</v>
      </c>
    </row>
    <row r="553" spans="2:5" x14ac:dyDescent="0.25">
      <c r="B553" s="7" t="s">
        <v>7</v>
      </c>
      <c r="C553" s="8">
        <v>0</v>
      </c>
      <c r="D553" s="8">
        <v>0</v>
      </c>
      <c r="E553" s="9" t="e">
        <f t="shared" si="38"/>
        <v>#DIV/0!</v>
      </c>
    </row>
    <row r="554" spans="2:5" x14ac:dyDescent="0.25">
      <c r="B554" s="7" t="s">
        <v>8</v>
      </c>
      <c r="C554" s="8">
        <v>23</v>
      </c>
      <c r="D554" s="8">
        <v>14</v>
      </c>
      <c r="E554" s="9">
        <f t="shared" si="38"/>
        <v>0.39130434782608697</v>
      </c>
    </row>
    <row r="555" spans="2:5" x14ac:dyDescent="0.25">
      <c r="B555" s="7" t="s">
        <v>9</v>
      </c>
      <c r="C555" s="8">
        <v>90</v>
      </c>
      <c r="D555" s="8">
        <v>0</v>
      </c>
      <c r="E555" s="9">
        <f t="shared" si="38"/>
        <v>1</v>
      </c>
    </row>
    <row r="556" spans="2:5" x14ac:dyDescent="0.25">
      <c r="B556" s="7" t="s">
        <v>10</v>
      </c>
      <c r="C556" s="8">
        <v>142</v>
      </c>
      <c r="D556" s="68">
        <v>32</v>
      </c>
      <c r="E556" s="9">
        <f t="shared" si="38"/>
        <v>0.77464788732394363</v>
      </c>
    </row>
    <row r="557" spans="2:5" x14ac:dyDescent="0.25">
      <c r="D557" s="70"/>
    </row>
    <row r="560" spans="2:5" x14ac:dyDescent="0.25">
      <c r="B560" t="s">
        <v>81</v>
      </c>
    </row>
    <row r="561" spans="2:5" ht="21" x14ac:dyDescent="0.25">
      <c r="B561" s="2">
        <v>42388</v>
      </c>
      <c r="C561" s="3" t="s">
        <v>2</v>
      </c>
      <c r="D561" s="3" t="s">
        <v>3</v>
      </c>
      <c r="E561" s="3" t="s">
        <v>4</v>
      </c>
    </row>
    <row r="562" spans="2:5" x14ac:dyDescent="0.25">
      <c r="B562" s="4" t="s">
        <v>5</v>
      </c>
      <c r="C562" s="5">
        <v>51</v>
      </c>
      <c r="D562" s="5">
        <v>54</v>
      </c>
      <c r="E562" s="6">
        <f t="shared" ref="E562:E567" si="39">(C562-D562)/C562</f>
        <v>-5.8823529411764705E-2</v>
      </c>
    </row>
    <row r="563" spans="2:5" x14ac:dyDescent="0.25">
      <c r="B563" s="7" t="s">
        <v>6</v>
      </c>
      <c r="C563" s="8">
        <v>35</v>
      </c>
      <c r="D563" s="8">
        <v>34</v>
      </c>
      <c r="E563" s="9">
        <f t="shared" si="39"/>
        <v>2.8571428571428571E-2</v>
      </c>
    </row>
    <row r="564" spans="2:5" x14ac:dyDescent="0.25">
      <c r="B564" s="7" t="s">
        <v>7</v>
      </c>
      <c r="C564" s="8">
        <v>0</v>
      </c>
      <c r="D564" s="8">
        <v>0</v>
      </c>
      <c r="E564" s="9" t="e">
        <f t="shared" si="39"/>
        <v>#DIV/0!</v>
      </c>
    </row>
    <row r="565" spans="2:5" x14ac:dyDescent="0.25">
      <c r="B565" s="7" t="s">
        <v>8</v>
      </c>
      <c r="C565" s="8">
        <v>23</v>
      </c>
      <c r="D565" s="8">
        <v>18</v>
      </c>
      <c r="E565" s="9">
        <f t="shared" si="39"/>
        <v>0.21739130434782608</v>
      </c>
    </row>
    <row r="566" spans="2:5" x14ac:dyDescent="0.25">
      <c r="B566" s="7" t="s">
        <v>9</v>
      </c>
      <c r="C566" s="8">
        <v>0</v>
      </c>
      <c r="D566" s="8">
        <v>0</v>
      </c>
      <c r="E566" s="9" t="e">
        <f t="shared" si="39"/>
        <v>#DIV/0!</v>
      </c>
    </row>
    <row r="567" spans="2:5" x14ac:dyDescent="0.25">
      <c r="B567" s="7" t="s">
        <v>10</v>
      </c>
      <c r="C567" s="8">
        <v>142</v>
      </c>
      <c r="D567" s="8">
        <v>11</v>
      </c>
      <c r="E567" s="9">
        <f t="shared" si="39"/>
        <v>0.92253521126760563</v>
      </c>
    </row>
    <row r="572" spans="2:5" x14ac:dyDescent="0.25">
      <c r="B572" t="s">
        <v>82</v>
      </c>
    </row>
    <row r="573" spans="2:5" ht="21" x14ac:dyDescent="0.25">
      <c r="B573" s="2">
        <v>42388</v>
      </c>
      <c r="C573" s="3" t="s">
        <v>2</v>
      </c>
      <c r="D573" s="3" t="s">
        <v>3</v>
      </c>
      <c r="E573" s="3" t="s">
        <v>4</v>
      </c>
    </row>
    <row r="574" spans="2:5" x14ac:dyDescent="0.25">
      <c r="B574" s="4" t="s">
        <v>5</v>
      </c>
      <c r="C574" s="5">
        <v>51</v>
      </c>
      <c r="D574" s="5">
        <v>53</v>
      </c>
      <c r="E574" s="6">
        <f t="shared" ref="E574:E579" si="40">(C574-D574)/C574</f>
        <v>-3.9215686274509803E-2</v>
      </c>
    </row>
    <row r="575" spans="2:5" x14ac:dyDescent="0.25">
      <c r="B575" s="7" t="s">
        <v>6</v>
      </c>
      <c r="C575" s="8">
        <v>35</v>
      </c>
      <c r="D575" s="8">
        <v>44</v>
      </c>
      <c r="E575" s="9">
        <f t="shared" si="40"/>
        <v>-0.25714285714285712</v>
      </c>
    </row>
    <row r="576" spans="2:5" x14ac:dyDescent="0.25">
      <c r="B576" s="7" t="s">
        <v>7</v>
      </c>
      <c r="C576" s="8">
        <v>0</v>
      </c>
      <c r="D576" s="8">
        <v>0</v>
      </c>
      <c r="E576" s="9" t="e">
        <f t="shared" si="40"/>
        <v>#DIV/0!</v>
      </c>
    </row>
    <row r="577" spans="2:5" x14ac:dyDescent="0.25">
      <c r="B577" s="7" t="s">
        <v>8</v>
      </c>
      <c r="C577" s="8">
        <v>23</v>
      </c>
      <c r="D577" s="8">
        <v>20</v>
      </c>
      <c r="E577" s="9">
        <f t="shared" si="40"/>
        <v>0.13043478260869565</v>
      </c>
    </row>
    <row r="578" spans="2:5" x14ac:dyDescent="0.25">
      <c r="B578" s="7" t="s">
        <v>9</v>
      </c>
      <c r="C578" s="8">
        <v>0</v>
      </c>
      <c r="D578" s="8">
        <v>0</v>
      </c>
      <c r="E578" s="9" t="e">
        <f t="shared" si="40"/>
        <v>#DIV/0!</v>
      </c>
    </row>
    <row r="579" spans="2:5" x14ac:dyDescent="0.25">
      <c r="B579" s="7" t="s">
        <v>10</v>
      </c>
      <c r="C579" s="8">
        <v>142</v>
      </c>
      <c r="D579" s="8">
        <v>19</v>
      </c>
      <c r="E579" s="9">
        <f t="shared" si="40"/>
        <v>0.86619718309859151</v>
      </c>
    </row>
    <row r="583" spans="2:5" x14ac:dyDescent="0.25">
      <c r="B583" t="s">
        <v>83</v>
      </c>
    </row>
    <row r="584" spans="2:5" ht="21" x14ac:dyDescent="0.25">
      <c r="B584" s="2">
        <v>42388</v>
      </c>
      <c r="C584" s="3" t="s">
        <v>2</v>
      </c>
      <c r="D584" s="3" t="s">
        <v>3</v>
      </c>
      <c r="E584" s="3" t="s">
        <v>4</v>
      </c>
    </row>
    <row r="585" spans="2:5" x14ac:dyDescent="0.25">
      <c r="B585" s="4" t="s">
        <v>5</v>
      </c>
      <c r="C585" s="5">
        <v>51</v>
      </c>
      <c r="D585" s="5">
        <v>155</v>
      </c>
      <c r="E585" s="6">
        <f t="shared" ref="E585:E590" si="41">(C585-D585)/C585</f>
        <v>-2.0392156862745097</v>
      </c>
    </row>
    <row r="586" spans="2:5" x14ac:dyDescent="0.25">
      <c r="B586" s="7" t="s">
        <v>6</v>
      </c>
      <c r="C586" s="8">
        <v>35</v>
      </c>
      <c r="D586" s="8">
        <v>32</v>
      </c>
      <c r="E586" s="9">
        <f t="shared" si="41"/>
        <v>8.5714285714285715E-2</v>
      </c>
    </row>
    <row r="587" spans="2:5" x14ac:dyDescent="0.25">
      <c r="B587" s="7" t="s">
        <v>7</v>
      </c>
      <c r="C587" s="8">
        <v>0</v>
      </c>
      <c r="D587" s="8">
        <v>0</v>
      </c>
      <c r="E587" s="9" t="e">
        <f t="shared" si="41"/>
        <v>#DIV/0!</v>
      </c>
    </row>
    <row r="588" spans="2:5" x14ac:dyDescent="0.25">
      <c r="B588" s="7" t="s">
        <v>8</v>
      </c>
      <c r="C588" s="8">
        <v>23</v>
      </c>
      <c r="D588" s="8">
        <v>21</v>
      </c>
      <c r="E588" s="9">
        <f t="shared" si="41"/>
        <v>8.6956521739130432E-2</v>
      </c>
    </row>
    <row r="589" spans="2:5" x14ac:dyDescent="0.25">
      <c r="B589" s="7" t="s">
        <v>9</v>
      </c>
      <c r="C589" s="8">
        <v>0</v>
      </c>
      <c r="D589" s="8">
        <v>0</v>
      </c>
      <c r="E589" s="9" t="e">
        <f t="shared" si="41"/>
        <v>#DIV/0!</v>
      </c>
    </row>
    <row r="590" spans="2:5" x14ac:dyDescent="0.25">
      <c r="B590" s="7" t="s">
        <v>10</v>
      </c>
      <c r="C590" s="8">
        <v>142</v>
      </c>
      <c r="D590" s="8">
        <v>10</v>
      </c>
      <c r="E590" s="9">
        <f t="shared" si="41"/>
        <v>0.92957746478873238</v>
      </c>
    </row>
    <row r="594" spans="2:5" x14ac:dyDescent="0.25">
      <c r="B594" t="s">
        <v>84</v>
      </c>
    </row>
    <row r="595" spans="2:5" ht="21" x14ac:dyDescent="0.25">
      <c r="B595" s="2">
        <v>42388</v>
      </c>
      <c r="C595" s="3" t="s">
        <v>2</v>
      </c>
      <c r="D595" s="3" t="s">
        <v>3</v>
      </c>
      <c r="E595" s="3" t="s">
        <v>4</v>
      </c>
    </row>
    <row r="596" spans="2:5" x14ac:dyDescent="0.25">
      <c r="B596" s="4" t="s">
        <v>5</v>
      </c>
      <c r="C596" s="5">
        <v>51</v>
      </c>
      <c r="D596" s="5">
        <v>465</v>
      </c>
      <c r="E596" s="6">
        <f t="shared" ref="E596:E601" si="42">(C596-D596)/C596</f>
        <v>-8.117647058823529</v>
      </c>
    </row>
    <row r="597" spans="2:5" x14ac:dyDescent="0.25">
      <c r="B597" s="7" t="s">
        <v>6</v>
      </c>
      <c r="C597" s="8">
        <v>35</v>
      </c>
      <c r="D597" s="8">
        <v>6</v>
      </c>
      <c r="E597" s="9">
        <f t="shared" si="42"/>
        <v>0.82857142857142863</v>
      </c>
    </row>
    <row r="598" spans="2:5" x14ac:dyDescent="0.25">
      <c r="B598" s="7" t="s">
        <v>7</v>
      </c>
      <c r="C598" s="8">
        <v>90</v>
      </c>
      <c r="D598" s="8">
        <v>135</v>
      </c>
      <c r="E598" s="9">
        <f t="shared" si="42"/>
        <v>-0.5</v>
      </c>
    </row>
    <row r="599" spans="2:5" x14ac:dyDescent="0.25">
      <c r="B599" s="7" t="s">
        <v>8</v>
      </c>
      <c r="C599" s="8">
        <v>23</v>
      </c>
      <c r="D599" s="8">
        <v>14</v>
      </c>
      <c r="E599" s="9">
        <f t="shared" si="42"/>
        <v>0.39130434782608697</v>
      </c>
    </row>
    <row r="600" spans="2:5" x14ac:dyDescent="0.25">
      <c r="B600" s="7" t="s">
        <v>9</v>
      </c>
      <c r="C600" s="8">
        <v>0</v>
      </c>
      <c r="D600" s="8">
        <v>0</v>
      </c>
      <c r="E600" s="9" t="e">
        <f t="shared" si="42"/>
        <v>#DIV/0!</v>
      </c>
    </row>
    <row r="601" spans="2:5" x14ac:dyDescent="0.25">
      <c r="B601" s="7" t="s">
        <v>10</v>
      </c>
      <c r="C601" s="8">
        <v>142</v>
      </c>
      <c r="D601" s="8">
        <v>35</v>
      </c>
      <c r="E601" s="9">
        <f t="shared" si="42"/>
        <v>0.75352112676056338</v>
      </c>
    </row>
    <row r="606" spans="2:5" x14ac:dyDescent="0.25">
      <c r="B606" t="s">
        <v>85</v>
      </c>
    </row>
    <row r="607" spans="2:5" ht="21" x14ac:dyDescent="0.25">
      <c r="B607" s="2">
        <v>42388</v>
      </c>
      <c r="C607" s="3" t="s">
        <v>2</v>
      </c>
      <c r="D607" s="3" t="s">
        <v>3</v>
      </c>
      <c r="E607" s="3" t="s">
        <v>4</v>
      </c>
    </row>
    <row r="608" spans="2:5" x14ac:dyDescent="0.25">
      <c r="B608" s="4" t="s">
        <v>5</v>
      </c>
      <c r="C608" s="5">
        <v>51</v>
      </c>
      <c r="D608" s="5">
        <v>112</v>
      </c>
      <c r="E608" s="6">
        <f t="shared" ref="E608:E613" si="43">(C608-D608)/C608</f>
        <v>-1.196078431372549</v>
      </c>
    </row>
    <row r="609" spans="2:5" x14ac:dyDescent="0.25">
      <c r="B609" s="7" t="s">
        <v>6</v>
      </c>
      <c r="C609" s="8">
        <v>35</v>
      </c>
      <c r="D609" s="8">
        <v>76</v>
      </c>
      <c r="E609" s="9">
        <f t="shared" si="43"/>
        <v>-1.1714285714285715</v>
      </c>
    </row>
    <row r="610" spans="2:5" x14ac:dyDescent="0.25">
      <c r="B610" s="7" t="s">
        <v>7</v>
      </c>
      <c r="C610" s="8">
        <v>120</v>
      </c>
      <c r="D610" s="8">
        <v>89</v>
      </c>
      <c r="E610" s="9">
        <f t="shared" si="43"/>
        <v>0.25833333333333336</v>
      </c>
    </row>
    <row r="611" spans="2:5" x14ac:dyDescent="0.25">
      <c r="B611" s="7" t="s">
        <v>8</v>
      </c>
      <c r="C611" s="8">
        <v>23</v>
      </c>
      <c r="D611" s="8">
        <v>22</v>
      </c>
      <c r="E611" s="9">
        <f t="shared" si="43"/>
        <v>4.3478260869565216E-2</v>
      </c>
    </row>
    <row r="612" spans="2:5" x14ac:dyDescent="0.25">
      <c r="B612" s="7" t="s">
        <v>9</v>
      </c>
      <c r="C612" s="8">
        <v>0</v>
      </c>
      <c r="D612" s="8">
        <v>0</v>
      </c>
      <c r="E612" s="9" t="e">
        <f t="shared" si="43"/>
        <v>#DIV/0!</v>
      </c>
    </row>
    <row r="613" spans="2:5" x14ac:dyDescent="0.25">
      <c r="B613" s="7" t="s">
        <v>10</v>
      </c>
      <c r="C613" s="8">
        <v>142</v>
      </c>
      <c r="D613" s="8">
        <v>13</v>
      </c>
      <c r="E613" s="9">
        <f t="shared" si="43"/>
        <v>0.90845070422535212</v>
      </c>
    </row>
    <row r="618" spans="2:5" x14ac:dyDescent="0.25">
      <c r="B618" t="s">
        <v>86</v>
      </c>
    </row>
    <row r="619" spans="2:5" ht="21" x14ac:dyDescent="0.25">
      <c r="B619" s="2">
        <v>42388</v>
      </c>
      <c r="C619" s="3" t="s">
        <v>2</v>
      </c>
      <c r="D619" s="3" t="s">
        <v>3</v>
      </c>
      <c r="E619" s="3" t="s">
        <v>4</v>
      </c>
    </row>
    <row r="620" spans="2:5" x14ac:dyDescent="0.25">
      <c r="B620" s="4" t="s">
        <v>5</v>
      </c>
      <c r="C620" s="5">
        <v>51</v>
      </c>
      <c r="D620" s="5">
        <v>5</v>
      </c>
      <c r="E620" s="6">
        <f t="shared" ref="E620:E625" si="44">(C620-D620)/C620</f>
        <v>0.90196078431372551</v>
      </c>
    </row>
    <row r="621" spans="2:5" x14ac:dyDescent="0.25">
      <c r="B621" s="7" t="s">
        <v>6</v>
      </c>
      <c r="C621" s="8">
        <v>35</v>
      </c>
      <c r="D621" s="8">
        <v>5</v>
      </c>
      <c r="E621" s="9">
        <f t="shared" si="44"/>
        <v>0.8571428571428571</v>
      </c>
    </row>
    <row r="622" spans="2:5" x14ac:dyDescent="0.25">
      <c r="B622" s="7" t="s">
        <v>7</v>
      </c>
      <c r="C622" s="8">
        <v>0</v>
      </c>
      <c r="D622" s="8">
        <v>0</v>
      </c>
      <c r="E622" s="9" t="e">
        <f t="shared" si="44"/>
        <v>#DIV/0!</v>
      </c>
    </row>
    <row r="623" spans="2:5" x14ac:dyDescent="0.25">
      <c r="B623" s="7" t="s">
        <v>8</v>
      </c>
      <c r="C623" s="8">
        <v>23</v>
      </c>
      <c r="D623" s="8">
        <v>32</v>
      </c>
      <c r="E623" s="9">
        <f t="shared" si="44"/>
        <v>-0.39130434782608697</v>
      </c>
    </row>
    <row r="624" spans="2:5" x14ac:dyDescent="0.25">
      <c r="B624" s="7" t="s">
        <v>9</v>
      </c>
      <c r="C624" s="8">
        <v>90</v>
      </c>
      <c r="D624" s="8">
        <v>0</v>
      </c>
      <c r="E624" s="9">
        <f t="shared" si="44"/>
        <v>1</v>
      </c>
    </row>
    <row r="625" spans="2:5" x14ac:dyDescent="0.25">
      <c r="B625" s="7" t="s">
        <v>10</v>
      </c>
      <c r="C625" s="8">
        <v>142</v>
      </c>
      <c r="D625" s="8">
        <v>39</v>
      </c>
      <c r="E625" s="9">
        <f t="shared" si="44"/>
        <v>0.72535211267605637</v>
      </c>
    </row>
    <row r="630" spans="2:5" x14ac:dyDescent="0.25">
      <c r="B630" t="s">
        <v>87</v>
      </c>
    </row>
    <row r="631" spans="2:5" ht="21" x14ac:dyDescent="0.25">
      <c r="B631" s="2">
        <v>42388</v>
      </c>
      <c r="C631" s="3" t="s">
        <v>2</v>
      </c>
      <c r="D631" s="3" t="s">
        <v>3</v>
      </c>
      <c r="E631" s="3" t="s">
        <v>4</v>
      </c>
    </row>
    <row r="632" spans="2:5" x14ac:dyDescent="0.25">
      <c r="B632" s="4" t="s">
        <v>5</v>
      </c>
      <c r="C632" s="5">
        <v>51</v>
      </c>
      <c r="D632" s="5">
        <v>110</v>
      </c>
      <c r="E632" s="6">
        <f t="shared" ref="E632:E637" si="45">(C632-D632)/C632</f>
        <v>-1.1568627450980393</v>
      </c>
    </row>
    <row r="633" spans="2:5" x14ac:dyDescent="0.25">
      <c r="B633" s="7" t="s">
        <v>6</v>
      </c>
      <c r="C633" s="8">
        <v>35</v>
      </c>
      <c r="D633" s="8">
        <v>117</v>
      </c>
      <c r="E633" s="9">
        <f t="shared" si="45"/>
        <v>-2.342857142857143</v>
      </c>
    </row>
    <row r="634" spans="2:5" x14ac:dyDescent="0.25">
      <c r="B634" s="7" t="s">
        <v>7</v>
      </c>
      <c r="C634" s="8">
        <v>300</v>
      </c>
      <c r="D634" s="8">
        <v>410</v>
      </c>
      <c r="E634" s="9">
        <f t="shared" si="45"/>
        <v>-0.36666666666666664</v>
      </c>
    </row>
    <row r="635" spans="2:5" x14ac:dyDescent="0.25">
      <c r="B635" s="7" t="s">
        <v>8</v>
      </c>
      <c r="C635" s="8">
        <v>23</v>
      </c>
      <c r="D635" s="8">
        <v>3</v>
      </c>
      <c r="E635" s="9">
        <f t="shared" si="45"/>
        <v>0.86956521739130432</v>
      </c>
    </row>
    <row r="636" spans="2:5" x14ac:dyDescent="0.25">
      <c r="B636" s="7" t="s">
        <v>9</v>
      </c>
      <c r="C636" s="8">
        <v>0</v>
      </c>
      <c r="D636" s="8">
        <v>0</v>
      </c>
      <c r="E636" s="9" t="e">
        <f t="shared" si="45"/>
        <v>#DIV/0!</v>
      </c>
    </row>
    <row r="637" spans="2:5" x14ac:dyDescent="0.25">
      <c r="B637" s="7" t="s">
        <v>10</v>
      </c>
      <c r="C637" s="8">
        <v>142</v>
      </c>
      <c r="D637" s="8">
        <v>30</v>
      </c>
      <c r="E637" s="9">
        <f t="shared" si="45"/>
        <v>0.78873239436619713</v>
      </c>
    </row>
    <row r="641" spans="2:5" x14ac:dyDescent="0.25">
      <c r="B641" t="s">
        <v>88</v>
      </c>
    </row>
    <row r="642" spans="2:5" ht="21" x14ac:dyDescent="0.25">
      <c r="B642" s="2">
        <v>42388</v>
      </c>
      <c r="C642" s="3" t="s">
        <v>2</v>
      </c>
      <c r="D642" s="3" t="s">
        <v>3</v>
      </c>
      <c r="E642" s="3" t="s">
        <v>4</v>
      </c>
    </row>
    <row r="643" spans="2:5" x14ac:dyDescent="0.25">
      <c r="B643" s="4" t="s">
        <v>5</v>
      </c>
      <c r="C643" s="5">
        <v>51</v>
      </c>
      <c r="D643" s="5">
        <v>153</v>
      </c>
      <c r="E643" s="6">
        <f t="shared" ref="E643:E648" si="46">(C643-D643)/C643</f>
        <v>-2</v>
      </c>
    </row>
    <row r="644" spans="2:5" x14ac:dyDescent="0.25">
      <c r="B644" s="7" t="s">
        <v>6</v>
      </c>
      <c r="C644" s="8">
        <v>35</v>
      </c>
      <c r="D644" s="8">
        <v>57</v>
      </c>
      <c r="E644" s="9">
        <f t="shared" si="46"/>
        <v>-0.62857142857142856</v>
      </c>
    </row>
    <row r="645" spans="2:5" x14ac:dyDescent="0.25">
      <c r="B645" s="7" t="s">
        <v>7</v>
      </c>
      <c r="C645" s="8">
        <v>0</v>
      </c>
      <c r="D645" s="8">
        <v>0</v>
      </c>
      <c r="E645" s="9" t="e">
        <f t="shared" si="46"/>
        <v>#DIV/0!</v>
      </c>
    </row>
    <row r="646" spans="2:5" x14ac:dyDescent="0.25">
      <c r="B646" s="7" t="s">
        <v>8</v>
      </c>
      <c r="C646" s="8">
        <v>23</v>
      </c>
      <c r="D646" s="8">
        <v>37</v>
      </c>
      <c r="E646" s="9">
        <f t="shared" si="46"/>
        <v>-0.60869565217391308</v>
      </c>
    </row>
    <row r="647" spans="2:5" x14ac:dyDescent="0.25">
      <c r="B647" s="7" t="s">
        <v>9</v>
      </c>
      <c r="C647" s="8">
        <v>0</v>
      </c>
      <c r="D647" s="8">
        <v>0</v>
      </c>
      <c r="E647" s="9" t="e">
        <f t="shared" si="46"/>
        <v>#DIV/0!</v>
      </c>
    </row>
    <row r="648" spans="2:5" x14ac:dyDescent="0.25">
      <c r="B648" s="7" t="s">
        <v>10</v>
      </c>
      <c r="C648" s="8">
        <v>142</v>
      </c>
      <c r="D648" s="8">
        <v>15</v>
      </c>
      <c r="E648" s="9">
        <f t="shared" si="46"/>
        <v>0.89436619718309862</v>
      </c>
    </row>
    <row r="652" spans="2:5" s="30" customFormat="1" x14ac:dyDescent="0.25"/>
    <row r="653" spans="2:5" s="30" customFormat="1" x14ac:dyDescent="0.25"/>
    <row r="654" spans="2:5" s="30" customFormat="1" x14ac:dyDescent="0.25"/>
    <row r="656" spans="2:5" x14ac:dyDescent="0.25">
      <c r="B656" t="s">
        <v>89</v>
      </c>
    </row>
    <row r="657" spans="2:5" ht="21" x14ac:dyDescent="0.25">
      <c r="B657" s="2">
        <v>42388</v>
      </c>
      <c r="C657" s="3" t="s">
        <v>2</v>
      </c>
      <c r="D657" s="3" t="s">
        <v>3</v>
      </c>
      <c r="E657" s="3" t="s">
        <v>4</v>
      </c>
    </row>
    <row r="658" spans="2:5" x14ac:dyDescent="0.25">
      <c r="B658" s="4" t="s">
        <v>5</v>
      </c>
      <c r="C658" s="5">
        <v>51</v>
      </c>
      <c r="D658" s="5">
        <v>1</v>
      </c>
      <c r="E658" s="6">
        <f t="shared" ref="E658:E663" si="47">(C658-D658)/C658</f>
        <v>0.98039215686274506</v>
      </c>
    </row>
    <row r="659" spans="2:5" x14ac:dyDescent="0.25">
      <c r="B659" s="7" t="s">
        <v>6</v>
      </c>
      <c r="C659" s="8">
        <v>35</v>
      </c>
      <c r="D659" s="8">
        <v>208</v>
      </c>
      <c r="E659" s="9">
        <f t="shared" si="47"/>
        <v>-4.9428571428571431</v>
      </c>
    </row>
    <row r="660" spans="2:5" x14ac:dyDescent="0.25">
      <c r="B660" s="7" t="s">
        <v>7</v>
      </c>
      <c r="C660" s="8">
        <v>80</v>
      </c>
      <c r="D660" s="8">
        <v>14</v>
      </c>
      <c r="E660" s="9">
        <f t="shared" si="47"/>
        <v>0.82499999999999996</v>
      </c>
    </row>
    <row r="661" spans="2:5" x14ac:dyDescent="0.25">
      <c r="B661" s="7" t="s">
        <v>8</v>
      </c>
      <c r="C661" s="8">
        <v>23</v>
      </c>
      <c r="D661" s="8">
        <v>6</v>
      </c>
      <c r="E661" s="9">
        <f t="shared" si="47"/>
        <v>0.73913043478260865</v>
      </c>
    </row>
    <row r="662" spans="2:5" x14ac:dyDescent="0.25">
      <c r="B662" s="7" t="s">
        <v>9</v>
      </c>
      <c r="C662" s="8">
        <v>0</v>
      </c>
      <c r="D662" s="8">
        <v>0</v>
      </c>
      <c r="E662" s="9" t="e">
        <f t="shared" si="47"/>
        <v>#DIV/0!</v>
      </c>
    </row>
    <row r="663" spans="2:5" x14ac:dyDescent="0.25">
      <c r="B663" s="7" t="s">
        <v>10</v>
      </c>
      <c r="C663" s="8">
        <v>142</v>
      </c>
      <c r="D663" s="8">
        <v>18</v>
      </c>
      <c r="E663" s="9">
        <f t="shared" si="47"/>
        <v>0.87323943661971826</v>
      </c>
    </row>
    <row r="668" spans="2:5" x14ac:dyDescent="0.25">
      <c r="B668" t="s">
        <v>90</v>
      </c>
    </row>
    <row r="669" spans="2:5" ht="21" x14ac:dyDescent="0.25">
      <c r="B669" s="2">
        <v>42388</v>
      </c>
      <c r="C669" s="3" t="s">
        <v>2</v>
      </c>
      <c r="D669" s="3" t="s">
        <v>3</v>
      </c>
      <c r="E669" s="3" t="s">
        <v>4</v>
      </c>
    </row>
    <row r="670" spans="2:5" x14ac:dyDescent="0.25">
      <c r="B670" s="4" t="s">
        <v>5</v>
      </c>
      <c r="C670" s="5">
        <v>51</v>
      </c>
      <c r="D670" s="5">
        <v>10</v>
      </c>
      <c r="E670" s="6">
        <f t="shared" ref="E670:E675" si="48">(C670-D670)/C670</f>
        <v>0.80392156862745101</v>
      </c>
    </row>
    <row r="671" spans="2:5" x14ac:dyDescent="0.25">
      <c r="B671" s="7" t="s">
        <v>6</v>
      </c>
      <c r="C671" s="8">
        <v>35</v>
      </c>
      <c r="D671" s="8">
        <v>3</v>
      </c>
      <c r="E671" s="9">
        <f t="shared" si="48"/>
        <v>0.91428571428571426</v>
      </c>
    </row>
    <row r="672" spans="2:5" x14ac:dyDescent="0.25">
      <c r="B672" s="7" t="s">
        <v>7</v>
      </c>
      <c r="C672" s="8">
        <v>0</v>
      </c>
      <c r="D672" s="8">
        <v>0</v>
      </c>
      <c r="E672" s="9" t="e">
        <f t="shared" si="48"/>
        <v>#DIV/0!</v>
      </c>
    </row>
    <row r="673" spans="2:5" x14ac:dyDescent="0.25">
      <c r="B673" s="7" t="s">
        <v>8</v>
      </c>
      <c r="C673" s="8">
        <v>23</v>
      </c>
      <c r="D673" s="8">
        <v>17</v>
      </c>
      <c r="E673" s="9">
        <f t="shared" si="48"/>
        <v>0.2608695652173913</v>
      </c>
    </row>
    <row r="674" spans="2:5" x14ac:dyDescent="0.25">
      <c r="B674" s="7" t="s">
        <v>9</v>
      </c>
      <c r="C674" s="8">
        <v>0</v>
      </c>
      <c r="D674" s="8">
        <v>0</v>
      </c>
      <c r="E674" s="9" t="e">
        <f t="shared" si="48"/>
        <v>#DIV/0!</v>
      </c>
    </row>
    <row r="675" spans="2:5" x14ac:dyDescent="0.25">
      <c r="B675" s="7" t="s">
        <v>10</v>
      </c>
      <c r="C675" s="8">
        <v>142</v>
      </c>
      <c r="D675" s="8">
        <v>17</v>
      </c>
      <c r="E675" s="9">
        <f t="shared" si="48"/>
        <v>0.88028169014084512</v>
      </c>
    </row>
    <row r="680" spans="2:5" x14ac:dyDescent="0.25">
      <c r="B680" t="s">
        <v>91</v>
      </c>
    </row>
    <row r="681" spans="2:5" ht="21" x14ac:dyDescent="0.25">
      <c r="B681" s="2">
        <v>42388</v>
      </c>
      <c r="C681" s="3" t="s">
        <v>2</v>
      </c>
      <c r="D681" s="3" t="s">
        <v>3</v>
      </c>
      <c r="E681" s="3" t="s">
        <v>4</v>
      </c>
    </row>
    <row r="682" spans="2:5" x14ac:dyDescent="0.25">
      <c r="B682" s="4" t="s">
        <v>5</v>
      </c>
      <c r="C682" s="5">
        <v>51</v>
      </c>
      <c r="D682" s="5">
        <v>605</v>
      </c>
      <c r="E682" s="6">
        <f t="shared" ref="E682:E687" si="49">(C682-D682)/C682</f>
        <v>-10.862745098039216</v>
      </c>
    </row>
    <row r="683" spans="2:5" x14ac:dyDescent="0.25">
      <c r="B683" s="7" t="s">
        <v>6</v>
      </c>
      <c r="C683" s="8">
        <v>35</v>
      </c>
      <c r="D683" s="8">
        <v>4</v>
      </c>
      <c r="E683" s="9">
        <f t="shared" si="49"/>
        <v>0.88571428571428568</v>
      </c>
    </row>
    <row r="684" spans="2:5" x14ac:dyDescent="0.25">
      <c r="B684" s="7" t="s">
        <v>7</v>
      </c>
      <c r="C684" s="8">
        <v>180</v>
      </c>
      <c r="D684" s="8">
        <v>79</v>
      </c>
      <c r="E684" s="9">
        <f t="shared" si="49"/>
        <v>0.56111111111111112</v>
      </c>
    </row>
    <row r="685" spans="2:5" x14ac:dyDescent="0.25">
      <c r="B685" s="7" t="s">
        <v>8</v>
      </c>
      <c r="C685" s="8">
        <v>23</v>
      </c>
      <c r="D685" s="8">
        <v>12</v>
      </c>
      <c r="E685" s="9">
        <f t="shared" si="49"/>
        <v>0.47826086956521741</v>
      </c>
    </row>
    <row r="686" spans="2:5" x14ac:dyDescent="0.25">
      <c r="B686" s="7" t="s">
        <v>9</v>
      </c>
      <c r="C686" s="8">
        <v>0</v>
      </c>
      <c r="D686" s="8">
        <v>0</v>
      </c>
      <c r="E686" s="9" t="e">
        <f t="shared" si="49"/>
        <v>#DIV/0!</v>
      </c>
    </row>
    <row r="687" spans="2:5" x14ac:dyDescent="0.25">
      <c r="B687" s="7" t="s">
        <v>10</v>
      </c>
      <c r="C687" s="8">
        <v>142</v>
      </c>
      <c r="D687" s="8">
        <v>18</v>
      </c>
      <c r="E687" s="9">
        <f t="shared" si="49"/>
        <v>0.87323943661971826</v>
      </c>
    </row>
  </sheetData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35"/>
  <sheetViews>
    <sheetView topLeftCell="A701" zoomScale="90" zoomScaleNormal="90" workbookViewId="0">
      <selection activeCell="B709" sqref="B709"/>
    </sheetView>
  </sheetViews>
  <sheetFormatPr baseColWidth="10" defaultColWidth="9.140625" defaultRowHeight="15" x14ac:dyDescent="0.25"/>
  <cols>
    <col min="1" max="1" width="2.28515625"/>
    <col min="2" max="2" width="34.42578125"/>
    <col min="3" max="3" width="12.140625"/>
    <col min="4" max="4" width="11.140625"/>
    <col min="5" max="5" width="10.7109375"/>
    <col min="6" max="6" width="10.140625"/>
    <col min="7" max="7" width="9.7109375"/>
    <col min="8" max="15" width="11.5703125"/>
    <col min="16" max="16" width="13"/>
    <col min="17" max="1025" width="11.5703125"/>
  </cols>
  <sheetData>
    <row r="4" spans="1:5" ht="19.5" customHeight="1" x14ac:dyDescent="0.25"/>
    <row r="5" spans="1:5" ht="17.25" customHeight="1" x14ac:dyDescent="0.25">
      <c r="A5" s="1"/>
      <c r="B5" s="2">
        <v>42335</v>
      </c>
      <c r="C5" s="17" t="s">
        <v>2</v>
      </c>
      <c r="D5" s="17" t="s">
        <v>3</v>
      </c>
      <c r="E5" s="17" t="s">
        <v>4</v>
      </c>
    </row>
    <row r="6" spans="1:5" x14ac:dyDescent="0.25">
      <c r="A6" s="1"/>
      <c r="B6" s="4" t="s">
        <v>5</v>
      </c>
      <c r="C6" s="18">
        <v>22.33</v>
      </c>
      <c r="D6" s="18">
        <v>47.4</v>
      </c>
      <c r="E6" s="19">
        <f t="shared" ref="E6:E11" si="0">(C6-D6)/C6</f>
        <v>-1.1227048813255711</v>
      </c>
    </row>
    <row r="7" spans="1:5" x14ac:dyDescent="0.25">
      <c r="A7" s="1"/>
      <c r="B7" s="7" t="s">
        <v>6</v>
      </c>
      <c r="C7" s="18">
        <v>3.96</v>
      </c>
      <c r="D7" s="18">
        <v>0</v>
      </c>
      <c r="E7" s="20">
        <f t="shared" si="0"/>
        <v>1</v>
      </c>
    </row>
    <row r="8" spans="1:5" x14ac:dyDescent="0.25">
      <c r="A8" s="1"/>
      <c r="B8" s="7" t="s">
        <v>7</v>
      </c>
      <c r="C8" s="18">
        <v>19.399999999999999</v>
      </c>
      <c r="D8" s="18">
        <v>10.94</v>
      </c>
      <c r="E8" s="20">
        <f t="shared" si="0"/>
        <v>0.43608247422680413</v>
      </c>
    </row>
    <row r="9" spans="1:5" x14ac:dyDescent="0.25">
      <c r="A9" s="1"/>
      <c r="B9" s="7" t="s">
        <v>8</v>
      </c>
      <c r="C9" s="18">
        <v>5.5</v>
      </c>
      <c r="D9" s="18">
        <v>35.700000000000003</v>
      </c>
      <c r="E9" s="19">
        <f t="shared" si="0"/>
        <v>-5.4909090909090912</v>
      </c>
    </row>
    <row r="10" spans="1:5" x14ac:dyDescent="0.25">
      <c r="A10" s="1"/>
      <c r="B10" s="7" t="s">
        <v>9</v>
      </c>
      <c r="C10" s="18">
        <v>29</v>
      </c>
      <c r="D10" s="18">
        <v>0</v>
      </c>
      <c r="E10" s="20">
        <f t="shared" si="0"/>
        <v>1</v>
      </c>
    </row>
    <row r="11" spans="1:5" x14ac:dyDescent="0.25">
      <c r="A11" s="1"/>
      <c r="B11" s="7" t="s">
        <v>10</v>
      </c>
      <c r="C11" s="18">
        <v>22.5</v>
      </c>
      <c r="D11" s="18">
        <v>18</v>
      </c>
      <c r="E11" s="19">
        <f t="shared" si="0"/>
        <v>0.2</v>
      </c>
    </row>
    <row r="12" spans="1:5" x14ac:dyDescent="0.25">
      <c r="A12" s="1"/>
      <c r="B12" s="21"/>
      <c r="C12" s="22"/>
      <c r="D12" s="22"/>
      <c r="E12" s="23"/>
    </row>
    <row r="13" spans="1:5" x14ac:dyDescent="0.25">
      <c r="A13" s="1"/>
      <c r="B13" s="21"/>
      <c r="C13" s="22"/>
      <c r="D13" s="22"/>
      <c r="E13" s="23"/>
    </row>
    <row r="14" spans="1:5" x14ac:dyDescent="0.25">
      <c r="A14" s="1"/>
    </row>
    <row r="15" spans="1:5" s="12" customFormat="1" x14ac:dyDescent="0.25">
      <c r="D15" s="24"/>
    </row>
    <row r="18" spans="2:5" ht="21" x14ac:dyDescent="0.25">
      <c r="B18" s="2">
        <v>42349</v>
      </c>
      <c r="C18" s="17" t="s">
        <v>2</v>
      </c>
      <c r="D18" s="17" t="s">
        <v>3</v>
      </c>
      <c r="E18" s="17" t="s">
        <v>4</v>
      </c>
    </row>
    <row r="19" spans="2:5" x14ac:dyDescent="0.25">
      <c r="B19" s="4" t="s">
        <v>5</v>
      </c>
      <c r="C19" s="18">
        <f>22.33*4</f>
        <v>89.32</v>
      </c>
      <c r="D19" s="18">
        <f>1.23*14.58</f>
        <v>17.933399999999999</v>
      </c>
      <c r="E19" s="19">
        <f t="shared" ref="E19:E24" si="1">(C19-D19)/C19</f>
        <v>0.79922301836094933</v>
      </c>
    </row>
    <row r="20" spans="2:5" x14ac:dyDescent="0.25">
      <c r="B20" s="7" t="s">
        <v>6</v>
      </c>
      <c r="C20" s="18">
        <f>3.96*4</f>
        <v>15.84</v>
      </c>
      <c r="D20" s="18">
        <f>0.9*14.58</f>
        <v>13.122</v>
      </c>
      <c r="E20" s="20">
        <f t="shared" si="1"/>
        <v>0.1715909090909091</v>
      </c>
    </row>
    <row r="21" spans="2:5" x14ac:dyDescent="0.25">
      <c r="B21" s="7" t="s">
        <v>7</v>
      </c>
      <c r="C21" s="18">
        <v>19.399999999999999</v>
      </c>
      <c r="D21" s="18">
        <f>0.67 * 14.58</f>
        <v>9.7686000000000011</v>
      </c>
      <c r="E21" s="20">
        <f t="shared" si="1"/>
        <v>0.49646391752577312</v>
      </c>
    </row>
    <row r="22" spans="2:5" x14ac:dyDescent="0.25">
      <c r="B22" s="7" t="s">
        <v>8</v>
      </c>
      <c r="C22" s="18">
        <f>5.5*4</f>
        <v>22</v>
      </c>
      <c r="D22" s="18">
        <f>0.75*14.58</f>
        <v>10.935</v>
      </c>
      <c r="E22" s="19">
        <f t="shared" si="1"/>
        <v>0.50295454545454543</v>
      </c>
    </row>
    <row r="23" spans="2:5" x14ac:dyDescent="0.25">
      <c r="B23" s="7" t="s">
        <v>9</v>
      </c>
      <c r="C23" s="18">
        <v>29</v>
      </c>
      <c r="D23" s="18">
        <f>3.12*14.58</f>
        <v>45.489600000000003</v>
      </c>
      <c r="E23" s="20">
        <f t="shared" si="1"/>
        <v>-0.56860689655172425</v>
      </c>
    </row>
    <row r="24" spans="2:5" x14ac:dyDescent="0.25">
      <c r="B24" s="7" t="s">
        <v>10</v>
      </c>
      <c r="C24" s="18">
        <f>22.5*4</f>
        <v>90</v>
      </c>
      <c r="D24" s="18">
        <v>105.4</v>
      </c>
      <c r="E24" s="19">
        <f t="shared" si="1"/>
        <v>-0.17111111111111119</v>
      </c>
    </row>
    <row r="31" spans="2:5" s="12" customFormat="1" x14ac:dyDescent="0.25"/>
    <row r="33" spans="2:7" x14ac:dyDescent="0.25">
      <c r="B33" t="s">
        <v>45</v>
      </c>
    </row>
    <row r="35" spans="2:7" ht="18.75" x14ac:dyDescent="0.3">
      <c r="B35" s="16" t="s">
        <v>11</v>
      </c>
    </row>
    <row r="36" spans="2:7" ht="21" x14ac:dyDescent="0.25">
      <c r="B36" s="2">
        <v>42367</v>
      </c>
      <c r="C36" s="17" t="s">
        <v>2</v>
      </c>
      <c r="D36" s="17" t="s">
        <v>3</v>
      </c>
      <c r="E36" s="17" t="s">
        <v>4</v>
      </c>
    </row>
    <row r="37" spans="2:7" x14ac:dyDescent="0.25">
      <c r="B37" s="4" t="s">
        <v>5</v>
      </c>
      <c r="C37" s="18">
        <v>22.33</v>
      </c>
      <c r="D37" s="18">
        <f>6/60*14.58</f>
        <v>1.4580000000000002</v>
      </c>
      <c r="E37" s="19">
        <f t="shared" ref="E37:E42" si="2">(C37-D37)/C37</f>
        <v>0.93470667263770724</v>
      </c>
    </row>
    <row r="38" spans="2:7" x14ac:dyDescent="0.25">
      <c r="B38" s="7" t="s">
        <v>6</v>
      </c>
      <c r="C38" s="18">
        <v>3.96</v>
      </c>
      <c r="D38" s="18">
        <f>21/60*14.58</f>
        <v>5.1029999999999998</v>
      </c>
      <c r="E38" s="20">
        <f t="shared" si="2"/>
        <v>-0.28863636363636358</v>
      </c>
    </row>
    <row r="39" spans="2:7" x14ac:dyDescent="0.25">
      <c r="B39" s="7" t="s">
        <v>7</v>
      </c>
      <c r="C39" s="18">
        <v>19.399999999999999</v>
      </c>
      <c r="D39" s="18">
        <v>0</v>
      </c>
      <c r="E39" s="20">
        <f t="shared" si="2"/>
        <v>1</v>
      </c>
    </row>
    <row r="40" spans="2:7" x14ac:dyDescent="0.25">
      <c r="B40" s="7" t="s">
        <v>8</v>
      </c>
      <c r="C40" s="18">
        <v>5.5</v>
      </c>
      <c r="D40" s="18">
        <f>12/60*14.58</f>
        <v>2.9160000000000004</v>
      </c>
      <c r="E40" s="19">
        <f t="shared" si="2"/>
        <v>0.46981818181818175</v>
      </c>
    </row>
    <row r="41" spans="2:7" x14ac:dyDescent="0.25">
      <c r="B41" s="7" t="s">
        <v>9</v>
      </c>
      <c r="C41" s="18">
        <v>0</v>
      </c>
      <c r="D41" s="18">
        <v>0</v>
      </c>
      <c r="E41" s="20" t="e">
        <f t="shared" si="2"/>
        <v>#DIV/0!</v>
      </c>
    </row>
    <row r="42" spans="2:7" x14ac:dyDescent="0.25">
      <c r="B42" s="7" t="s">
        <v>10</v>
      </c>
      <c r="C42" s="18">
        <v>22.5</v>
      </c>
      <c r="D42" s="18">
        <v>11.82</v>
      </c>
      <c r="E42" s="19">
        <f t="shared" si="2"/>
        <v>0.47466666666666668</v>
      </c>
    </row>
    <row r="44" spans="2:7" x14ac:dyDescent="0.25">
      <c r="C44" s="25"/>
    </row>
    <row r="45" spans="2:7" x14ac:dyDescent="0.25">
      <c r="C45" s="25"/>
    </row>
    <row r="46" spans="2:7" s="12" customFormat="1" x14ac:dyDescent="0.25">
      <c r="C46" s="26"/>
    </row>
    <row r="47" spans="2:7" ht="18.75" x14ac:dyDescent="0.3">
      <c r="B47" s="16" t="s">
        <v>12</v>
      </c>
      <c r="G47" s="27"/>
    </row>
    <row r="48" spans="2:7" ht="21" x14ac:dyDescent="0.25">
      <c r="B48" s="2">
        <v>42367</v>
      </c>
      <c r="C48" s="17" t="s">
        <v>2</v>
      </c>
      <c r="D48" s="17" t="s">
        <v>3</v>
      </c>
      <c r="E48" s="17" t="s">
        <v>4</v>
      </c>
      <c r="G48" s="27"/>
    </row>
    <row r="49" spans="2:7" x14ac:dyDescent="0.25">
      <c r="B49" s="4" t="s">
        <v>5</v>
      </c>
      <c r="C49" s="18">
        <v>22.33</v>
      </c>
      <c r="D49" s="18">
        <f>6/60*14.58</f>
        <v>1.4580000000000002</v>
      </c>
      <c r="E49" s="19">
        <f t="shared" ref="E49:E54" si="3">(C49-D49)/C49</f>
        <v>0.93470667263770724</v>
      </c>
      <c r="G49" s="25"/>
    </row>
    <row r="50" spans="2:7" x14ac:dyDescent="0.25">
      <c r="B50" s="7" t="s">
        <v>6</v>
      </c>
      <c r="C50" s="18">
        <v>3.96</v>
      </c>
      <c r="D50" s="18">
        <f>15/60*14.58</f>
        <v>3.645</v>
      </c>
      <c r="E50" s="20">
        <f t="shared" si="3"/>
        <v>7.954545454545453E-2</v>
      </c>
      <c r="G50" s="25"/>
    </row>
    <row r="51" spans="2:7" x14ac:dyDescent="0.25">
      <c r="B51" s="7" t="s">
        <v>7</v>
      </c>
      <c r="C51" s="18">
        <v>19.399999999999999</v>
      </c>
      <c r="D51" s="18">
        <f>244/60*14.58</f>
        <v>59.291999999999994</v>
      </c>
      <c r="E51" s="20">
        <f t="shared" si="3"/>
        <v>-2.0562886597938146</v>
      </c>
      <c r="G51" s="25"/>
    </row>
    <row r="52" spans="2:7" x14ac:dyDescent="0.25">
      <c r="B52" s="7" t="s">
        <v>8</v>
      </c>
      <c r="C52" s="18">
        <v>5.5</v>
      </c>
      <c r="D52" s="18">
        <f>15/60*14.58</f>
        <v>3.645</v>
      </c>
      <c r="E52" s="19">
        <f t="shared" si="3"/>
        <v>0.33727272727272728</v>
      </c>
      <c r="G52" s="25"/>
    </row>
    <row r="53" spans="2:7" x14ac:dyDescent="0.25">
      <c r="B53" s="7" t="s">
        <v>9</v>
      </c>
      <c r="C53" s="18">
        <v>0</v>
      </c>
      <c r="D53" s="18">
        <v>0</v>
      </c>
      <c r="E53" s="20" t="e">
        <f t="shared" si="3"/>
        <v>#DIV/0!</v>
      </c>
      <c r="G53" s="25"/>
    </row>
    <row r="54" spans="2:7" x14ac:dyDescent="0.25">
      <c r="B54" s="7" t="s">
        <v>10</v>
      </c>
      <c r="C54" s="18">
        <v>22.5</v>
      </c>
      <c r="D54" s="18">
        <v>10.72</v>
      </c>
      <c r="E54" s="19">
        <f t="shared" si="3"/>
        <v>0.52355555555555555</v>
      </c>
      <c r="G54" s="25"/>
    </row>
    <row r="55" spans="2:7" x14ac:dyDescent="0.25">
      <c r="G55" s="27"/>
    </row>
    <row r="56" spans="2:7" x14ac:dyDescent="0.25">
      <c r="G56" s="27"/>
    </row>
    <row r="57" spans="2:7" x14ac:dyDescent="0.25">
      <c r="G57" s="27"/>
    </row>
    <row r="58" spans="2:7" x14ac:dyDescent="0.25">
      <c r="G58" s="27"/>
    </row>
    <row r="59" spans="2:7" x14ac:dyDescent="0.25">
      <c r="G59" s="27"/>
    </row>
    <row r="60" spans="2:7" s="12" customFormat="1" x14ac:dyDescent="0.25">
      <c r="G60" s="28"/>
    </row>
    <row r="61" spans="2:7" ht="12.75" customHeight="1" x14ac:dyDescent="0.25">
      <c r="G61" s="25"/>
    </row>
    <row r="62" spans="2:7" ht="18.75" x14ac:dyDescent="0.3">
      <c r="B62" s="16" t="s">
        <v>13</v>
      </c>
      <c r="G62" s="25"/>
    </row>
    <row r="63" spans="2:7" ht="21" x14ac:dyDescent="0.25">
      <c r="B63" s="2">
        <v>42367</v>
      </c>
      <c r="C63" s="17" t="s">
        <v>2</v>
      </c>
      <c r="D63" s="17" t="s">
        <v>3</v>
      </c>
      <c r="E63" s="17" t="s">
        <v>4</v>
      </c>
      <c r="G63" s="25"/>
    </row>
    <row r="64" spans="2:7" x14ac:dyDescent="0.25">
      <c r="B64" s="4" t="s">
        <v>5</v>
      </c>
      <c r="C64" s="18">
        <v>22.33</v>
      </c>
      <c r="D64" s="18">
        <f>7/60*14.58</f>
        <v>1.7010000000000001</v>
      </c>
      <c r="E64" s="19">
        <f t="shared" ref="E64:E69" si="4">(C64-D64)/C64</f>
        <v>0.92382445141065828</v>
      </c>
      <c r="G64" s="25"/>
    </row>
    <row r="65" spans="2:7" x14ac:dyDescent="0.25">
      <c r="B65" s="7" t="s">
        <v>6</v>
      </c>
      <c r="C65" s="18">
        <v>3.96</v>
      </c>
      <c r="D65" s="18">
        <f>10/60*14.58</f>
        <v>2.4299999999999997</v>
      </c>
      <c r="E65" s="20">
        <f t="shared" si="4"/>
        <v>0.38636363636363641</v>
      </c>
      <c r="G65" s="27"/>
    </row>
    <row r="66" spans="2:7" x14ac:dyDescent="0.25">
      <c r="B66" s="7" t="s">
        <v>7</v>
      </c>
      <c r="C66" s="18">
        <v>19.399999999999999</v>
      </c>
      <c r="D66" s="18">
        <f>76/60*14.58</f>
        <v>18.468</v>
      </c>
      <c r="E66" s="20">
        <f t="shared" si="4"/>
        <v>4.8041237113401997E-2</v>
      </c>
      <c r="G66" s="27"/>
    </row>
    <row r="67" spans="2:7" x14ac:dyDescent="0.25">
      <c r="B67" s="7" t="s">
        <v>8</v>
      </c>
      <c r="C67" s="18">
        <v>5.5</v>
      </c>
      <c r="D67" s="18">
        <f>23/60*14.58</f>
        <v>5.5890000000000004</v>
      </c>
      <c r="E67" s="19">
        <f t="shared" si="4"/>
        <v>-1.6181818181818255E-2</v>
      </c>
      <c r="G67" s="27"/>
    </row>
    <row r="68" spans="2:7" x14ac:dyDescent="0.25">
      <c r="B68" s="7" t="s">
        <v>9</v>
      </c>
      <c r="C68" s="18">
        <v>0</v>
      </c>
      <c r="D68" s="18">
        <v>0</v>
      </c>
      <c r="E68" s="20" t="e">
        <f t="shared" si="4"/>
        <v>#DIV/0!</v>
      </c>
      <c r="G68" s="27"/>
    </row>
    <row r="69" spans="2:7" x14ac:dyDescent="0.25">
      <c r="B69" s="7" t="s">
        <v>10</v>
      </c>
      <c r="C69" s="18">
        <v>22.5</v>
      </c>
      <c r="D69" s="18">
        <v>12.3</v>
      </c>
      <c r="E69" s="19">
        <f t="shared" si="4"/>
        <v>0.45333333333333331</v>
      </c>
      <c r="G69" s="27"/>
    </row>
    <row r="70" spans="2:7" x14ac:dyDescent="0.25">
      <c r="G70" s="27"/>
    </row>
    <row r="71" spans="2:7" x14ac:dyDescent="0.25">
      <c r="G71" s="27"/>
    </row>
    <row r="72" spans="2:7" x14ac:dyDescent="0.25">
      <c r="G72" s="27"/>
    </row>
    <row r="73" spans="2:7" x14ac:dyDescent="0.25">
      <c r="G73" s="27"/>
    </row>
    <row r="74" spans="2:7" x14ac:dyDescent="0.25">
      <c r="G74" s="27"/>
    </row>
    <row r="75" spans="2:7" x14ac:dyDescent="0.25">
      <c r="G75" s="25"/>
    </row>
    <row r="76" spans="2:7" s="12" customFormat="1" x14ac:dyDescent="0.25">
      <c r="G76" s="26"/>
    </row>
    <row r="77" spans="2:7" ht="18.75" x14ac:dyDescent="0.3">
      <c r="B77" s="16" t="s">
        <v>14</v>
      </c>
      <c r="G77" s="25"/>
    </row>
    <row r="78" spans="2:7" ht="21" x14ac:dyDescent="0.25">
      <c r="B78" s="2">
        <v>42367</v>
      </c>
      <c r="C78" s="17" t="s">
        <v>2</v>
      </c>
      <c r="D78" s="17" t="s">
        <v>3</v>
      </c>
      <c r="E78" s="17" t="s">
        <v>4</v>
      </c>
      <c r="G78" s="25"/>
    </row>
    <row r="79" spans="2:7" x14ac:dyDescent="0.25">
      <c r="B79" s="4" t="s">
        <v>5</v>
      </c>
      <c r="C79" s="18">
        <v>22.33</v>
      </c>
      <c r="D79" s="18">
        <f>988/60*14.58</f>
        <v>240.08399999999997</v>
      </c>
      <c r="E79" s="19">
        <f t="shared" ref="E79:E84" si="5">(C79-D79)/C79</f>
        <v>-9.7516345723242264</v>
      </c>
      <c r="G79" s="27"/>
    </row>
    <row r="80" spans="2:7" x14ac:dyDescent="0.25">
      <c r="B80" s="7" t="s">
        <v>6</v>
      </c>
      <c r="C80" s="18">
        <v>3.96</v>
      </c>
      <c r="D80" s="18">
        <f>15/60*14.58</f>
        <v>3.645</v>
      </c>
      <c r="E80" s="20">
        <f t="shared" si="5"/>
        <v>7.954545454545453E-2</v>
      </c>
      <c r="G80" s="27"/>
    </row>
    <row r="81" spans="2:7" x14ac:dyDescent="0.25">
      <c r="B81" s="7" t="s">
        <v>7</v>
      </c>
      <c r="C81" s="18">
        <v>19.399999999999999</v>
      </c>
      <c r="D81" s="18">
        <v>0</v>
      </c>
      <c r="E81" s="20">
        <f t="shared" si="5"/>
        <v>1</v>
      </c>
      <c r="G81" s="27"/>
    </row>
    <row r="82" spans="2:7" x14ac:dyDescent="0.25">
      <c r="B82" s="7" t="s">
        <v>8</v>
      </c>
      <c r="C82" s="18">
        <v>5.5</v>
      </c>
      <c r="D82" s="18">
        <f>41/60*14.58</f>
        <v>9.963000000000001</v>
      </c>
      <c r="E82" s="19">
        <f t="shared" si="5"/>
        <v>-0.81145454545454565</v>
      </c>
      <c r="G82" s="27"/>
    </row>
    <row r="83" spans="2:7" x14ac:dyDescent="0.25">
      <c r="B83" s="7" t="s">
        <v>9</v>
      </c>
      <c r="C83" s="18">
        <v>0</v>
      </c>
      <c r="D83" s="18">
        <v>0</v>
      </c>
      <c r="E83" s="20" t="e">
        <f t="shared" si="5"/>
        <v>#DIV/0!</v>
      </c>
      <c r="G83" s="27"/>
    </row>
    <row r="84" spans="2:7" x14ac:dyDescent="0.25">
      <c r="B84" s="7" t="s">
        <v>10</v>
      </c>
      <c r="C84" s="18">
        <v>22.5</v>
      </c>
      <c r="D84" s="18">
        <v>10.58</v>
      </c>
      <c r="E84" s="19">
        <f t="shared" si="5"/>
        <v>0.52977777777777779</v>
      </c>
      <c r="G84" s="27"/>
    </row>
    <row r="85" spans="2:7" x14ac:dyDescent="0.25">
      <c r="G85" s="27"/>
    </row>
    <row r="86" spans="2:7" x14ac:dyDescent="0.25">
      <c r="G86" s="27"/>
    </row>
    <row r="87" spans="2:7" x14ac:dyDescent="0.25">
      <c r="G87" s="27"/>
    </row>
    <row r="88" spans="2:7" x14ac:dyDescent="0.25">
      <c r="G88" s="27"/>
    </row>
    <row r="89" spans="2:7" x14ac:dyDescent="0.25">
      <c r="G89" s="27"/>
    </row>
    <row r="90" spans="2:7" x14ac:dyDescent="0.25">
      <c r="F90" s="25"/>
      <c r="G90" s="27"/>
    </row>
    <row r="91" spans="2:7" s="12" customFormat="1" x14ac:dyDescent="0.25">
      <c r="F91" s="26"/>
      <c r="G91" s="28"/>
    </row>
    <row r="92" spans="2:7" ht="18.75" x14ac:dyDescent="0.3">
      <c r="B92" s="16" t="s">
        <v>15</v>
      </c>
      <c r="F92" s="25"/>
      <c r="G92" s="27"/>
    </row>
    <row r="93" spans="2:7" ht="21" x14ac:dyDescent="0.25">
      <c r="B93" s="2">
        <v>42367</v>
      </c>
      <c r="C93" s="17" t="s">
        <v>2</v>
      </c>
      <c r="D93" s="17" t="s">
        <v>3</v>
      </c>
      <c r="E93" s="29" t="s">
        <v>4</v>
      </c>
      <c r="F93" s="25"/>
      <c r="G93" s="27"/>
    </row>
    <row r="94" spans="2:7" x14ac:dyDescent="0.25">
      <c r="B94" s="4" t="s">
        <v>5</v>
      </c>
      <c r="C94" s="18">
        <v>22.33</v>
      </c>
      <c r="D94" s="18">
        <f>15/60*14.58</f>
        <v>3.645</v>
      </c>
      <c r="E94" s="19">
        <f t="shared" ref="E94:E99" si="6">(C94-D94)/C94</f>
        <v>0.83676668159426781</v>
      </c>
      <c r="G94" s="27"/>
    </row>
    <row r="95" spans="2:7" x14ac:dyDescent="0.25">
      <c r="B95" s="7" t="s">
        <v>6</v>
      </c>
      <c r="C95" s="18">
        <v>3.96</v>
      </c>
      <c r="D95" s="18">
        <f>90/60*14.58</f>
        <v>21.87</v>
      </c>
      <c r="E95" s="20">
        <f t="shared" si="6"/>
        <v>-4.5227272727272725</v>
      </c>
      <c r="G95" s="27"/>
    </row>
    <row r="96" spans="2:7" x14ac:dyDescent="0.25">
      <c r="B96" s="7" t="s">
        <v>7</v>
      </c>
      <c r="C96" s="18">
        <v>19.399999999999999</v>
      </c>
      <c r="D96" s="18">
        <f>89/60*14.58</f>
        <v>21.627000000000002</v>
      </c>
      <c r="E96" s="20">
        <f t="shared" si="6"/>
        <v>-0.1147938144329899</v>
      </c>
      <c r="G96" s="27"/>
    </row>
    <row r="97" spans="2:7" x14ac:dyDescent="0.25">
      <c r="B97" s="7" t="s">
        <v>8</v>
      </c>
      <c r="C97" s="18">
        <v>5.5</v>
      </c>
      <c r="D97" s="18">
        <f>8/60*14.58</f>
        <v>1.944</v>
      </c>
      <c r="E97" s="19">
        <f t="shared" si="6"/>
        <v>0.64654545454545453</v>
      </c>
      <c r="G97" s="27"/>
    </row>
    <row r="98" spans="2:7" x14ac:dyDescent="0.25">
      <c r="B98" s="7" t="s">
        <v>9</v>
      </c>
      <c r="C98" s="18"/>
      <c r="D98" s="18">
        <v>0</v>
      </c>
      <c r="E98" s="20" t="e">
        <f t="shared" si="6"/>
        <v>#DIV/0!</v>
      </c>
      <c r="G98" s="27"/>
    </row>
    <row r="99" spans="2:7" x14ac:dyDescent="0.25">
      <c r="B99" s="7" t="s">
        <v>10</v>
      </c>
      <c r="C99" s="18">
        <v>22.5</v>
      </c>
      <c r="D99" s="18">
        <v>2.38</v>
      </c>
      <c r="E99" s="19">
        <f t="shared" si="6"/>
        <v>0.89422222222222225</v>
      </c>
      <c r="G99" s="27"/>
    </row>
    <row r="100" spans="2:7" x14ac:dyDescent="0.25">
      <c r="G100" s="27"/>
    </row>
    <row r="101" spans="2:7" ht="18" customHeight="1" x14ac:dyDescent="0.25">
      <c r="G101" s="27"/>
    </row>
    <row r="102" spans="2:7" ht="18" customHeight="1" x14ac:dyDescent="0.25">
      <c r="G102" s="27"/>
    </row>
    <row r="103" spans="2:7" ht="18" customHeight="1" x14ac:dyDescent="0.25">
      <c r="G103" s="27"/>
    </row>
    <row r="104" spans="2:7" ht="18" customHeight="1" x14ac:dyDescent="0.25">
      <c r="G104" s="27"/>
    </row>
    <row r="105" spans="2:7" s="12" customFormat="1" x14ac:dyDescent="0.25">
      <c r="G105" s="28"/>
    </row>
    <row r="106" spans="2:7" x14ac:dyDescent="0.25">
      <c r="G106" s="27"/>
    </row>
    <row r="107" spans="2:7" ht="18.75" x14ac:dyDescent="0.3">
      <c r="B107" s="16" t="s">
        <v>16</v>
      </c>
      <c r="G107" s="27"/>
    </row>
    <row r="108" spans="2:7" ht="21" x14ac:dyDescent="0.25">
      <c r="B108" s="2">
        <v>42367</v>
      </c>
      <c r="C108" s="17" t="s">
        <v>2</v>
      </c>
      <c r="D108" s="17" t="s">
        <v>3</v>
      </c>
      <c r="E108" s="29" t="s">
        <v>4</v>
      </c>
      <c r="G108" s="27"/>
    </row>
    <row r="109" spans="2:7" x14ac:dyDescent="0.25">
      <c r="B109" s="4" t="s">
        <v>5</v>
      </c>
      <c r="C109" s="18">
        <v>22.33</v>
      </c>
      <c r="D109" s="18">
        <f>20/60*14.58</f>
        <v>4.8599999999999994</v>
      </c>
      <c r="E109" s="19">
        <f t="shared" ref="E109:E114" si="7">(C109-D109)/C109</f>
        <v>0.78235557545902379</v>
      </c>
      <c r="G109" s="25"/>
    </row>
    <row r="110" spans="2:7" x14ac:dyDescent="0.25">
      <c r="B110" s="7" t="s">
        <v>6</v>
      </c>
      <c r="C110" s="18">
        <v>3.96</v>
      </c>
      <c r="D110" s="18">
        <f>5/60*14.58</f>
        <v>1.2149999999999999</v>
      </c>
      <c r="E110" s="20">
        <f t="shared" si="7"/>
        <v>0.69318181818181823</v>
      </c>
      <c r="G110" s="25"/>
    </row>
    <row r="111" spans="2:7" x14ac:dyDescent="0.25">
      <c r="B111" s="7" t="s">
        <v>7</v>
      </c>
      <c r="C111" s="18">
        <v>19.399999999999999</v>
      </c>
      <c r="D111" s="18">
        <v>0</v>
      </c>
      <c r="E111" s="20">
        <f t="shared" si="7"/>
        <v>1</v>
      </c>
      <c r="G111" s="25"/>
    </row>
    <row r="112" spans="2:7" x14ac:dyDescent="0.25">
      <c r="B112" s="7" t="s">
        <v>8</v>
      </c>
      <c r="C112" s="18">
        <v>5.5</v>
      </c>
      <c r="D112" s="18">
        <f>10/60*14.58</f>
        <v>2.4299999999999997</v>
      </c>
      <c r="E112" s="19">
        <f t="shared" si="7"/>
        <v>0.55818181818181822</v>
      </c>
      <c r="G112" s="25"/>
    </row>
    <row r="113" spans="2:7" x14ac:dyDescent="0.25">
      <c r="B113" s="7" t="s">
        <v>9</v>
      </c>
      <c r="C113" s="18"/>
      <c r="D113" s="18">
        <v>0</v>
      </c>
      <c r="E113" s="20" t="e">
        <f t="shared" si="7"/>
        <v>#DIV/0!</v>
      </c>
      <c r="G113" s="25"/>
    </row>
    <row r="114" spans="2:7" x14ac:dyDescent="0.25">
      <c r="B114" s="7" t="s">
        <v>10</v>
      </c>
      <c r="C114" s="18">
        <v>22.5</v>
      </c>
      <c r="D114" s="18">
        <v>4.53</v>
      </c>
      <c r="E114" s="19">
        <f t="shared" si="7"/>
        <v>0.79866666666666664</v>
      </c>
      <c r="G114" s="27"/>
    </row>
    <row r="115" spans="2:7" x14ac:dyDescent="0.25">
      <c r="G115" s="27"/>
    </row>
    <row r="116" spans="2:7" x14ac:dyDescent="0.25">
      <c r="G116" s="27"/>
    </row>
    <row r="117" spans="2:7" x14ac:dyDescent="0.25">
      <c r="G117" s="27"/>
    </row>
    <row r="118" spans="2:7" x14ac:dyDescent="0.25">
      <c r="G118" s="27"/>
    </row>
    <row r="119" spans="2:7" x14ac:dyDescent="0.25">
      <c r="G119" s="27"/>
    </row>
    <row r="120" spans="2:7" s="12" customFormat="1" x14ac:dyDescent="0.25">
      <c r="G120" s="28"/>
    </row>
    <row r="121" spans="2:7" x14ac:dyDescent="0.25">
      <c r="G121" s="27"/>
    </row>
    <row r="122" spans="2:7" ht="18.75" x14ac:dyDescent="0.3">
      <c r="B122" s="16" t="s">
        <v>17</v>
      </c>
      <c r="G122" s="27"/>
    </row>
    <row r="123" spans="2:7" ht="21" x14ac:dyDescent="0.25">
      <c r="B123" s="2">
        <v>42367</v>
      </c>
      <c r="C123" s="17" t="s">
        <v>2</v>
      </c>
      <c r="D123" s="17" t="s">
        <v>3</v>
      </c>
      <c r="E123" s="29" t="s">
        <v>4</v>
      </c>
      <c r="G123" s="27"/>
    </row>
    <row r="124" spans="2:7" x14ac:dyDescent="0.25">
      <c r="B124" s="4" t="s">
        <v>5</v>
      </c>
      <c r="C124" s="18">
        <v>22.33</v>
      </c>
      <c r="D124" s="18">
        <v>0</v>
      </c>
      <c r="E124" s="19">
        <f t="shared" ref="E124:E129" si="8">(C124-D124)/C124</f>
        <v>1</v>
      </c>
      <c r="G124" s="25"/>
    </row>
    <row r="125" spans="2:7" x14ac:dyDescent="0.25">
      <c r="B125" s="7" t="s">
        <v>6</v>
      </c>
      <c r="C125" s="18">
        <v>3.96</v>
      </c>
      <c r="D125" s="18">
        <f>22/60*14.58</f>
        <v>5.3460000000000001</v>
      </c>
      <c r="E125" s="20">
        <f t="shared" si="8"/>
        <v>-0.35000000000000003</v>
      </c>
      <c r="G125" s="25"/>
    </row>
    <row r="126" spans="2:7" x14ac:dyDescent="0.25">
      <c r="B126" s="7" t="s">
        <v>7</v>
      </c>
      <c r="C126" s="18">
        <v>0</v>
      </c>
      <c r="D126" s="18">
        <v>0</v>
      </c>
      <c r="E126" s="20" t="e">
        <f t="shared" si="8"/>
        <v>#DIV/0!</v>
      </c>
      <c r="G126" s="25"/>
    </row>
    <row r="127" spans="2:7" x14ac:dyDescent="0.25">
      <c r="B127" s="7" t="s">
        <v>8</v>
      </c>
      <c r="C127" s="18">
        <v>5.5</v>
      </c>
      <c r="D127" s="18">
        <f>27/60*14.58</f>
        <v>6.5609999999999999</v>
      </c>
      <c r="E127" s="19">
        <f t="shared" si="8"/>
        <v>-0.19290909090909089</v>
      </c>
      <c r="G127" s="25"/>
    </row>
    <row r="128" spans="2:7" x14ac:dyDescent="0.25">
      <c r="B128" s="7" t="s">
        <v>9</v>
      </c>
      <c r="C128" s="18">
        <v>29</v>
      </c>
      <c r="D128" s="18">
        <f>1/60*14.58</f>
        <v>0.24299999999999999</v>
      </c>
      <c r="E128" s="20">
        <f t="shared" si="8"/>
        <v>0.99162068965517247</v>
      </c>
      <c r="G128" s="25"/>
    </row>
    <row r="129" spans="2:7" x14ac:dyDescent="0.25">
      <c r="B129" s="7" t="s">
        <v>10</v>
      </c>
      <c r="C129" s="18">
        <v>22.5</v>
      </c>
      <c r="D129" s="18">
        <f>4/60*7.29</f>
        <v>0.48599999999999999</v>
      </c>
      <c r="E129" s="19">
        <f t="shared" si="8"/>
        <v>0.97839999999999994</v>
      </c>
      <c r="G129" s="25"/>
    </row>
    <row r="130" spans="2:7" x14ac:dyDescent="0.25">
      <c r="G130" s="27"/>
    </row>
    <row r="131" spans="2:7" x14ac:dyDescent="0.25">
      <c r="G131" s="27"/>
    </row>
    <row r="132" spans="2:7" x14ac:dyDescent="0.25">
      <c r="G132" s="27"/>
    </row>
    <row r="133" spans="2:7" x14ac:dyDescent="0.25">
      <c r="G133" s="27"/>
    </row>
    <row r="134" spans="2:7" x14ac:dyDescent="0.25">
      <c r="G134" s="27"/>
    </row>
    <row r="135" spans="2:7" s="12" customFormat="1" x14ac:dyDescent="0.25">
      <c r="G135" s="28"/>
    </row>
    <row r="136" spans="2:7" x14ac:dyDescent="0.25">
      <c r="G136" s="27"/>
    </row>
    <row r="137" spans="2:7" ht="18.75" x14ac:dyDescent="0.3">
      <c r="B137" s="16" t="s">
        <v>18</v>
      </c>
      <c r="G137" s="27"/>
    </row>
    <row r="138" spans="2:7" ht="21" x14ac:dyDescent="0.25">
      <c r="B138" s="2">
        <v>42367</v>
      </c>
      <c r="C138" s="17" t="s">
        <v>2</v>
      </c>
      <c r="D138" s="17" t="s">
        <v>3</v>
      </c>
      <c r="E138" s="29" t="s">
        <v>4</v>
      </c>
      <c r="G138" s="27"/>
    </row>
    <row r="139" spans="2:7" x14ac:dyDescent="0.25">
      <c r="B139" s="4" t="s">
        <v>5</v>
      </c>
      <c r="C139" s="18">
        <v>22.33</v>
      </c>
      <c r="D139" s="18">
        <f>10/60*14.58</f>
        <v>2.4299999999999997</v>
      </c>
      <c r="E139" s="19">
        <f t="shared" ref="E139:E144" si="9">(C139-D139)/C139</f>
        <v>0.89117778772951184</v>
      </c>
      <c r="G139" s="27"/>
    </row>
    <row r="140" spans="2:7" x14ac:dyDescent="0.25">
      <c r="B140" s="7" t="s">
        <v>6</v>
      </c>
      <c r="C140" s="18">
        <v>3.96</v>
      </c>
      <c r="D140" s="18">
        <v>0</v>
      </c>
      <c r="E140" s="20">
        <f t="shared" si="9"/>
        <v>1</v>
      </c>
      <c r="G140" s="27"/>
    </row>
    <row r="141" spans="2:7" x14ac:dyDescent="0.25">
      <c r="B141" s="7" t="s">
        <v>7</v>
      </c>
      <c r="C141" s="18">
        <v>19.399999999999999</v>
      </c>
      <c r="D141" s="18">
        <v>0</v>
      </c>
      <c r="E141" s="20">
        <f t="shared" si="9"/>
        <v>1</v>
      </c>
      <c r="G141" s="27"/>
    </row>
    <row r="142" spans="2:7" x14ac:dyDescent="0.25">
      <c r="B142" s="7" t="s">
        <v>8</v>
      </c>
      <c r="C142" s="18">
        <v>5.5</v>
      </c>
      <c r="D142" s="18">
        <v>0</v>
      </c>
      <c r="E142" s="19">
        <f t="shared" si="9"/>
        <v>1</v>
      </c>
      <c r="G142" s="27"/>
    </row>
    <row r="143" spans="2:7" x14ac:dyDescent="0.25">
      <c r="B143" s="7" t="s">
        <v>9</v>
      </c>
      <c r="C143" s="18"/>
      <c r="D143" s="18">
        <v>0</v>
      </c>
      <c r="E143" s="20" t="e">
        <f t="shared" si="9"/>
        <v>#DIV/0!</v>
      </c>
      <c r="G143" s="27"/>
    </row>
    <row r="144" spans="2:7" x14ac:dyDescent="0.25">
      <c r="B144" s="7" t="s">
        <v>10</v>
      </c>
      <c r="C144" s="18">
        <v>22.5</v>
      </c>
      <c r="D144" s="18">
        <v>6.97</v>
      </c>
      <c r="E144" s="19">
        <f t="shared" si="9"/>
        <v>0.69022222222222229</v>
      </c>
      <c r="G144" s="27"/>
    </row>
    <row r="145" spans="2:7" x14ac:dyDescent="0.25">
      <c r="G145" s="27"/>
    </row>
    <row r="146" spans="2:7" x14ac:dyDescent="0.25">
      <c r="G146" s="27"/>
    </row>
    <row r="147" spans="2:7" x14ac:dyDescent="0.25">
      <c r="G147" s="27"/>
    </row>
    <row r="148" spans="2:7" x14ac:dyDescent="0.25">
      <c r="G148" s="27"/>
    </row>
    <row r="149" spans="2:7" x14ac:dyDescent="0.25">
      <c r="G149" s="27"/>
    </row>
    <row r="150" spans="2:7" s="12" customFormat="1" x14ac:dyDescent="0.25">
      <c r="G150" s="28"/>
    </row>
    <row r="151" spans="2:7" x14ac:dyDescent="0.25">
      <c r="G151" s="27"/>
    </row>
    <row r="152" spans="2:7" ht="18.75" x14ac:dyDescent="0.3">
      <c r="B152" s="16" t="s">
        <v>19</v>
      </c>
      <c r="G152" s="27"/>
    </row>
    <row r="153" spans="2:7" ht="21" x14ac:dyDescent="0.25">
      <c r="B153" s="2">
        <v>42367</v>
      </c>
      <c r="C153" s="17" t="s">
        <v>2</v>
      </c>
      <c r="D153" s="17" t="s">
        <v>3</v>
      </c>
      <c r="E153" s="29" t="s">
        <v>4</v>
      </c>
      <c r="G153" s="27"/>
    </row>
    <row r="154" spans="2:7" x14ac:dyDescent="0.25">
      <c r="B154" s="4" t="s">
        <v>5</v>
      </c>
      <c r="C154" s="18">
        <v>22.33</v>
      </c>
      <c r="D154" s="18">
        <f>5/60*14.58</f>
        <v>1.2149999999999999</v>
      </c>
      <c r="E154" s="19">
        <f t="shared" ref="E154:E159" si="10">(C154-D154)/C154</f>
        <v>0.94558889386475597</v>
      </c>
      <c r="G154" s="27"/>
    </row>
    <row r="155" spans="2:7" x14ac:dyDescent="0.25">
      <c r="B155" s="7" t="s">
        <v>6</v>
      </c>
      <c r="C155" s="18">
        <v>3.96</v>
      </c>
      <c r="D155" s="18">
        <v>0</v>
      </c>
      <c r="E155" s="20">
        <f t="shared" si="10"/>
        <v>1</v>
      </c>
      <c r="G155" s="27"/>
    </row>
    <row r="156" spans="2:7" x14ac:dyDescent="0.25">
      <c r="B156" s="7" t="s">
        <v>7</v>
      </c>
      <c r="C156" s="18">
        <v>0</v>
      </c>
      <c r="D156" s="18">
        <v>0</v>
      </c>
      <c r="E156" s="20" t="e">
        <f t="shared" si="10"/>
        <v>#DIV/0!</v>
      </c>
      <c r="G156" s="27"/>
    </row>
    <row r="157" spans="2:7" x14ac:dyDescent="0.25">
      <c r="B157" s="7" t="s">
        <v>8</v>
      </c>
      <c r="C157" s="18">
        <v>5.5</v>
      </c>
      <c r="D157" s="18">
        <v>0</v>
      </c>
      <c r="E157" s="19">
        <f t="shared" si="10"/>
        <v>1</v>
      </c>
      <c r="G157" s="27"/>
    </row>
    <row r="158" spans="2:7" x14ac:dyDescent="0.25">
      <c r="B158" s="7" t="s">
        <v>9</v>
      </c>
      <c r="C158" s="18">
        <v>29</v>
      </c>
      <c r="D158" s="18">
        <f>113/60*14.58</f>
        <v>27.459</v>
      </c>
      <c r="E158" s="20">
        <f t="shared" si="10"/>
        <v>5.313793103448277E-2</v>
      </c>
      <c r="G158" s="27"/>
    </row>
    <row r="159" spans="2:7" x14ac:dyDescent="0.25">
      <c r="B159" s="7" t="s">
        <v>10</v>
      </c>
      <c r="C159" s="18">
        <v>22.5</v>
      </c>
      <c r="D159" s="18">
        <v>16.29</v>
      </c>
      <c r="E159" s="19">
        <f t="shared" si="10"/>
        <v>0.27600000000000002</v>
      </c>
      <c r="G159" s="27"/>
    </row>
    <row r="160" spans="2:7" x14ac:dyDescent="0.25">
      <c r="G160" s="27"/>
    </row>
    <row r="161" spans="2:7" x14ac:dyDescent="0.25">
      <c r="G161" s="27"/>
    </row>
    <row r="162" spans="2:7" x14ac:dyDescent="0.25">
      <c r="G162" s="27"/>
    </row>
    <row r="163" spans="2:7" x14ac:dyDescent="0.25">
      <c r="G163" s="27"/>
    </row>
    <row r="164" spans="2:7" x14ac:dyDescent="0.25">
      <c r="G164" s="27"/>
    </row>
    <row r="165" spans="2:7" s="12" customFormat="1" x14ac:dyDescent="0.25">
      <c r="G165" s="28"/>
    </row>
    <row r="166" spans="2:7" ht="18.75" x14ac:dyDescent="0.3">
      <c r="B166" s="16" t="s">
        <v>20</v>
      </c>
      <c r="G166" s="27"/>
    </row>
    <row r="167" spans="2:7" ht="21" x14ac:dyDescent="0.25">
      <c r="B167" s="2">
        <v>42367</v>
      </c>
      <c r="C167" s="17" t="s">
        <v>2</v>
      </c>
      <c r="D167" s="17" t="s">
        <v>3</v>
      </c>
      <c r="E167" s="29" t="s">
        <v>4</v>
      </c>
      <c r="G167" s="27"/>
    </row>
    <row r="168" spans="2:7" x14ac:dyDescent="0.25">
      <c r="B168" s="4" t="s">
        <v>5</v>
      </c>
      <c r="C168" s="18">
        <v>22.33</v>
      </c>
      <c r="D168" s="18">
        <f>51/60*14.58</f>
        <v>12.392999999999999</v>
      </c>
      <c r="E168" s="19">
        <f t="shared" ref="E168:E173" si="11">(C168-D168)/C168</f>
        <v>0.44500671742051051</v>
      </c>
      <c r="G168" s="25"/>
    </row>
    <row r="169" spans="2:7" x14ac:dyDescent="0.25">
      <c r="B169" s="7" t="s">
        <v>6</v>
      </c>
      <c r="C169" s="18">
        <v>3.96</v>
      </c>
      <c r="D169" s="18">
        <f>209/60*14.58</f>
        <v>50.786999999999999</v>
      </c>
      <c r="E169" s="20">
        <f t="shared" si="11"/>
        <v>-11.824999999999999</v>
      </c>
      <c r="G169" s="25"/>
    </row>
    <row r="170" spans="2:7" x14ac:dyDescent="0.25">
      <c r="B170" s="7" t="s">
        <v>7</v>
      </c>
      <c r="C170" s="18">
        <v>19.399999999999999</v>
      </c>
      <c r="D170" s="18">
        <f>43/60*14.58</f>
        <v>10.449</v>
      </c>
      <c r="E170" s="20">
        <f t="shared" si="11"/>
        <v>0.46139175257731957</v>
      </c>
      <c r="G170" s="25"/>
    </row>
    <row r="171" spans="2:7" x14ac:dyDescent="0.25">
      <c r="B171" s="7" t="s">
        <v>8</v>
      </c>
      <c r="C171" s="18">
        <v>5.5</v>
      </c>
      <c r="D171" s="18">
        <f>4/60*14.58</f>
        <v>0.97199999999999998</v>
      </c>
      <c r="E171" s="19">
        <f t="shared" si="11"/>
        <v>0.82327272727272738</v>
      </c>
      <c r="G171" s="25"/>
    </row>
    <row r="172" spans="2:7" x14ac:dyDescent="0.25">
      <c r="B172" s="7" t="s">
        <v>9</v>
      </c>
      <c r="C172" s="18">
        <v>0</v>
      </c>
      <c r="D172" s="18">
        <v>0</v>
      </c>
      <c r="E172" s="20" t="e">
        <f t="shared" si="11"/>
        <v>#DIV/0!</v>
      </c>
      <c r="G172" s="25"/>
    </row>
    <row r="173" spans="2:7" x14ac:dyDescent="0.25">
      <c r="B173" s="7" t="s">
        <v>10</v>
      </c>
      <c r="C173" s="18">
        <v>22.5</v>
      </c>
      <c r="D173" s="18">
        <v>4.8899999999999997</v>
      </c>
      <c r="E173" s="19">
        <f t="shared" si="11"/>
        <v>0.78266666666666662</v>
      </c>
      <c r="G173" s="27"/>
    </row>
    <row r="174" spans="2:7" x14ac:dyDescent="0.25">
      <c r="G174" s="27"/>
    </row>
    <row r="175" spans="2:7" x14ac:dyDescent="0.25">
      <c r="G175" s="27"/>
    </row>
    <row r="176" spans="2:7" x14ac:dyDescent="0.25">
      <c r="G176" s="27"/>
    </row>
    <row r="177" spans="2:7" x14ac:dyDescent="0.25">
      <c r="G177" s="27"/>
    </row>
    <row r="178" spans="2:7" x14ac:dyDescent="0.25">
      <c r="G178" s="27"/>
    </row>
    <row r="179" spans="2:7" s="12" customFormat="1" x14ac:dyDescent="0.25">
      <c r="G179" s="28"/>
    </row>
    <row r="180" spans="2:7" ht="18.75" x14ac:dyDescent="0.3">
      <c r="B180" s="16" t="s">
        <v>21</v>
      </c>
      <c r="G180" s="27"/>
    </row>
    <row r="181" spans="2:7" ht="21" x14ac:dyDescent="0.25">
      <c r="B181" s="2">
        <v>42367</v>
      </c>
      <c r="C181" s="17" t="s">
        <v>2</v>
      </c>
      <c r="D181" s="17" t="s">
        <v>3</v>
      </c>
      <c r="E181" s="29" t="s">
        <v>4</v>
      </c>
      <c r="G181" s="27"/>
    </row>
    <row r="182" spans="2:7" x14ac:dyDescent="0.25">
      <c r="B182" s="4" t="s">
        <v>5</v>
      </c>
      <c r="C182" s="18">
        <v>22.33</v>
      </c>
      <c r="D182" s="18">
        <f>10/60*14.58</f>
        <v>2.4299999999999997</v>
      </c>
      <c r="E182" s="19">
        <f t="shared" ref="E182:E187" si="12">(C182-D182)/C182</f>
        <v>0.89117778772951184</v>
      </c>
      <c r="G182" s="27"/>
    </row>
    <row r="183" spans="2:7" x14ac:dyDescent="0.25">
      <c r="B183" s="7" t="s">
        <v>6</v>
      </c>
      <c r="C183" s="18">
        <v>3.96</v>
      </c>
      <c r="D183" s="18">
        <v>0</v>
      </c>
      <c r="E183" s="20">
        <f t="shared" si="12"/>
        <v>1</v>
      </c>
      <c r="G183" s="27"/>
    </row>
    <row r="184" spans="2:7" x14ac:dyDescent="0.25">
      <c r="B184" s="7" t="s">
        <v>7</v>
      </c>
      <c r="C184" s="18">
        <v>0</v>
      </c>
      <c r="D184" s="18">
        <v>0</v>
      </c>
      <c r="E184" s="20" t="e">
        <f t="shared" si="12"/>
        <v>#DIV/0!</v>
      </c>
      <c r="G184" s="27"/>
    </row>
    <row r="185" spans="2:7" x14ac:dyDescent="0.25">
      <c r="B185" s="7" t="s">
        <v>8</v>
      </c>
      <c r="C185" s="18">
        <v>5.5</v>
      </c>
      <c r="D185" s="18">
        <v>0</v>
      </c>
      <c r="E185" s="19">
        <f t="shared" si="12"/>
        <v>1</v>
      </c>
      <c r="G185" s="27"/>
    </row>
    <row r="186" spans="2:7" x14ac:dyDescent="0.25">
      <c r="B186" s="7" t="s">
        <v>9</v>
      </c>
      <c r="C186" s="18">
        <v>29</v>
      </c>
      <c r="D186" s="18">
        <f>110/60*14.58</f>
        <v>26.73</v>
      </c>
      <c r="E186" s="20">
        <f t="shared" si="12"/>
        <v>7.8275862068965502E-2</v>
      </c>
      <c r="G186" s="27"/>
    </row>
    <row r="187" spans="2:7" x14ac:dyDescent="0.25">
      <c r="B187" s="7" t="s">
        <v>10</v>
      </c>
      <c r="C187" s="18">
        <v>22.5</v>
      </c>
      <c r="D187" s="18">
        <v>6.97</v>
      </c>
      <c r="E187" s="19">
        <f t="shared" si="12"/>
        <v>0.69022222222222229</v>
      </c>
      <c r="G187" s="27"/>
    </row>
    <row r="188" spans="2:7" x14ac:dyDescent="0.25">
      <c r="G188" s="27"/>
    </row>
    <row r="189" spans="2:7" x14ac:dyDescent="0.25">
      <c r="G189" s="27"/>
    </row>
    <row r="190" spans="2:7" x14ac:dyDescent="0.25">
      <c r="G190" s="27"/>
    </row>
    <row r="191" spans="2:7" x14ac:dyDescent="0.25">
      <c r="G191" s="27"/>
    </row>
    <row r="192" spans="2:7" x14ac:dyDescent="0.25">
      <c r="G192" s="27"/>
    </row>
    <row r="193" spans="2:7" s="12" customFormat="1" x14ac:dyDescent="0.25">
      <c r="G193" s="28"/>
    </row>
    <row r="194" spans="2:7" x14ac:dyDescent="0.25">
      <c r="G194" s="27"/>
    </row>
    <row r="195" spans="2:7" ht="18.75" x14ac:dyDescent="0.3">
      <c r="B195" s="16" t="s">
        <v>22</v>
      </c>
      <c r="G195" s="27"/>
    </row>
    <row r="196" spans="2:7" ht="21" x14ac:dyDescent="0.25">
      <c r="B196" s="2">
        <v>42367</v>
      </c>
      <c r="C196" s="17" t="s">
        <v>2</v>
      </c>
      <c r="D196" s="17" t="s">
        <v>3</v>
      </c>
      <c r="E196" s="29" t="s">
        <v>4</v>
      </c>
      <c r="G196" s="27"/>
    </row>
    <row r="197" spans="2:7" x14ac:dyDescent="0.25">
      <c r="B197" s="4" t="s">
        <v>5</v>
      </c>
      <c r="C197" s="18">
        <v>22.33</v>
      </c>
      <c r="D197" s="18">
        <f>12/60*14.58</f>
        <v>2.9160000000000004</v>
      </c>
      <c r="E197" s="19">
        <f t="shared" ref="E197:E202" si="13">(C197-D197)/C197</f>
        <v>0.86941334527541425</v>
      </c>
      <c r="G197" s="27"/>
    </row>
    <row r="198" spans="2:7" x14ac:dyDescent="0.25">
      <c r="B198" s="7" t="s">
        <v>6</v>
      </c>
      <c r="C198" s="18">
        <v>3.96</v>
      </c>
      <c r="D198" s="18">
        <v>0</v>
      </c>
      <c r="E198" s="20">
        <f t="shared" si="13"/>
        <v>1</v>
      </c>
      <c r="G198" s="27"/>
    </row>
    <row r="199" spans="2:7" x14ac:dyDescent="0.25">
      <c r="B199" s="7" t="s">
        <v>7</v>
      </c>
      <c r="C199" s="18">
        <v>0</v>
      </c>
      <c r="D199" s="18">
        <v>0</v>
      </c>
      <c r="E199" s="20" t="e">
        <f t="shared" si="13"/>
        <v>#DIV/0!</v>
      </c>
      <c r="G199" s="27"/>
    </row>
    <row r="200" spans="2:7" x14ac:dyDescent="0.25">
      <c r="B200" s="7" t="s">
        <v>8</v>
      </c>
      <c r="C200" s="18">
        <v>5.5</v>
      </c>
      <c r="D200" s="18">
        <v>0</v>
      </c>
      <c r="E200" s="19">
        <f t="shared" si="13"/>
        <v>1</v>
      </c>
      <c r="G200" s="27"/>
    </row>
    <row r="201" spans="2:7" x14ac:dyDescent="0.25">
      <c r="B201" s="7" t="s">
        <v>9</v>
      </c>
      <c r="C201" s="18">
        <v>29</v>
      </c>
      <c r="D201" s="18">
        <f>43/60*14.58</f>
        <v>10.449</v>
      </c>
      <c r="E201" s="20">
        <f t="shared" si="13"/>
        <v>0.63968965517241383</v>
      </c>
      <c r="G201" s="27"/>
    </row>
    <row r="202" spans="2:7" x14ac:dyDescent="0.25">
      <c r="B202" s="7" t="s">
        <v>10</v>
      </c>
      <c r="C202" s="18">
        <v>22.5</v>
      </c>
      <c r="D202" s="18">
        <f>3/60*7.29</f>
        <v>0.36450000000000005</v>
      </c>
      <c r="E202" s="19">
        <f t="shared" si="13"/>
        <v>0.98380000000000001</v>
      </c>
      <c r="G202" s="27"/>
    </row>
    <row r="203" spans="2:7" x14ac:dyDescent="0.25">
      <c r="G203" s="27"/>
    </row>
    <row r="204" spans="2:7" x14ac:dyDescent="0.25">
      <c r="G204" s="27"/>
    </row>
    <row r="205" spans="2:7" x14ac:dyDescent="0.25">
      <c r="G205" s="27"/>
    </row>
    <row r="206" spans="2:7" x14ac:dyDescent="0.25">
      <c r="G206" s="27"/>
    </row>
    <row r="207" spans="2:7" x14ac:dyDescent="0.25">
      <c r="G207" s="27"/>
    </row>
    <row r="208" spans="2:7" s="12" customFormat="1" x14ac:dyDescent="0.25">
      <c r="G208" s="28"/>
    </row>
    <row r="209" spans="2:7" x14ac:dyDescent="0.25">
      <c r="G209" s="27"/>
    </row>
    <row r="210" spans="2:7" ht="18.75" x14ac:dyDescent="0.3">
      <c r="B210" s="16" t="s">
        <v>23</v>
      </c>
      <c r="G210" s="27"/>
    </row>
    <row r="211" spans="2:7" ht="21" x14ac:dyDescent="0.25">
      <c r="B211" s="2">
        <v>42367</v>
      </c>
      <c r="C211" s="17" t="s">
        <v>2</v>
      </c>
      <c r="D211" s="17" t="s">
        <v>3</v>
      </c>
      <c r="E211" s="29" t="s">
        <v>4</v>
      </c>
      <c r="G211" s="27"/>
    </row>
    <row r="212" spans="2:7" x14ac:dyDescent="0.25">
      <c r="B212" s="4" t="s">
        <v>5</v>
      </c>
      <c r="C212" s="18">
        <v>22.33</v>
      </c>
      <c r="D212" s="18">
        <f>3/60*14.58</f>
        <v>0.72900000000000009</v>
      </c>
      <c r="E212" s="19">
        <f t="shared" ref="E212:E217" si="14">(C212-D212)/C212</f>
        <v>0.96735333631885356</v>
      </c>
      <c r="G212" s="27"/>
    </row>
    <row r="213" spans="2:7" x14ac:dyDescent="0.25">
      <c r="B213" s="7" t="s">
        <v>6</v>
      </c>
      <c r="C213" s="18">
        <v>3.96</v>
      </c>
      <c r="D213" s="18">
        <v>0</v>
      </c>
      <c r="E213" s="20">
        <f t="shared" si="14"/>
        <v>1</v>
      </c>
      <c r="G213" s="27"/>
    </row>
    <row r="214" spans="2:7" x14ac:dyDescent="0.25">
      <c r="B214" s="7" t="s">
        <v>7</v>
      </c>
      <c r="C214" s="18">
        <v>0</v>
      </c>
      <c r="D214" s="18">
        <v>0</v>
      </c>
      <c r="E214" s="20" t="e">
        <f t="shared" si="14"/>
        <v>#DIV/0!</v>
      </c>
      <c r="G214" s="27"/>
    </row>
    <row r="215" spans="2:7" x14ac:dyDescent="0.25">
      <c r="B215" s="7" t="s">
        <v>8</v>
      </c>
      <c r="C215" s="18">
        <v>5.5</v>
      </c>
      <c r="D215" s="18">
        <v>0</v>
      </c>
      <c r="E215" s="19">
        <f t="shared" si="14"/>
        <v>1</v>
      </c>
      <c r="G215" s="27"/>
    </row>
    <row r="216" spans="2:7" x14ac:dyDescent="0.25">
      <c r="B216" s="7" t="s">
        <v>9</v>
      </c>
      <c r="C216" s="18">
        <v>29</v>
      </c>
      <c r="D216" s="18">
        <f>5/60*14.58</f>
        <v>1.2149999999999999</v>
      </c>
      <c r="E216" s="20">
        <f t="shared" si="14"/>
        <v>0.95810344827586202</v>
      </c>
      <c r="G216" s="27"/>
    </row>
    <row r="217" spans="2:7" x14ac:dyDescent="0.25">
      <c r="B217" s="7" t="s">
        <v>10</v>
      </c>
      <c r="C217" s="18">
        <v>22.5</v>
      </c>
      <c r="D217" s="18">
        <f>3/60*7.29</f>
        <v>0.36450000000000005</v>
      </c>
      <c r="E217" s="19">
        <f t="shared" si="14"/>
        <v>0.98380000000000001</v>
      </c>
      <c r="G217" s="27"/>
    </row>
    <row r="218" spans="2:7" x14ac:dyDescent="0.25">
      <c r="G218" s="27"/>
    </row>
    <row r="219" spans="2:7" x14ac:dyDescent="0.25">
      <c r="G219" s="27"/>
    </row>
    <row r="220" spans="2:7" x14ac:dyDescent="0.25">
      <c r="G220" s="27"/>
    </row>
    <row r="221" spans="2:7" x14ac:dyDescent="0.25">
      <c r="G221" s="27"/>
    </row>
    <row r="222" spans="2:7" x14ac:dyDescent="0.25">
      <c r="G222" s="27"/>
    </row>
    <row r="223" spans="2:7" s="12" customFormat="1" x14ac:dyDescent="0.25">
      <c r="G223" s="28"/>
    </row>
    <row r="224" spans="2:7" x14ac:dyDescent="0.25">
      <c r="G224" s="27"/>
    </row>
    <row r="225" spans="2:7" ht="18.75" x14ac:dyDescent="0.3">
      <c r="B225" s="16" t="s">
        <v>24</v>
      </c>
      <c r="G225" s="27"/>
    </row>
    <row r="226" spans="2:7" ht="21" x14ac:dyDescent="0.25">
      <c r="B226" s="2">
        <v>42367</v>
      </c>
      <c r="C226" s="17" t="s">
        <v>2</v>
      </c>
      <c r="D226" s="17" t="s">
        <v>3</v>
      </c>
      <c r="E226" s="29" t="s">
        <v>4</v>
      </c>
      <c r="G226" s="27"/>
    </row>
    <row r="227" spans="2:7" x14ac:dyDescent="0.25">
      <c r="B227" s="4" t="s">
        <v>5</v>
      </c>
      <c r="C227" s="18">
        <v>22.33</v>
      </c>
      <c r="D227" s="18">
        <f>601/60*14.58</f>
        <v>146.04300000000001</v>
      </c>
      <c r="E227" s="19">
        <f t="shared" ref="E227:E232" si="15">(C227-D227)/C227</f>
        <v>-5.540214957456338</v>
      </c>
      <c r="G227" s="27"/>
    </row>
    <row r="228" spans="2:7" x14ac:dyDescent="0.25">
      <c r="B228" s="7" t="s">
        <v>6</v>
      </c>
      <c r="C228" s="18">
        <v>3.96</v>
      </c>
      <c r="D228" s="18">
        <f>57/60*14.58</f>
        <v>13.850999999999999</v>
      </c>
      <c r="E228" s="20">
        <f t="shared" si="15"/>
        <v>-2.4977272727272721</v>
      </c>
      <c r="G228" s="25"/>
    </row>
    <row r="229" spans="2:7" x14ac:dyDescent="0.25">
      <c r="B229" s="7" t="s">
        <v>7</v>
      </c>
      <c r="C229" s="18">
        <v>19.399999999999999</v>
      </c>
      <c r="D229" s="18">
        <f>317/60*14.58</f>
        <v>77.030999999999992</v>
      </c>
      <c r="E229" s="20">
        <f t="shared" si="15"/>
        <v>-2.9706701030927833</v>
      </c>
      <c r="G229" s="25"/>
    </row>
    <row r="230" spans="2:7" x14ac:dyDescent="0.25">
      <c r="B230" s="7" t="s">
        <v>8</v>
      </c>
      <c r="C230" s="18">
        <v>5.5</v>
      </c>
      <c r="D230" s="18">
        <f>11/60*14.58</f>
        <v>2.673</v>
      </c>
      <c r="E230" s="19">
        <f t="shared" si="15"/>
        <v>0.51400000000000001</v>
      </c>
      <c r="G230" s="25"/>
    </row>
    <row r="231" spans="2:7" x14ac:dyDescent="0.25">
      <c r="B231" s="7" t="s">
        <v>9</v>
      </c>
      <c r="C231" s="18">
        <v>0</v>
      </c>
      <c r="D231" s="18">
        <v>0</v>
      </c>
      <c r="E231" s="20" t="e">
        <f t="shared" si="15"/>
        <v>#DIV/0!</v>
      </c>
      <c r="G231" s="25"/>
    </row>
    <row r="232" spans="2:7" x14ac:dyDescent="0.25">
      <c r="B232" s="7" t="s">
        <v>10</v>
      </c>
      <c r="C232" s="18">
        <v>22.5</v>
      </c>
      <c r="D232" s="18">
        <v>4.49</v>
      </c>
      <c r="E232" s="19">
        <f t="shared" si="15"/>
        <v>0.8004444444444444</v>
      </c>
      <c r="G232" s="27"/>
    </row>
    <row r="233" spans="2:7" x14ac:dyDescent="0.25">
      <c r="G233" s="27"/>
    </row>
    <row r="234" spans="2:7" x14ac:dyDescent="0.25">
      <c r="G234" s="27"/>
    </row>
    <row r="235" spans="2:7" x14ac:dyDescent="0.25">
      <c r="G235" s="27"/>
    </row>
    <row r="236" spans="2:7" x14ac:dyDescent="0.25">
      <c r="G236" s="27"/>
    </row>
    <row r="237" spans="2:7" x14ac:dyDescent="0.25">
      <c r="G237" s="27"/>
    </row>
    <row r="238" spans="2:7" s="12" customFormat="1" x14ac:dyDescent="0.25">
      <c r="G238" s="28"/>
    </row>
    <row r="239" spans="2:7" x14ac:dyDescent="0.25">
      <c r="G239" s="27"/>
    </row>
    <row r="240" spans="2:7" ht="18.75" x14ac:dyDescent="0.3">
      <c r="B240" s="16" t="s">
        <v>15</v>
      </c>
      <c r="G240" s="27"/>
    </row>
    <row r="241" spans="2:7" ht="21" x14ac:dyDescent="0.25">
      <c r="B241" s="2">
        <v>42367</v>
      </c>
      <c r="C241" s="17" t="s">
        <v>2</v>
      </c>
      <c r="D241" s="17" t="s">
        <v>3</v>
      </c>
      <c r="E241" s="29" t="s">
        <v>4</v>
      </c>
      <c r="G241" s="27"/>
    </row>
    <row r="242" spans="2:7" x14ac:dyDescent="0.25">
      <c r="B242" s="4" t="s">
        <v>5</v>
      </c>
      <c r="C242" s="18">
        <v>22.33</v>
      </c>
      <c r="D242" s="18">
        <f>14/60*14.58</f>
        <v>3.4020000000000001</v>
      </c>
      <c r="E242" s="19">
        <f t="shared" ref="E242:E247" si="16">(C242-D242)/C242</f>
        <v>0.84764890282131655</v>
      </c>
      <c r="G242" s="25"/>
    </row>
    <row r="243" spans="2:7" x14ac:dyDescent="0.25">
      <c r="B243" s="7" t="s">
        <v>6</v>
      </c>
      <c r="C243" s="18">
        <v>3.96</v>
      </c>
      <c r="D243" s="18">
        <f>90/60*14.58</f>
        <v>21.87</v>
      </c>
      <c r="E243" s="20">
        <f t="shared" si="16"/>
        <v>-4.5227272727272725</v>
      </c>
      <c r="G243" s="25"/>
    </row>
    <row r="244" spans="2:7" x14ac:dyDescent="0.25">
      <c r="B244" s="7" t="s">
        <v>7</v>
      </c>
      <c r="C244" s="18">
        <v>19.399999999999999</v>
      </c>
      <c r="D244" s="18">
        <f>89/60*14.58</f>
        <v>21.627000000000002</v>
      </c>
      <c r="E244" s="20">
        <f t="shared" si="16"/>
        <v>-0.1147938144329899</v>
      </c>
      <c r="G244" s="25"/>
    </row>
    <row r="245" spans="2:7" x14ac:dyDescent="0.25">
      <c r="B245" s="7" t="s">
        <v>8</v>
      </c>
      <c r="C245" s="18">
        <v>5.5</v>
      </c>
      <c r="D245" s="18">
        <f>8/60*14.58</f>
        <v>1.944</v>
      </c>
      <c r="E245" s="19">
        <f t="shared" si="16"/>
        <v>0.64654545454545453</v>
      </c>
      <c r="G245" s="25"/>
    </row>
    <row r="246" spans="2:7" x14ac:dyDescent="0.25">
      <c r="B246" s="7" t="s">
        <v>9</v>
      </c>
      <c r="C246" s="18">
        <v>0</v>
      </c>
      <c r="D246" s="18">
        <v>0</v>
      </c>
      <c r="E246" s="20" t="e">
        <f t="shared" si="16"/>
        <v>#DIV/0!</v>
      </c>
      <c r="G246" s="27"/>
    </row>
    <row r="247" spans="2:7" x14ac:dyDescent="0.25">
      <c r="B247" s="7" t="s">
        <v>10</v>
      </c>
      <c r="C247" s="18">
        <v>22.5</v>
      </c>
      <c r="D247" s="18">
        <v>1.6</v>
      </c>
      <c r="E247" s="19">
        <f t="shared" si="16"/>
        <v>0.92888888888888888</v>
      </c>
      <c r="G247" s="27"/>
    </row>
    <row r="248" spans="2:7" x14ac:dyDescent="0.25">
      <c r="G248" s="27"/>
    </row>
    <row r="249" spans="2:7" x14ac:dyDescent="0.25">
      <c r="G249" s="27"/>
    </row>
    <row r="250" spans="2:7" x14ac:dyDescent="0.25">
      <c r="G250" s="27"/>
    </row>
    <row r="251" spans="2:7" x14ac:dyDescent="0.25">
      <c r="G251" s="27"/>
    </row>
    <row r="252" spans="2:7" ht="17.25" customHeight="1" x14ac:dyDescent="0.25">
      <c r="G252" s="27"/>
    </row>
    <row r="253" spans="2:7" x14ac:dyDescent="0.25">
      <c r="G253" s="27"/>
    </row>
    <row r="254" spans="2:7" s="12" customFormat="1" x14ac:dyDescent="0.25">
      <c r="G254" s="28"/>
    </row>
    <row r="255" spans="2:7" ht="18.75" x14ac:dyDescent="0.3">
      <c r="B255" s="16" t="s">
        <v>25</v>
      </c>
      <c r="G255" s="27"/>
    </row>
    <row r="256" spans="2:7" ht="21" x14ac:dyDescent="0.25">
      <c r="B256" s="2">
        <v>42367</v>
      </c>
      <c r="C256" s="17" t="s">
        <v>2</v>
      </c>
      <c r="D256" s="17" t="s">
        <v>3</v>
      </c>
      <c r="E256" s="29" t="s">
        <v>4</v>
      </c>
      <c r="G256" s="27"/>
    </row>
    <row r="257" spans="2:7" x14ac:dyDescent="0.25">
      <c r="B257" s="4" t="s">
        <v>5</v>
      </c>
      <c r="C257" s="18">
        <v>22.33</v>
      </c>
      <c r="D257" s="18">
        <v>0</v>
      </c>
      <c r="E257" s="19">
        <f t="shared" ref="E257:E262" si="17">(C257-D257)/C257</f>
        <v>1</v>
      </c>
      <c r="G257" s="27"/>
    </row>
    <row r="258" spans="2:7" x14ac:dyDescent="0.25">
      <c r="B258" s="7" t="s">
        <v>6</v>
      </c>
      <c r="C258" s="18">
        <v>3.96</v>
      </c>
      <c r="D258" s="18">
        <v>0</v>
      </c>
      <c r="E258" s="20">
        <f t="shared" si="17"/>
        <v>1</v>
      </c>
      <c r="G258" s="27"/>
    </row>
    <row r="259" spans="2:7" x14ac:dyDescent="0.25">
      <c r="B259" s="7" t="s">
        <v>7</v>
      </c>
      <c r="C259" s="18">
        <v>0</v>
      </c>
      <c r="D259" s="18">
        <v>0</v>
      </c>
      <c r="E259" s="20" t="e">
        <f t="shared" si="17"/>
        <v>#DIV/0!</v>
      </c>
      <c r="G259" s="27"/>
    </row>
    <row r="260" spans="2:7" x14ac:dyDescent="0.25">
      <c r="B260" s="7" t="s">
        <v>8</v>
      </c>
      <c r="C260" s="18">
        <v>5.5</v>
      </c>
      <c r="D260" s="18">
        <f>10/60*14.58</f>
        <v>2.4299999999999997</v>
      </c>
      <c r="E260" s="19">
        <f t="shared" si="17"/>
        <v>0.55818181818181822</v>
      </c>
      <c r="G260" s="27"/>
    </row>
    <row r="261" spans="2:7" x14ac:dyDescent="0.25">
      <c r="B261" s="7" t="s">
        <v>9</v>
      </c>
      <c r="C261" s="18">
        <v>29</v>
      </c>
      <c r="D261" s="18">
        <f>43/60*14.58</f>
        <v>10.449</v>
      </c>
      <c r="E261" s="20">
        <f t="shared" si="17"/>
        <v>0.63968965517241383</v>
      </c>
      <c r="G261" s="27"/>
    </row>
    <row r="262" spans="2:7" x14ac:dyDescent="0.25">
      <c r="B262" s="7" t="s">
        <v>10</v>
      </c>
      <c r="C262" s="18">
        <v>22.5</v>
      </c>
      <c r="D262" s="18">
        <v>0.71</v>
      </c>
      <c r="E262" s="19">
        <f t="shared" si="17"/>
        <v>0.96844444444444444</v>
      </c>
      <c r="G262" s="27"/>
    </row>
    <row r="263" spans="2:7" x14ac:dyDescent="0.25">
      <c r="G263" s="27"/>
    </row>
    <row r="264" spans="2:7" x14ac:dyDescent="0.25">
      <c r="G264" s="27"/>
    </row>
    <row r="265" spans="2:7" x14ac:dyDescent="0.25">
      <c r="G265" s="27"/>
    </row>
    <row r="266" spans="2:7" x14ac:dyDescent="0.25">
      <c r="G266" s="27"/>
    </row>
    <row r="267" spans="2:7" x14ac:dyDescent="0.25">
      <c r="G267" s="27"/>
    </row>
    <row r="268" spans="2:7" x14ac:dyDescent="0.25">
      <c r="G268" s="27"/>
    </row>
    <row r="269" spans="2:7" s="12" customFormat="1" x14ac:dyDescent="0.25">
      <c r="G269" s="28"/>
    </row>
    <row r="270" spans="2:7" ht="18.75" x14ac:dyDescent="0.3">
      <c r="B270" s="16" t="s">
        <v>26</v>
      </c>
      <c r="G270" s="27"/>
    </row>
    <row r="271" spans="2:7" ht="21" x14ac:dyDescent="0.25">
      <c r="B271" s="2">
        <v>42367</v>
      </c>
      <c r="C271" s="17" t="s">
        <v>2</v>
      </c>
      <c r="D271" s="17" t="s">
        <v>3</v>
      </c>
      <c r="E271" s="29" t="s">
        <v>4</v>
      </c>
      <c r="G271" s="27"/>
    </row>
    <row r="272" spans="2:7" x14ac:dyDescent="0.25">
      <c r="B272" s="4" t="s">
        <v>5</v>
      </c>
      <c r="C272" s="18">
        <v>22.33</v>
      </c>
      <c r="D272" s="18">
        <f>17/60*14.58</f>
        <v>4.1310000000000002</v>
      </c>
      <c r="E272" s="19">
        <f t="shared" ref="E272:E277" si="18">(C272-D272)/C272</f>
        <v>0.81500223914017011</v>
      </c>
      <c r="G272" s="27"/>
    </row>
    <row r="273" spans="2:7" x14ac:dyDescent="0.25">
      <c r="B273" s="7" t="s">
        <v>6</v>
      </c>
      <c r="C273" s="18">
        <v>3.96</v>
      </c>
      <c r="D273" s="18">
        <f>142/60*14.58</f>
        <v>34.506</v>
      </c>
      <c r="E273" s="20">
        <f t="shared" si="18"/>
        <v>-7.7136363636363638</v>
      </c>
      <c r="G273" s="27"/>
    </row>
    <row r="274" spans="2:7" x14ac:dyDescent="0.25">
      <c r="B274" s="7" t="s">
        <v>7</v>
      </c>
      <c r="C274" s="18">
        <v>19.399999999999999</v>
      </c>
      <c r="D274" s="18">
        <v>0</v>
      </c>
      <c r="E274" s="20">
        <f t="shared" si="18"/>
        <v>1</v>
      </c>
      <c r="G274" s="27"/>
    </row>
    <row r="275" spans="2:7" x14ac:dyDescent="0.25">
      <c r="B275" s="7" t="s">
        <v>8</v>
      </c>
      <c r="C275" s="18">
        <v>5.5</v>
      </c>
      <c r="D275" s="18">
        <f>5/60*14.58</f>
        <v>1.2149999999999999</v>
      </c>
      <c r="E275" s="19">
        <f t="shared" si="18"/>
        <v>0.77909090909090917</v>
      </c>
      <c r="G275" s="27"/>
    </row>
    <row r="276" spans="2:7" x14ac:dyDescent="0.25">
      <c r="B276" s="7" t="s">
        <v>9</v>
      </c>
      <c r="C276" s="18">
        <v>0</v>
      </c>
      <c r="D276" s="18">
        <v>0</v>
      </c>
      <c r="E276" s="20" t="e">
        <f t="shared" si="18"/>
        <v>#DIV/0!</v>
      </c>
      <c r="G276" s="27"/>
    </row>
    <row r="277" spans="2:7" x14ac:dyDescent="0.25">
      <c r="B277" s="7" t="s">
        <v>10</v>
      </c>
      <c r="C277" s="18">
        <v>22.5</v>
      </c>
      <c r="D277" s="18">
        <f>6/60*7.29</f>
        <v>0.72900000000000009</v>
      </c>
      <c r="E277" s="19">
        <f t="shared" si="18"/>
        <v>0.96760000000000002</v>
      </c>
      <c r="G277" s="27"/>
    </row>
    <row r="278" spans="2:7" x14ac:dyDescent="0.25">
      <c r="G278" s="27"/>
    </row>
    <row r="279" spans="2:7" x14ac:dyDescent="0.25">
      <c r="G279" s="27"/>
    </row>
    <row r="280" spans="2:7" x14ac:dyDescent="0.25">
      <c r="G280" s="27"/>
    </row>
    <row r="281" spans="2:7" x14ac:dyDescent="0.25">
      <c r="G281" s="27"/>
    </row>
    <row r="282" spans="2:7" x14ac:dyDescent="0.25">
      <c r="G282" s="27"/>
    </row>
    <row r="283" spans="2:7" x14ac:dyDescent="0.25">
      <c r="G283" s="27"/>
    </row>
    <row r="284" spans="2:7" s="12" customFormat="1" x14ac:dyDescent="0.25">
      <c r="G284" s="28"/>
    </row>
    <row r="285" spans="2:7" ht="18.75" x14ac:dyDescent="0.3">
      <c r="B285" s="16" t="s">
        <v>27</v>
      </c>
      <c r="G285" s="27"/>
    </row>
    <row r="286" spans="2:7" ht="21" x14ac:dyDescent="0.25">
      <c r="B286" s="2">
        <v>42367</v>
      </c>
      <c r="C286" s="17" t="s">
        <v>2</v>
      </c>
      <c r="D286" s="17" t="s">
        <v>3</v>
      </c>
      <c r="E286" s="29" t="s">
        <v>4</v>
      </c>
      <c r="G286" s="27"/>
    </row>
    <row r="287" spans="2:7" x14ac:dyDescent="0.25">
      <c r="B287" s="4" t="s">
        <v>5</v>
      </c>
      <c r="C287" s="18">
        <v>22.33</v>
      </c>
      <c r="D287" s="18">
        <f>9/60*14.58</f>
        <v>2.1869999999999998</v>
      </c>
      <c r="E287" s="19">
        <f t="shared" ref="E287:E292" si="19">(C287-D287)/C287</f>
        <v>0.90206000895656058</v>
      </c>
      <c r="G287" s="27"/>
    </row>
    <row r="288" spans="2:7" x14ac:dyDescent="0.25">
      <c r="B288" s="7" t="s">
        <v>6</v>
      </c>
      <c r="C288" s="18">
        <v>3.96</v>
      </c>
      <c r="D288" s="18">
        <f>42/60*14.58</f>
        <v>10.206</v>
      </c>
      <c r="E288" s="20">
        <f t="shared" si="19"/>
        <v>-1.5772727272727272</v>
      </c>
      <c r="G288" s="27"/>
    </row>
    <row r="289" spans="2:7" x14ac:dyDescent="0.25">
      <c r="B289" s="7" t="s">
        <v>7</v>
      </c>
      <c r="C289" s="18">
        <v>19.399999999999999</v>
      </c>
      <c r="D289" s="18">
        <v>0</v>
      </c>
      <c r="E289" s="20">
        <f t="shared" si="19"/>
        <v>1</v>
      </c>
      <c r="G289" s="27"/>
    </row>
    <row r="290" spans="2:7" x14ac:dyDescent="0.25">
      <c r="B290" s="7" t="s">
        <v>8</v>
      </c>
      <c r="C290" s="18">
        <v>5.5</v>
      </c>
      <c r="D290" s="18">
        <f>5/60*14.58</f>
        <v>1.2149999999999999</v>
      </c>
      <c r="E290" s="19">
        <f t="shared" si="19"/>
        <v>0.77909090909090917</v>
      </c>
      <c r="G290" s="27"/>
    </row>
    <row r="291" spans="2:7" x14ac:dyDescent="0.25">
      <c r="B291" s="7" t="s">
        <v>9</v>
      </c>
      <c r="C291" s="18">
        <v>0</v>
      </c>
      <c r="D291" s="18">
        <v>0</v>
      </c>
      <c r="E291" s="20" t="e">
        <f t="shared" si="19"/>
        <v>#DIV/0!</v>
      </c>
      <c r="G291" s="27"/>
    </row>
    <row r="292" spans="2:7" x14ac:dyDescent="0.25">
      <c r="B292" s="7" t="s">
        <v>10</v>
      </c>
      <c r="C292" s="18">
        <v>22.5</v>
      </c>
      <c r="D292" s="18">
        <v>2.34</v>
      </c>
      <c r="E292" s="19">
        <f t="shared" si="19"/>
        <v>0.89600000000000002</v>
      </c>
      <c r="G292" s="27"/>
    </row>
    <row r="293" spans="2:7" x14ac:dyDescent="0.25">
      <c r="G293" s="27"/>
    </row>
    <row r="294" spans="2:7" x14ac:dyDescent="0.25">
      <c r="G294" s="27"/>
    </row>
    <row r="295" spans="2:7" x14ac:dyDescent="0.25">
      <c r="G295" s="27"/>
    </row>
    <row r="296" spans="2:7" x14ac:dyDescent="0.25">
      <c r="G296" s="27"/>
    </row>
    <row r="297" spans="2:7" x14ac:dyDescent="0.25">
      <c r="G297" s="27"/>
    </row>
    <row r="298" spans="2:7" x14ac:dyDescent="0.25">
      <c r="G298" s="27"/>
    </row>
    <row r="299" spans="2:7" s="12" customFormat="1" x14ac:dyDescent="0.25">
      <c r="G299" s="28"/>
    </row>
    <row r="300" spans="2:7" ht="18.75" x14ac:dyDescent="0.3">
      <c r="B300" s="16" t="s">
        <v>28</v>
      </c>
      <c r="G300" s="27"/>
    </row>
    <row r="301" spans="2:7" ht="21" x14ac:dyDescent="0.25">
      <c r="B301" s="2">
        <v>42367</v>
      </c>
      <c r="C301" s="17" t="s">
        <v>2</v>
      </c>
      <c r="D301" s="17" t="s">
        <v>3</v>
      </c>
      <c r="E301" s="29" t="s">
        <v>4</v>
      </c>
      <c r="G301" s="27"/>
    </row>
    <row r="302" spans="2:7" x14ac:dyDescent="0.25">
      <c r="B302" s="4" t="s">
        <v>5</v>
      </c>
      <c r="C302" s="18">
        <v>22.33</v>
      </c>
      <c r="D302" s="18">
        <f>1/60*14.58</f>
        <v>0.24299999999999999</v>
      </c>
      <c r="E302" s="19">
        <f t="shared" ref="E302:E307" si="20">(C302-D302)/C302</f>
        <v>0.98911777877295126</v>
      </c>
      <c r="G302" s="27"/>
    </row>
    <row r="303" spans="2:7" x14ac:dyDescent="0.25">
      <c r="B303" s="7" t="s">
        <v>6</v>
      </c>
      <c r="C303" s="18">
        <v>3.96</v>
      </c>
      <c r="D303" s="18">
        <f>52/60*14.58</f>
        <v>12.636000000000001</v>
      </c>
      <c r="E303" s="20">
        <f t="shared" si="20"/>
        <v>-2.1909090909090914</v>
      </c>
      <c r="G303" s="27"/>
    </row>
    <row r="304" spans="2:7" x14ac:dyDescent="0.25">
      <c r="B304" s="7" t="s">
        <v>7</v>
      </c>
      <c r="C304" s="18">
        <v>19.399999999999999</v>
      </c>
      <c r="D304" s="18">
        <v>0</v>
      </c>
      <c r="E304" s="20">
        <f t="shared" si="20"/>
        <v>1</v>
      </c>
      <c r="G304" s="27"/>
    </row>
    <row r="305" spans="2:7" x14ac:dyDescent="0.25">
      <c r="B305" s="7" t="s">
        <v>8</v>
      </c>
      <c r="C305" s="18">
        <v>5.5</v>
      </c>
      <c r="D305" s="18">
        <f>2/60*14.58</f>
        <v>0.48599999999999999</v>
      </c>
      <c r="E305" s="19">
        <f t="shared" si="20"/>
        <v>0.91163636363636369</v>
      </c>
      <c r="G305" s="27"/>
    </row>
    <row r="306" spans="2:7" x14ac:dyDescent="0.25">
      <c r="B306" s="7" t="s">
        <v>9</v>
      </c>
      <c r="C306" s="18">
        <v>0</v>
      </c>
      <c r="D306" s="18">
        <v>0</v>
      </c>
      <c r="E306" s="20" t="e">
        <f t="shared" si="20"/>
        <v>#DIV/0!</v>
      </c>
      <c r="G306" s="27"/>
    </row>
    <row r="307" spans="2:7" x14ac:dyDescent="0.25">
      <c r="B307" s="7" t="s">
        <v>10</v>
      </c>
      <c r="C307" s="18">
        <v>22.5</v>
      </c>
      <c r="D307" s="18">
        <v>1.82</v>
      </c>
      <c r="E307" s="19">
        <f t="shared" si="20"/>
        <v>0.9191111111111111</v>
      </c>
      <c r="G307" s="27"/>
    </row>
    <row r="308" spans="2:7" x14ac:dyDescent="0.25">
      <c r="G308" s="27"/>
    </row>
    <row r="309" spans="2:7" x14ac:dyDescent="0.25">
      <c r="G309" s="27"/>
    </row>
    <row r="310" spans="2:7" x14ac:dyDescent="0.25">
      <c r="G310" s="27"/>
    </row>
    <row r="311" spans="2:7" x14ac:dyDescent="0.25">
      <c r="G311" s="27"/>
    </row>
    <row r="312" spans="2:7" x14ac:dyDescent="0.25">
      <c r="G312" s="27"/>
    </row>
    <row r="313" spans="2:7" x14ac:dyDescent="0.25">
      <c r="G313" s="27"/>
    </row>
    <row r="314" spans="2:7" s="12" customFormat="1" x14ac:dyDescent="0.25">
      <c r="G314" s="28"/>
    </row>
    <row r="315" spans="2:7" ht="18.75" x14ac:dyDescent="0.3">
      <c r="B315" s="16" t="s">
        <v>29</v>
      </c>
      <c r="G315" s="27"/>
    </row>
    <row r="316" spans="2:7" ht="21" x14ac:dyDescent="0.25">
      <c r="B316" s="2">
        <v>42367</v>
      </c>
      <c r="C316" s="17" t="s">
        <v>2</v>
      </c>
      <c r="D316" s="17" t="s">
        <v>3</v>
      </c>
      <c r="E316" s="29" t="s">
        <v>4</v>
      </c>
      <c r="G316" s="27"/>
    </row>
    <row r="317" spans="2:7" x14ac:dyDescent="0.25">
      <c r="B317" s="4" t="s">
        <v>5</v>
      </c>
      <c r="C317" s="18">
        <v>22.33</v>
      </c>
      <c r="D317" s="18">
        <f>35/60*14.58</f>
        <v>8.5050000000000008</v>
      </c>
      <c r="E317" s="19">
        <f t="shared" ref="E317:E322" si="21">(C317-D317)/C317</f>
        <v>0.61912225705329149</v>
      </c>
      <c r="G317" s="25"/>
    </row>
    <row r="318" spans="2:7" x14ac:dyDescent="0.25">
      <c r="B318" s="7" t="s">
        <v>6</v>
      </c>
      <c r="C318" s="18">
        <v>3.96</v>
      </c>
      <c r="D318" s="18">
        <f>223/60*14.58</f>
        <v>54.189</v>
      </c>
      <c r="E318" s="20">
        <f t="shared" si="21"/>
        <v>-12.684090909090909</v>
      </c>
      <c r="G318" s="25"/>
    </row>
    <row r="319" spans="2:7" x14ac:dyDescent="0.25">
      <c r="B319" s="7" t="s">
        <v>7</v>
      </c>
      <c r="C319" s="18">
        <v>19.399999999999999</v>
      </c>
      <c r="D319" s="18">
        <f>168/60*14.58</f>
        <v>40.823999999999998</v>
      </c>
      <c r="E319" s="20">
        <f t="shared" si="21"/>
        <v>-1.1043298969072166</v>
      </c>
      <c r="G319" s="25"/>
    </row>
    <row r="320" spans="2:7" x14ac:dyDescent="0.25">
      <c r="B320" s="7" t="s">
        <v>8</v>
      </c>
      <c r="C320" s="18">
        <v>5.5</v>
      </c>
      <c r="D320" s="18">
        <f>1/60*14.58</f>
        <v>0.24299999999999999</v>
      </c>
      <c r="E320" s="19">
        <f t="shared" si="21"/>
        <v>0.95581818181818179</v>
      </c>
      <c r="G320" s="25"/>
    </row>
    <row r="321" spans="2:7" x14ac:dyDescent="0.25">
      <c r="B321" s="7" t="s">
        <v>9</v>
      </c>
      <c r="C321" s="18">
        <v>0</v>
      </c>
      <c r="D321" s="18">
        <v>0</v>
      </c>
      <c r="E321" s="20" t="e">
        <f t="shared" si="21"/>
        <v>#DIV/0!</v>
      </c>
      <c r="G321" s="27"/>
    </row>
    <row r="322" spans="2:7" x14ac:dyDescent="0.25">
      <c r="B322" s="7" t="s">
        <v>10</v>
      </c>
      <c r="C322" s="18">
        <v>22.5</v>
      </c>
      <c r="D322" s="18">
        <v>8.41</v>
      </c>
      <c r="E322" s="19">
        <f t="shared" si="21"/>
        <v>0.62622222222222224</v>
      </c>
      <c r="G322" s="27"/>
    </row>
    <row r="323" spans="2:7" x14ac:dyDescent="0.25">
      <c r="G323" s="27"/>
    </row>
    <row r="324" spans="2:7" x14ac:dyDescent="0.25">
      <c r="G324" s="27"/>
    </row>
    <row r="325" spans="2:7" x14ac:dyDescent="0.25">
      <c r="G325" s="27"/>
    </row>
    <row r="326" spans="2:7" x14ac:dyDescent="0.25">
      <c r="G326" s="27"/>
    </row>
    <row r="327" spans="2:7" x14ac:dyDescent="0.25">
      <c r="G327" s="27"/>
    </row>
    <row r="328" spans="2:7" x14ac:dyDescent="0.25">
      <c r="G328" s="27"/>
    </row>
    <row r="329" spans="2:7" s="12" customFormat="1" x14ac:dyDescent="0.25">
      <c r="G329" s="28"/>
    </row>
    <row r="330" spans="2:7" ht="18.75" x14ac:dyDescent="0.3">
      <c r="B330" s="16" t="s">
        <v>30</v>
      </c>
      <c r="G330" s="27"/>
    </row>
    <row r="331" spans="2:7" ht="21" x14ac:dyDescent="0.25">
      <c r="B331" s="2">
        <v>42367</v>
      </c>
      <c r="C331" s="17" t="s">
        <v>2</v>
      </c>
      <c r="D331" s="17" t="s">
        <v>3</v>
      </c>
      <c r="E331" s="29" t="s">
        <v>4</v>
      </c>
      <c r="G331" s="27"/>
    </row>
    <row r="332" spans="2:7" x14ac:dyDescent="0.25">
      <c r="B332" s="4" t="s">
        <v>5</v>
      </c>
      <c r="C332" s="18">
        <v>22.33</v>
      </c>
      <c r="D332" s="18">
        <f>22/60*14.58</f>
        <v>5.3460000000000001</v>
      </c>
      <c r="E332" s="19">
        <f t="shared" ref="E332:E337" si="22">(C332-D332)/C332</f>
        <v>0.76059113300492609</v>
      </c>
      <c r="G332" s="27"/>
    </row>
    <row r="333" spans="2:7" x14ac:dyDescent="0.25">
      <c r="B333" s="7" t="s">
        <v>6</v>
      </c>
      <c r="C333" s="18">
        <v>3.96</v>
      </c>
      <c r="D333" s="18">
        <f>90/60*14.58</f>
        <v>21.87</v>
      </c>
      <c r="E333" s="20">
        <f t="shared" si="22"/>
        <v>-4.5227272727272725</v>
      </c>
      <c r="G333" s="27"/>
    </row>
    <row r="334" spans="2:7" x14ac:dyDescent="0.25">
      <c r="B334" s="7" t="s">
        <v>7</v>
      </c>
      <c r="C334" s="18">
        <v>19.399999999999999</v>
      </c>
      <c r="D334" s="18">
        <v>0</v>
      </c>
      <c r="E334" s="20">
        <f t="shared" si="22"/>
        <v>1</v>
      </c>
      <c r="G334" s="27"/>
    </row>
    <row r="335" spans="2:7" x14ac:dyDescent="0.25">
      <c r="B335" s="7" t="s">
        <v>8</v>
      </c>
      <c r="C335" s="18">
        <v>5.5</v>
      </c>
      <c r="D335" s="18">
        <f>58/60*14.58</f>
        <v>14.093999999999999</v>
      </c>
      <c r="E335" s="19">
        <f t="shared" si="22"/>
        <v>-1.5625454545454545</v>
      </c>
      <c r="G335" s="27"/>
    </row>
    <row r="336" spans="2:7" x14ac:dyDescent="0.25">
      <c r="B336" s="7" t="s">
        <v>9</v>
      </c>
      <c r="C336" s="18">
        <v>0</v>
      </c>
      <c r="D336" s="18">
        <v>0</v>
      </c>
      <c r="E336" s="20" t="e">
        <f t="shared" si="22"/>
        <v>#DIV/0!</v>
      </c>
      <c r="G336" s="27"/>
    </row>
    <row r="337" spans="2:7" x14ac:dyDescent="0.25">
      <c r="B337" s="7" t="s">
        <v>10</v>
      </c>
      <c r="C337" s="18">
        <v>22.5</v>
      </c>
      <c r="D337" s="18">
        <v>1.84</v>
      </c>
      <c r="E337" s="19">
        <f t="shared" si="22"/>
        <v>0.91822222222222227</v>
      </c>
      <c r="G337" s="27"/>
    </row>
    <row r="338" spans="2:7" x14ac:dyDescent="0.25">
      <c r="G338" s="27"/>
    </row>
    <row r="339" spans="2:7" x14ac:dyDescent="0.25">
      <c r="G339" s="27"/>
    </row>
    <row r="340" spans="2:7" x14ac:dyDescent="0.25">
      <c r="G340" s="27"/>
    </row>
    <row r="341" spans="2:7" x14ac:dyDescent="0.25">
      <c r="G341" s="27"/>
    </row>
    <row r="342" spans="2:7" x14ac:dyDescent="0.25">
      <c r="G342" s="27"/>
    </row>
    <row r="343" spans="2:7" x14ac:dyDescent="0.25">
      <c r="G343" s="27"/>
    </row>
    <row r="344" spans="2:7" s="12" customFormat="1" x14ac:dyDescent="0.25">
      <c r="G344" s="28"/>
    </row>
    <row r="345" spans="2:7" ht="18.75" x14ac:dyDescent="0.3">
      <c r="B345" s="16" t="s">
        <v>31</v>
      </c>
      <c r="G345" s="27"/>
    </row>
    <row r="346" spans="2:7" ht="21" x14ac:dyDescent="0.25">
      <c r="B346" s="2">
        <v>42367</v>
      </c>
      <c r="C346" s="17" t="s">
        <v>2</v>
      </c>
      <c r="D346" s="17" t="s">
        <v>3</v>
      </c>
      <c r="E346" s="29" t="s">
        <v>4</v>
      </c>
      <c r="G346" s="27"/>
    </row>
    <row r="347" spans="2:7" x14ac:dyDescent="0.25">
      <c r="B347" s="4" t="s">
        <v>5</v>
      </c>
      <c r="C347" s="18">
        <v>22.33</v>
      </c>
      <c r="D347" s="18">
        <v>0</v>
      </c>
      <c r="E347" s="19">
        <f t="shared" ref="E347:E352" si="23">(C347-D347)/C347</f>
        <v>1</v>
      </c>
      <c r="G347" s="27"/>
    </row>
    <row r="348" spans="2:7" x14ac:dyDescent="0.25">
      <c r="B348" s="7" t="s">
        <v>6</v>
      </c>
      <c r="C348" s="18">
        <v>3.96</v>
      </c>
      <c r="D348" s="18">
        <v>0</v>
      </c>
      <c r="E348" s="20">
        <f t="shared" si="23"/>
        <v>1</v>
      </c>
      <c r="G348" s="27"/>
    </row>
    <row r="349" spans="2:7" x14ac:dyDescent="0.25">
      <c r="B349" s="7" t="s">
        <v>7</v>
      </c>
      <c r="C349" s="18">
        <v>0</v>
      </c>
      <c r="D349" s="18">
        <v>0</v>
      </c>
      <c r="E349" s="20" t="e">
        <f t="shared" si="23"/>
        <v>#DIV/0!</v>
      </c>
      <c r="G349" s="27"/>
    </row>
    <row r="350" spans="2:7" x14ac:dyDescent="0.25">
      <c r="B350" s="7" t="s">
        <v>8</v>
      </c>
      <c r="C350" s="18">
        <v>5.5</v>
      </c>
      <c r="D350" s="18">
        <v>0</v>
      </c>
      <c r="E350" s="19">
        <f t="shared" si="23"/>
        <v>1</v>
      </c>
      <c r="G350" s="27"/>
    </row>
    <row r="351" spans="2:7" x14ac:dyDescent="0.25">
      <c r="B351" s="7" t="s">
        <v>9</v>
      </c>
      <c r="C351" s="18">
        <v>29</v>
      </c>
      <c r="D351" s="18">
        <f>45/60*14.58</f>
        <v>10.935</v>
      </c>
      <c r="E351" s="20">
        <f t="shared" si="23"/>
        <v>0.62293103448275855</v>
      </c>
      <c r="G351" s="27"/>
    </row>
    <row r="352" spans="2:7" x14ac:dyDescent="0.25">
      <c r="B352" s="7" t="s">
        <v>10</v>
      </c>
      <c r="C352" s="18">
        <v>22.5</v>
      </c>
      <c r="D352" s="18">
        <f>4/60*7.29</f>
        <v>0.48599999999999999</v>
      </c>
      <c r="E352" s="19">
        <f t="shared" si="23"/>
        <v>0.97839999999999994</v>
      </c>
      <c r="G352" s="27"/>
    </row>
    <row r="353" spans="2:7" x14ac:dyDescent="0.25">
      <c r="G353" s="27"/>
    </row>
    <row r="354" spans="2:7" x14ac:dyDescent="0.25">
      <c r="G354" s="27"/>
    </row>
    <row r="355" spans="2:7" x14ac:dyDescent="0.25">
      <c r="G355" s="27"/>
    </row>
    <row r="356" spans="2:7" x14ac:dyDescent="0.25">
      <c r="G356" s="27"/>
    </row>
    <row r="357" spans="2:7" x14ac:dyDescent="0.25">
      <c r="G357" s="27"/>
    </row>
    <row r="358" spans="2:7" s="12" customFormat="1" x14ac:dyDescent="0.25">
      <c r="G358" s="28"/>
    </row>
    <row r="359" spans="2:7" x14ac:dyDescent="0.25">
      <c r="G359" s="27"/>
    </row>
    <row r="360" spans="2:7" ht="18.75" x14ac:dyDescent="0.3">
      <c r="B360" s="16" t="s">
        <v>32</v>
      </c>
      <c r="G360" s="27"/>
    </row>
    <row r="361" spans="2:7" ht="21" x14ac:dyDescent="0.25">
      <c r="B361" s="2">
        <v>42367</v>
      </c>
      <c r="C361" s="17" t="s">
        <v>2</v>
      </c>
      <c r="D361" s="17" t="s">
        <v>3</v>
      </c>
      <c r="E361" s="29" t="s">
        <v>4</v>
      </c>
      <c r="G361" s="27"/>
    </row>
    <row r="362" spans="2:7" x14ac:dyDescent="0.25">
      <c r="B362" s="4" t="s">
        <v>5</v>
      </c>
      <c r="C362" s="18">
        <v>22.33</v>
      </c>
      <c r="D362" s="18">
        <f>1/60*14.58</f>
        <v>0.24299999999999999</v>
      </c>
      <c r="E362" s="19">
        <f t="shared" ref="E362:E367" si="24">(C362-D362)/C362</f>
        <v>0.98911777877295126</v>
      </c>
      <c r="G362" s="25"/>
    </row>
    <row r="363" spans="2:7" x14ac:dyDescent="0.25">
      <c r="B363" s="7" t="s">
        <v>6</v>
      </c>
      <c r="C363" s="18">
        <v>3.96</v>
      </c>
      <c r="D363" s="18">
        <f>10/60*14.58</f>
        <v>2.4299999999999997</v>
      </c>
      <c r="E363" s="20">
        <f t="shared" si="24"/>
        <v>0.38636363636363641</v>
      </c>
      <c r="G363" s="25"/>
    </row>
    <row r="364" spans="2:7" x14ac:dyDescent="0.25">
      <c r="B364" s="7" t="s">
        <v>7</v>
      </c>
      <c r="C364" s="18">
        <v>0</v>
      </c>
      <c r="D364" s="18">
        <v>0</v>
      </c>
      <c r="E364" s="20" t="e">
        <f t="shared" si="24"/>
        <v>#DIV/0!</v>
      </c>
      <c r="G364" s="25"/>
    </row>
    <row r="365" spans="2:7" x14ac:dyDescent="0.25">
      <c r="B365" s="7" t="s">
        <v>8</v>
      </c>
      <c r="C365" s="18">
        <v>5.5</v>
      </c>
      <c r="D365" s="18">
        <v>0</v>
      </c>
      <c r="E365" s="19">
        <f t="shared" si="24"/>
        <v>1</v>
      </c>
      <c r="G365" s="25"/>
    </row>
    <row r="366" spans="2:7" x14ac:dyDescent="0.25">
      <c r="B366" s="7" t="s">
        <v>9</v>
      </c>
      <c r="C366" s="18">
        <v>29</v>
      </c>
      <c r="D366" s="18">
        <f>149/60*14.58</f>
        <v>36.207000000000001</v>
      </c>
      <c r="E366" s="20">
        <f t="shared" si="24"/>
        <v>-0.24851724137931036</v>
      </c>
      <c r="G366" s="25"/>
    </row>
    <row r="367" spans="2:7" x14ac:dyDescent="0.25">
      <c r="B367" s="7" t="s">
        <v>10</v>
      </c>
      <c r="C367" s="18">
        <v>22.5</v>
      </c>
      <c r="D367" s="18">
        <f>6/60*7.29</f>
        <v>0.72900000000000009</v>
      </c>
      <c r="E367" s="19">
        <f t="shared" si="24"/>
        <v>0.96760000000000002</v>
      </c>
      <c r="G367" s="27"/>
    </row>
    <row r="368" spans="2:7" x14ac:dyDescent="0.25">
      <c r="G368" s="27"/>
    </row>
    <row r="369" spans="2:7" x14ac:dyDescent="0.25">
      <c r="G369" s="27"/>
    </row>
    <row r="370" spans="2:7" x14ac:dyDescent="0.25">
      <c r="G370" s="27"/>
    </row>
    <row r="371" spans="2:7" x14ac:dyDescent="0.25">
      <c r="G371" s="27"/>
    </row>
    <row r="372" spans="2:7" x14ac:dyDescent="0.25">
      <c r="G372" s="27"/>
    </row>
    <row r="373" spans="2:7" s="12" customFormat="1" x14ac:dyDescent="0.25">
      <c r="G373" s="28"/>
    </row>
    <row r="374" spans="2:7" ht="18.75" x14ac:dyDescent="0.3">
      <c r="B374" s="16" t="s">
        <v>33</v>
      </c>
      <c r="G374" s="27"/>
    </row>
    <row r="375" spans="2:7" ht="21" x14ac:dyDescent="0.25">
      <c r="B375" s="2">
        <v>42367</v>
      </c>
      <c r="C375" s="17" t="s">
        <v>2</v>
      </c>
      <c r="D375" s="17" t="s">
        <v>3</v>
      </c>
      <c r="E375" s="29" t="s">
        <v>4</v>
      </c>
      <c r="G375" s="27"/>
    </row>
    <row r="376" spans="2:7" x14ac:dyDescent="0.25">
      <c r="B376" s="4" t="s">
        <v>5</v>
      </c>
      <c r="C376" s="18">
        <v>22.33</v>
      </c>
      <c r="D376" s="18">
        <f>5/60*14.58</f>
        <v>1.2149999999999999</v>
      </c>
      <c r="E376" s="19">
        <f t="shared" ref="E376:E381" si="25">(C376-D376)/C376</f>
        <v>0.94558889386475597</v>
      </c>
      <c r="G376" s="27"/>
    </row>
    <row r="377" spans="2:7" x14ac:dyDescent="0.25">
      <c r="B377" s="7" t="s">
        <v>6</v>
      </c>
      <c r="C377" s="18">
        <v>3.96</v>
      </c>
      <c r="D377" s="18">
        <f>12/60*14.58</f>
        <v>2.9160000000000004</v>
      </c>
      <c r="E377" s="20">
        <f t="shared" si="25"/>
        <v>0.26363636363636356</v>
      </c>
      <c r="G377" s="27"/>
    </row>
    <row r="378" spans="2:7" x14ac:dyDescent="0.25">
      <c r="B378" s="7" t="s">
        <v>7</v>
      </c>
      <c r="C378" s="18">
        <v>0</v>
      </c>
      <c r="D378" s="18">
        <v>0</v>
      </c>
      <c r="E378" s="20" t="e">
        <f t="shared" si="25"/>
        <v>#DIV/0!</v>
      </c>
      <c r="G378" s="27"/>
    </row>
    <row r="379" spans="2:7" x14ac:dyDescent="0.25">
      <c r="B379" s="7" t="s">
        <v>8</v>
      </c>
      <c r="C379" s="18">
        <v>5.5</v>
      </c>
      <c r="D379" s="18">
        <v>0</v>
      </c>
      <c r="E379" s="19">
        <f t="shared" si="25"/>
        <v>1</v>
      </c>
      <c r="G379" s="27"/>
    </row>
    <row r="380" spans="2:7" x14ac:dyDescent="0.25">
      <c r="B380" s="7" t="s">
        <v>9</v>
      </c>
      <c r="C380" s="18">
        <v>29</v>
      </c>
      <c r="D380" s="18">
        <f>44/60*14.58</f>
        <v>10.692</v>
      </c>
      <c r="E380" s="20">
        <f t="shared" si="25"/>
        <v>0.63131034482758619</v>
      </c>
      <c r="G380" s="27"/>
    </row>
    <row r="381" spans="2:7" x14ac:dyDescent="0.25">
      <c r="B381" s="7" t="s">
        <v>10</v>
      </c>
      <c r="C381" s="18">
        <v>22.5</v>
      </c>
      <c r="D381" s="18">
        <f>8/60*7.29</f>
        <v>0.97199999999999998</v>
      </c>
      <c r="E381" s="19">
        <f t="shared" si="25"/>
        <v>0.95679999999999998</v>
      </c>
      <c r="G381" s="27"/>
    </row>
    <row r="382" spans="2:7" x14ac:dyDescent="0.25">
      <c r="G382" s="27"/>
    </row>
    <row r="383" spans="2:7" x14ac:dyDescent="0.25">
      <c r="G383" s="27"/>
    </row>
    <row r="384" spans="2:7" x14ac:dyDescent="0.25">
      <c r="G384" s="27"/>
    </row>
    <row r="385" spans="2:7" x14ac:dyDescent="0.25">
      <c r="G385" s="27"/>
    </row>
    <row r="386" spans="2:7" x14ac:dyDescent="0.25">
      <c r="G386" s="27"/>
    </row>
    <row r="387" spans="2:7" x14ac:dyDescent="0.25">
      <c r="G387" s="27"/>
    </row>
    <row r="388" spans="2:7" s="12" customFormat="1" x14ac:dyDescent="0.25">
      <c r="G388" s="28"/>
    </row>
    <row r="389" spans="2:7" ht="18.75" x14ac:dyDescent="0.3">
      <c r="B389" s="16" t="s">
        <v>34</v>
      </c>
      <c r="G389" s="27"/>
    </row>
    <row r="390" spans="2:7" ht="21" x14ac:dyDescent="0.25">
      <c r="B390" s="2">
        <v>42367</v>
      </c>
      <c r="C390" s="17" t="s">
        <v>2</v>
      </c>
      <c r="D390" s="17" t="s">
        <v>3</v>
      </c>
      <c r="E390" s="29" t="s">
        <v>4</v>
      </c>
      <c r="G390" s="27"/>
    </row>
    <row r="391" spans="2:7" x14ac:dyDescent="0.25">
      <c r="B391" s="4" t="s">
        <v>5</v>
      </c>
      <c r="C391" s="18">
        <v>22.33</v>
      </c>
      <c r="D391" s="18">
        <f>105/60*14.58</f>
        <v>25.515000000000001</v>
      </c>
      <c r="E391" s="19">
        <f t="shared" ref="E391:E396" si="26">(C391-D391)/C391</f>
        <v>-0.1426332288401255</v>
      </c>
      <c r="G391" s="25"/>
    </row>
    <row r="392" spans="2:7" x14ac:dyDescent="0.25">
      <c r="B392" s="7" t="s">
        <v>6</v>
      </c>
      <c r="C392" s="18">
        <v>3.96</v>
      </c>
      <c r="D392" s="18">
        <f>102/60*14.58</f>
        <v>24.785999999999998</v>
      </c>
      <c r="E392" s="20">
        <f t="shared" si="26"/>
        <v>-5.2590909090909079</v>
      </c>
      <c r="G392" s="25"/>
    </row>
    <row r="393" spans="2:7" x14ac:dyDescent="0.25">
      <c r="B393" s="7" t="s">
        <v>7</v>
      </c>
      <c r="C393" s="18">
        <v>0</v>
      </c>
      <c r="D393" s="18">
        <v>0</v>
      </c>
      <c r="E393" s="20" t="e">
        <f t="shared" si="26"/>
        <v>#DIV/0!</v>
      </c>
      <c r="G393" s="25"/>
    </row>
    <row r="394" spans="2:7" x14ac:dyDescent="0.25">
      <c r="B394" s="7" t="s">
        <v>8</v>
      </c>
      <c r="C394" s="18">
        <v>5.5</v>
      </c>
      <c r="D394" s="18">
        <f>5/60*14.58</f>
        <v>1.2149999999999999</v>
      </c>
      <c r="E394" s="19">
        <f t="shared" si="26"/>
        <v>0.77909090909090917</v>
      </c>
      <c r="G394" s="25"/>
    </row>
    <row r="395" spans="2:7" x14ac:dyDescent="0.25">
      <c r="B395" s="7" t="s">
        <v>9</v>
      </c>
      <c r="C395" s="18">
        <v>29</v>
      </c>
      <c r="D395" s="18">
        <f>249/60*14.58</f>
        <v>60.507000000000005</v>
      </c>
      <c r="E395" s="20">
        <f t="shared" si="26"/>
        <v>-1.086448275862069</v>
      </c>
      <c r="G395" s="25"/>
    </row>
    <row r="396" spans="2:7" x14ac:dyDescent="0.25">
      <c r="B396" s="7" t="s">
        <v>10</v>
      </c>
      <c r="C396" s="18">
        <v>22.5</v>
      </c>
      <c r="D396" s="18">
        <v>0.78</v>
      </c>
      <c r="E396" s="19">
        <f t="shared" si="26"/>
        <v>0.96533333333333327</v>
      </c>
      <c r="G396" s="27"/>
    </row>
    <row r="397" spans="2:7" x14ac:dyDescent="0.25">
      <c r="G397" s="27"/>
    </row>
    <row r="398" spans="2:7" x14ac:dyDescent="0.25">
      <c r="G398" s="27"/>
    </row>
    <row r="399" spans="2:7" x14ac:dyDescent="0.25">
      <c r="G399" s="27"/>
    </row>
    <row r="400" spans="2:7" x14ac:dyDescent="0.25">
      <c r="G400" s="27"/>
    </row>
    <row r="401" spans="2:7" x14ac:dyDescent="0.25">
      <c r="G401" s="27"/>
    </row>
    <row r="402" spans="2:7" s="12" customFormat="1" x14ac:dyDescent="0.25">
      <c r="G402" s="28"/>
    </row>
    <row r="403" spans="2:7" ht="18.75" x14ac:dyDescent="0.3">
      <c r="B403" s="16" t="s">
        <v>35</v>
      </c>
      <c r="G403" s="27"/>
    </row>
    <row r="404" spans="2:7" ht="21" x14ac:dyDescent="0.25">
      <c r="B404" s="2">
        <v>42367</v>
      </c>
      <c r="C404" s="17" t="s">
        <v>2</v>
      </c>
      <c r="D404" s="17" t="s">
        <v>3</v>
      </c>
      <c r="E404" s="29" t="s">
        <v>4</v>
      </c>
      <c r="G404" s="27"/>
    </row>
    <row r="405" spans="2:7" x14ac:dyDescent="0.25">
      <c r="B405" s="4" t="s">
        <v>5</v>
      </c>
      <c r="C405" s="18">
        <v>22.33</v>
      </c>
      <c r="D405" s="18">
        <f>2340/60*14.58</f>
        <v>568.62</v>
      </c>
      <c r="E405" s="19">
        <f t="shared" ref="E405:E410" si="27">(C405-D405)/C405</f>
        <v>-24.464397671294222</v>
      </c>
      <c r="G405" s="25"/>
    </row>
    <row r="406" spans="2:7" x14ac:dyDescent="0.25">
      <c r="B406" s="7" t="s">
        <v>6</v>
      </c>
      <c r="C406" s="18">
        <v>3.96</v>
      </c>
      <c r="D406" s="18">
        <f>3960/60*14.58</f>
        <v>962.28</v>
      </c>
      <c r="E406" s="20">
        <f t="shared" si="27"/>
        <v>-242</v>
      </c>
      <c r="G406" s="25"/>
    </row>
    <row r="407" spans="2:7" x14ac:dyDescent="0.25">
      <c r="B407" s="7" t="s">
        <v>7</v>
      </c>
      <c r="C407" s="18">
        <v>0</v>
      </c>
      <c r="D407" s="18">
        <v>0</v>
      </c>
      <c r="E407" s="20" t="e">
        <f t="shared" si="27"/>
        <v>#DIV/0!</v>
      </c>
      <c r="G407" s="25"/>
    </row>
    <row r="408" spans="2:7" x14ac:dyDescent="0.25">
      <c r="B408" s="7" t="s">
        <v>8</v>
      </c>
      <c r="C408" s="18">
        <v>5.5</v>
      </c>
      <c r="D408" s="18">
        <f>6/60*14.58</f>
        <v>1.4580000000000002</v>
      </c>
      <c r="E408" s="19">
        <f t="shared" si="27"/>
        <v>0.73490909090909085</v>
      </c>
      <c r="G408" s="25"/>
    </row>
    <row r="409" spans="2:7" x14ac:dyDescent="0.25">
      <c r="B409" s="7" t="s">
        <v>9</v>
      </c>
      <c r="C409" s="18">
        <v>29</v>
      </c>
      <c r="D409" s="18">
        <f>171/60*14.58</f>
        <v>41.553000000000004</v>
      </c>
      <c r="E409" s="20">
        <f t="shared" si="27"/>
        <v>-0.43286206896551738</v>
      </c>
      <c r="G409" s="25"/>
    </row>
    <row r="410" spans="2:7" x14ac:dyDescent="0.25">
      <c r="B410" s="7" t="s">
        <v>10</v>
      </c>
      <c r="C410" s="18">
        <v>22.5</v>
      </c>
      <c r="D410" s="18">
        <f>6/60*7.29</f>
        <v>0.72900000000000009</v>
      </c>
      <c r="E410" s="19">
        <f t="shared" si="27"/>
        <v>0.96760000000000002</v>
      </c>
      <c r="G410" s="27"/>
    </row>
    <row r="411" spans="2:7" x14ac:dyDescent="0.25">
      <c r="G411" s="27"/>
    </row>
    <row r="412" spans="2:7" x14ac:dyDescent="0.25">
      <c r="G412" s="27"/>
    </row>
    <row r="413" spans="2:7" x14ac:dyDescent="0.25">
      <c r="G413" s="27"/>
    </row>
    <row r="414" spans="2:7" x14ac:dyDescent="0.25">
      <c r="G414" s="27"/>
    </row>
    <row r="415" spans="2:7" x14ac:dyDescent="0.25">
      <c r="G415" s="27"/>
    </row>
    <row r="416" spans="2:7" x14ac:dyDescent="0.25">
      <c r="G416" s="27"/>
    </row>
    <row r="417" spans="2:7" s="12" customFormat="1" x14ac:dyDescent="0.25">
      <c r="G417" s="28"/>
    </row>
    <row r="418" spans="2:7" ht="18.75" x14ac:dyDescent="0.3">
      <c r="B418" s="16" t="s">
        <v>36</v>
      </c>
      <c r="G418" s="27"/>
    </row>
    <row r="419" spans="2:7" ht="21" x14ac:dyDescent="0.25">
      <c r="B419" s="2">
        <v>42367</v>
      </c>
      <c r="C419" s="17" t="s">
        <v>2</v>
      </c>
      <c r="D419" s="17" t="s">
        <v>3</v>
      </c>
      <c r="E419" s="29" t="s">
        <v>4</v>
      </c>
      <c r="G419" s="27"/>
    </row>
    <row r="420" spans="2:7" x14ac:dyDescent="0.25">
      <c r="B420" s="4" t="s">
        <v>5</v>
      </c>
      <c r="C420" s="18">
        <v>22.33</v>
      </c>
      <c r="D420" s="18">
        <v>0</v>
      </c>
      <c r="E420" s="19">
        <f t="shared" ref="E420:E425" si="28">(C420-D420)/C420</f>
        <v>1</v>
      </c>
      <c r="G420" s="25"/>
    </row>
    <row r="421" spans="2:7" x14ac:dyDescent="0.25">
      <c r="B421" s="7" t="s">
        <v>6</v>
      </c>
      <c r="C421" s="18">
        <v>3.96</v>
      </c>
      <c r="D421" s="18">
        <f>18/60*14.58</f>
        <v>4.3739999999999997</v>
      </c>
      <c r="E421" s="20">
        <f t="shared" si="28"/>
        <v>-0.10454545454545447</v>
      </c>
      <c r="G421" s="25"/>
    </row>
    <row r="422" spans="2:7" x14ac:dyDescent="0.25">
      <c r="B422" s="7" t="s">
        <v>7</v>
      </c>
      <c r="C422" s="18">
        <v>0</v>
      </c>
      <c r="D422" s="18">
        <v>0</v>
      </c>
      <c r="E422" s="20" t="e">
        <f t="shared" si="28"/>
        <v>#DIV/0!</v>
      </c>
      <c r="G422" s="25"/>
    </row>
    <row r="423" spans="2:7" x14ac:dyDescent="0.25">
      <c r="B423" s="7" t="s">
        <v>8</v>
      </c>
      <c r="C423" s="18">
        <v>5.5</v>
      </c>
      <c r="D423" s="18">
        <f>1/60*14.58</f>
        <v>0.24299999999999999</v>
      </c>
      <c r="E423" s="19">
        <f t="shared" si="28"/>
        <v>0.95581818181818179</v>
      </c>
      <c r="G423" s="25"/>
    </row>
    <row r="424" spans="2:7" x14ac:dyDescent="0.25">
      <c r="B424" s="7" t="s">
        <v>9</v>
      </c>
      <c r="C424" s="18">
        <v>29</v>
      </c>
      <c r="D424" s="18">
        <f>90/60*14.58</f>
        <v>21.87</v>
      </c>
      <c r="E424" s="20">
        <f t="shared" si="28"/>
        <v>0.24586206896551721</v>
      </c>
      <c r="G424" s="25"/>
    </row>
    <row r="425" spans="2:7" x14ac:dyDescent="0.25">
      <c r="B425" s="7" t="s">
        <v>10</v>
      </c>
      <c r="C425" s="18">
        <v>22.5</v>
      </c>
      <c r="D425" s="18">
        <f>6/60*7.29</f>
        <v>0.72900000000000009</v>
      </c>
      <c r="E425" s="19">
        <f t="shared" si="28"/>
        <v>0.96760000000000002</v>
      </c>
      <c r="G425" s="27"/>
    </row>
    <row r="426" spans="2:7" x14ac:dyDescent="0.25">
      <c r="G426" s="27"/>
    </row>
    <row r="427" spans="2:7" x14ac:dyDescent="0.25">
      <c r="G427" s="27"/>
    </row>
    <row r="428" spans="2:7" x14ac:dyDescent="0.25">
      <c r="G428" s="27"/>
    </row>
    <row r="429" spans="2:7" x14ac:dyDescent="0.25">
      <c r="G429" s="27"/>
    </row>
    <row r="430" spans="2:7" x14ac:dyDescent="0.25">
      <c r="G430" s="27"/>
    </row>
    <row r="431" spans="2:7" x14ac:dyDescent="0.25">
      <c r="G431" s="27"/>
    </row>
    <row r="432" spans="2:7" s="12" customFormat="1" x14ac:dyDescent="0.25">
      <c r="G432" s="28"/>
    </row>
    <row r="433" spans="2:7" ht="18.75" x14ac:dyDescent="0.3">
      <c r="B433" s="16" t="s">
        <v>37</v>
      </c>
      <c r="G433" s="27"/>
    </row>
    <row r="434" spans="2:7" ht="21" x14ac:dyDescent="0.25">
      <c r="B434" s="2">
        <v>42367</v>
      </c>
      <c r="C434" s="17" t="s">
        <v>2</v>
      </c>
      <c r="D434" s="17" t="s">
        <v>3</v>
      </c>
      <c r="E434" s="29" t="s">
        <v>4</v>
      </c>
      <c r="G434" s="27"/>
    </row>
    <row r="435" spans="2:7" x14ac:dyDescent="0.25">
      <c r="B435" s="4" t="s">
        <v>5</v>
      </c>
      <c r="C435" s="18">
        <v>22.33</v>
      </c>
      <c r="D435" s="18">
        <f>6/60*14.58</f>
        <v>1.4580000000000002</v>
      </c>
      <c r="E435" s="19">
        <f t="shared" ref="E435:E440" si="29">(C435-D435)/C435</f>
        <v>0.93470667263770724</v>
      </c>
      <c r="G435" s="25"/>
    </row>
    <row r="436" spans="2:7" x14ac:dyDescent="0.25">
      <c r="B436" s="7" t="s">
        <v>6</v>
      </c>
      <c r="C436" s="18">
        <v>3.96</v>
      </c>
      <c r="D436" s="18">
        <f>3/60*14.58</f>
        <v>0.72900000000000009</v>
      </c>
      <c r="E436" s="20">
        <f t="shared" si="29"/>
        <v>0.81590909090909092</v>
      </c>
      <c r="G436" s="25"/>
    </row>
    <row r="437" spans="2:7" x14ac:dyDescent="0.25">
      <c r="B437" s="7" t="s">
        <v>7</v>
      </c>
      <c r="C437" s="18">
        <v>19.399999999999999</v>
      </c>
      <c r="D437" s="18">
        <v>0</v>
      </c>
      <c r="E437" s="20">
        <f t="shared" si="29"/>
        <v>1</v>
      </c>
      <c r="G437" s="25"/>
    </row>
    <row r="438" spans="2:7" x14ac:dyDescent="0.25">
      <c r="B438" s="7" t="s">
        <v>8</v>
      </c>
      <c r="C438" s="18">
        <v>5.5</v>
      </c>
      <c r="D438" s="18">
        <f>12/60*14.58</f>
        <v>2.9160000000000004</v>
      </c>
      <c r="E438" s="19">
        <f t="shared" si="29"/>
        <v>0.46981818181818175</v>
      </c>
      <c r="G438" s="25"/>
    </row>
    <row r="439" spans="2:7" x14ac:dyDescent="0.25">
      <c r="B439" s="7" t="s">
        <v>9</v>
      </c>
      <c r="C439" s="18">
        <v>0</v>
      </c>
      <c r="D439" s="18">
        <v>0</v>
      </c>
      <c r="E439" s="20" t="e">
        <f t="shared" si="29"/>
        <v>#DIV/0!</v>
      </c>
      <c r="G439" s="27"/>
    </row>
    <row r="440" spans="2:7" x14ac:dyDescent="0.25">
      <c r="B440" s="7" t="s">
        <v>10</v>
      </c>
      <c r="C440" s="18">
        <v>22.5</v>
      </c>
      <c r="D440" s="18">
        <v>4.37</v>
      </c>
      <c r="E440" s="19">
        <f t="shared" si="29"/>
        <v>0.8057777777777777</v>
      </c>
      <c r="G440" s="27"/>
    </row>
    <row r="441" spans="2:7" x14ac:dyDescent="0.25">
      <c r="G441" s="27"/>
    </row>
    <row r="442" spans="2:7" x14ac:dyDescent="0.25">
      <c r="G442" s="27"/>
    </row>
    <row r="443" spans="2:7" x14ac:dyDescent="0.25">
      <c r="G443" s="27"/>
    </row>
    <row r="444" spans="2:7" x14ac:dyDescent="0.25">
      <c r="G444" s="27"/>
    </row>
    <row r="445" spans="2:7" x14ac:dyDescent="0.25">
      <c r="G445" s="27"/>
    </row>
    <row r="446" spans="2:7" s="12" customFormat="1" x14ac:dyDescent="0.25">
      <c r="G446" s="28"/>
    </row>
    <row r="447" spans="2:7" ht="18.75" x14ac:dyDescent="0.3">
      <c r="B447" s="16" t="s">
        <v>38</v>
      </c>
      <c r="G447" s="27"/>
    </row>
    <row r="448" spans="2:7" ht="21" x14ac:dyDescent="0.25">
      <c r="B448" s="2">
        <v>42367</v>
      </c>
      <c r="C448" s="17" t="s">
        <v>2</v>
      </c>
      <c r="D448" s="17" t="s">
        <v>3</v>
      </c>
      <c r="E448" s="29" t="s">
        <v>4</v>
      </c>
      <c r="G448" s="27"/>
    </row>
    <row r="449" spans="2:7" x14ac:dyDescent="0.25">
      <c r="B449" s="4" t="s">
        <v>5</v>
      </c>
      <c r="C449" s="18">
        <v>22.33</v>
      </c>
      <c r="D449" s="18">
        <f>2/60*14.58</f>
        <v>0.48599999999999999</v>
      </c>
      <c r="E449" s="19">
        <f t="shared" ref="E449:E454" si="30">(C449-D449)/C449</f>
        <v>0.9782355575459023</v>
      </c>
      <c r="G449" s="27"/>
    </row>
    <row r="450" spans="2:7" x14ac:dyDescent="0.25">
      <c r="B450" s="7" t="s">
        <v>6</v>
      </c>
      <c r="C450" s="18">
        <v>3.96</v>
      </c>
      <c r="D450" s="18">
        <f>3/60*14.58</f>
        <v>0.72900000000000009</v>
      </c>
      <c r="E450" s="20">
        <f t="shared" si="30"/>
        <v>0.81590909090909092</v>
      </c>
      <c r="G450" s="27"/>
    </row>
    <row r="451" spans="2:7" x14ac:dyDescent="0.25">
      <c r="B451" s="7" t="s">
        <v>7</v>
      </c>
      <c r="C451" s="18">
        <v>19.399999999999999</v>
      </c>
      <c r="D451" s="18">
        <v>0</v>
      </c>
      <c r="E451" s="20">
        <f t="shared" si="30"/>
        <v>1</v>
      </c>
      <c r="G451" s="27"/>
    </row>
    <row r="452" spans="2:7" x14ac:dyDescent="0.25">
      <c r="B452" s="7" t="s">
        <v>8</v>
      </c>
      <c r="C452" s="18">
        <v>5.5</v>
      </c>
      <c r="D452" s="18">
        <f>13/60*14.58</f>
        <v>3.1590000000000003</v>
      </c>
      <c r="E452" s="19">
        <f t="shared" si="30"/>
        <v>0.42563636363636359</v>
      </c>
      <c r="G452" s="27"/>
    </row>
    <row r="453" spans="2:7" x14ac:dyDescent="0.25">
      <c r="B453" s="7" t="s">
        <v>9</v>
      </c>
      <c r="C453" s="18">
        <v>0</v>
      </c>
      <c r="D453" s="18">
        <v>0</v>
      </c>
      <c r="E453" s="20" t="e">
        <f t="shared" si="30"/>
        <v>#DIV/0!</v>
      </c>
      <c r="G453" s="27"/>
    </row>
    <row r="454" spans="2:7" x14ac:dyDescent="0.25">
      <c r="B454" s="7" t="s">
        <v>10</v>
      </c>
      <c r="C454" s="18">
        <v>22.5</v>
      </c>
      <c r="D454" s="18">
        <v>2.29</v>
      </c>
      <c r="E454" s="19">
        <f t="shared" si="30"/>
        <v>0.89822222222222226</v>
      </c>
      <c r="G454" s="27"/>
    </row>
    <row r="455" spans="2:7" s="30" customFormat="1" x14ac:dyDescent="0.25">
      <c r="B455" s="21"/>
      <c r="C455" s="22"/>
      <c r="D455" s="22"/>
      <c r="E455" s="23"/>
      <c r="G455" s="27"/>
    </row>
    <row r="456" spans="2:7" s="30" customFormat="1" x14ac:dyDescent="0.25">
      <c r="B456" s="21"/>
      <c r="C456" s="22"/>
      <c r="D456" s="22"/>
      <c r="E456" s="23"/>
      <c r="G456" s="27"/>
    </row>
    <row r="457" spans="2:7" s="30" customFormat="1" x14ac:dyDescent="0.25">
      <c r="B457" s="21"/>
      <c r="C457" s="22"/>
      <c r="D457" s="22"/>
      <c r="E457" s="23"/>
      <c r="G457" s="27"/>
    </row>
    <row r="458" spans="2:7" s="30" customFormat="1" x14ac:dyDescent="0.25">
      <c r="B458" s="21"/>
      <c r="C458" s="22"/>
      <c r="D458" s="22"/>
      <c r="E458" s="23"/>
      <c r="G458" s="27"/>
    </row>
    <row r="459" spans="2:7" x14ac:dyDescent="0.25">
      <c r="G459" s="27"/>
    </row>
    <row r="460" spans="2:7" x14ac:dyDescent="0.25">
      <c r="G460" s="27"/>
    </row>
    <row r="461" spans="2:7" s="12" customFormat="1" x14ac:dyDescent="0.25">
      <c r="G461" s="28"/>
    </row>
    <row r="462" spans="2:7" x14ac:dyDescent="0.25">
      <c r="G462" s="27"/>
    </row>
    <row r="463" spans="2:7" ht="18.75" x14ac:dyDescent="0.3">
      <c r="B463" s="16" t="s">
        <v>39</v>
      </c>
      <c r="G463" s="27"/>
    </row>
    <row r="464" spans="2:7" ht="21" x14ac:dyDescent="0.25">
      <c r="B464" s="2">
        <v>42367</v>
      </c>
      <c r="C464" s="17" t="s">
        <v>2</v>
      </c>
      <c r="D464" s="17" t="s">
        <v>3</v>
      </c>
      <c r="E464" s="29" t="s">
        <v>4</v>
      </c>
      <c r="G464" s="27"/>
    </row>
    <row r="465" spans="2:7" x14ac:dyDescent="0.25">
      <c r="B465" s="4" t="s">
        <v>5</v>
      </c>
      <c r="C465" s="18">
        <v>22.33</v>
      </c>
      <c r="D465" s="18">
        <f>55/60*14.58</f>
        <v>13.365</v>
      </c>
      <c r="E465" s="19">
        <f t="shared" ref="E465:E470" si="31">(C465-D465)/C465</f>
        <v>0.40147783251231522</v>
      </c>
      <c r="G465" s="25"/>
    </row>
    <row r="466" spans="2:7" x14ac:dyDescent="0.25">
      <c r="B466" s="7" t="s">
        <v>6</v>
      </c>
      <c r="C466" s="18">
        <v>3.96</v>
      </c>
      <c r="D466" s="18">
        <v>0</v>
      </c>
      <c r="E466" s="20">
        <f t="shared" si="31"/>
        <v>1</v>
      </c>
      <c r="G466" s="25"/>
    </row>
    <row r="467" spans="2:7" x14ac:dyDescent="0.25">
      <c r="B467" s="7" t="s">
        <v>7</v>
      </c>
      <c r="C467" s="18">
        <v>19.399999999999999</v>
      </c>
      <c r="D467" s="18">
        <f>41/60*14.58</f>
        <v>9.963000000000001</v>
      </c>
      <c r="E467" s="20">
        <f t="shared" si="31"/>
        <v>0.48644329896907207</v>
      </c>
      <c r="G467" s="25"/>
    </row>
    <row r="468" spans="2:7" x14ac:dyDescent="0.25">
      <c r="B468" s="7" t="s">
        <v>8</v>
      </c>
      <c r="C468" s="18">
        <v>5.5</v>
      </c>
      <c r="D468" s="18">
        <f>4/60*14.58</f>
        <v>0.97199999999999998</v>
      </c>
      <c r="E468" s="19">
        <f t="shared" si="31"/>
        <v>0.82327272727272738</v>
      </c>
      <c r="G468" s="25"/>
    </row>
    <row r="469" spans="2:7" x14ac:dyDescent="0.25">
      <c r="B469" s="7" t="s">
        <v>9</v>
      </c>
      <c r="C469" s="18">
        <v>29</v>
      </c>
      <c r="D469" s="18">
        <f>39/60*14.58</f>
        <v>9.4770000000000003</v>
      </c>
      <c r="E469" s="20">
        <f t="shared" si="31"/>
        <v>0.67320689655172417</v>
      </c>
      <c r="G469" s="27"/>
    </row>
    <row r="470" spans="2:7" x14ac:dyDescent="0.25">
      <c r="B470" s="7" t="s">
        <v>10</v>
      </c>
      <c r="C470" s="18">
        <v>22.5</v>
      </c>
      <c r="D470" s="18">
        <f>6/60*7.29</f>
        <v>0.72900000000000009</v>
      </c>
      <c r="E470" s="19">
        <f t="shared" si="31"/>
        <v>0.96760000000000002</v>
      </c>
      <c r="G470" s="27"/>
    </row>
    <row r="471" spans="2:7" x14ac:dyDescent="0.25">
      <c r="G471" s="27"/>
    </row>
    <row r="472" spans="2:7" x14ac:dyDescent="0.25">
      <c r="G472" s="27"/>
    </row>
    <row r="473" spans="2:7" x14ac:dyDescent="0.25">
      <c r="G473" s="27"/>
    </row>
    <row r="474" spans="2:7" x14ac:dyDescent="0.25">
      <c r="G474" s="27"/>
    </row>
    <row r="475" spans="2:7" x14ac:dyDescent="0.25">
      <c r="G475" s="27"/>
    </row>
    <row r="476" spans="2:7" s="12" customFormat="1" x14ac:dyDescent="0.25">
      <c r="G476" s="28"/>
    </row>
    <row r="477" spans="2:7" x14ac:dyDescent="0.25">
      <c r="G477" s="27"/>
    </row>
    <row r="478" spans="2:7" ht="18.75" x14ac:dyDescent="0.3">
      <c r="B478" s="16" t="s">
        <v>40</v>
      </c>
      <c r="G478" s="27"/>
    </row>
    <row r="479" spans="2:7" ht="21" x14ac:dyDescent="0.25">
      <c r="B479" s="2">
        <v>42367</v>
      </c>
      <c r="C479" s="17" t="s">
        <v>2</v>
      </c>
      <c r="D479" s="17" t="s">
        <v>3</v>
      </c>
      <c r="E479" s="29" t="s">
        <v>4</v>
      </c>
      <c r="G479" s="27"/>
    </row>
    <row r="480" spans="2:7" x14ac:dyDescent="0.25">
      <c r="B480" s="4" t="s">
        <v>5</v>
      </c>
      <c r="C480" s="18">
        <v>22.33</v>
      </c>
      <c r="D480" s="18">
        <f>5/60*14.58</f>
        <v>1.2149999999999999</v>
      </c>
      <c r="E480" s="19">
        <f t="shared" ref="E480:E485" si="32">(C480-D480)/C480</f>
        <v>0.94558889386475597</v>
      </c>
      <c r="G480" s="25"/>
    </row>
    <row r="481" spans="2:7" x14ac:dyDescent="0.25">
      <c r="B481" s="7" t="s">
        <v>6</v>
      </c>
      <c r="C481" s="18">
        <v>3.96</v>
      </c>
      <c r="D481" s="18">
        <f>2/60*14.58</f>
        <v>0.48599999999999999</v>
      </c>
      <c r="E481" s="20">
        <f t="shared" si="32"/>
        <v>0.87727272727272732</v>
      </c>
      <c r="G481" s="25"/>
    </row>
    <row r="482" spans="2:7" x14ac:dyDescent="0.25">
      <c r="B482" s="7" t="s">
        <v>7</v>
      </c>
      <c r="C482" s="18">
        <v>19.399999999999999</v>
      </c>
      <c r="D482" s="18">
        <v>0</v>
      </c>
      <c r="E482" s="20">
        <f t="shared" si="32"/>
        <v>1</v>
      </c>
      <c r="G482" s="25"/>
    </row>
    <row r="483" spans="2:7" x14ac:dyDescent="0.25">
      <c r="B483" s="7" t="s">
        <v>8</v>
      </c>
      <c r="C483" s="18">
        <v>5.5</v>
      </c>
      <c r="D483" s="18">
        <f>4/60*14.58</f>
        <v>0.97199999999999998</v>
      </c>
      <c r="E483" s="19">
        <f t="shared" si="32"/>
        <v>0.82327272727272738</v>
      </c>
      <c r="G483" s="25"/>
    </row>
    <row r="484" spans="2:7" x14ac:dyDescent="0.25">
      <c r="B484" s="7" t="s">
        <v>9</v>
      </c>
      <c r="C484" s="18">
        <v>0</v>
      </c>
      <c r="D484" s="18">
        <v>0</v>
      </c>
      <c r="E484" s="20" t="e">
        <f t="shared" si="32"/>
        <v>#DIV/0!</v>
      </c>
      <c r="G484" s="25"/>
    </row>
    <row r="485" spans="2:7" x14ac:dyDescent="0.25">
      <c r="B485" s="7" t="s">
        <v>10</v>
      </c>
      <c r="C485" s="18">
        <v>22.5</v>
      </c>
      <c r="D485" s="18">
        <v>1.42</v>
      </c>
      <c r="E485" s="19">
        <f t="shared" si="32"/>
        <v>0.93688888888888877</v>
      </c>
      <c r="G485" s="27"/>
    </row>
    <row r="486" spans="2:7" x14ac:dyDescent="0.25">
      <c r="G486" s="27"/>
    </row>
    <row r="487" spans="2:7" x14ac:dyDescent="0.25">
      <c r="G487" s="27"/>
    </row>
    <row r="488" spans="2:7" x14ac:dyDescent="0.25">
      <c r="G488" s="27"/>
    </row>
    <row r="489" spans="2:7" x14ac:dyDescent="0.25">
      <c r="G489" s="27"/>
    </row>
    <row r="490" spans="2:7" s="12" customFormat="1" x14ac:dyDescent="0.25">
      <c r="G490" s="28"/>
    </row>
    <row r="491" spans="2:7" x14ac:dyDescent="0.25">
      <c r="G491" s="27"/>
    </row>
    <row r="492" spans="2:7" ht="18.75" x14ac:dyDescent="0.3">
      <c r="B492" s="16" t="s">
        <v>41</v>
      </c>
      <c r="G492" s="27"/>
    </row>
    <row r="493" spans="2:7" ht="21" x14ac:dyDescent="0.25">
      <c r="B493" s="2">
        <v>42367</v>
      </c>
      <c r="C493" s="17" t="s">
        <v>2</v>
      </c>
      <c r="D493" s="17" t="s">
        <v>3</v>
      </c>
      <c r="E493" s="29" t="s">
        <v>4</v>
      </c>
      <c r="G493" s="27"/>
    </row>
    <row r="494" spans="2:7" x14ac:dyDescent="0.25">
      <c r="B494" s="4" t="s">
        <v>5</v>
      </c>
      <c r="C494" s="18">
        <v>22.33</v>
      </c>
      <c r="D494" s="18">
        <f>101/60*14.58</f>
        <v>24.542999999999999</v>
      </c>
      <c r="E494" s="19">
        <f t="shared" ref="E494:E499" si="33">(C494-D494)/C494</f>
        <v>-9.9104343931930183E-2</v>
      </c>
      <c r="G494" s="25"/>
    </row>
    <row r="495" spans="2:7" x14ac:dyDescent="0.25">
      <c r="B495" s="7" t="s">
        <v>6</v>
      </c>
      <c r="C495" s="18">
        <v>3.96</v>
      </c>
      <c r="D495" s="18">
        <f>20/60*14.58</f>
        <v>4.8599999999999994</v>
      </c>
      <c r="E495" s="20">
        <f t="shared" si="33"/>
        <v>-0.22727272727272713</v>
      </c>
      <c r="G495" s="25"/>
    </row>
    <row r="496" spans="2:7" x14ac:dyDescent="0.25">
      <c r="B496" s="7" t="s">
        <v>7</v>
      </c>
      <c r="C496" s="18">
        <v>0</v>
      </c>
      <c r="D496" s="18">
        <v>0</v>
      </c>
      <c r="E496" s="20" t="e">
        <f t="shared" si="33"/>
        <v>#DIV/0!</v>
      </c>
      <c r="G496" s="25"/>
    </row>
    <row r="497" spans="2:7" x14ac:dyDescent="0.25">
      <c r="B497" s="7" t="s">
        <v>8</v>
      </c>
      <c r="C497" s="18">
        <v>5.5</v>
      </c>
      <c r="D497" s="18">
        <f>12/60*14.58</f>
        <v>2.9160000000000004</v>
      </c>
      <c r="E497" s="19">
        <f t="shared" si="33"/>
        <v>0.46981818181818175</v>
      </c>
      <c r="G497" s="25"/>
    </row>
    <row r="498" spans="2:7" x14ac:dyDescent="0.25">
      <c r="B498" s="7" t="s">
        <v>9</v>
      </c>
      <c r="C498" s="18">
        <v>29</v>
      </c>
      <c r="D498" s="18">
        <f>1094/60*14.58</f>
        <v>265.84200000000004</v>
      </c>
      <c r="E498" s="20">
        <f t="shared" si="33"/>
        <v>-8.1669655172413815</v>
      </c>
      <c r="G498" s="25"/>
    </row>
    <row r="499" spans="2:7" x14ac:dyDescent="0.25">
      <c r="B499" s="7" t="s">
        <v>10</v>
      </c>
      <c r="C499" s="18">
        <v>22.5</v>
      </c>
      <c r="D499" s="18">
        <f>6/60*7.29</f>
        <v>0.72900000000000009</v>
      </c>
      <c r="E499" s="19">
        <f t="shared" si="33"/>
        <v>0.96760000000000002</v>
      </c>
      <c r="G499" s="27"/>
    </row>
    <row r="500" spans="2:7" x14ac:dyDescent="0.25">
      <c r="G500" s="27"/>
    </row>
    <row r="501" spans="2:7" x14ac:dyDescent="0.25">
      <c r="G501" s="27"/>
    </row>
    <row r="502" spans="2:7" x14ac:dyDescent="0.25">
      <c r="G502" s="27"/>
    </row>
    <row r="503" spans="2:7" x14ac:dyDescent="0.25">
      <c r="G503" s="27"/>
    </row>
    <row r="504" spans="2:7" x14ac:dyDescent="0.25">
      <c r="G504" s="27"/>
    </row>
    <row r="505" spans="2:7" s="12" customFormat="1" x14ac:dyDescent="0.25">
      <c r="G505" s="28"/>
    </row>
    <row r="506" spans="2:7" x14ac:dyDescent="0.25">
      <c r="G506" s="27"/>
    </row>
    <row r="507" spans="2:7" ht="18.75" x14ac:dyDescent="0.3">
      <c r="B507" s="16" t="s">
        <v>42</v>
      </c>
      <c r="G507" s="27"/>
    </row>
    <row r="508" spans="2:7" ht="21" x14ac:dyDescent="0.25">
      <c r="B508" s="2">
        <v>42367</v>
      </c>
      <c r="C508" s="17" t="s">
        <v>2</v>
      </c>
      <c r="D508" s="17" t="s">
        <v>3</v>
      </c>
      <c r="E508" s="29" t="s">
        <v>4</v>
      </c>
      <c r="G508" s="27"/>
    </row>
    <row r="509" spans="2:7" x14ac:dyDescent="0.25">
      <c r="B509" s="4" t="s">
        <v>5</v>
      </c>
      <c r="C509" s="18">
        <v>22.33</v>
      </c>
      <c r="D509" s="18">
        <f>7/60*14.58</f>
        <v>1.7010000000000001</v>
      </c>
      <c r="E509" s="19">
        <f t="shared" ref="E509:E514" si="34">(C509-D509)/C509</f>
        <v>0.92382445141065828</v>
      </c>
      <c r="G509" s="25"/>
    </row>
    <row r="510" spans="2:7" x14ac:dyDescent="0.25">
      <c r="B510" s="7" t="s">
        <v>6</v>
      </c>
      <c r="C510" s="18">
        <v>3.96</v>
      </c>
      <c r="D510" s="18">
        <f>5/60*14.58</f>
        <v>1.2149999999999999</v>
      </c>
      <c r="E510" s="20">
        <f t="shared" si="34"/>
        <v>0.69318181818181823</v>
      </c>
      <c r="G510" s="25"/>
    </row>
    <row r="511" spans="2:7" x14ac:dyDescent="0.25">
      <c r="B511" s="7" t="s">
        <v>7</v>
      </c>
      <c r="C511" s="18">
        <v>19.399999999999999</v>
      </c>
      <c r="D511" s="18">
        <f>101/60*14.58</f>
        <v>24.542999999999999</v>
      </c>
      <c r="E511" s="20">
        <f t="shared" si="34"/>
        <v>-0.26510309278350519</v>
      </c>
      <c r="G511" s="25"/>
    </row>
    <row r="512" spans="2:7" x14ac:dyDescent="0.25">
      <c r="B512" s="7" t="s">
        <v>8</v>
      </c>
      <c r="C512" s="18">
        <v>5.5</v>
      </c>
      <c r="D512" s="18">
        <f>5441/60*14.58</f>
        <v>1322.163</v>
      </c>
      <c r="E512" s="19">
        <f t="shared" si="34"/>
        <v>-239.39327272727272</v>
      </c>
      <c r="G512" s="25"/>
    </row>
    <row r="513" spans="2:7" x14ac:dyDescent="0.25">
      <c r="B513" s="7" t="s">
        <v>9</v>
      </c>
      <c r="C513" s="18">
        <v>0</v>
      </c>
      <c r="D513" s="18">
        <v>0</v>
      </c>
      <c r="E513" s="20" t="e">
        <f t="shared" si="34"/>
        <v>#DIV/0!</v>
      </c>
      <c r="G513" s="25"/>
    </row>
    <row r="514" spans="2:7" x14ac:dyDescent="0.25">
      <c r="B514" s="7" t="s">
        <v>10</v>
      </c>
      <c r="C514" s="18">
        <v>22.5</v>
      </c>
      <c r="D514" s="18">
        <v>1.6</v>
      </c>
      <c r="E514" s="19">
        <f t="shared" si="34"/>
        <v>0.92888888888888888</v>
      </c>
      <c r="G514" s="27"/>
    </row>
    <row r="515" spans="2:7" x14ac:dyDescent="0.25">
      <c r="G515" s="27"/>
    </row>
    <row r="516" spans="2:7" x14ac:dyDescent="0.25">
      <c r="G516" s="27"/>
    </row>
    <row r="517" spans="2:7" x14ac:dyDescent="0.25">
      <c r="G517" s="27"/>
    </row>
    <row r="518" spans="2:7" x14ac:dyDescent="0.25">
      <c r="G518" s="27"/>
    </row>
    <row r="520" spans="2:7" s="12" customFormat="1" x14ac:dyDescent="0.25"/>
    <row r="521" spans="2:7" ht="18.75" x14ac:dyDescent="0.3">
      <c r="B521" s="16" t="s">
        <v>43</v>
      </c>
    </row>
    <row r="522" spans="2:7" ht="21" x14ac:dyDescent="0.25">
      <c r="B522" s="2">
        <v>42367</v>
      </c>
      <c r="C522" s="17" t="s">
        <v>2</v>
      </c>
      <c r="D522" s="17" t="s">
        <v>3</v>
      </c>
      <c r="E522" s="29" t="s">
        <v>4</v>
      </c>
    </row>
    <row r="523" spans="2:7" x14ac:dyDescent="0.25">
      <c r="B523" s="4" t="s">
        <v>5</v>
      </c>
      <c r="C523" s="18">
        <v>22.33</v>
      </c>
      <c r="D523" s="18">
        <f>33/60*14.58</f>
        <v>8.0190000000000001</v>
      </c>
      <c r="E523" s="19">
        <f t="shared" ref="E523:E528" si="35">(C523-D523)/C523</f>
        <v>0.64088669950738908</v>
      </c>
    </row>
    <row r="524" spans="2:7" x14ac:dyDescent="0.25">
      <c r="B524" s="7" t="s">
        <v>6</v>
      </c>
      <c r="C524" s="18">
        <v>3.96</v>
      </c>
      <c r="D524" s="18">
        <f>56/60*14.58</f>
        <v>13.608000000000001</v>
      </c>
      <c r="E524" s="20">
        <f t="shared" si="35"/>
        <v>-2.4363636363636365</v>
      </c>
    </row>
    <row r="525" spans="2:7" x14ac:dyDescent="0.25">
      <c r="B525" s="7" t="s">
        <v>7</v>
      </c>
      <c r="C525" s="18">
        <v>19.399999999999999</v>
      </c>
      <c r="D525" s="18">
        <v>0</v>
      </c>
      <c r="E525" s="20">
        <f t="shared" si="35"/>
        <v>1</v>
      </c>
    </row>
    <row r="526" spans="2:7" x14ac:dyDescent="0.25">
      <c r="B526" s="7" t="s">
        <v>8</v>
      </c>
      <c r="C526" s="18">
        <v>5.5</v>
      </c>
      <c r="D526" s="18">
        <v>0</v>
      </c>
      <c r="E526" s="19">
        <f t="shared" si="35"/>
        <v>1</v>
      </c>
    </row>
    <row r="527" spans="2:7" x14ac:dyDescent="0.25">
      <c r="B527" s="7" t="s">
        <v>9</v>
      </c>
      <c r="C527" s="18">
        <v>0</v>
      </c>
      <c r="D527" s="18">
        <v>0</v>
      </c>
      <c r="E527" s="20" t="e">
        <f t="shared" si="35"/>
        <v>#DIV/0!</v>
      </c>
    </row>
    <row r="528" spans="2:7" x14ac:dyDescent="0.25">
      <c r="B528" s="7" t="s">
        <v>10</v>
      </c>
      <c r="C528" s="18">
        <v>22.5</v>
      </c>
      <c r="D528" s="18">
        <f>6/60*7.29</f>
        <v>0.72900000000000009</v>
      </c>
      <c r="E528" s="19">
        <f t="shared" si="35"/>
        <v>0.96760000000000002</v>
      </c>
    </row>
    <row r="536" spans="2:5" s="12" customFormat="1" x14ac:dyDescent="0.25"/>
    <row r="537" spans="2:5" ht="18.75" x14ac:dyDescent="0.3">
      <c r="B537" s="16" t="s">
        <v>44</v>
      </c>
    </row>
    <row r="538" spans="2:5" ht="21" x14ac:dyDescent="0.25">
      <c r="B538" s="2">
        <v>42367</v>
      </c>
      <c r="C538" s="17" t="s">
        <v>2</v>
      </c>
      <c r="D538" s="17" t="s">
        <v>3</v>
      </c>
      <c r="E538" s="29" t="s">
        <v>4</v>
      </c>
    </row>
    <row r="539" spans="2:5" x14ac:dyDescent="0.25">
      <c r="B539" s="4" t="s">
        <v>5</v>
      </c>
      <c r="C539" s="18">
        <v>22.33</v>
      </c>
      <c r="D539" s="18">
        <f>8/60*14.58</f>
        <v>1.944</v>
      </c>
      <c r="E539" s="19">
        <f t="shared" ref="E539:E544" si="36">(C539-D539)/C539</f>
        <v>0.91294223018360954</v>
      </c>
    </row>
    <row r="540" spans="2:5" x14ac:dyDescent="0.25">
      <c r="B540" s="7" t="s">
        <v>6</v>
      </c>
      <c r="C540" s="18">
        <v>3.96</v>
      </c>
      <c r="D540" s="18">
        <f>3/60*14.58</f>
        <v>0.72900000000000009</v>
      </c>
      <c r="E540" s="20">
        <f t="shared" si="36"/>
        <v>0.81590909090909092</v>
      </c>
    </row>
    <row r="541" spans="2:5" x14ac:dyDescent="0.25">
      <c r="B541" s="7" t="s">
        <v>7</v>
      </c>
      <c r="C541" s="18">
        <v>0</v>
      </c>
      <c r="D541" s="18">
        <v>0</v>
      </c>
      <c r="E541" s="20" t="e">
        <f t="shared" si="36"/>
        <v>#DIV/0!</v>
      </c>
    </row>
    <row r="542" spans="2:5" x14ac:dyDescent="0.25">
      <c r="B542" s="7" t="s">
        <v>8</v>
      </c>
      <c r="C542" s="18">
        <v>5.5</v>
      </c>
      <c r="D542" s="18">
        <v>0</v>
      </c>
      <c r="E542" s="19">
        <f t="shared" si="36"/>
        <v>1</v>
      </c>
    </row>
    <row r="543" spans="2:5" x14ac:dyDescent="0.25">
      <c r="B543" s="7" t="s">
        <v>9</v>
      </c>
      <c r="C543" s="18">
        <v>29</v>
      </c>
      <c r="D543" s="18">
        <f>170/60*14.58</f>
        <v>41.31</v>
      </c>
      <c r="E543" s="20">
        <f t="shared" si="36"/>
        <v>-0.42448275862068974</v>
      </c>
    </row>
    <row r="544" spans="2:5" x14ac:dyDescent="0.25">
      <c r="B544" s="7" t="s">
        <v>10</v>
      </c>
      <c r="C544" s="18">
        <v>22.5</v>
      </c>
      <c r="D544" s="18">
        <f>7/60*7.29</f>
        <v>0.85050000000000003</v>
      </c>
      <c r="E544" s="19">
        <f t="shared" si="36"/>
        <v>0.96219999999999994</v>
      </c>
    </row>
    <row r="552" spans="2:6" x14ac:dyDescent="0.25">
      <c r="B552" t="s">
        <v>80</v>
      </c>
    </row>
    <row r="553" spans="2:6" ht="21" x14ac:dyDescent="0.25">
      <c r="B553" s="2">
        <v>42388</v>
      </c>
      <c r="C553" s="17" t="s">
        <v>2</v>
      </c>
      <c r="D553" s="17" t="s">
        <v>3</v>
      </c>
      <c r="E553" s="74" t="s">
        <v>4</v>
      </c>
      <c r="F553" s="72"/>
    </row>
    <row r="554" spans="2:6" x14ac:dyDescent="0.25">
      <c r="B554" s="4" t="s">
        <v>5</v>
      </c>
      <c r="C554" s="18">
        <v>22.33</v>
      </c>
      <c r="D554" s="18">
        <f>472/60*14.58</f>
        <v>114.696</v>
      </c>
      <c r="E554" s="75">
        <f t="shared" ref="E554:E559" si="37">(C554-D554)/C554</f>
        <v>-4.1364084191670401</v>
      </c>
      <c r="F554" s="69"/>
    </row>
    <row r="555" spans="2:6" ht="12.75" customHeight="1" x14ac:dyDescent="0.25">
      <c r="B555" s="7" t="s">
        <v>6</v>
      </c>
      <c r="C555" s="18">
        <v>3.96</v>
      </c>
      <c r="D555" s="18">
        <f>19/60*14.58</f>
        <v>4.617</v>
      </c>
      <c r="E555" s="76">
        <f t="shared" si="37"/>
        <v>-0.16590909090909092</v>
      </c>
      <c r="F555" s="69"/>
    </row>
    <row r="556" spans="2:6" x14ac:dyDescent="0.25">
      <c r="B556" s="7" t="s">
        <v>7</v>
      </c>
      <c r="C556" s="18">
        <v>19.399999999999999</v>
      </c>
      <c r="D556" s="18">
        <v>0</v>
      </c>
      <c r="E556" s="76">
        <f t="shared" si="37"/>
        <v>1</v>
      </c>
      <c r="F556" s="69"/>
    </row>
    <row r="557" spans="2:6" x14ac:dyDescent="0.25">
      <c r="B557" s="7" t="s">
        <v>8</v>
      </c>
      <c r="C557" s="18">
        <v>5.5</v>
      </c>
      <c r="D557" s="18">
        <f>8/60*14.58</f>
        <v>1.944</v>
      </c>
      <c r="E557" s="75">
        <f t="shared" si="37"/>
        <v>0.64654545454545453</v>
      </c>
      <c r="F557" s="69"/>
    </row>
    <row r="558" spans="2:6" x14ac:dyDescent="0.25">
      <c r="B558" s="7" t="s">
        <v>9</v>
      </c>
      <c r="C558" s="18">
        <v>29</v>
      </c>
      <c r="D558" s="18">
        <v>0</v>
      </c>
      <c r="E558" s="76">
        <f t="shared" si="37"/>
        <v>1</v>
      </c>
      <c r="F558" s="69"/>
    </row>
    <row r="559" spans="2:6" x14ac:dyDescent="0.25">
      <c r="B559" s="7" t="s">
        <v>10</v>
      </c>
      <c r="C559" s="18">
        <v>22.5</v>
      </c>
      <c r="D559" s="18">
        <f>2/60*7.29</f>
        <v>0.24299999999999999</v>
      </c>
      <c r="E559" s="75">
        <f t="shared" si="37"/>
        <v>0.98920000000000008</v>
      </c>
      <c r="F559" s="69"/>
    </row>
    <row r="560" spans="2:6" x14ac:dyDescent="0.25">
      <c r="F560" s="72"/>
    </row>
    <row r="561" spans="2:6" x14ac:dyDescent="0.25">
      <c r="F561" s="72"/>
    </row>
    <row r="562" spans="2:6" x14ac:dyDescent="0.25">
      <c r="F562" s="72"/>
    </row>
    <row r="563" spans="2:6" x14ac:dyDescent="0.25">
      <c r="F563" s="72"/>
    </row>
    <row r="564" spans="2:6" x14ac:dyDescent="0.25">
      <c r="F564" s="72"/>
    </row>
    <row r="565" spans="2:6" x14ac:dyDescent="0.25">
      <c r="B565" t="s">
        <v>79</v>
      </c>
      <c r="F565" s="72"/>
    </row>
    <row r="566" spans="2:6" ht="21" x14ac:dyDescent="0.25">
      <c r="B566" s="2">
        <v>42388</v>
      </c>
      <c r="C566" s="17" t="s">
        <v>2</v>
      </c>
      <c r="D566" s="17" t="s">
        <v>3</v>
      </c>
      <c r="E566" s="74" t="s">
        <v>4</v>
      </c>
      <c r="F566" s="72"/>
    </row>
    <row r="567" spans="2:6" x14ac:dyDescent="0.25">
      <c r="B567" s="4" t="s">
        <v>5</v>
      </c>
      <c r="C567" s="18">
        <v>22.33</v>
      </c>
      <c r="D567" s="18">
        <f>24/60*14.58</f>
        <v>5.8320000000000007</v>
      </c>
      <c r="E567" s="75">
        <f t="shared" ref="E567:E572" si="38">(C567-D567)/C567</f>
        <v>0.73882669055082839</v>
      </c>
      <c r="F567" s="69"/>
    </row>
    <row r="568" spans="2:6" x14ac:dyDescent="0.25">
      <c r="B568" s="7" t="s">
        <v>6</v>
      </c>
      <c r="C568" s="18">
        <v>3.96</v>
      </c>
      <c r="D568" s="18">
        <f>44/60*14.58</f>
        <v>10.692</v>
      </c>
      <c r="E568" s="76">
        <f t="shared" si="38"/>
        <v>-1.7000000000000002</v>
      </c>
      <c r="F568" s="69"/>
    </row>
    <row r="569" spans="2:6" x14ac:dyDescent="0.25">
      <c r="B569" s="7" t="s">
        <v>7</v>
      </c>
      <c r="C569" s="18">
        <v>19.399999999999999</v>
      </c>
      <c r="D569" s="18">
        <v>0</v>
      </c>
      <c r="E569" s="76">
        <f t="shared" si="38"/>
        <v>1</v>
      </c>
      <c r="F569" s="69"/>
    </row>
    <row r="570" spans="2:6" x14ac:dyDescent="0.25">
      <c r="B570" s="7" t="s">
        <v>8</v>
      </c>
      <c r="C570" s="18">
        <v>5.5</v>
      </c>
      <c r="D570" s="18">
        <f>14/60*14.58</f>
        <v>3.4020000000000001</v>
      </c>
      <c r="E570" s="75">
        <f t="shared" si="38"/>
        <v>0.38145454545454544</v>
      </c>
      <c r="F570" s="69"/>
    </row>
    <row r="571" spans="2:6" x14ac:dyDescent="0.25">
      <c r="B571" s="7" t="s">
        <v>9</v>
      </c>
      <c r="C571" s="18">
        <v>29</v>
      </c>
      <c r="D571" s="18">
        <v>0</v>
      </c>
      <c r="E571" s="76">
        <f t="shared" si="38"/>
        <v>1</v>
      </c>
      <c r="F571" s="69"/>
    </row>
    <row r="572" spans="2:6" x14ac:dyDescent="0.25">
      <c r="B572" s="7" t="s">
        <v>10</v>
      </c>
      <c r="C572" s="18">
        <v>22.5</v>
      </c>
      <c r="D572" s="18">
        <f>32/60*7.29</f>
        <v>3.8879999999999999</v>
      </c>
      <c r="E572" s="75">
        <f t="shared" si="38"/>
        <v>0.82720000000000005</v>
      </c>
      <c r="F572" s="69"/>
    </row>
    <row r="573" spans="2:6" x14ac:dyDescent="0.25">
      <c r="F573" s="72"/>
    </row>
    <row r="574" spans="2:6" x14ac:dyDescent="0.25">
      <c r="F574" s="72"/>
    </row>
    <row r="575" spans="2:6" x14ac:dyDescent="0.25">
      <c r="F575" s="72"/>
    </row>
    <row r="576" spans="2:6" x14ac:dyDescent="0.25">
      <c r="F576" s="72"/>
    </row>
    <row r="577" spans="2:6" x14ac:dyDescent="0.25">
      <c r="B577" t="s">
        <v>81</v>
      </c>
      <c r="F577" s="72"/>
    </row>
    <row r="578" spans="2:6" ht="21" x14ac:dyDescent="0.25">
      <c r="B578" s="2">
        <v>42388</v>
      </c>
      <c r="C578" s="17" t="s">
        <v>2</v>
      </c>
      <c r="D578" s="17" t="s">
        <v>3</v>
      </c>
      <c r="E578" s="74" t="s">
        <v>4</v>
      </c>
      <c r="F578" s="72"/>
    </row>
    <row r="579" spans="2:6" x14ac:dyDescent="0.25">
      <c r="B579" s="4" t="s">
        <v>5</v>
      </c>
      <c r="C579" s="18">
        <v>22.33</v>
      </c>
      <c r="D579" s="18">
        <f>54/60*14.58</f>
        <v>13.122</v>
      </c>
      <c r="E579" s="75">
        <f t="shared" ref="E579:E584" si="39">(C579-D579)/C579</f>
        <v>0.41236005373936402</v>
      </c>
      <c r="F579" s="69"/>
    </row>
    <row r="580" spans="2:6" x14ac:dyDescent="0.25">
      <c r="B580" s="7" t="s">
        <v>6</v>
      </c>
      <c r="C580" s="18">
        <v>3.96</v>
      </c>
      <c r="D580" s="18">
        <f>34/60*14.58</f>
        <v>8.2620000000000005</v>
      </c>
      <c r="E580" s="76">
        <f t="shared" si="39"/>
        <v>-1.0863636363636364</v>
      </c>
      <c r="F580" s="69"/>
    </row>
    <row r="581" spans="2:6" x14ac:dyDescent="0.25">
      <c r="B581" s="7" t="s">
        <v>7</v>
      </c>
      <c r="C581" s="18">
        <v>19.399999999999999</v>
      </c>
      <c r="D581" s="18">
        <v>0</v>
      </c>
      <c r="E581" s="76">
        <f t="shared" si="39"/>
        <v>1</v>
      </c>
      <c r="F581" s="69"/>
    </row>
    <row r="582" spans="2:6" x14ac:dyDescent="0.25">
      <c r="B582" s="7" t="s">
        <v>8</v>
      </c>
      <c r="C582" s="18">
        <v>5.5</v>
      </c>
      <c r="D582" s="18">
        <f>18/60*14.58</f>
        <v>4.3739999999999997</v>
      </c>
      <c r="E582" s="75">
        <f t="shared" si="39"/>
        <v>0.20472727272727279</v>
      </c>
      <c r="F582" s="69"/>
    </row>
    <row r="583" spans="2:6" x14ac:dyDescent="0.25">
      <c r="B583" s="7" t="s">
        <v>9</v>
      </c>
      <c r="C583" s="18">
        <v>29</v>
      </c>
      <c r="D583" s="18">
        <v>0</v>
      </c>
      <c r="E583" s="76">
        <f t="shared" si="39"/>
        <v>1</v>
      </c>
      <c r="F583" s="69"/>
    </row>
    <row r="584" spans="2:6" x14ac:dyDescent="0.25">
      <c r="B584" s="7" t="s">
        <v>10</v>
      </c>
      <c r="C584" s="18">
        <v>22.5</v>
      </c>
      <c r="D584" s="18">
        <f>11/60*7.29</f>
        <v>1.3365</v>
      </c>
      <c r="E584" s="75">
        <f t="shared" si="39"/>
        <v>0.94059999999999999</v>
      </c>
      <c r="F584" s="69"/>
    </row>
    <row r="585" spans="2:6" x14ac:dyDescent="0.25">
      <c r="F585" s="72"/>
    </row>
    <row r="586" spans="2:6" x14ac:dyDescent="0.25">
      <c r="F586" s="72"/>
    </row>
    <row r="587" spans="2:6" x14ac:dyDescent="0.25">
      <c r="F587" s="72"/>
    </row>
    <row r="588" spans="2:6" x14ac:dyDescent="0.25">
      <c r="F588" s="72"/>
    </row>
    <row r="589" spans="2:6" x14ac:dyDescent="0.25">
      <c r="F589" s="72"/>
    </row>
    <row r="590" spans="2:6" x14ac:dyDescent="0.25">
      <c r="B590" t="s">
        <v>82</v>
      </c>
      <c r="F590" s="72"/>
    </row>
    <row r="591" spans="2:6" ht="21" x14ac:dyDescent="0.25">
      <c r="B591" s="2">
        <v>42388</v>
      </c>
      <c r="C591" s="17" t="s">
        <v>2</v>
      </c>
      <c r="D591" s="17" t="s">
        <v>3</v>
      </c>
      <c r="E591" s="74" t="s">
        <v>4</v>
      </c>
      <c r="F591" s="72"/>
    </row>
    <row r="592" spans="2:6" x14ac:dyDescent="0.25">
      <c r="B592" s="4" t="s">
        <v>5</v>
      </c>
      <c r="C592" s="18">
        <v>22.33</v>
      </c>
      <c r="D592" s="18">
        <f>53/60*14.58</f>
        <v>12.879</v>
      </c>
      <c r="E592" s="75">
        <f t="shared" ref="E592:E597" si="40">(C592-D592)/C592</f>
        <v>0.42324227496641287</v>
      </c>
      <c r="F592" s="69"/>
    </row>
    <row r="593" spans="2:6" x14ac:dyDescent="0.25">
      <c r="B593" s="7" t="s">
        <v>6</v>
      </c>
      <c r="C593" s="18">
        <v>3.96</v>
      </c>
      <c r="D593" s="18">
        <f>44/60*14.58</f>
        <v>10.692</v>
      </c>
      <c r="E593" s="76">
        <f t="shared" si="40"/>
        <v>-1.7000000000000002</v>
      </c>
      <c r="F593" s="69"/>
    </row>
    <row r="594" spans="2:6" x14ac:dyDescent="0.25">
      <c r="B594" s="7" t="s">
        <v>7</v>
      </c>
      <c r="C594" s="18">
        <v>19.399999999999999</v>
      </c>
      <c r="D594" s="18">
        <v>0</v>
      </c>
      <c r="E594" s="76">
        <f t="shared" si="40"/>
        <v>1</v>
      </c>
      <c r="F594" s="69"/>
    </row>
    <row r="595" spans="2:6" x14ac:dyDescent="0.25">
      <c r="B595" s="7" t="s">
        <v>8</v>
      </c>
      <c r="C595" s="18">
        <v>5.5</v>
      </c>
      <c r="D595" s="18">
        <f>20/60*14.58</f>
        <v>4.8599999999999994</v>
      </c>
      <c r="E595" s="75">
        <f t="shared" si="40"/>
        <v>0.11636363636363646</v>
      </c>
      <c r="F595" s="69"/>
    </row>
    <row r="596" spans="2:6" x14ac:dyDescent="0.25">
      <c r="B596" s="7" t="s">
        <v>9</v>
      </c>
      <c r="C596" s="18">
        <v>29</v>
      </c>
      <c r="D596" s="18">
        <v>0</v>
      </c>
      <c r="E596" s="76">
        <f t="shared" si="40"/>
        <v>1</v>
      </c>
      <c r="F596" s="69"/>
    </row>
    <row r="597" spans="2:6" x14ac:dyDescent="0.25">
      <c r="B597" s="7" t="s">
        <v>10</v>
      </c>
      <c r="C597" s="18">
        <v>22.5</v>
      </c>
      <c r="D597" s="18">
        <f>19/60*7.29</f>
        <v>2.3085</v>
      </c>
      <c r="E597" s="75">
        <f t="shared" si="40"/>
        <v>0.89740000000000009</v>
      </c>
      <c r="F597" s="72"/>
    </row>
    <row r="598" spans="2:6" x14ac:dyDescent="0.25">
      <c r="F598" s="72"/>
    </row>
    <row r="599" spans="2:6" x14ac:dyDescent="0.25">
      <c r="F599" s="72"/>
    </row>
    <row r="600" spans="2:6" x14ac:dyDescent="0.25">
      <c r="F600" s="72"/>
    </row>
    <row r="601" spans="2:6" x14ac:dyDescent="0.25">
      <c r="F601" s="72"/>
    </row>
    <row r="602" spans="2:6" x14ac:dyDescent="0.25">
      <c r="F602" s="72"/>
    </row>
    <row r="603" spans="2:6" x14ac:dyDescent="0.25">
      <c r="F603" s="72"/>
    </row>
    <row r="604" spans="2:6" x14ac:dyDescent="0.25">
      <c r="B604" t="s">
        <v>83</v>
      </c>
      <c r="F604" s="72"/>
    </row>
    <row r="605" spans="2:6" ht="21" x14ac:dyDescent="0.25">
      <c r="B605" s="2">
        <v>42388</v>
      </c>
      <c r="C605" s="17" t="s">
        <v>2</v>
      </c>
      <c r="D605" s="17" t="s">
        <v>3</v>
      </c>
      <c r="E605" s="74" t="s">
        <v>4</v>
      </c>
      <c r="F605" s="72"/>
    </row>
    <row r="606" spans="2:6" x14ac:dyDescent="0.25">
      <c r="B606" s="4" t="s">
        <v>5</v>
      </c>
      <c r="C606" s="18">
        <v>22.33</v>
      </c>
      <c r="D606" s="18">
        <f>155/60*14.58</f>
        <v>37.664999999999999</v>
      </c>
      <c r="E606" s="75">
        <f t="shared" ref="E606:E611" si="41">(C606-D606)/C606</f>
        <v>-0.68674429019256611</v>
      </c>
      <c r="F606" s="69"/>
    </row>
    <row r="607" spans="2:6" x14ac:dyDescent="0.25">
      <c r="B607" s="7" t="s">
        <v>6</v>
      </c>
      <c r="C607" s="18">
        <v>3.96</v>
      </c>
      <c r="D607" s="18">
        <f>32/60*14.58</f>
        <v>7.7759999999999998</v>
      </c>
      <c r="E607" s="76">
        <f t="shared" si="41"/>
        <v>-0.96363636363636362</v>
      </c>
      <c r="F607" s="69"/>
    </row>
    <row r="608" spans="2:6" x14ac:dyDescent="0.25">
      <c r="B608" s="7" t="s">
        <v>7</v>
      </c>
      <c r="C608" s="18">
        <v>19.399999999999999</v>
      </c>
      <c r="D608" s="18">
        <v>0</v>
      </c>
      <c r="E608" s="76">
        <f t="shared" si="41"/>
        <v>1</v>
      </c>
      <c r="F608" s="69"/>
    </row>
    <row r="609" spans="2:6" x14ac:dyDescent="0.25">
      <c r="B609" s="7" t="s">
        <v>8</v>
      </c>
      <c r="C609" s="18">
        <v>5.5</v>
      </c>
      <c r="D609" s="18">
        <f>21/60*14.58</f>
        <v>5.1029999999999998</v>
      </c>
      <c r="E609" s="75">
        <f t="shared" si="41"/>
        <v>7.2181818181818222E-2</v>
      </c>
      <c r="F609" s="69"/>
    </row>
    <row r="610" spans="2:6" x14ac:dyDescent="0.25">
      <c r="B610" s="7" t="s">
        <v>9</v>
      </c>
      <c r="C610" s="18">
        <v>29</v>
      </c>
      <c r="D610" s="18">
        <v>0</v>
      </c>
      <c r="E610" s="76">
        <f t="shared" si="41"/>
        <v>1</v>
      </c>
      <c r="F610" s="69"/>
    </row>
    <row r="611" spans="2:6" x14ac:dyDescent="0.25">
      <c r="B611" s="7" t="s">
        <v>10</v>
      </c>
      <c r="C611" s="18">
        <v>22.5</v>
      </c>
      <c r="D611" s="18">
        <f>10/60*7.29</f>
        <v>1.2149999999999999</v>
      </c>
      <c r="E611" s="75">
        <f t="shared" si="41"/>
        <v>0.94599999999999995</v>
      </c>
      <c r="F611" s="69"/>
    </row>
    <row r="612" spans="2:6" x14ac:dyDescent="0.25">
      <c r="F612" s="72"/>
    </row>
    <row r="613" spans="2:6" x14ac:dyDescent="0.25">
      <c r="F613" s="72"/>
    </row>
    <row r="614" spans="2:6" x14ac:dyDescent="0.25">
      <c r="F614" s="72"/>
    </row>
    <row r="615" spans="2:6" x14ac:dyDescent="0.25">
      <c r="F615" s="72"/>
    </row>
    <row r="616" spans="2:6" x14ac:dyDescent="0.25">
      <c r="F616" s="72"/>
    </row>
    <row r="617" spans="2:6" x14ac:dyDescent="0.25">
      <c r="F617" s="72"/>
    </row>
    <row r="618" spans="2:6" x14ac:dyDescent="0.25">
      <c r="B618" t="s">
        <v>84</v>
      </c>
      <c r="F618" s="72"/>
    </row>
    <row r="619" spans="2:6" ht="21" x14ac:dyDescent="0.25">
      <c r="B619" s="2">
        <v>42388</v>
      </c>
      <c r="C619" s="17" t="s">
        <v>2</v>
      </c>
      <c r="D619" s="17" t="s">
        <v>3</v>
      </c>
      <c r="E619" s="74" t="s">
        <v>4</v>
      </c>
      <c r="F619" s="72"/>
    </row>
    <row r="620" spans="2:6" x14ac:dyDescent="0.25">
      <c r="B620" s="4" t="s">
        <v>5</v>
      </c>
      <c r="C620" s="18">
        <v>22.33</v>
      </c>
      <c r="D620" s="18">
        <f>465/60*14.58</f>
        <v>112.995</v>
      </c>
      <c r="E620" s="75">
        <f t="shared" ref="E620:E625" si="42">(C620-D620)/C620</f>
        <v>-4.0602328705776989</v>
      </c>
      <c r="F620" s="69"/>
    </row>
    <row r="621" spans="2:6" x14ac:dyDescent="0.25">
      <c r="B621" s="7" t="s">
        <v>6</v>
      </c>
      <c r="C621" s="18">
        <v>3.96</v>
      </c>
      <c r="D621" s="18">
        <f>6/60*14.58</f>
        <v>1.4580000000000002</v>
      </c>
      <c r="E621" s="76">
        <f t="shared" si="42"/>
        <v>0.63181818181818172</v>
      </c>
      <c r="F621" s="69"/>
    </row>
    <row r="622" spans="2:6" x14ac:dyDescent="0.25">
      <c r="B622" s="7" t="s">
        <v>7</v>
      </c>
      <c r="C622" s="18">
        <v>19.399999999999999</v>
      </c>
      <c r="D622" s="18">
        <f>135/60*14.58</f>
        <v>32.805</v>
      </c>
      <c r="E622" s="76">
        <f t="shared" si="42"/>
        <v>-0.69097938144329907</v>
      </c>
      <c r="F622" s="69"/>
    </row>
    <row r="623" spans="2:6" x14ac:dyDescent="0.25">
      <c r="B623" s="7" t="s">
        <v>8</v>
      </c>
      <c r="C623" s="18">
        <v>5.5</v>
      </c>
      <c r="D623" s="18">
        <f>14/60*14.58</f>
        <v>3.4020000000000001</v>
      </c>
      <c r="E623" s="75">
        <f t="shared" si="42"/>
        <v>0.38145454545454544</v>
      </c>
      <c r="F623" s="69"/>
    </row>
    <row r="624" spans="2:6" x14ac:dyDescent="0.25">
      <c r="B624" s="7" t="s">
        <v>9</v>
      </c>
      <c r="C624" s="18">
        <v>29</v>
      </c>
      <c r="D624" s="18">
        <v>0</v>
      </c>
      <c r="E624" s="76">
        <f t="shared" si="42"/>
        <v>1</v>
      </c>
      <c r="F624" s="69"/>
    </row>
    <row r="625" spans="2:6" x14ac:dyDescent="0.25">
      <c r="B625" s="7" t="s">
        <v>10</v>
      </c>
      <c r="C625" s="18">
        <v>22.5</v>
      </c>
      <c r="D625" s="18">
        <f>35/60*7.29</f>
        <v>4.2525000000000004</v>
      </c>
      <c r="E625" s="75">
        <f t="shared" si="42"/>
        <v>0.81099999999999994</v>
      </c>
      <c r="F625" s="69"/>
    </row>
    <row r="626" spans="2:6" x14ac:dyDescent="0.25">
      <c r="F626" s="72"/>
    </row>
    <row r="627" spans="2:6" x14ac:dyDescent="0.25">
      <c r="F627" s="72"/>
    </row>
    <row r="628" spans="2:6" x14ac:dyDescent="0.25">
      <c r="F628" s="72"/>
    </row>
    <row r="629" spans="2:6" x14ac:dyDescent="0.25">
      <c r="F629" s="72"/>
    </row>
    <row r="630" spans="2:6" x14ac:dyDescent="0.25">
      <c r="F630" s="72"/>
    </row>
    <row r="631" spans="2:6" x14ac:dyDescent="0.25">
      <c r="B631" t="s">
        <v>85</v>
      </c>
      <c r="F631" s="72"/>
    </row>
    <row r="632" spans="2:6" ht="21" x14ac:dyDescent="0.25">
      <c r="B632" s="2">
        <v>42388</v>
      </c>
      <c r="C632" s="17" t="s">
        <v>2</v>
      </c>
      <c r="D632" s="17" t="s">
        <v>3</v>
      </c>
      <c r="E632" s="74" t="s">
        <v>4</v>
      </c>
      <c r="F632" s="72"/>
    </row>
    <row r="633" spans="2:6" x14ac:dyDescent="0.25">
      <c r="B633" s="4" t="s">
        <v>5</v>
      </c>
      <c r="C633" s="18">
        <v>22.33</v>
      </c>
      <c r="D633" s="18">
        <f>112/60*14.58</f>
        <v>27.216000000000001</v>
      </c>
      <c r="E633" s="75">
        <f t="shared" ref="E633:E638" si="43">(C633-D633)/C633</f>
        <v>-0.21880877742946722</v>
      </c>
      <c r="F633" s="69"/>
    </row>
    <row r="634" spans="2:6" x14ac:dyDescent="0.25">
      <c r="B634" s="7" t="s">
        <v>6</v>
      </c>
      <c r="C634" s="18">
        <v>3.96</v>
      </c>
      <c r="D634" s="18">
        <f>76/60*14.58</f>
        <v>18.468</v>
      </c>
      <c r="E634" s="76">
        <f t="shared" si="43"/>
        <v>-3.6636363636363636</v>
      </c>
      <c r="F634" s="69"/>
    </row>
    <row r="635" spans="2:6" x14ac:dyDescent="0.25">
      <c r="B635" s="7" t="s">
        <v>7</v>
      </c>
      <c r="C635" s="18">
        <v>19.399999999999999</v>
      </c>
      <c r="D635" s="18">
        <f>89/60*14.58</f>
        <v>21.627000000000002</v>
      </c>
      <c r="E635" s="76">
        <f t="shared" si="43"/>
        <v>-0.1147938144329899</v>
      </c>
      <c r="F635" s="69"/>
    </row>
    <row r="636" spans="2:6" x14ac:dyDescent="0.25">
      <c r="B636" s="7" t="s">
        <v>8</v>
      </c>
      <c r="C636" s="18">
        <v>5.5</v>
      </c>
      <c r="D636" s="18">
        <f>22/60*14.58</f>
        <v>5.3460000000000001</v>
      </c>
      <c r="E636" s="75">
        <f t="shared" si="43"/>
        <v>2.7999999999999983E-2</v>
      </c>
      <c r="F636" s="69"/>
    </row>
    <row r="637" spans="2:6" x14ac:dyDescent="0.25">
      <c r="B637" s="7" t="s">
        <v>9</v>
      </c>
      <c r="C637" s="18">
        <v>29</v>
      </c>
      <c r="D637" s="18">
        <v>0</v>
      </c>
      <c r="E637" s="76">
        <f t="shared" si="43"/>
        <v>1</v>
      </c>
      <c r="F637" s="69"/>
    </row>
    <row r="638" spans="2:6" x14ac:dyDescent="0.25">
      <c r="B638" s="7" t="s">
        <v>10</v>
      </c>
      <c r="C638" s="18">
        <v>22.5</v>
      </c>
      <c r="D638" s="18">
        <f>13/60*7.29</f>
        <v>1.5795000000000001</v>
      </c>
      <c r="E638" s="75">
        <f t="shared" si="43"/>
        <v>0.92980000000000007</v>
      </c>
      <c r="F638" s="69"/>
    </row>
    <row r="639" spans="2:6" x14ac:dyDescent="0.25">
      <c r="F639" s="72"/>
    </row>
    <row r="640" spans="2:6" x14ac:dyDescent="0.25">
      <c r="F640" s="72"/>
    </row>
    <row r="641" spans="2:6" x14ac:dyDescent="0.25">
      <c r="F641" s="72"/>
    </row>
    <row r="642" spans="2:6" x14ac:dyDescent="0.25">
      <c r="F642" s="72"/>
    </row>
    <row r="643" spans="2:6" x14ac:dyDescent="0.25">
      <c r="F643" s="72"/>
    </row>
    <row r="644" spans="2:6" x14ac:dyDescent="0.25">
      <c r="B644" t="s">
        <v>86</v>
      </c>
      <c r="F644" s="72"/>
    </row>
    <row r="645" spans="2:6" ht="21" x14ac:dyDescent="0.25">
      <c r="B645" s="2">
        <v>42388</v>
      </c>
      <c r="C645" s="17" t="s">
        <v>2</v>
      </c>
      <c r="D645" s="17" t="s">
        <v>3</v>
      </c>
      <c r="E645" s="74" t="s">
        <v>4</v>
      </c>
      <c r="F645" s="72"/>
    </row>
    <row r="646" spans="2:6" x14ac:dyDescent="0.25">
      <c r="B646" s="4" t="s">
        <v>5</v>
      </c>
      <c r="C646" s="18">
        <v>22.33</v>
      </c>
      <c r="D646" s="18">
        <f>5/60*14.58</f>
        <v>1.2149999999999999</v>
      </c>
      <c r="E646" s="75">
        <f t="shared" ref="E646:E651" si="44">(C646-D646)/C646</f>
        <v>0.94558889386475597</v>
      </c>
      <c r="F646" s="69"/>
    </row>
    <row r="647" spans="2:6" x14ac:dyDescent="0.25">
      <c r="B647" s="7" t="s">
        <v>6</v>
      </c>
      <c r="C647" s="18">
        <v>3.96</v>
      </c>
      <c r="D647" s="18">
        <f>5/60*14.58</f>
        <v>1.2149999999999999</v>
      </c>
      <c r="E647" s="76">
        <f t="shared" si="44"/>
        <v>0.69318181818181823</v>
      </c>
      <c r="F647" s="69"/>
    </row>
    <row r="648" spans="2:6" x14ac:dyDescent="0.25">
      <c r="B648" s="7" t="s">
        <v>7</v>
      </c>
      <c r="C648" s="18">
        <v>19.399999999999999</v>
      </c>
      <c r="D648" s="18">
        <v>0</v>
      </c>
      <c r="E648" s="76">
        <f t="shared" si="44"/>
        <v>1</v>
      </c>
      <c r="F648" s="69"/>
    </row>
    <row r="649" spans="2:6" x14ac:dyDescent="0.25">
      <c r="B649" s="7" t="s">
        <v>8</v>
      </c>
      <c r="C649" s="18">
        <v>5.5</v>
      </c>
      <c r="D649" s="18">
        <f>32/60*14.58</f>
        <v>7.7759999999999998</v>
      </c>
      <c r="E649" s="75">
        <f t="shared" si="44"/>
        <v>-0.41381818181818181</v>
      </c>
      <c r="F649" s="69"/>
    </row>
    <row r="650" spans="2:6" x14ac:dyDescent="0.25">
      <c r="B650" s="7" t="s">
        <v>9</v>
      </c>
      <c r="C650" s="18">
        <v>29</v>
      </c>
      <c r="D650" s="18">
        <v>0</v>
      </c>
      <c r="E650" s="76">
        <f t="shared" si="44"/>
        <v>1</v>
      </c>
      <c r="F650" s="69"/>
    </row>
    <row r="651" spans="2:6" x14ac:dyDescent="0.25">
      <c r="B651" s="7" t="s">
        <v>10</v>
      </c>
      <c r="C651" s="18">
        <v>22.5</v>
      </c>
      <c r="D651" s="18">
        <f>39/60*7.29</f>
        <v>4.7385000000000002</v>
      </c>
      <c r="E651" s="75">
        <f t="shared" si="44"/>
        <v>0.78939999999999988</v>
      </c>
      <c r="F651" s="69"/>
    </row>
    <row r="652" spans="2:6" x14ac:dyDescent="0.25">
      <c r="F652" s="72"/>
    </row>
    <row r="653" spans="2:6" x14ac:dyDescent="0.25">
      <c r="F653" s="72"/>
    </row>
    <row r="654" spans="2:6" x14ac:dyDescent="0.25">
      <c r="F654" s="72"/>
    </row>
    <row r="655" spans="2:6" x14ac:dyDescent="0.25">
      <c r="F655" s="72"/>
    </row>
    <row r="656" spans="2:6" x14ac:dyDescent="0.25">
      <c r="F656" s="72"/>
    </row>
    <row r="657" spans="2:6" x14ac:dyDescent="0.25">
      <c r="F657" s="72"/>
    </row>
    <row r="658" spans="2:6" x14ac:dyDescent="0.25">
      <c r="F658" s="72"/>
    </row>
    <row r="659" spans="2:6" x14ac:dyDescent="0.25">
      <c r="F659" s="72"/>
    </row>
    <row r="660" spans="2:6" x14ac:dyDescent="0.25">
      <c r="F660" s="72"/>
    </row>
    <row r="661" spans="2:6" x14ac:dyDescent="0.25">
      <c r="B661" t="s">
        <v>87</v>
      </c>
      <c r="F661" s="72"/>
    </row>
    <row r="662" spans="2:6" ht="21" x14ac:dyDescent="0.25">
      <c r="B662" s="2">
        <v>42388</v>
      </c>
      <c r="C662" s="17" t="s">
        <v>2</v>
      </c>
      <c r="D662" s="17" t="s">
        <v>3</v>
      </c>
      <c r="E662" s="74" t="s">
        <v>4</v>
      </c>
      <c r="F662" s="72"/>
    </row>
    <row r="663" spans="2:6" x14ac:dyDescent="0.25">
      <c r="B663" s="4" t="s">
        <v>5</v>
      </c>
      <c r="C663" s="18">
        <v>22.33</v>
      </c>
      <c r="D663" s="18">
        <f>110/60*14.58</f>
        <v>26.73</v>
      </c>
      <c r="E663" s="75">
        <f t="shared" ref="E663:E668" si="45">(C663-D663)/C663</f>
        <v>-0.19704433497536958</v>
      </c>
      <c r="F663" s="69"/>
    </row>
    <row r="664" spans="2:6" x14ac:dyDescent="0.25">
      <c r="B664" s="7" t="s">
        <v>6</v>
      </c>
      <c r="C664" s="18">
        <v>3.96</v>
      </c>
      <c r="D664" s="18">
        <f>117/60*14.58</f>
        <v>28.431000000000001</v>
      </c>
      <c r="E664" s="76">
        <f t="shared" si="45"/>
        <v>-6.1795454545454547</v>
      </c>
      <c r="F664" s="69"/>
    </row>
    <row r="665" spans="2:6" x14ac:dyDescent="0.25">
      <c r="B665" s="7" t="s">
        <v>7</v>
      </c>
      <c r="C665" s="18">
        <v>19.399999999999999</v>
      </c>
      <c r="D665" s="18">
        <f>410/60*14.58</f>
        <v>99.63</v>
      </c>
      <c r="E665" s="76">
        <f t="shared" si="45"/>
        <v>-4.1355670103092779</v>
      </c>
      <c r="F665" s="69"/>
    </row>
    <row r="666" spans="2:6" x14ac:dyDescent="0.25">
      <c r="B666" s="7" t="s">
        <v>8</v>
      </c>
      <c r="C666" s="18">
        <v>5.5</v>
      </c>
      <c r="D666" s="18">
        <f>3/60*14.58</f>
        <v>0.72900000000000009</v>
      </c>
      <c r="E666" s="75">
        <f t="shared" si="45"/>
        <v>0.86745454545454548</v>
      </c>
      <c r="F666" s="69"/>
    </row>
    <row r="667" spans="2:6" x14ac:dyDescent="0.25">
      <c r="B667" s="7" t="s">
        <v>9</v>
      </c>
      <c r="C667" s="18">
        <v>29</v>
      </c>
      <c r="D667" s="18">
        <v>0</v>
      </c>
      <c r="E667" s="76">
        <f t="shared" si="45"/>
        <v>1</v>
      </c>
      <c r="F667" s="69"/>
    </row>
    <row r="668" spans="2:6" x14ac:dyDescent="0.25">
      <c r="B668" s="7" t="s">
        <v>10</v>
      </c>
      <c r="C668" s="18">
        <v>22.5</v>
      </c>
      <c r="D668" s="18">
        <f>30/60*7.29</f>
        <v>3.645</v>
      </c>
      <c r="E668" s="75">
        <f t="shared" si="45"/>
        <v>0.83799999999999997</v>
      </c>
      <c r="F668" s="69"/>
    </row>
    <row r="669" spans="2:6" x14ac:dyDescent="0.25">
      <c r="F669" s="72"/>
    </row>
    <row r="670" spans="2:6" x14ac:dyDescent="0.25">
      <c r="F670" s="72"/>
    </row>
    <row r="671" spans="2:6" x14ac:dyDescent="0.25">
      <c r="F671" s="72"/>
    </row>
    <row r="672" spans="2:6" x14ac:dyDescent="0.25">
      <c r="F672" s="72"/>
    </row>
    <row r="673" spans="2:6" x14ac:dyDescent="0.25">
      <c r="F673" s="72"/>
    </row>
    <row r="674" spans="2:6" x14ac:dyDescent="0.25">
      <c r="B674" t="s">
        <v>88</v>
      </c>
      <c r="F674" s="72"/>
    </row>
    <row r="675" spans="2:6" ht="21" x14ac:dyDescent="0.25">
      <c r="B675" s="2">
        <v>42388</v>
      </c>
      <c r="C675" s="17" t="s">
        <v>2</v>
      </c>
      <c r="D675" s="17" t="s">
        <v>3</v>
      </c>
      <c r="E675" s="74" t="s">
        <v>4</v>
      </c>
      <c r="F675" s="72"/>
    </row>
    <row r="676" spans="2:6" x14ac:dyDescent="0.25">
      <c r="B676" s="4" t="s">
        <v>5</v>
      </c>
      <c r="C676" s="18">
        <v>22.33</v>
      </c>
      <c r="D676" s="18">
        <f>153/60*14.58</f>
        <v>37.178999999999995</v>
      </c>
      <c r="E676" s="75">
        <f t="shared" ref="E676:E681" si="46">(C676-D676)/C676</f>
        <v>-0.6649798477384683</v>
      </c>
      <c r="F676" s="69"/>
    </row>
    <row r="677" spans="2:6" x14ac:dyDescent="0.25">
      <c r="B677" s="7" t="s">
        <v>6</v>
      </c>
      <c r="C677" s="18">
        <v>3.96</v>
      </c>
      <c r="D677" s="18">
        <f>57/60*14.58</f>
        <v>13.850999999999999</v>
      </c>
      <c r="E677" s="76">
        <f t="shared" si="46"/>
        <v>-2.4977272727272721</v>
      </c>
      <c r="F677" s="69"/>
    </row>
    <row r="678" spans="2:6" x14ac:dyDescent="0.25">
      <c r="B678" s="7" t="s">
        <v>7</v>
      </c>
      <c r="C678" s="18">
        <v>19.399999999999999</v>
      </c>
      <c r="D678" s="18">
        <v>0</v>
      </c>
      <c r="E678" s="76">
        <f t="shared" si="46"/>
        <v>1</v>
      </c>
      <c r="F678" s="69"/>
    </row>
    <row r="679" spans="2:6" x14ac:dyDescent="0.25">
      <c r="B679" s="7" t="s">
        <v>8</v>
      </c>
      <c r="C679" s="18">
        <v>5.5</v>
      </c>
      <c r="D679" s="18">
        <f>37/60*14.58</f>
        <v>8.9909999999999997</v>
      </c>
      <c r="E679" s="75">
        <f t="shared" si="46"/>
        <v>-0.6347272727272727</v>
      </c>
      <c r="F679" s="69"/>
    </row>
    <row r="680" spans="2:6" x14ac:dyDescent="0.25">
      <c r="B680" s="7" t="s">
        <v>9</v>
      </c>
      <c r="C680" s="18">
        <v>29</v>
      </c>
      <c r="D680" s="18">
        <v>0</v>
      </c>
      <c r="E680" s="76">
        <f t="shared" si="46"/>
        <v>1</v>
      </c>
      <c r="F680" s="69"/>
    </row>
    <row r="681" spans="2:6" x14ac:dyDescent="0.25">
      <c r="B681" s="7" t="s">
        <v>10</v>
      </c>
      <c r="C681" s="18">
        <v>22.5</v>
      </c>
      <c r="D681" s="18">
        <f>15/60*7.29</f>
        <v>1.8225</v>
      </c>
      <c r="E681" s="75">
        <f t="shared" si="46"/>
        <v>0.91899999999999993</v>
      </c>
      <c r="F681" s="69"/>
    </row>
    <row r="682" spans="2:6" x14ac:dyDescent="0.25">
      <c r="F682" s="72"/>
    </row>
    <row r="683" spans="2:6" x14ac:dyDescent="0.25">
      <c r="F683" s="72"/>
    </row>
    <row r="684" spans="2:6" x14ac:dyDescent="0.25">
      <c r="F684" s="72"/>
    </row>
    <row r="685" spans="2:6" x14ac:dyDescent="0.25">
      <c r="F685" s="72"/>
    </row>
    <row r="686" spans="2:6" x14ac:dyDescent="0.25">
      <c r="F686" s="72"/>
    </row>
    <row r="687" spans="2:6" x14ac:dyDescent="0.25">
      <c r="B687" t="s">
        <v>89</v>
      </c>
      <c r="F687" s="72"/>
    </row>
    <row r="688" spans="2:6" ht="21" x14ac:dyDescent="0.25">
      <c r="B688" s="2">
        <v>42388</v>
      </c>
      <c r="C688" s="17" t="s">
        <v>2</v>
      </c>
      <c r="D688" s="17" t="s">
        <v>3</v>
      </c>
      <c r="E688" s="74" t="s">
        <v>4</v>
      </c>
      <c r="F688" s="72"/>
    </row>
    <row r="689" spans="2:6" x14ac:dyDescent="0.25">
      <c r="B689" s="4" t="s">
        <v>5</v>
      </c>
      <c r="C689" s="18">
        <v>22.33</v>
      </c>
      <c r="D689" s="18">
        <f>1/60*14.58</f>
        <v>0.24299999999999999</v>
      </c>
      <c r="E689" s="75">
        <f t="shared" ref="E689:E694" si="47">(C689-D689)/C689</f>
        <v>0.98911777877295126</v>
      </c>
      <c r="F689" s="69"/>
    </row>
    <row r="690" spans="2:6" x14ac:dyDescent="0.25">
      <c r="B690" s="7" t="s">
        <v>6</v>
      </c>
      <c r="C690" s="18">
        <v>3.96</v>
      </c>
      <c r="D690" s="18">
        <f>208/60*14.58</f>
        <v>50.544000000000004</v>
      </c>
      <c r="E690" s="76">
        <f t="shared" si="47"/>
        <v>-11.763636363636364</v>
      </c>
      <c r="F690" s="69"/>
    </row>
    <row r="691" spans="2:6" x14ac:dyDescent="0.25">
      <c r="B691" s="7" t="s">
        <v>7</v>
      </c>
      <c r="C691" s="18">
        <v>19.399999999999999</v>
      </c>
      <c r="D691" s="18">
        <f>14/60*14.58</f>
        <v>3.4020000000000001</v>
      </c>
      <c r="E691" s="76">
        <f t="shared" si="47"/>
        <v>0.82463917525773189</v>
      </c>
      <c r="F691" s="69"/>
    </row>
    <row r="692" spans="2:6" x14ac:dyDescent="0.25">
      <c r="B692" s="7" t="s">
        <v>8</v>
      </c>
      <c r="C692" s="18">
        <v>5.5</v>
      </c>
      <c r="D692" s="18">
        <f>6/60*14.58</f>
        <v>1.4580000000000002</v>
      </c>
      <c r="E692" s="75">
        <f t="shared" si="47"/>
        <v>0.73490909090909085</v>
      </c>
      <c r="F692" s="69"/>
    </row>
    <row r="693" spans="2:6" x14ac:dyDescent="0.25">
      <c r="B693" s="7" t="s">
        <v>9</v>
      </c>
      <c r="C693" s="18">
        <v>29</v>
      </c>
      <c r="D693" s="18">
        <v>0</v>
      </c>
      <c r="E693" s="76">
        <f t="shared" si="47"/>
        <v>1</v>
      </c>
      <c r="F693" s="69"/>
    </row>
    <row r="694" spans="2:6" x14ac:dyDescent="0.25">
      <c r="B694" s="7" t="s">
        <v>10</v>
      </c>
      <c r="C694" s="18">
        <v>22.5</v>
      </c>
      <c r="D694" s="18">
        <f>18/60*7.29</f>
        <v>2.1869999999999998</v>
      </c>
      <c r="E694" s="75">
        <f t="shared" si="47"/>
        <v>0.90279999999999994</v>
      </c>
      <c r="F694" s="69"/>
    </row>
    <row r="695" spans="2:6" x14ac:dyDescent="0.25">
      <c r="F695" s="72"/>
    </row>
    <row r="696" spans="2:6" x14ac:dyDescent="0.25">
      <c r="F696" s="72"/>
    </row>
    <row r="697" spans="2:6" x14ac:dyDescent="0.25">
      <c r="F697" s="72"/>
    </row>
    <row r="698" spans="2:6" x14ac:dyDescent="0.25">
      <c r="F698" s="72"/>
    </row>
    <row r="699" spans="2:6" x14ac:dyDescent="0.25">
      <c r="B699" t="s">
        <v>90</v>
      </c>
      <c r="F699" s="72"/>
    </row>
    <row r="700" spans="2:6" ht="21" x14ac:dyDescent="0.25">
      <c r="B700" s="2">
        <v>42388</v>
      </c>
      <c r="C700" s="17" t="s">
        <v>2</v>
      </c>
      <c r="D700" s="17" t="s">
        <v>3</v>
      </c>
      <c r="E700" s="74" t="s">
        <v>4</v>
      </c>
      <c r="F700" s="72"/>
    </row>
    <row r="701" spans="2:6" x14ac:dyDescent="0.25">
      <c r="B701" s="4" t="s">
        <v>5</v>
      </c>
      <c r="C701" s="18">
        <v>22.33</v>
      </c>
      <c r="D701" s="18">
        <f>10/60*14.58</f>
        <v>2.4299999999999997</v>
      </c>
      <c r="E701" s="75">
        <f t="shared" ref="E701:E706" si="48">(C701-D701)/C701</f>
        <v>0.89117778772951184</v>
      </c>
      <c r="F701" s="69"/>
    </row>
    <row r="702" spans="2:6" x14ac:dyDescent="0.25">
      <c r="B702" s="7" t="s">
        <v>6</v>
      </c>
      <c r="C702" s="18">
        <v>3.96</v>
      </c>
      <c r="D702" s="18">
        <f>3/60*14.58</f>
        <v>0.72900000000000009</v>
      </c>
      <c r="E702" s="76">
        <f t="shared" si="48"/>
        <v>0.81590909090909092</v>
      </c>
      <c r="F702" s="69"/>
    </row>
    <row r="703" spans="2:6" x14ac:dyDescent="0.25">
      <c r="B703" s="7" t="s">
        <v>7</v>
      </c>
      <c r="C703" s="18">
        <v>19.399999999999999</v>
      </c>
      <c r="D703" s="18">
        <v>0</v>
      </c>
      <c r="E703" s="76">
        <f t="shared" si="48"/>
        <v>1</v>
      </c>
      <c r="F703" s="69"/>
    </row>
    <row r="704" spans="2:6" x14ac:dyDescent="0.25">
      <c r="B704" s="7" t="s">
        <v>8</v>
      </c>
      <c r="C704" s="18">
        <v>5.5</v>
      </c>
      <c r="D704" s="18">
        <f>17/60*14.58</f>
        <v>4.1310000000000002</v>
      </c>
      <c r="E704" s="75">
        <f t="shared" si="48"/>
        <v>0.24890909090909086</v>
      </c>
      <c r="F704" s="69"/>
    </row>
    <row r="705" spans="2:6" x14ac:dyDescent="0.25">
      <c r="B705" s="7" t="s">
        <v>9</v>
      </c>
      <c r="C705" s="18">
        <v>29</v>
      </c>
      <c r="D705" s="18">
        <v>0</v>
      </c>
      <c r="E705" s="76">
        <f t="shared" si="48"/>
        <v>1</v>
      </c>
      <c r="F705" s="69"/>
    </row>
    <row r="706" spans="2:6" x14ac:dyDescent="0.25">
      <c r="B706" s="7" t="s">
        <v>10</v>
      </c>
      <c r="C706" s="18">
        <v>22.5</v>
      </c>
      <c r="D706" s="18">
        <f>17/60*7.29</f>
        <v>2.0655000000000001</v>
      </c>
      <c r="E706" s="75">
        <f t="shared" si="48"/>
        <v>0.90820000000000001</v>
      </c>
      <c r="F706" s="69"/>
    </row>
    <row r="707" spans="2:6" x14ac:dyDescent="0.25">
      <c r="F707" s="72"/>
    </row>
    <row r="708" spans="2:6" x14ac:dyDescent="0.25">
      <c r="F708" s="72"/>
    </row>
    <row r="709" spans="2:6" x14ac:dyDescent="0.25">
      <c r="F709" s="72"/>
    </row>
    <row r="710" spans="2:6" x14ac:dyDescent="0.25">
      <c r="F710" s="72"/>
    </row>
    <row r="711" spans="2:6" x14ac:dyDescent="0.25">
      <c r="F711" s="72"/>
    </row>
    <row r="712" spans="2:6" x14ac:dyDescent="0.25">
      <c r="B712" t="s">
        <v>91</v>
      </c>
      <c r="F712" s="72"/>
    </row>
    <row r="713" spans="2:6" ht="21" x14ac:dyDescent="0.25">
      <c r="B713" s="2">
        <v>42388</v>
      </c>
      <c r="C713" s="17" t="s">
        <v>2</v>
      </c>
      <c r="D713" s="17" t="s">
        <v>3</v>
      </c>
      <c r="E713" s="74" t="s">
        <v>4</v>
      </c>
      <c r="F713" s="72"/>
    </row>
    <row r="714" spans="2:6" x14ac:dyDescent="0.25">
      <c r="B714" s="4" t="s">
        <v>5</v>
      </c>
      <c r="C714" s="18">
        <v>22.33</v>
      </c>
      <c r="D714" s="18">
        <f>605/60*14.58</f>
        <v>147.01500000000001</v>
      </c>
      <c r="E714" s="75">
        <f t="shared" ref="E714:E719" si="49">(C714-D714)/C714</f>
        <v>-5.5837438423645329</v>
      </c>
      <c r="F714" s="69"/>
    </row>
    <row r="715" spans="2:6" x14ac:dyDescent="0.25">
      <c r="B715" s="7" t="s">
        <v>6</v>
      </c>
      <c r="C715" s="18">
        <v>3.96</v>
      </c>
      <c r="D715" s="18">
        <f>4/60*14.58</f>
        <v>0.97199999999999998</v>
      </c>
      <c r="E715" s="76">
        <f t="shared" si="49"/>
        <v>0.75454545454545452</v>
      </c>
      <c r="F715" s="69"/>
    </row>
    <row r="716" spans="2:6" x14ac:dyDescent="0.25">
      <c r="B716" s="7" t="s">
        <v>7</v>
      </c>
      <c r="C716" s="18">
        <v>19.399999999999999</v>
      </c>
      <c r="D716" s="18">
        <f>79/60*14.58</f>
        <v>19.196999999999999</v>
      </c>
      <c r="E716" s="76">
        <f t="shared" si="49"/>
        <v>1.0463917525773166E-2</v>
      </c>
      <c r="F716" s="69"/>
    </row>
    <row r="717" spans="2:6" x14ac:dyDescent="0.25">
      <c r="B717" s="7" t="s">
        <v>8</v>
      </c>
      <c r="C717" s="18">
        <v>5.5</v>
      </c>
      <c r="D717" s="18">
        <f>12/60*14.58</f>
        <v>2.9160000000000004</v>
      </c>
      <c r="E717" s="75">
        <f t="shared" si="49"/>
        <v>0.46981818181818175</v>
      </c>
      <c r="F717" s="69"/>
    </row>
    <row r="718" spans="2:6" x14ac:dyDescent="0.25">
      <c r="B718" s="7" t="s">
        <v>9</v>
      </c>
      <c r="C718" s="18">
        <v>29</v>
      </c>
      <c r="D718" s="18">
        <v>0</v>
      </c>
      <c r="E718" s="76">
        <f t="shared" si="49"/>
        <v>1</v>
      </c>
      <c r="F718" s="69"/>
    </row>
    <row r="719" spans="2:6" x14ac:dyDescent="0.25">
      <c r="B719" s="7" t="s">
        <v>10</v>
      </c>
      <c r="C719" s="18">
        <v>22.5</v>
      </c>
      <c r="D719" s="18">
        <f>18/60*7.29</f>
        <v>2.1869999999999998</v>
      </c>
      <c r="E719" s="75">
        <f t="shared" si="49"/>
        <v>0.90279999999999994</v>
      </c>
      <c r="F719" s="69"/>
    </row>
    <row r="720" spans="2:6" x14ac:dyDescent="0.25">
      <c r="F720" s="72"/>
    </row>
    <row r="721" spans="6:6" x14ac:dyDescent="0.25">
      <c r="F721" s="72"/>
    </row>
    <row r="722" spans="6:6" x14ac:dyDescent="0.25">
      <c r="F722" s="72"/>
    </row>
    <row r="723" spans="6:6" x14ac:dyDescent="0.25">
      <c r="F723" s="72"/>
    </row>
    <row r="724" spans="6:6" x14ac:dyDescent="0.25">
      <c r="F724" s="72"/>
    </row>
    <row r="725" spans="6:6" x14ac:dyDescent="0.25">
      <c r="F725" s="72"/>
    </row>
    <row r="726" spans="6:6" x14ac:dyDescent="0.25">
      <c r="F726" s="72"/>
    </row>
    <row r="727" spans="6:6" x14ac:dyDescent="0.25">
      <c r="F727" s="72"/>
    </row>
    <row r="728" spans="6:6" x14ac:dyDescent="0.25">
      <c r="F728" s="72"/>
    </row>
    <row r="729" spans="6:6" x14ac:dyDescent="0.25">
      <c r="F729" s="72"/>
    </row>
    <row r="730" spans="6:6" x14ac:dyDescent="0.25">
      <c r="F730" s="72"/>
    </row>
    <row r="731" spans="6:6" x14ac:dyDescent="0.25">
      <c r="F731" s="72"/>
    </row>
    <row r="732" spans="6:6" x14ac:dyDescent="0.25">
      <c r="F732" s="72"/>
    </row>
    <row r="733" spans="6:6" x14ac:dyDescent="0.25">
      <c r="F733" s="72"/>
    </row>
    <row r="734" spans="6:6" x14ac:dyDescent="0.25">
      <c r="F734" s="72"/>
    </row>
    <row r="735" spans="6:6" x14ac:dyDescent="0.25">
      <c r="F735" s="7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28"/>
  <sheetViews>
    <sheetView tabSelected="1" topLeftCell="AK1" zoomScaleNormal="100" workbookViewId="0">
      <selection activeCell="BB6" sqref="BB6"/>
    </sheetView>
  </sheetViews>
  <sheetFormatPr baseColWidth="10" defaultColWidth="9.140625" defaultRowHeight="15" x14ac:dyDescent="0.25"/>
  <cols>
    <col min="1" max="1" width="3.42578125"/>
    <col min="2" max="2" width="4.42578125"/>
    <col min="3" max="3" width="19.7109375"/>
    <col min="4" max="4" width="13.42578125" style="31"/>
    <col min="5" max="5" width="13.42578125"/>
    <col min="6" max="6" width="13.7109375"/>
    <col min="22" max="40" width="10.140625"/>
    <col min="41" max="53" width="9.140625" style="30"/>
    <col min="54" max="54" width="23.28515625"/>
    <col min="55" max="55" width="5.140625"/>
    <col min="56" max="59" width="6.140625"/>
    <col min="60" max="1038" width="11.5703125"/>
  </cols>
  <sheetData>
    <row r="1" spans="2:62" x14ac:dyDescent="0.25">
      <c r="D1"/>
    </row>
    <row r="2" spans="2:62" x14ac:dyDescent="0.25"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80</v>
      </c>
      <c r="AP2" s="32" t="s">
        <v>79</v>
      </c>
      <c r="AQ2" s="32" t="s">
        <v>81</v>
      </c>
      <c r="AR2" s="32" t="s">
        <v>82</v>
      </c>
      <c r="AS2" s="32" t="s">
        <v>83</v>
      </c>
      <c r="AT2" s="32" t="s">
        <v>84</v>
      </c>
      <c r="AU2" s="32" t="s">
        <v>85</v>
      </c>
      <c r="AV2" s="32" t="s">
        <v>86</v>
      </c>
      <c r="AW2" s="32" t="s">
        <v>87</v>
      </c>
      <c r="AX2" s="32" t="s">
        <v>88</v>
      </c>
      <c r="AY2" s="32" t="s">
        <v>89</v>
      </c>
      <c r="AZ2" s="32" t="s">
        <v>90</v>
      </c>
      <c r="BA2" s="32" t="s">
        <v>91</v>
      </c>
      <c r="BB2" s="32" t="s">
        <v>48</v>
      </c>
    </row>
    <row r="3" spans="2:62" x14ac:dyDescent="0.25">
      <c r="B3" s="33"/>
      <c r="C3" s="34" t="s">
        <v>49</v>
      </c>
      <c r="D3" s="35">
        <v>20151127</v>
      </c>
      <c r="E3" s="36">
        <v>20151211</v>
      </c>
      <c r="F3" s="36">
        <v>20151229</v>
      </c>
      <c r="G3" s="36">
        <v>20151229</v>
      </c>
      <c r="H3" s="36">
        <v>20151229</v>
      </c>
      <c r="I3" s="36">
        <v>20151229</v>
      </c>
      <c r="J3" s="36">
        <v>20151229</v>
      </c>
      <c r="K3" s="36">
        <v>20151229</v>
      </c>
      <c r="L3" s="36">
        <v>20151229</v>
      </c>
      <c r="M3" s="36">
        <v>20151229</v>
      </c>
      <c r="N3" s="36">
        <v>20151229</v>
      </c>
      <c r="O3" s="36">
        <v>20151229</v>
      </c>
      <c r="P3" s="36">
        <v>20151229</v>
      </c>
      <c r="Q3" s="36">
        <v>20151229</v>
      </c>
      <c r="R3" s="36">
        <v>20151229</v>
      </c>
      <c r="S3" s="36">
        <v>20151229</v>
      </c>
      <c r="T3" s="36">
        <v>20151229</v>
      </c>
      <c r="U3" s="36">
        <v>20151229</v>
      </c>
      <c r="V3" s="36">
        <v>20151229</v>
      </c>
      <c r="W3" s="36">
        <v>20151229</v>
      </c>
      <c r="X3" s="36">
        <v>20151229</v>
      </c>
      <c r="Y3" s="36">
        <v>20151229</v>
      </c>
      <c r="Z3" s="36">
        <v>20151229</v>
      </c>
      <c r="AA3" s="36">
        <v>20151229</v>
      </c>
      <c r="AB3" s="36">
        <v>20151231</v>
      </c>
      <c r="AC3" s="36">
        <v>20151231</v>
      </c>
      <c r="AD3" s="36">
        <v>20151231</v>
      </c>
      <c r="AE3" s="36">
        <v>20151231</v>
      </c>
      <c r="AF3" s="36">
        <v>20151231</v>
      </c>
      <c r="AG3" s="36">
        <v>20151231</v>
      </c>
      <c r="AH3" s="36">
        <v>20151231</v>
      </c>
      <c r="AI3" s="36">
        <v>20151231</v>
      </c>
      <c r="AJ3" s="36">
        <v>20151231</v>
      </c>
      <c r="AK3" s="36">
        <v>20151231</v>
      </c>
      <c r="AL3" s="36">
        <v>20151231</v>
      </c>
      <c r="AM3" s="36">
        <v>20160104</v>
      </c>
      <c r="AN3" s="36">
        <v>20160104</v>
      </c>
      <c r="AO3" s="36">
        <v>20160119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7"/>
    </row>
    <row r="4" spans="2:62" x14ac:dyDescent="0.25">
      <c r="B4" s="36">
        <v>1</v>
      </c>
      <c r="C4" s="34" t="s">
        <v>50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9" t="e">
        <f>AVERAGE(D4:BA4)</f>
        <v>#DIV/0!</v>
      </c>
    </row>
    <row r="5" spans="2:62" x14ac:dyDescent="0.25">
      <c r="B5" s="36">
        <v>2</v>
      </c>
      <c r="C5" s="34" t="s">
        <v>5</v>
      </c>
      <c r="D5" s="38">
        <v>1</v>
      </c>
      <c r="E5" s="38">
        <v>1</v>
      </c>
      <c r="F5" s="38">
        <v>1</v>
      </c>
      <c r="G5" s="38">
        <v>0.85709999999999997</v>
      </c>
      <c r="H5" s="38">
        <v>1</v>
      </c>
      <c r="I5" s="38">
        <v>1</v>
      </c>
      <c r="J5" s="38">
        <v>1</v>
      </c>
      <c r="K5" s="38">
        <v>1</v>
      </c>
      <c r="L5" s="38"/>
      <c r="M5" s="38">
        <v>1</v>
      </c>
      <c r="N5" s="38">
        <v>0.83330000000000004</v>
      </c>
      <c r="O5" s="38">
        <v>1</v>
      </c>
      <c r="P5" s="38">
        <v>1</v>
      </c>
      <c r="Q5" s="38"/>
      <c r="R5" s="38"/>
      <c r="S5" s="38">
        <v>1</v>
      </c>
      <c r="T5" s="38">
        <v>1</v>
      </c>
      <c r="U5" s="38"/>
      <c r="V5" s="38">
        <v>1</v>
      </c>
      <c r="W5" s="38">
        <v>1</v>
      </c>
      <c r="X5" s="38">
        <v>1</v>
      </c>
      <c r="Y5" s="38">
        <v>1</v>
      </c>
      <c r="Z5" s="38">
        <v>1</v>
      </c>
      <c r="AA5" s="38"/>
      <c r="AB5" s="38"/>
      <c r="AC5" s="38"/>
      <c r="AD5" s="38"/>
      <c r="AE5" s="38"/>
      <c r="AF5" s="38"/>
      <c r="AG5" s="38">
        <v>1</v>
      </c>
      <c r="AH5" s="38">
        <v>1</v>
      </c>
      <c r="AI5" s="38"/>
      <c r="AJ5" s="38">
        <v>1</v>
      </c>
      <c r="AK5" s="38"/>
      <c r="AL5" s="38">
        <v>1</v>
      </c>
      <c r="AM5" s="38"/>
      <c r="AN5" s="38"/>
      <c r="AO5" s="38">
        <v>1</v>
      </c>
      <c r="AP5" s="38">
        <v>1</v>
      </c>
      <c r="AQ5" s="38">
        <v>1</v>
      </c>
      <c r="AR5" s="38">
        <v>1</v>
      </c>
      <c r="AS5" s="38">
        <v>1</v>
      </c>
      <c r="AT5" s="38">
        <v>1</v>
      </c>
      <c r="AU5" s="38">
        <v>1</v>
      </c>
      <c r="AV5" s="38">
        <v>1</v>
      </c>
      <c r="AW5" s="38">
        <v>1</v>
      </c>
      <c r="AX5" s="38">
        <v>1</v>
      </c>
      <c r="AY5" s="38">
        <v>0.85709999999999997</v>
      </c>
      <c r="AZ5" s="38">
        <v>1</v>
      </c>
      <c r="BA5" s="38">
        <v>1</v>
      </c>
      <c r="BB5" s="39">
        <f t="shared" ref="BB5:BB9" si="0">AVERAGE(D5:BA5)</f>
        <v>0.98743055555555559</v>
      </c>
    </row>
    <row r="6" spans="2:62" x14ac:dyDescent="0.25">
      <c r="B6" s="36">
        <v>3</v>
      </c>
      <c r="C6" s="34" t="s">
        <v>6</v>
      </c>
      <c r="D6" s="38">
        <v>1</v>
      </c>
      <c r="E6" s="38">
        <v>0.8125</v>
      </c>
      <c r="F6" s="38">
        <v>0.75</v>
      </c>
      <c r="G6" s="38">
        <v>0.75</v>
      </c>
      <c r="H6" s="38">
        <v>1</v>
      </c>
      <c r="I6" s="38">
        <v>1</v>
      </c>
      <c r="J6" s="38">
        <v>1</v>
      </c>
      <c r="K6" s="38">
        <v>0.25</v>
      </c>
      <c r="L6" s="38"/>
      <c r="M6" s="38">
        <v>0.75</v>
      </c>
      <c r="N6" s="38">
        <v>0.75</v>
      </c>
      <c r="O6" s="38">
        <v>1</v>
      </c>
      <c r="P6" s="38">
        <v>0.75</v>
      </c>
      <c r="Q6" s="38"/>
      <c r="R6" s="38"/>
      <c r="S6" s="38">
        <v>1</v>
      </c>
      <c r="T6" s="38">
        <v>1</v>
      </c>
      <c r="U6" s="38"/>
      <c r="V6" s="38">
        <v>1</v>
      </c>
      <c r="W6" s="38">
        <v>1</v>
      </c>
      <c r="X6" s="38">
        <v>1</v>
      </c>
      <c r="Y6" s="38">
        <v>1</v>
      </c>
      <c r="Z6" s="38">
        <v>1</v>
      </c>
      <c r="AA6" s="38"/>
      <c r="AB6" s="38"/>
      <c r="AC6" s="38"/>
      <c r="AD6" s="38"/>
      <c r="AE6" s="38"/>
      <c r="AF6" s="38"/>
      <c r="AG6" s="38">
        <v>1</v>
      </c>
      <c r="AH6" s="38">
        <v>1</v>
      </c>
      <c r="AI6" s="38"/>
      <c r="AJ6" s="38">
        <v>1</v>
      </c>
      <c r="AK6" s="38"/>
      <c r="AL6" s="38">
        <v>1</v>
      </c>
      <c r="AM6" s="38"/>
      <c r="AN6" s="38"/>
      <c r="AO6" s="38">
        <v>1</v>
      </c>
      <c r="AP6" s="38">
        <v>1</v>
      </c>
      <c r="AQ6" s="38">
        <v>1</v>
      </c>
      <c r="AR6" s="38">
        <v>1</v>
      </c>
      <c r="AS6" s="38">
        <v>1</v>
      </c>
      <c r="AT6" s="38">
        <v>1</v>
      </c>
      <c r="AU6" s="38">
        <v>1</v>
      </c>
      <c r="AV6" s="38">
        <v>1</v>
      </c>
      <c r="AW6" s="38">
        <v>1</v>
      </c>
      <c r="AX6" s="38">
        <v>1</v>
      </c>
      <c r="AY6" s="38">
        <v>1</v>
      </c>
      <c r="AZ6" s="38">
        <v>1</v>
      </c>
      <c r="BA6" s="38">
        <v>1</v>
      </c>
      <c r="BB6" s="39">
        <f t="shared" si="0"/>
        <v>0.93923611111111116</v>
      </c>
    </row>
    <row r="7" spans="2:62" x14ac:dyDescent="0.25">
      <c r="B7" s="36">
        <v>5</v>
      </c>
      <c r="C7" s="34" t="s">
        <v>7</v>
      </c>
      <c r="D7" s="38">
        <v>1</v>
      </c>
      <c r="E7" s="38">
        <v>0.25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38">
        <v>1</v>
      </c>
      <c r="L7" s="38"/>
      <c r="M7" s="38"/>
      <c r="N7" s="38"/>
      <c r="O7" s="38">
        <v>1</v>
      </c>
      <c r="P7" s="38"/>
      <c r="Q7" s="38"/>
      <c r="R7" s="38"/>
      <c r="S7" s="38">
        <v>1</v>
      </c>
      <c r="T7" s="38">
        <v>1</v>
      </c>
      <c r="U7" s="38"/>
      <c r="V7" s="38"/>
      <c r="W7" s="38"/>
      <c r="X7" s="38"/>
      <c r="Y7" s="38">
        <v>1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>
        <v>1</v>
      </c>
      <c r="BA7" s="38">
        <v>1</v>
      </c>
      <c r="BB7" s="39">
        <f t="shared" si="0"/>
        <v>0.9464285714285714</v>
      </c>
    </row>
    <row r="8" spans="2:62" x14ac:dyDescent="0.25">
      <c r="B8" s="36">
        <v>6</v>
      </c>
      <c r="C8" s="34" t="s">
        <v>8</v>
      </c>
      <c r="D8" s="38">
        <v>0.33</v>
      </c>
      <c r="E8" s="38">
        <v>1</v>
      </c>
      <c r="F8" s="38">
        <v>0.33329999999999999</v>
      </c>
      <c r="G8" s="38">
        <v>0.33329999999999999</v>
      </c>
      <c r="H8" s="38">
        <v>0.33329999999999999</v>
      </c>
      <c r="I8" s="38">
        <v>1</v>
      </c>
      <c r="J8" s="38">
        <v>0.66669999999999996</v>
      </c>
      <c r="K8" s="38">
        <v>0.33329999999999999</v>
      </c>
      <c r="L8" s="38"/>
      <c r="M8" s="38">
        <v>1</v>
      </c>
      <c r="N8" s="38">
        <v>1</v>
      </c>
      <c r="O8" s="38">
        <v>1</v>
      </c>
      <c r="P8" s="38">
        <v>1</v>
      </c>
      <c r="Q8" s="38"/>
      <c r="R8" s="38"/>
      <c r="S8" s="38">
        <v>0.66669999999999996</v>
      </c>
      <c r="T8" s="38">
        <v>0.66669999999999996</v>
      </c>
      <c r="U8" s="38"/>
      <c r="V8" s="38">
        <v>1</v>
      </c>
      <c r="W8" s="38">
        <v>0.66669999999999996</v>
      </c>
      <c r="X8" s="38">
        <v>0.66669999999999996</v>
      </c>
      <c r="Y8" s="38">
        <v>1</v>
      </c>
      <c r="Z8" s="38">
        <v>1</v>
      </c>
      <c r="AA8" s="38"/>
      <c r="AB8" s="38"/>
      <c r="AC8" s="38"/>
      <c r="AD8" s="38"/>
      <c r="AE8" s="38"/>
      <c r="AF8" s="38"/>
      <c r="AG8" s="38">
        <v>0.66669999999999996</v>
      </c>
      <c r="AH8" s="38">
        <v>0.66669999999999996</v>
      </c>
      <c r="AI8" s="38"/>
      <c r="AJ8" s="38">
        <v>0.66669999999999996</v>
      </c>
      <c r="AK8" s="38"/>
      <c r="AL8" s="38">
        <v>0.66669999999999996</v>
      </c>
      <c r="AM8" s="38"/>
      <c r="AN8" s="38"/>
      <c r="AO8" s="38"/>
      <c r="AP8" s="38">
        <v>1</v>
      </c>
      <c r="AQ8" s="38">
        <v>1</v>
      </c>
      <c r="AR8" s="38">
        <v>1</v>
      </c>
      <c r="AS8" s="38">
        <v>0.66669999999999996</v>
      </c>
      <c r="AT8" s="38">
        <v>0.66669999999999996</v>
      </c>
      <c r="AU8" s="38">
        <v>0.66669999999999996</v>
      </c>
      <c r="AV8" s="38">
        <v>0.66669999999999996</v>
      </c>
      <c r="AW8" s="38">
        <v>0.66669999999999996</v>
      </c>
      <c r="AX8" s="38">
        <v>0.66669999999999996</v>
      </c>
      <c r="AY8" s="38">
        <v>0.33329999999999999</v>
      </c>
      <c r="AZ8" s="38">
        <v>0.33329999999999999</v>
      </c>
      <c r="BA8" s="38">
        <v>0.33329999999999999</v>
      </c>
      <c r="BB8" s="39">
        <f t="shared" si="0"/>
        <v>0.7046742857142857</v>
      </c>
    </row>
    <row r="9" spans="2:62" x14ac:dyDescent="0.25">
      <c r="B9" s="36">
        <v>7</v>
      </c>
      <c r="C9" s="34" t="s">
        <v>51</v>
      </c>
      <c r="D9" s="38"/>
      <c r="E9" s="38">
        <v>1</v>
      </c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9">
        <f t="shared" si="0"/>
        <v>1</v>
      </c>
    </row>
    <row r="10" spans="2:62" x14ac:dyDescent="0.25">
      <c r="D10" s="40"/>
      <c r="BJ10" s="41"/>
    </row>
    <row r="11" spans="2:62" x14ac:dyDescent="0.25">
      <c r="C11" s="32" t="s">
        <v>52</v>
      </c>
      <c r="D11" s="32" t="s">
        <v>46</v>
      </c>
      <c r="E11" s="32" t="s">
        <v>53</v>
      </c>
      <c r="F11" s="32" t="s">
        <v>53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 t="s">
        <v>48</v>
      </c>
      <c r="BJ11" s="41"/>
    </row>
    <row r="12" spans="2:62" x14ac:dyDescent="0.25">
      <c r="B12" s="34"/>
      <c r="C12" s="34"/>
      <c r="D12" s="35" t="s">
        <v>54</v>
      </c>
      <c r="E12" s="36" t="s">
        <v>54</v>
      </c>
      <c r="F12" s="36" t="s">
        <v>54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42"/>
      <c r="BJ12" s="41"/>
    </row>
    <row r="13" spans="2:62" x14ac:dyDescent="0.25">
      <c r="B13" s="36">
        <v>1</v>
      </c>
      <c r="C13" s="34" t="s">
        <v>55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39" t="e">
        <f>AVERAGE(D13:F13)</f>
        <v>#DIV/0!</v>
      </c>
    </row>
    <row r="14" spans="2:62" x14ac:dyDescent="0.25">
      <c r="B14" s="36">
        <v>2</v>
      </c>
      <c r="C14" s="34" t="s">
        <v>56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39" t="e">
        <f>AVERAGE(D14:F14)</f>
        <v>#DIV/0!</v>
      </c>
    </row>
    <row r="15" spans="2:62" x14ac:dyDescent="0.25">
      <c r="B15" s="36">
        <v>3</v>
      </c>
      <c r="C15" s="34" t="s">
        <v>57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39" t="e">
        <f>AVERAGE(D15:F15)</f>
        <v>#DIV/0!</v>
      </c>
    </row>
    <row r="28" ht="21" customHeight="1" x14ac:dyDescent="0.25"/>
  </sheetData>
  <conditionalFormatting sqref="D11:BA11">
    <cfRule type="cellIs" dxfId="30" priority="2" operator="notEqual">
      <formula>INDIRECT("Dummy_for_Comparison1!"&amp;ADDRESS(ROW(),COLUMN()))</formula>
    </cfRule>
  </conditionalFormatting>
  <conditionalFormatting sqref="C11">
    <cfRule type="cellIs" dxfId="29" priority="3" operator="notEqual">
      <formula>INDIRECT("Dummy_for_Comparison1!"&amp;ADDRESS(ROW(),COLUMN()))</formula>
    </cfRule>
  </conditionalFormatting>
  <conditionalFormatting sqref="BB11">
    <cfRule type="cellIs" dxfId="28" priority="4" operator="notEqual">
      <formula>INDIRECT("Dummy_for_Comparison1!"&amp;ADDRESS(ROW(),COLUMN()))</formula>
    </cfRule>
  </conditionalFormatting>
  <conditionalFormatting sqref="D13:BA15 E3:BA3 E12:BA12">
    <cfRule type="cellIs" dxfId="27" priority="6" operator="notEqual">
      <formula>INDIRECT("Dummy_for_Comparison1!"&amp;ADDRESS(ROW(),COLUMN()))</formula>
    </cfRule>
  </conditionalFormatting>
  <conditionalFormatting sqref="B12:C15">
    <cfRule type="cellIs" dxfId="26" priority="7" operator="notEqual">
      <formula>INDIRECT("Dummy_for_Comparison1!"&amp;ADDRESS(ROW(),COLUMN()))</formula>
    </cfRule>
  </conditionalFormatting>
  <conditionalFormatting sqref="D3">
    <cfRule type="cellIs" dxfId="25" priority="10" operator="notEqual">
      <formula>INDIRECT("Dummy_for_Comparison1!"&amp;ADDRESS(ROW(),COLUMN()))</formula>
    </cfRule>
  </conditionalFormatting>
  <conditionalFormatting sqref="D12">
    <cfRule type="cellIs" dxfId="24" priority="1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33"/>
  <sheetViews>
    <sheetView topLeftCell="C1" zoomScaleNormal="100" workbookViewId="0">
      <pane xSplit="1" ySplit="3" topLeftCell="D4" activePane="bottomRight" state="frozen"/>
      <selection activeCell="C1" sqref="C1"/>
      <selection pane="topRight" activeCell="AM1" sqref="AM1"/>
      <selection pane="bottomLeft" activeCell="C4" sqref="C4"/>
      <selection pane="bottomRight" activeCell="E2" sqref="E2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5" width="11.7109375" style="31"/>
    <col min="6" max="6" width="11.7109375"/>
    <col min="7" max="7" width="12.42578125"/>
    <col min="42" max="54" width="9.140625" style="30"/>
    <col min="55" max="55" width="19.42578125"/>
    <col min="56" max="56" width="11.5703125"/>
    <col min="57" max="57" width="15.7109375"/>
    <col min="58" max="1038" width="11.5703125"/>
  </cols>
  <sheetData>
    <row r="1" spans="2:57" x14ac:dyDescent="0.25">
      <c r="D1"/>
      <c r="E1"/>
    </row>
    <row r="2" spans="2:57" ht="15" customHeight="1" x14ac:dyDescent="0.25">
      <c r="D2" s="32" t="s">
        <v>46</v>
      </c>
      <c r="E2" s="32"/>
      <c r="F2" s="32" t="s">
        <v>47</v>
      </c>
      <c r="G2" s="32" t="s">
        <v>11</v>
      </c>
      <c r="H2" s="32" t="s">
        <v>12</v>
      </c>
      <c r="I2" s="32" t="s">
        <v>13</v>
      </c>
      <c r="J2" s="32" t="s">
        <v>14</v>
      </c>
      <c r="K2" s="32" t="s">
        <v>15</v>
      </c>
      <c r="L2" s="32" t="s">
        <v>16</v>
      </c>
      <c r="M2" s="32" t="s">
        <v>17</v>
      </c>
      <c r="N2" s="32" t="s">
        <v>18</v>
      </c>
      <c r="O2" s="32" t="s">
        <v>19</v>
      </c>
      <c r="P2" s="32" t="s">
        <v>20</v>
      </c>
      <c r="Q2" s="32" t="s">
        <v>21</v>
      </c>
      <c r="R2" s="32" t="s">
        <v>22</v>
      </c>
      <c r="S2" s="32" t="s">
        <v>23</v>
      </c>
      <c r="T2" s="32" t="s">
        <v>24</v>
      </c>
      <c r="U2" s="32" t="s">
        <v>15</v>
      </c>
      <c r="V2" s="32" t="s">
        <v>25</v>
      </c>
      <c r="W2" s="32" t="s">
        <v>26</v>
      </c>
      <c r="X2" s="32" t="s">
        <v>27</v>
      </c>
      <c r="Y2" s="32" t="s">
        <v>28</v>
      </c>
      <c r="Z2" s="32" t="s">
        <v>29</v>
      </c>
      <c r="AA2" s="32" t="s">
        <v>30</v>
      </c>
      <c r="AB2" s="32" t="s">
        <v>31</v>
      </c>
      <c r="AC2" s="32" t="s">
        <v>32</v>
      </c>
      <c r="AD2" s="32" t="s">
        <v>33</v>
      </c>
      <c r="AE2" s="32" t="s">
        <v>34</v>
      </c>
      <c r="AF2" s="32" t="s">
        <v>35</v>
      </c>
      <c r="AG2" s="32" t="s">
        <v>36</v>
      </c>
      <c r="AH2" s="32" t="s">
        <v>37</v>
      </c>
      <c r="AI2" s="32" t="s">
        <v>38</v>
      </c>
      <c r="AJ2" s="32" t="s">
        <v>39</v>
      </c>
      <c r="AK2" s="32" t="s">
        <v>40</v>
      </c>
      <c r="AL2" s="32" t="s">
        <v>41</v>
      </c>
      <c r="AM2" s="32" t="s">
        <v>42</v>
      </c>
      <c r="AN2" s="32" t="s">
        <v>43</v>
      </c>
      <c r="AO2" s="32" t="s">
        <v>44</v>
      </c>
      <c r="AP2" s="32" t="s">
        <v>80</v>
      </c>
      <c r="AQ2" s="32" t="s">
        <v>79</v>
      </c>
      <c r="AR2" s="32" t="s">
        <v>81</v>
      </c>
      <c r="AS2" s="32" t="s">
        <v>82</v>
      </c>
      <c r="AT2" s="32" t="s">
        <v>83</v>
      </c>
      <c r="AU2" s="32" t="s">
        <v>84</v>
      </c>
      <c r="AV2" s="32" t="s">
        <v>85</v>
      </c>
      <c r="AW2" s="32" t="s">
        <v>86</v>
      </c>
      <c r="AX2" s="32" t="s">
        <v>87</v>
      </c>
      <c r="AY2" s="32" t="s">
        <v>88</v>
      </c>
      <c r="AZ2" s="32" t="s">
        <v>89</v>
      </c>
      <c r="BA2" s="32" t="s">
        <v>90</v>
      </c>
      <c r="BB2" s="32" t="s">
        <v>91</v>
      </c>
      <c r="BC2" s="32" t="s">
        <v>48</v>
      </c>
      <c r="BD2" s="44"/>
      <c r="BE2" s="44"/>
    </row>
    <row r="3" spans="2:57" x14ac:dyDescent="0.25">
      <c r="B3" s="34"/>
      <c r="C3" s="34" t="s">
        <v>49</v>
      </c>
      <c r="D3" s="35">
        <v>20151127</v>
      </c>
      <c r="E3" s="35">
        <v>281215</v>
      </c>
      <c r="F3" s="34">
        <v>20151211</v>
      </c>
      <c r="G3" s="34">
        <v>20151229</v>
      </c>
      <c r="H3" s="34">
        <v>20151229</v>
      </c>
      <c r="I3" s="34">
        <v>20151229</v>
      </c>
      <c r="J3" s="34">
        <v>20151229</v>
      </c>
      <c r="K3" s="34">
        <v>20151229</v>
      </c>
      <c r="L3" s="34">
        <v>20151229</v>
      </c>
      <c r="M3" s="34">
        <v>20151229</v>
      </c>
      <c r="N3" s="34">
        <v>20151229</v>
      </c>
      <c r="O3" s="34">
        <v>20151229</v>
      </c>
      <c r="P3" s="34">
        <v>20151229</v>
      </c>
      <c r="Q3" s="34">
        <v>20151229</v>
      </c>
      <c r="R3" s="34">
        <v>20151229</v>
      </c>
      <c r="S3" s="34">
        <v>20151229</v>
      </c>
      <c r="T3" s="34">
        <v>20151229</v>
      </c>
      <c r="U3" s="34">
        <v>20151229</v>
      </c>
      <c r="V3" s="34">
        <v>20151229</v>
      </c>
      <c r="W3" s="34">
        <v>20151229</v>
      </c>
      <c r="X3" s="34">
        <v>20151229</v>
      </c>
      <c r="Y3" s="34">
        <v>20151229</v>
      </c>
      <c r="Z3" s="34">
        <v>20151229</v>
      </c>
      <c r="AA3" s="34">
        <v>20151229</v>
      </c>
      <c r="AB3" s="34">
        <v>20151229</v>
      </c>
      <c r="AC3" s="34">
        <v>20151231</v>
      </c>
      <c r="AD3" s="34">
        <v>20151231</v>
      </c>
      <c r="AE3" s="34">
        <v>20151231</v>
      </c>
      <c r="AF3" s="34">
        <v>20151231</v>
      </c>
      <c r="AG3" s="34">
        <v>20151231</v>
      </c>
      <c r="AH3" s="34">
        <v>20151231</v>
      </c>
      <c r="AI3" s="34">
        <v>20151231</v>
      </c>
      <c r="AJ3" s="34">
        <v>20151231</v>
      </c>
      <c r="AK3" s="34">
        <v>20151231</v>
      </c>
      <c r="AL3" s="34">
        <v>20151231</v>
      </c>
      <c r="AM3" s="34">
        <v>20151231</v>
      </c>
      <c r="AN3" s="34">
        <v>20160104</v>
      </c>
      <c r="AO3" s="34">
        <v>20160104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6">
        <v>20160119</v>
      </c>
      <c r="BC3" s="37"/>
      <c r="BD3" s="44"/>
      <c r="BE3" s="44"/>
    </row>
    <row r="4" spans="2:57" x14ac:dyDescent="0.25">
      <c r="B4" s="34">
        <v>1</v>
      </c>
      <c r="C4" s="34" t="s">
        <v>58</v>
      </c>
      <c r="D4" s="43">
        <v>0.85699999999999998</v>
      </c>
      <c r="E4" s="43"/>
      <c r="F4" s="43">
        <v>0.86760000000000004</v>
      </c>
      <c r="G4" s="43">
        <v>0.94120000000000004</v>
      </c>
      <c r="H4" s="43">
        <v>0.94120000000000004</v>
      </c>
      <c r="I4" s="43">
        <v>0.94120000000000004</v>
      </c>
      <c r="J4" s="43">
        <v>1</v>
      </c>
      <c r="K4" s="43">
        <v>0.94120000000000004</v>
      </c>
      <c r="L4" s="43">
        <v>0</v>
      </c>
      <c r="M4" s="43"/>
      <c r="N4" s="43">
        <v>0.94120000000000004</v>
      </c>
      <c r="O4" s="43">
        <v>0.94120000000000004</v>
      </c>
      <c r="P4" s="43">
        <v>0.94120000000000004</v>
      </c>
      <c r="Q4" s="43">
        <v>0.94120000000000004</v>
      </c>
      <c r="R4" s="43"/>
      <c r="S4" s="43"/>
      <c r="T4" s="43">
        <v>0.94120000000000004</v>
      </c>
      <c r="U4" s="43">
        <v>0.94120000000000004</v>
      </c>
      <c r="V4" s="43"/>
      <c r="W4" s="43">
        <v>1</v>
      </c>
      <c r="X4" s="43">
        <v>0.94120000000000004</v>
      </c>
      <c r="Y4" s="43">
        <v>0.94120000000000004</v>
      </c>
      <c r="Z4" s="43">
        <v>0.94120000000000004</v>
      </c>
      <c r="AA4" s="43">
        <v>1</v>
      </c>
      <c r="AB4" s="43"/>
      <c r="AC4" s="43"/>
      <c r="AD4" s="43"/>
      <c r="AE4" s="43"/>
      <c r="AF4" s="43"/>
      <c r="AG4" s="43"/>
      <c r="AH4" s="43">
        <v>0.94120000000000004</v>
      </c>
      <c r="AI4" s="43">
        <v>0.94120000000000004</v>
      </c>
      <c r="AJ4" s="43"/>
      <c r="AK4" s="43">
        <v>0.94120000000000004</v>
      </c>
      <c r="AL4" s="43"/>
      <c r="AM4" s="43">
        <v>0.94120000000000004</v>
      </c>
      <c r="AN4" s="43"/>
      <c r="AO4" s="43"/>
      <c r="AP4" s="43">
        <v>0.82350000000000001</v>
      </c>
      <c r="AQ4" s="43">
        <v>1</v>
      </c>
      <c r="AR4" s="43">
        <v>1</v>
      </c>
      <c r="AS4" s="43">
        <v>1</v>
      </c>
      <c r="AT4" s="43">
        <v>1</v>
      </c>
      <c r="AU4" s="43">
        <v>1</v>
      </c>
      <c r="AV4" s="43">
        <v>1</v>
      </c>
      <c r="AW4" s="43">
        <v>0.94120000000000004</v>
      </c>
      <c r="AX4" s="43">
        <v>1</v>
      </c>
      <c r="AY4" s="43">
        <v>1</v>
      </c>
      <c r="AZ4" s="43">
        <v>1</v>
      </c>
      <c r="BA4" s="43">
        <v>0.94120000000000004</v>
      </c>
      <c r="BB4" s="43">
        <v>0.94120000000000004</v>
      </c>
      <c r="BC4" s="39">
        <f>AVERAGE(D4:BB4)</f>
        <v>0.92700277777777762</v>
      </c>
      <c r="BD4" s="44"/>
      <c r="BE4" s="44"/>
    </row>
    <row r="5" spans="2:57" x14ac:dyDescent="0.25">
      <c r="B5" s="34">
        <v>2</v>
      </c>
      <c r="C5" s="34" t="s">
        <v>59</v>
      </c>
      <c r="D5" s="43">
        <v>0.6</v>
      </c>
      <c r="E5" s="43"/>
      <c r="F5" s="43">
        <v>0.95</v>
      </c>
      <c r="G5" s="43">
        <v>1</v>
      </c>
      <c r="H5" s="43">
        <v>1</v>
      </c>
      <c r="I5" s="43">
        <v>1</v>
      </c>
      <c r="J5" s="43">
        <v>1</v>
      </c>
      <c r="K5" s="43">
        <v>1</v>
      </c>
      <c r="L5" s="43">
        <v>1</v>
      </c>
      <c r="M5" s="43"/>
      <c r="N5" s="43">
        <v>1</v>
      </c>
      <c r="O5" s="43">
        <v>1</v>
      </c>
      <c r="P5" s="43">
        <v>1</v>
      </c>
      <c r="Q5" s="43">
        <v>1</v>
      </c>
      <c r="R5" s="43"/>
      <c r="S5" s="43"/>
      <c r="T5" s="43">
        <v>1</v>
      </c>
      <c r="U5" s="43">
        <v>1</v>
      </c>
      <c r="V5" s="43"/>
      <c r="W5" s="43">
        <v>1</v>
      </c>
      <c r="X5" s="43">
        <v>1</v>
      </c>
      <c r="Y5" s="43">
        <v>1</v>
      </c>
      <c r="Z5" s="43">
        <v>1</v>
      </c>
      <c r="AA5" s="43">
        <v>1</v>
      </c>
      <c r="AB5" s="43"/>
      <c r="AC5" s="43"/>
      <c r="AD5" s="43"/>
      <c r="AE5" s="43"/>
      <c r="AF5" s="43"/>
      <c r="AG5" s="43"/>
      <c r="AH5" s="43">
        <v>1</v>
      </c>
      <c r="AI5" s="43">
        <v>1</v>
      </c>
      <c r="AJ5" s="43"/>
      <c r="AK5" s="43">
        <v>1</v>
      </c>
      <c r="AL5" s="43"/>
      <c r="AM5" s="43">
        <v>1</v>
      </c>
      <c r="AN5" s="43"/>
      <c r="AO5" s="43"/>
      <c r="AP5" s="43">
        <v>1</v>
      </c>
      <c r="AQ5" s="43">
        <v>1</v>
      </c>
      <c r="AR5" s="43">
        <v>1</v>
      </c>
      <c r="AS5" s="43">
        <v>1</v>
      </c>
      <c r="AT5" s="43">
        <v>1</v>
      </c>
      <c r="AU5" s="43">
        <v>1</v>
      </c>
      <c r="AV5" s="43">
        <v>1</v>
      </c>
      <c r="AW5" s="43">
        <v>1</v>
      </c>
      <c r="AX5" s="43">
        <v>1</v>
      </c>
      <c r="AY5" s="43">
        <v>1</v>
      </c>
      <c r="AZ5" s="43">
        <v>1</v>
      </c>
      <c r="BA5" s="43">
        <v>1</v>
      </c>
      <c r="BB5" s="43">
        <v>1</v>
      </c>
      <c r="BC5" s="39">
        <f t="shared" ref="BC5:BC8" si="0">AVERAGE(D5:BB5)</f>
        <v>0.98749999999999993</v>
      </c>
      <c r="BD5" s="44"/>
      <c r="BE5" s="44"/>
    </row>
    <row r="6" spans="2:57" x14ac:dyDescent="0.25">
      <c r="B6" s="34">
        <v>3</v>
      </c>
      <c r="C6" s="34" t="s">
        <v>60</v>
      </c>
      <c r="D6" s="43"/>
      <c r="E6" s="43">
        <v>0.9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39">
        <f t="shared" si="0"/>
        <v>0.9</v>
      </c>
      <c r="BD6" s="44"/>
      <c r="BE6" s="44"/>
    </row>
    <row r="7" spans="2:57" x14ac:dyDescent="0.25">
      <c r="B7" s="34">
        <v>4</v>
      </c>
      <c r="C7" s="34" t="s">
        <v>61</v>
      </c>
      <c r="D7" s="43">
        <v>1</v>
      </c>
      <c r="E7" s="43"/>
      <c r="F7" s="43">
        <v>1</v>
      </c>
      <c r="G7" s="43">
        <v>1</v>
      </c>
      <c r="H7" s="43">
        <v>1</v>
      </c>
      <c r="I7" s="43">
        <v>1</v>
      </c>
      <c r="J7" s="43">
        <v>1</v>
      </c>
      <c r="K7" s="43">
        <v>1</v>
      </c>
      <c r="L7" s="43">
        <v>1</v>
      </c>
      <c r="M7" s="43"/>
      <c r="N7" s="43">
        <v>1</v>
      </c>
      <c r="O7" s="43">
        <v>1</v>
      </c>
      <c r="P7" s="43">
        <v>1</v>
      </c>
      <c r="Q7" s="43">
        <v>1</v>
      </c>
      <c r="R7" s="43"/>
      <c r="S7" s="43"/>
      <c r="T7" s="43">
        <v>1</v>
      </c>
      <c r="U7" s="43">
        <v>1</v>
      </c>
      <c r="V7" s="43"/>
      <c r="W7" s="43">
        <v>1</v>
      </c>
      <c r="X7" s="43">
        <v>1</v>
      </c>
      <c r="Y7" s="43">
        <v>1</v>
      </c>
      <c r="Z7" s="43">
        <v>1</v>
      </c>
      <c r="AA7" s="43">
        <v>1</v>
      </c>
      <c r="AB7" s="43"/>
      <c r="AC7" s="43"/>
      <c r="AD7" s="43"/>
      <c r="AE7" s="43"/>
      <c r="AF7" s="43"/>
      <c r="AG7" s="43"/>
      <c r="AH7" s="43">
        <v>1</v>
      </c>
      <c r="AI7" s="43">
        <v>1</v>
      </c>
      <c r="AJ7" s="43"/>
      <c r="AK7" s="43">
        <v>1</v>
      </c>
      <c r="AL7" s="43"/>
      <c r="AM7" s="43">
        <v>1</v>
      </c>
      <c r="AN7" s="43"/>
      <c r="AO7" s="43"/>
      <c r="AP7" s="43">
        <v>1</v>
      </c>
      <c r="AQ7" s="43">
        <v>1</v>
      </c>
      <c r="AR7" s="43">
        <v>1</v>
      </c>
      <c r="AS7" s="43">
        <v>1</v>
      </c>
      <c r="AT7" s="43">
        <v>1</v>
      </c>
      <c r="AU7" s="43">
        <v>1</v>
      </c>
      <c r="AV7" s="43">
        <v>1</v>
      </c>
      <c r="AW7" s="43">
        <v>1</v>
      </c>
      <c r="AX7" s="43">
        <v>1</v>
      </c>
      <c r="AY7" s="43">
        <v>1</v>
      </c>
      <c r="AZ7" s="43">
        <v>1</v>
      </c>
      <c r="BA7" s="43">
        <v>1</v>
      </c>
      <c r="BB7" s="43">
        <v>1</v>
      </c>
      <c r="BC7" s="39">
        <f t="shared" si="0"/>
        <v>1</v>
      </c>
      <c r="BD7" s="44"/>
      <c r="BE7" s="44"/>
    </row>
    <row r="8" spans="2:57" x14ac:dyDescent="0.25">
      <c r="B8" s="34">
        <v>5</v>
      </c>
      <c r="C8" s="34" t="s">
        <v>62</v>
      </c>
      <c r="D8" s="43"/>
      <c r="E8" s="43">
        <v>1</v>
      </c>
      <c r="F8" s="43">
        <v>0.85709999999999997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39">
        <f t="shared" si="0"/>
        <v>0.92854999999999999</v>
      </c>
      <c r="BD8" s="44"/>
      <c r="BE8" s="44"/>
    </row>
    <row r="9" spans="2:57" x14ac:dyDescent="0.25">
      <c r="D9" s="40"/>
      <c r="E9" s="40"/>
      <c r="BD9" s="44"/>
      <c r="BE9" s="44"/>
    </row>
    <row r="10" spans="2:57" ht="14.25" customHeight="1" x14ac:dyDescent="0.25">
      <c r="C10" s="32" t="s">
        <v>52</v>
      </c>
      <c r="D10" s="32" t="s">
        <v>63</v>
      </c>
      <c r="E10" s="32"/>
      <c r="F10" s="32" t="s">
        <v>53</v>
      </c>
      <c r="G10" s="32" t="s">
        <v>53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 t="s">
        <v>48</v>
      </c>
      <c r="BD10" s="44"/>
      <c r="BE10" s="44"/>
    </row>
    <row r="11" spans="2:57" x14ac:dyDescent="0.25">
      <c r="B11" s="34"/>
      <c r="C11" s="34"/>
      <c r="D11" s="35" t="s">
        <v>54</v>
      </c>
      <c r="E11" s="35"/>
      <c r="F11" s="34" t="s">
        <v>54</v>
      </c>
      <c r="G11" s="34" t="s">
        <v>54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42"/>
      <c r="BD11" s="44"/>
      <c r="BE11" s="44"/>
    </row>
    <row r="12" spans="2:57" x14ac:dyDescent="0.25">
      <c r="B12" s="34">
        <v>1</v>
      </c>
      <c r="C12" s="34" t="s">
        <v>64</v>
      </c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9" t="e">
        <f>AVERAGE(D12:G12)</f>
        <v>#DIV/0!</v>
      </c>
      <c r="BD12" s="44"/>
      <c r="BE12" s="44"/>
    </row>
    <row r="13" spans="2:57" x14ac:dyDescent="0.25">
      <c r="B13" s="34">
        <v>2</v>
      </c>
      <c r="C13" s="34" t="s">
        <v>65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9" t="e">
        <f>AVERAGE(D13:G13)</f>
        <v>#DIV/0!</v>
      </c>
      <c r="BD13" s="45"/>
      <c r="BE13" s="46"/>
    </row>
    <row r="14" spans="2:57" x14ac:dyDescent="0.25">
      <c r="B14" s="34">
        <v>3</v>
      </c>
      <c r="C14" s="34" t="s">
        <v>66</v>
      </c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9" t="e">
        <f>AVERAGE(D14:G14)</f>
        <v>#DIV/0!</v>
      </c>
    </row>
    <row r="15" spans="2:57" x14ac:dyDescent="0.25">
      <c r="C15" s="47"/>
      <c r="D15" s="40"/>
      <c r="E15" s="40"/>
    </row>
    <row r="33" ht="21" customHeight="1" x14ac:dyDescent="0.25"/>
  </sheetData>
  <conditionalFormatting sqref="C10 G10:BB10 F11:BB14">
    <cfRule type="cellIs" dxfId="23" priority="3" operator="notEqual">
      <formula>INDIRECT("Dummy_for_Comparison1!"&amp;ADDRESS(ROW(),COLUMN()))</formula>
    </cfRule>
  </conditionalFormatting>
  <conditionalFormatting sqref="D10:F10">
    <cfRule type="cellIs" dxfId="22" priority="4" operator="notEqual">
      <formula>INDIRECT("Dummy_for_Comparison1!"&amp;ADDRESS(ROW(),COLUMN()))</formula>
    </cfRule>
  </conditionalFormatting>
  <conditionalFormatting sqref="BC10">
    <cfRule type="cellIs" dxfId="21" priority="6" operator="notEqual">
      <formula>INDIRECT("Dummy_for_Comparison1!"&amp;ADDRESS(ROW(),COLUMN()))</formula>
    </cfRule>
  </conditionalFormatting>
  <conditionalFormatting sqref="D12:E14 AP3:BB3">
    <cfRule type="cellIs" dxfId="20" priority="7" operator="notEqual">
      <formula>INDIRECT("Dummy_for_Comparison1!"&amp;ADDRESS(ROW(),COLUMN()))</formula>
    </cfRule>
  </conditionalFormatting>
  <conditionalFormatting sqref="C11">
    <cfRule type="cellIs" dxfId="19" priority="8" operator="notEqual">
      <formula>INDIRECT("Dummy_for_Comparison1!"&amp;ADDRESS(ROW(),COLUMN()))</formula>
    </cfRule>
  </conditionalFormatting>
  <conditionalFormatting sqref="C12:C14">
    <cfRule type="cellIs" dxfId="18" priority="9" operator="notEqual">
      <formula>INDIRECT("Dummy_for_Comparison1!"&amp;ADDRESS(ROW(),COLUMN()))</formula>
    </cfRule>
  </conditionalFormatting>
  <conditionalFormatting sqref="B3:B8">
    <cfRule type="cellIs" dxfId="17" priority="10" operator="notEqual">
      <formula>INDIRECT("Dummy_for_Comparison1!"&amp;ADDRESS(ROW(),COLUMN()))</formula>
    </cfRule>
  </conditionalFormatting>
  <conditionalFormatting sqref="B11:B14">
    <cfRule type="cellIs" dxfId="16" priority="11" operator="notEqual">
      <formula>INDIRECT("Dummy_for_Comparison1!"&amp;ADDRESS(ROW(),COLUMN()))</formula>
    </cfRule>
  </conditionalFormatting>
  <conditionalFormatting sqref="F3:AO3">
    <cfRule type="cellIs" dxfId="15" priority="12" operator="notEqual">
      <formula>INDIRECT("Dummy_for_Comparison1!"&amp;ADDRESS(ROW(),COLUMN()))</formula>
    </cfRule>
  </conditionalFormatting>
  <conditionalFormatting sqref="D3:E3">
    <cfRule type="cellIs" dxfId="14" priority="15" operator="notEqual">
      <formula>INDIRECT("Dummy_for_Comparison1!"&amp;ADDRESS(ROW(),COLUMN()))</formula>
    </cfRule>
  </conditionalFormatting>
  <conditionalFormatting sqref="D11:E11">
    <cfRule type="cellIs" dxfId="13" priority="16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26"/>
  <sheetViews>
    <sheetView zoomScaleNormal="100" workbookViewId="0">
      <pane xSplit="3" ySplit="3" topLeftCell="K4" activePane="bottomRight" state="frozen"/>
      <selection pane="topRight" activeCell="AM1" sqref="AM1"/>
      <selection pane="bottomLeft" activeCell="A4" sqref="A4"/>
      <selection pane="bottomRight" activeCell="A4" sqref="A4"/>
    </sheetView>
  </sheetViews>
  <sheetFormatPr baseColWidth="10" defaultColWidth="9.140625" defaultRowHeight="15" x14ac:dyDescent="0.25"/>
  <cols>
    <col min="1" max="1" width="3.42578125"/>
    <col min="2" max="2" width="4.42578125"/>
    <col min="3" max="3" width="32.140625"/>
    <col min="4" max="4" width="11.7109375" style="31"/>
    <col min="5" max="5" width="11.7109375"/>
    <col min="6" max="6" width="12.42578125"/>
    <col min="41" max="53" width="9.140625" style="30"/>
    <col min="54" max="54" width="18.7109375"/>
    <col min="55" max="55" width="11.5703125"/>
    <col min="56" max="56" width="15.7109375"/>
    <col min="57" max="1038" width="11.5703125"/>
  </cols>
  <sheetData>
    <row r="1" spans="2:56" x14ac:dyDescent="0.25">
      <c r="D1"/>
    </row>
    <row r="2" spans="2:56" ht="15" customHeight="1" x14ac:dyDescent="0.25"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34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80</v>
      </c>
      <c r="AP2" s="32" t="s">
        <v>79</v>
      </c>
      <c r="AQ2" s="32" t="s">
        <v>81</v>
      </c>
      <c r="AR2" s="32" t="s">
        <v>82</v>
      </c>
      <c r="AS2" s="32" t="s">
        <v>83</v>
      </c>
      <c r="AT2" s="32" t="s">
        <v>84</v>
      </c>
      <c r="AU2" s="32" t="s">
        <v>85</v>
      </c>
      <c r="AV2" s="32" t="s">
        <v>86</v>
      </c>
      <c r="AW2" s="32" t="s">
        <v>87</v>
      </c>
      <c r="AX2" s="32" t="s">
        <v>88</v>
      </c>
      <c r="AY2" s="32" t="s">
        <v>89</v>
      </c>
      <c r="AZ2" s="32" t="s">
        <v>90</v>
      </c>
      <c r="BA2" s="32" t="s">
        <v>91</v>
      </c>
      <c r="BB2" s="32" t="s">
        <v>48</v>
      </c>
      <c r="BC2" s="44"/>
      <c r="BD2" s="44"/>
    </row>
    <row r="3" spans="2:56" x14ac:dyDescent="0.25">
      <c r="B3" s="34"/>
      <c r="C3" s="34" t="s">
        <v>67</v>
      </c>
      <c r="D3" s="35">
        <v>20151127</v>
      </c>
      <c r="E3" s="34">
        <v>20151211</v>
      </c>
      <c r="F3" s="34">
        <v>20151229</v>
      </c>
      <c r="G3" s="34">
        <v>20151229</v>
      </c>
      <c r="H3" s="34">
        <v>20151229</v>
      </c>
      <c r="I3" s="34">
        <v>20151229</v>
      </c>
      <c r="J3" s="34">
        <v>20151229</v>
      </c>
      <c r="K3" s="34">
        <v>20151229</v>
      </c>
      <c r="L3" s="34">
        <v>20151229</v>
      </c>
      <c r="M3" s="34">
        <v>20151229</v>
      </c>
      <c r="N3" s="34">
        <v>20151229</v>
      </c>
      <c r="O3" s="34">
        <v>20151229</v>
      </c>
      <c r="P3" s="34">
        <v>20151229</v>
      </c>
      <c r="Q3" s="34">
        <v>20151229</v>
      </c>
      <c r="R3" s="34">
        <v>20151229</v>
      </c>
      <c r="S3" s="34">
        <v>20151229</v>
      </c>
      <c r="T3" s="34">
        <v>20151229</v>
      </c>
      <c r="U3" s="34">
        <v>20151229</v>
      </c>
      <c r="V3" s="34">
        <v>20151229</v>
      </c>
      <c r="W3" s="34">
        <v>20151229</v>
      </c>
      <c r="X3" s="34">
        <v>20151229</v>
      </c>
      <c r="Y3" s="34">
        <v>20151229</v>
      </c>
      <c r="Z3" s="34">
        <v>20151229</v>
      </c>
      <c r="AA3" s="34">
        <v>20151229</v>
      </c>
      <c r="AB3" s="34">
        <v>20161231</v>
      </c>
      <c r="AC3" s="34">
        <v>20151231</v>
      </c>
      <c r="AD3" s="34">
        <v>20151231</v>
      </c>
      <c r="AE3" s="34">
        <v>20151231</v>
      </c>
      <c r="AF3" s="34">
        <v>20151231</v>
      </c>
      <c r="AG3" s="34">
        <v>20151231</v>
      </c>
      <c r="AH3" s="34">
        <v>20151231</v>
      </c>
      <c r="AI3" s="34">
        <v>20151231</v>
      </c>
      <c r="AJ3" s="34">
        <v>20151231</v>
      </c>
      <c r="AK3" s="34">
        <v>20151231</v>
      </c>
      <c r="AL3" s="34">
        <v>20151231</v>
      </c>
      <c r="AM3" s="34">
        <v>20160104</v>
      </c>
      <c r="AN3" s="34">
        <v>20160104</v>
      </c>
      <c r="AO3" s="36">
        <v>20160119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7"/>
      <c r="BC3" s="44"/>
      <c r="BD3" s="44"/>
    </row>
    <row r="4" spans="2:56" x14ac:dyDescent="0.25">
      <c r="B4" s="34">
        <v>1</v>
      </c>
      <c r="C4" s="34" t="s">
        <v>68</v>
      </c>
      <c r="D4" s="43">
        <v>1</v>
      </c>
      <c r="E4" s="43">
        <v>0.5</v>
      </c>
      <c r="F4" s="43">
        <v>1</v>
      </c>
      <c r="G4" s="43">
        <v>1</v>
      </c>
      <c r="H4" s="43">
        <v>1</v>
      </c>
      <c r="I4" s="43">
        <v>1</v>
      </c>
      <c r="J4" s="43">
        <v>1</v>
      </c>
      <c r="K4" s="43">
        <v>1</v>
      </c>
      <c r="L4" s="43"/>
      <c r="M4" s="43">
        <v>1</v>
      </c>
      <c r="N4" s="43">
        <v>1</v>
      </c>
      <c r="O4" s="43">
        <v>1</v>
      </c>
      <c r="P4" s="43">
        <v>1</v>
      </c>
      <c r="Q4" s="43"/>
      <c r="R4" s="43"/>
      <c r="S4" s="43">
        <v>1</v>
      </c>
      <c r="T4" s="43">
        <v>1</v>
      </c>
      <c r="U4" s="43"/>
      <c r="V4" s="43">
        <v>1</v>
      </c>
      <c r="W4" s="43">
        <v>1</v>
      </c>
      <c r="X4" s="43">
        <v>1</v>
      </c>
      <c r="Y4" s="43">
        <v>1</v>
      </c>
      <c r="Z4" s="43">
        <v>1</v>
      </c>
      <c r="AA4" s="43"/>
      <c r="AB4" s="43"/>
      <c r="AC4" s="43"/>
      <c r="AD4" s="43"/>
      <c r="AE4" s="43"/>
      <c r="AF4" s="43"/>
      <c r="AG4" s="43">
        <v>1</v>
      </c>
      <c r="AH4" s="43">
        <v>1</v>
      </c>
      <c r="AI4" s="43"/>
      <c r="AJ4" s="43">
        <v>1</v>
      </c>
      <c r="AK4" s="43"/>
      <c r="AL4" s="43">
        <v>1</v>
      </c>
      <c r="AM4" s="43"/>
      <c r="AN4" s="43"/>
      <c r="AO4" s="43">
        <v>1</v>
      </c>
      <c r="AP4" s="43">
        <v>0.5</v>
      </c>
      <c r="AQ4" s="43">
        <v>1</v>
      </c>
      <c r="AR4" s="43">
        <v>1</v>
      </c>
      <c r="AS4" s="43">
        <v>1</v>
      </c>
      <c r="AT4" s="43">
        <v>1</v>
      </c>
      <c r="AU4" s="43">
        <v>1</v>
      </c>
      <c r="AV4" s="43">
        <v>1</v>
      </c>
      <c r="AW4" s="43">
        <v>1</v>
      </c>
      <c r="AX4" s="43">
        <v>1</v>
      </c>
      <c r="AY4" s="43">
        <v>0.5</v>
      </c>
      <c r="AZ4" s="43">
        <v>0.5</v>
      </c>
      <c r="BA4" s="43">
        <v>0.5</v>
      </c>
      <c r="BB4" s="39">
        <f>AVERAGE(D4:BA4)</f>
        <v>0.93055555555555558</v>
      </c>
      <c r="BC4" s="44"/>
      <c r="BD4" s="44"/>
    </row>
    <row r="5" spans="2:56" x14ac:dyDescent="0.25">
      <c r="B5" s="34">
        <v>2</v>
      </c>
      <c r="C5" s="34" t="s">
        <v>69</v>
      </c>
      <c r="D5" s="43">
        <v>0.67</v>
      </c>
      <c r="E5" s="43">
        <v>0.83250000000000002</v>
      </c>
      <c r="F5" s="43">
        <v>0.67</v>
      </c>
      <c r="G5" s="43">
        <v>1</v>
      </c>
      <c r="H5" s="43">
        <v>1</v>
      </c>
      <c r="I5" s="43">
        <v>1</v>
      </c>
      <c r="J5" s="43">
        <v>1</v>
      </c>
      <c r="K5" s="43">
        <v>0</v>
      </c>
      <c r="L5" s="43"/>
      <c r="M5" s="43">
        <v>1</v>
      </c>
      <c r="N5" s="43">
        <v>1</v>
      </c>
      <c r="O5" s="43">
        <v>1</v>
      </c>
      <c r="P5" s="43">
        <v>1</v>
      </c>
      <c r="Q5" s="43"/>
      <c r="R5" s="43"/>
      <c r="S5" s="43">
        <v>1</v>
      </c>
      <c r="T5" s="43">
        <v>1</v>
      </c>
      <c r="U5" s="43"/>
      <c r="V5" s="43">
        <v>1</v>
      </c>
      <c r="W5" s="43">
        <v>1</v>
      </c>
      <c r="X5" s="43">
        <v>1</v>
      </c>
      <c r="Y5" s="43">
        <v>1</v>
      </c>
      <c r="Z5" s="43">
        <v>1</v>
      </c>
      <c r="AA5" s="43"/>
      <c r="AB5" s="43"/>
      <c r="AC5" s="43"/>
      <c r="AD5" s="43"/>
      <c r="AE5" s="43"/>
      <c r="AF5" s="43"/>
      <c r="AG5" s="43">
        <v>1</v>
      </c>
      <c r="AH5" s="43">
        <v>1</v>
      </c>
      <c r="AI5" s="43"/>
      <c r="AJ5" s="43">
        <v>1</v>
      </c>
      <c r="AK5" s="43"/>
      <c r="AL5" s="43">
        <v>1</v>
      </c>
      <c r="AM5" s="43"/>
      <c r="AN5" s="43"/>
      <c r="AO5" s="43">
        <v>1</v>
      </c>
      <c r="AP5" s="43">
        <v>1</v>
      </c>
      <c r="AQ5" s="43">
        <v>1</v>
      </c>
      <c r="AR5" s="43">
        <v>1</v>
      </c>
      <c r="AS5" s="43">
        <v>1</v>
      </c>
      <c r="AT5" s="43">
        <v>1</v>
      </c>
      <c r="AU5" s="43">
        <v>1</v>
      </c>
      <c r="AV5" s="43">
        <v>1</v>
      </c>
      <c r="AW5" s="43">
        <v>1</v>
      </c>
      <c r="AX5" s="43">
        <v>1</v>
      </c>
      <c r="AY5" s="43">
        <v>0</v>
      </c>
      <c r="AZ5" s="43">
        <v>0</v>
      </c>
      <c r="BA5" s="43">
        <v>0</v>
      </c>
      <c r="BB5" s="39">
        <f t="shared" ref="BB5:BB6" si="0">AVERAGE(D5:BA5)</f>
        <v>0.8659027777777778</v>
      </c>
      <c r="BC5" s="44"/>
      <c r="BD5" s="44"/>
    </row>
    <row r="6" spans="2:56" x14ac:dyDescent="0.25">
      <c r="B6" s="34">
        <v>3</v>
      </c>
      <c r="C6" s="34" t="s">
        <v>57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39" t="e">
        <f t="shared" si="0"/>
        <v>#DIV/0!</v>
      </c>
      <c r="BC6" s="44"/>
      <c r="BD6" s="44"/>
    </row>
    <row r="7" spans="2:56" x14ac:dyDescent="0.25">
      <c r="D7" s="40"/>
      <c r="BC7" s="44"/>
      <c r="BD7" s="44"/>
    </row>
    <row r="8" spans="2:56" x14ac:dyDescent="0.25">
      <c r="C8" s="47"/>
      <c r="D8" s="40"/>
    </row>
    <row r="26" ht="21" customHeight="1" x14ac:dyDescent="0.25"/>
  </sheetData>
  <conditionalFormatting sqref="B3:B6">
    <cfRule type="cellIs" dxfId="12" priority="3" operator="notEqual">
      <formula>INDIRECT("Dummy_for_Comparison1!"&amp;ADDRESS(ROW(),COLUMN()))</formula>
    </cfRule>
  </conditionalFormatting>
  <conditionalFormatting sqref="E3:AN3">
    <cfRule type="cellIs" dxfId="11" priority="4" operator="notEqual">
      <formula>INDIRECT("Dummy_for_Comparison1!"&amp;ADDRESS(ROW(),COLUMN()))</formula>
    </cfRule>
  </conditionalFormatting>
  <conditionalFormatting sqref="D3">
    <cfRule type="cellIs" dxfId="10" priority="5" operator="notEqual">
      <formula>INDIRECT("Dummy_for_Comparison1!"&amp;ADDRESS(ROW(),COLUMN()))</formula>
    </cfRule>
  </conditionalFormatting>
  <conditionalFormatting sqref="AO3:BA3">
    <cfRule type="cellIs" dxfId="9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X26"/>
  <sheetViews>
    <sheetView zoomScaleNormal="100" workbookViewId="0">
      <pane xSplit="3" ySplit="3" topLeftCell="D4" activePane="bottomRight" state="frozen"/>
      <selection pane="topRight" activeCell="AK1" sqref="AK1"/>
      <selection pane="bottomLeft" activeCell="A4" sqref="A4"/>
      <selection pane="bottomRight" activeCell="A16" sqref="A16"/>
    </sheetView>
  </sheetViews>
  <sheetFormatPr baseColWidth="10" defaultColWidth="9.140625" defaultRowHeight="15" x14ac:dyDescent="0.25"/>
  <cols>
    <col min="1" max="1" width="3.42578125" style="1"/>
    <col min="2" max="2" width="4.42578125" style="1"/>
    <col min="3" max="3" width="32.140625" style="1"/>
    <col min="4" max="4" width="11.7109375" style="31"/>
    <col min="5" max="5" width="11.7109375" style="1"/>
    <col min="6" max="6" width="12.42578125" style="1"/>
    <col min="7" max="13" width="9.140625" style="1"/>
    <col min="14" max="40" width="13.140625" style="1"/>
    <col min="41" max="53" width="9.140625" style="1"/>
    <col min="54" max="54" width="19.140625" style="1"/>
    <col min="55" max="55" width="11.5703125" style="1"/>
    <col min="56" max="56" width="15.7109375" style="1"/>
    <col min="57" max="1038" width="11.5703125" style="1"/>
  </cols>
  <sheetData>
    <row r="1" spans="2:56" x14ac:dyDescent="0.2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/>
      <c r="BC1"/>
      <c r="BD1"/>
    </row>
    <row r="2" spans="2:56" ht="15" customHeight="1" x14ac:dyDescent="0.25">
      <c r="B2"/>
      <c r="C2"/>
      <c r="D2" s="32" t="s">
        <v>46</v>
      </c>
      <c r="E2" s="32" t="s">
        <v>47</v>
      </c>
      <c r="F2" s="32" t="s">
        <v>11</v>
      </c>
      <c r="G2" s="32" t="s">
        <v>12</v>
      </c>
      <c r="H2" s="32" t="s">
        <v>13</v>
      </c>
      <c r="I2" s="32" t="s">
        <v>14</v>
      </c>
      <c r="J2" s="32" t="s">
        <v>15</v>
      </c>
      <c r="K2" s="32" t="s">
        <v>16</v>
      </c>
      <c r="L2" s="32" t="s">
        <v>17</v>
      </c>
      <c r="M2" s="32" t="s">
        <v>18</v>
      </c>
      <c r="N2" s="32" t="s">
        <v>19</v>
      </c>
      <c r="O2" s="32" t="s">
        <v>20</v>
      </c>
      <c r="P2" s="32" t="s">
        <v>21</v>
      </c>
      <c r="Q2" s="32" t="s">
        <v>22</v>
      </c>
      <c r="R2" s="32" t="s">
        <v>23</v>
      </c>
      <c r="S2" s="32" t="s">
        <v>24</v>
      </c>
      <c r="T2" s="32" t="s">
        <v>15</v>
      </c>
      <c r="U2" s="32" t="s">
        <v>25</v>
      </c>
      <c r="V2" s="32" t="s">
        <v>26</v>
      </c>
      <c r="W2" s="32" t="s">
        <v>27</v>
      </c>
      <c r="X2" s="32" t="s">
        <v>28</v>
      </c>
      <c r="Y2" s="32" t="s">
        <v>29</v>
      </c>
      <c r="Z2" s="32" t="s">
        <v>30</v>
      </c>
      <c r="AA2" s="32" t="s">
        <v>31</v>
      </c>
      <c r="AB2" s="32" t="s">
        <v>32</v>
      </c>
      <c r="AC2" s="32" t="s">
        <v>33</v>
      </c>
      <c r="AD2" s="32" t="s">
        <v>34</v>
      </c>
      <c r="AE2" s="32" t="s">
        <v>35</v>
      </c>
      <c r="AF2" s="32" t="s">
        <v>36</v>
      </c>
      <c r="AG2" s="32" t="s">
        <v>37</v>
      </c>
      <c r="AH2" s="32" t="s">
        <v>38</v>
      </c>
      <c r="AI2" s="32" t="s">
        <v>39</v>
      </c>
      <c r="AJ2" s="32" t="s">
        <v>40</v>
      </c>
      <c r="AK2" s="32" t="s">
        <v>41</v>
      </c>
      <c r="AL2" s="32" t="s">
        <v>42</v>
      </c>
      <c r="AM2" s="32" t="s">
        <v>43</v>
      </c>
      <c r="AN2" s="32" t="s">
        <v>44</v>
      </c>
      <c r="AO2" s="32" t="s">
        <v>80</v>
      </c>
      <c r="AP2" s="32" t="s">
        <v>79</v>
      </c>
      <c r="AQ2" s="32" t="s">
        <v>81</v>
      </c>
      <c r="AR2" s="32" t="s">
        <v>82</v>
      </c>
      <c r="AS2" s="32" t="s">
        <v>83</v>
      </c>
      <c r="AT2" s="32" t="s">
        <v>84</v>
      </c>
      <c r="AU2" s="32" t="s">
        <v>85</v>
      </c>
      <c r="AV2" s="32" t="s">
        <v>86</v>
      </c>
      <c r="AW2" s="32" t="s">
        <v>87</v>
      </c>
      <c r="AX2" s="32" t="s">
        <v>88</v>
      </c>
      <c r="AY2" s="32" t="s">
        <v>89</v>
      </c>
      <c r="AZ2" s="32" t="s">
        <v>90</v>
      </c>
      <c r="BA2" s="32" t="s">
        <v>91</v>
      </c>
      <c r="BB2" s="32" t="s">
        <v>48</v>
      </c>
      <c r="BC2" s="44"/>
      <c r="BD2" s="44"/>
    </row>
    <row r="3" spans="2:56" x14ac:dyDescent="0.25">
      <c r="B3" s="34"/>
      <c r="C3" s="34" t="s">
        <v>70</v>
      </c>
      <c r="D3" s="35">
        <v>20151127</v>
      </c>
      <c r="E3" s="34">
        <v>2015121</v>
      </c>
      <c r="F3" s="34">
        <v>20151229</v>
      </c>
      <c r="G3" s="34">
        <v>20151229</v>
      </c>
      <c r="H3" s="34">
        <v>20151229</v>
      </c>
      <c r="I3" s="34">
        <v>20151229</v>
      </c>
      <c r="J3" s="34">
        <v>20151229</v>
      </c>
      <c r="K3" s="34">
        <v>20151229</v>
      </c>
      <c r="L3" s="34">
        <v>20151229</v>
      </c>
      <c r="M3" s="34">
        <v>20151229</v>
      </c>
      <c r="N3" s="34">
        <v>20151229</v>
      </c>
      <c r="O3" s="34">
        <v>20151229</v>
      </c>
      <c r="P3" s="34">
        <v>20151229</v>
      </c>
      <c r="Q3" s="34">
        <v>20151229</v>
      </c>
      <c r="R3" s="34">
        <v>20151229</v>
      </c>
      <c r="S3" s="34">
        <v>20151229</v>
      </c>
      <c r="T3" s="34">
        <v>20151229</v>
      </c>
      <c r="U3" s="34">
        <v>20151229</v>
      </c>
      <c r="V3" s="34">
        <v>20151229</v>
      </c>
      <c r="W3" s="34">
        <v>20151229</v>
      </c>
      <c r="X3" s="34">
        <v>20151229</v>
      </c>
      <c r="Y3" s="34">
        <v>20151229</v>
      </c>
      <c r="Z3" s="34">
        <v>20151229</v>
      </c>
      <c r="AA3" s="34">
        <v>20151229</v>
      </c>
      <c r="AB3" s="34">
        <v>20151231</v>
      </c>
      <c r="AC3" s="34">
        <v>20151231</v>
      </c>
      <c r="AD3" s="34">
        <v>20151231</v>
      </c>
      <c r="AE3" s="34">
        <v>20151231</v>
      </c>
      <c r="AF3" s="34">
        <v>20151231</v>
      </c>
      <c r="AG3" s="34">
        <v>20151231</v>
      </c>
      <c r="AH3" s="34">
        <v>20151231</v>
      </c>
      <c r="AI3" s="34">
        <v>20151231</v>
      </c>
      <c r="AJ3" s="34">
        <v>20151231</v>
      </c>
      <c r="AK3" s="34">
        <v>20151231</v>
      </c>
      <c r="AL3" s="34">
        <v>20151231</v>
      </c>
      <c r="AM3" s="34">
        <v>20160104</v>
      </c>
      <c r="AN3" s="34">
        <v>20160104</v>
      </c>
      <c r="AO3" s="36">
        <v>20160119</v>
      </c>
      <c r="AP3" s="36">
        <v>20160119</v>
      </c>
      <c r="AQ3" s="36">
        <v>20160119</v>
      </c>
      <c r="AR3" s="36">
        <v>20160119</v>
      </c>
      <c r="AS3" s="36">
        <v>20160119</v>
      </c>
      <c r="AT3" s="36">
        <v>20160119</v>
      </c>
      <c r="AU3" s="36">
        <v>20160119</v>
      </c>
      <c r="AV3" s="36">
        <v>20160119</v>
      </c>
      <c r="AW3" s="36">
        <v>20160119</v>
      </c>
      <c r="AX3" s="36">
        <v>20160119</v>
      </c>
      <c r="AY3" s="36">
        <v>20160119</v>
      </c>
      <c r="AZ3" s="36">
        <v>20160119</v>
      </c>
      <c r="BA3" s="36">
        <v>20160119</v>
      </c>
      <c r="BB3" s="37"/>
      <c r="BC3" s="44"/>
      <c r="BD3" s="44"/>
    </row>
    <row r="4" spans="2:56" x14ac:dyDescent="0.25">
      <c r="B4" s="34">
        <v>1</v>
      </c>
      <c r="C4" s="34" t="s">
        <v>69</v>
      </c>
      <c r="D4" s="43">
        <v>0.67</v>
      </c>
      <c r="E4" s="43">
        <v>0.67</v>
      </c>
      <c r="F4" s="43">
        <v>0.67</v>
      </c>
      <c r="G4" s="43">
        <v>0.67</v>
      </c>
      <c r="H4" s="43">
        <v>1</v>
      </c>
      <c r="I4" s="43">
        <v>1</v>
      </c>
      <c r="J4" s="43">
        <v>1</v>
      </c>
      <c r="K4" s="43">
        <v>0</v>
      </c>
      <c r="L4" s="43"/>
      <c r="M4" s="43">
        <v>1</v>
      </c>
      <c r="N4" s="43">
        <v>1</v>
      </c>
      <c r="O4" s="43">
        <v>1</v>
      </c>
      <c r="P4" s="43">
        <v>1</v>
      </c>
      <c r="Q4" s="43"/>
      <c r="R4" s="43"/>
      <c r="S4" s="43">
        <v>1</v>
      </c>
      <c r="T4" s="43">
        <v>1</v>
      </c>
      <c r="U4" s="43"/>
      <c r="V4" s="43">
        <v>1</v>
      </c>
      <c r="W4" s="43">
        <v>1</v>
      </c>
      <c r="X4" s="43">
        <v>1</v>
      </c>
      <c r="Y4" s="43">
        <v>1</v>
      </c>
      <c r="Z4" s="43">
        <v>1</v>
      </c>
      <c r="AA4" s="43"/>
      <c r="AB4" s="43"/>
      <c r="AC4" s="43"/>
      <c r="AD4" s="43"/>
      <c r="AE4" s="43"/>
      <c r="AF4" s="43"/>
      <c r="AG4" s="43">
        <v>1</v>
      </c>
      <c r="AH4" s="43">
        <v>1</v>
      </c>
      <c r="AI4" s="43"/>
      <c r="AJ4" s="43">
        <v>1</v>
      </c>
      <c r="AK4" s="43"/>
      <c r="AL4" s="43">
        <v>1</v>
      </c>
      <c r="AM4" s="43"/>
      <c r="AN4" s="43"/>
      <c r="AO4" s="43">
        <v>0.67</v>
      </c>
      <c r="AP4" s="43">
        <v>1</v>
      </c>
      <c r="AQ4" s="43">
        <v>1</v>
      </c>
      <c r="AR4" s="43">
        <v>1</v>
      </c>
      <c r="AS4" s="43">
        <v>1</v>
      </c>
      <c r="AT4" s="43">
        <v>1</v>
      </c>
      <c r="AU4" s="43">
        <v>1</v>
      </c>
      <c r="AV4" s="43">
        <v>1</v>
      </c>
      <c r="AW4" s="43">
        <v>1</v>
      </c>
      <c r="AX4" s="43">
        <v>1</v>
      </c>
      <c r="AY4" s="43">
        <v>0</v>
      </c>
      <c r="AZ4" s="43">
        <v>0.33</v>
      </c>
      <c r="BA4" s="43">
        <v>0.33</v>
      </c>
      <c r="BB4" s="39">
        <f>AVERAGE(D4:BA4)</f>
        <v>0.86138888888888887</v>
      </c>
      <c r="BC4" s="44"/>
      <c r="BD4" s="44"/>
    </row>
    <row r="5" spans="2:56" x14ac:dyDescent="0.25">
      <c r="B5" s="34">
        <v>2</v>
      </c>
      <c r="C5" s="34" t="s">
        <v>71</v>
      </c>
      <c r="D5" s="43">
        <v>1</v>
      </c>
      <c r="E5" s="43">
        <v>0.75</v>
      </c>
      <c r="F5" s="43">
        <v>1</v>
      </c>
      <c r="G5" s="43">
        <v>1</v>
      </c>
      <c r="H5" s="43">
        <v>1</v>
      </c>
      <c r="I5" s="43">
        <v>1</v>
      </c>
      <c r="J5" s="43">
        <v>1</v>
      </c>
      <c r="K5" s="43">
        <v>1</v>
      </c>
      <c r="L5" s="43"/>
      <c r="M5" s="43">
        <v>1</v>
      </c>
      <c r="N5" s="43">
        <v>1</v>
      </c>
      <c r="O5" s="43">
        <v>1</v>
      </c>
      <c r="P5" s="43">
        <v>1</v>
      </c>
      <c r="Q5" s="43"/>
      <c r="R5" s="43"/>
      <c r="S5" s="43">
        <v>1</v>
      </c>
      <c r="T5" s="43">
        <v>1</v>
      </c>
      <c r="U5" s="43"/>
      <c r="V5" s="43">
        <v>1</v>
      </c>
      <c r="W5" s="43">
        <v>1</v>
      </c>
      <c r="X5" s="43">
        <v>1</v>
      </c>
      <c r="Y5" s="43">
        <v>1</v>
      </c>
      <c r="Z5" s="43">
        <v>1</v>
      </c>
      <c r="AA5" s="43"/>
      <c r="AB5" s="43"/>
      <c r="AC5" s="43"/>
      <c r="AD5" s="43"/>
      <c r="AE5" s="43"/>
      <c r="AF5" s="43"/>
      <c r="AG5" s="43">
        <v>1</v>
      </c>
      <c r="AH5" s="43">
        <v>1</v>
      </c>
      <c r="AI5" s="43"/>
      <c r="AJ5" s="43">
        <v>1</v>
      </c>
      <c r="AK5" s="43"/>
      <c r="AL5" s="43">
        <v>1</v>
      </c>
      <c r="AM5" s="43"/>
      <c r="AN5" s="43"/>
      <c r="AO5" s="43">
        <v>1</v>
      </c>
      <c r="AP5" s="43">
        <v>1</v>
      </c>
      <c r="AQ5" s="43">
        <v>1</v>
      </c>
      <c r="AR5" s="43">
        <v>1</v>
      </c>
      <c r="AS5" s="43">
        <v>1</v>
      </c>
      <c r="AT5" s="43">
        <v>1</v>
      </c>
      <c r="AU5" s="43">
        <v>1</v>
      </c>
      <c r="AV5" s="43">
        <v>1</v>
      </c>
      <c r="AW5" s="43">
        <v>1</v>
      </c>
      <c r="AX5" s="43">
        <v>1</v>
      </c>
      <c r="AY5" s="43">
        <v>1</v>
      </c>
      <c r="AZ5" s="43">
        <v>1</v>
      </c>
      <c r="BA5" s="43">
        <v>1</v>
      </c>
      <c r="BB5" s="39">
        <f>AVERAGE(D5:BA5)</f>
        <v>0.99305555555555558</v>
      </c>
      <c r="BC5" s="44"/>
      <c r="BD5" s="44"/>
    </row>
    <row r="6" spans="2:56" x14ac:dyDescent="0.25">
      <c r="B6" s="34">
        <v>3</v>
      </c>
      <c r="C6" s="34" t="s">
        <v>72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39" t="e">
        <f>AVERAGE(D6:BA6)</f>
        <v>#DIV/0!</v>
      </c>
      <c r="BC6" s="44"/>
      <c r="BD6" s="44"/>
    </row>
    <row r="7" spans="2:56" x14ac:dyDescent="0.25">
      <c r="C7"/>
      <c r="D7" s="40"/>
      <c r="BC7" s="44"/>
      <c r="BD7" s="44"/>
    </row>
    <row r="8" spans="2:56" x14ac:dyDescent="0.25">
      <c r="C8" s="47"/>
      <c r="D8" s="40"/>
    </row>
    <row r="26" ht="21" customHeight="1" x14ac:dyDescent="0.25"/>
  </sheetData>
  <conditionalFormatting sqref="B3:B6">
    <cfRule type="cellIs" dxfId="8" priority="3" operator="notEqual">
      <formula>INDIRECT("Dummy_for_Comparison1!"&amp;ADDRESS(ROW(),COLUMN()))</formula>
    </cfRule>
  </conditionalFormatting>
  <conditionalFormatting sqref="E3:AN3">
    <cfRule type="cellIs" dxfId="7" priority="4" operator="notEqual">
      <formula>INDIRECT("Dummy_for_Comparison1!"&amp;ADDRESS(ROW(),COLUMN()))</formula>
    </cfRule>
  </conditionalFormatting>
  <conditionalFormatting sqref="D3">
    <cfRule type="cellIs" dxfId="6" priority="5" operator="notEqual">
      <formula>INDIRECT("Dummy_for_Comparison1!"&amp;ADDRESS(ROW(),COLUMN()))</formula>
    </cfRule>
  </conditionalFormatting>
  <conditionalFormatting sqref="AO3:BA3">
    <cfRule type="cellIs" dxfId="5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I82"/>
  <sheetViews>
    <sheetView topLeftCell="A64" zoomScaleNormal="100" workbookViewId="0">
      <selection activeCell="B86" sqref="B86"/>
    </sheetView>
  </sheetViews>
  <sheetFormatPr baseColWidth="10" defaultColWidth="9.140625" defaultRowHeight="15" x14ac:dyDescent="0.25"/>
  <cols>
    <col min="1" max="1" width="32.85546875"/>
    <col min="2" max="2" width="15.28515625"/>
    <col min="3" max="3" width="14.140625"/>
    <col min="4" max="5" width="10.5703125"/>
    <col min="6" max="6" width="20.5703125"/>
    <col min="7" max="7" width="16"/>
    <col min="8" max="8" width="15.42578125"/>
    <col min="9" max="9" width="15"/>
    <col min="10" max="1025" width="10.5703125"/>
  </cols>
  <sheetData>
    <row r="13" spans="1:9" ht="21" customHeight="1" x14ac:dyDescent="0.35">
      <c r="G13" s="71" t="s">
        <v>73</v>
      </c>
      <c r="H13" s="71"/>
      <c r="I13" s="71"/>
    </row>
    <row r="14" spans="1:9" ht="21" x14ac:dyDescent="0.25">
      <c r="A14" s="48" t="s">
        <v>46</v>
      </c>
      <c r="B14" s="17" t="s">
        <v>2</v>
      </c>
      <c r="C14" s="17" t="s">
        <v>3</v>
      </c>
      <c r="D14" s="17" t="s">
        <v>74</v>
      </c>
      <c r="F14" s="49"/>
      <c r="G14" s="50" t="s">
        <v>2</v>
      </c>
      <c r="H14" s="51" t="s">
        <v>3</v>
      </c>
      <c r="I14" s="52" t="s">
        <v>74</v>
      </c>
    </row>
    <row r="15" spans="1:9" x14ac:dyDescent="0.25">
      <c r="A15" s="53" t="s">
        <v>75</v>
      </c>
      <c r="B15" s="54">
        <v>202000</v>
      </c>
      <c r="C15" s="54">
        <f>SUM(C16:C17)</f>
        <v>130775.29999999999</v>
      </c>
      <c r="D15" s="55">
        <f>(C15 * 100)/B15</f>
        <v>64.740247524752462</v>
      </c>
      <c r="F15" s="56"/>
      <c r="G15" s="57">
        <v>2424000</v>
      </c>
      <c r="H15" s="54">
        <v>130775.3</v>
      </c>
      <c r="I15" s="58">
        <f>(H15 * 100)/G15</f>
        <v>5.3950206270627064</v>
      </c>
    </row>
    <row r="16" spans="1:9" x14ac:dyDescent="0.25">
      <c r="A16" s="4" t="s">
        <v>76</v>
      </c>
      <c r="B16" s="57">
        <f>B15/2</f>
        <v>101000</v>
      </c>
      <c r="C16" s="59">
        <v>54818.400000000001</v>
      </c>
      <c r="D16" s="60">
        <f>(C16 * 100)/B16</f>
        <v>54.275643564356436</v>
      </c>
      <c r="F16" s="56"/>
      <c r="G16" s="61"/>
      <c r="H16" s="61"/>
      <c r="I16" s="62"/>
    </row>
    <row r="17" spans="1:9" x14ac:dyDescent="0.25">
      <c r="A17" s="4" t="s">
        <v>77</v>
      </c>
      <c r="B17" s="57">
        <f>B15/2</f>
        <v>101000</v>
      </c>
      <c r="C17" s="59">
        <v>75956.899999999994</v>
      </c>
      <c r="D17" s="63">
        <f>(C17 * 100)/B17</f>
        <v>75.204851485148509</v>
      </c>
      <c r="F17" s="56"/>
      <c r="G17" s="61"/>
      <c r="H17" s="61"/>
      <c r="I17" s="62"/>
    </row>
    <row r="33" spans="1:9" ht="21" customHeight="1" x14ac:dyDescent="0.35">
      <c r="A33" s="64">
        <v>42349</v>
      </c>
      <c r="B33" s="17" t="s">
        <v>2</v>
      </c>
      <c r="C33" s="17" t="s">
        <v>3</v>
      </c>
      <c r="D33" s="17" t="s">
        <v>74</v>
      </c>
      <c r="G33" s="71" t="s">
        <v>73</v>
      </c>
      <c r="H33" s="71"/>
      <c r="I33" s="71"/>
    </row>
    <row r="34" spans="1:9" x14ac:dyDescent="0.25">
      <c r="A34" s="53" t="s">
        <v>75</v>
      </c>
      <c r="B34" s="54">
        <v>202000</v>
      </c>
      <c r="C34" s="54">
        <f>SUM(C35:C36)</f>
        <v>32780</v>
      </c>
      <c r="D34" s="55">
        <f>(C34 * 100)/B34</f>
        <v>16.227722772277229</v>
      </c>
      <c r="G34" s="50" t="s">
        <v>2</v>
      </c>
      <c r="H34" s="51" t="s">
        <v>3</v>
      </c>
      <c r="I34" s="52" t="s">
        <v>74</v>
      </c>
    </row>
    <row r="35" spans="1:9" x14ac:dyDescent="0.25">
      <c r="A35" s="4" t="s">
        <v>76</v>
      </c>
      <c r="B35" s="57">
        <f>B34/2</f>
        <v>101000</v>
      </c>
      <c r="C35" s="59">
        <v>10775</v>
      </c>
      <c r="D35" s="60">
        <f>(C35 * 100)/B35</f>
        <v>10.668316831683168</v>
      </c>
      <c r="G35" s="57">
        <v>2424000</v>
      </c>
      <c r="H35" s="54">
        <v>2220588.2000000002</v>
      </c>
      <c r="I35" s="58">
        <f>(H35 * 100)/G35</f>
        <v>91.608424092409251</v>
      </c>
    </row>
    <row r="36" spans="1:9" x14ac:dyDescent="0.25">
      <c r="A36" s="4" t="s">
        <v>77</v>
      </c>
      <c r="B36" s="57">
        <f>B34/2</f>
        <v>101000</v>
      </c>
      <c r="C36" s="59">
        <v>22005</v>
      </c>
      <c r="D36" s="63">
        <f>(C36 * 100)/B36</f>
        <v>21.787128712871286</v>
      </c>
    </row>
    <row r="58" spans="1:9" ht="21" customHeight="1" x14ac:dyDescent="0.35">
      <c r="A58" s="48" t="s">
        <v>78</v>
      </c>
      <c r="B58" s="17" t="s">
        <v>2</v>
      </c>
      <c r="C58" s="17" t="s">
        <v>3</v>
      </c>
      <c r="D58" s="17" t="s">
        <v>74</v>
      </c>
      <c r="G58" s="71" t="s">
        <v>73</v>
      </c>
      <c r="H58" s="71"/>
      <c r="I58" s="71"/>
    </row>
    <row r="59" spans="1:9" x14ac:dyDescent="0.25">
      <c r="A59" s="53" t="s">
        <v>75</v>
      </c>
      <c r="B59" s="54">
        <v>202000</v>
      </c>
      <c r="C59" s="54">
        <f>SUM(C60:C61)</f>
        <v>286031.69999999995</v>
      </c>
      <c r="D59" s="55">
        <f>(C59 * 100)/B59</f>
        <v>141.59985148514849</v>
      </c>
      <c r="G59" s="50" t="s">
        <v>2</v>
      </c>
      <c r="H59" s="51" t="s">
        <v>3</v>
      </c>
      <c r="I59" s="52" t="s">
        <v>74</v>
      </c>
    </row>
    <row r="60" spans="1:9" x14ac:dyDescent="0.25">
      <c r="A60" s="4" t="s">
        <v>76</v>
      </c>
      <c r="B60" s="57">
        <f>B59/2</f>
        <v>101000</v>
      </c>
      <c r="C60" s="59">
        <v>206889.8</v>
      </c>
      <c r="D60" s="60">
        <f>(C60 * 100)/B60</f>
        <v>204.84138613861387</v>
      </c>
      <c r="G60" s="57">
        <v>2424000</v>
      </c>
      <c r="H60" s="54">
        <v>2473839.9</v>
      </c>
      <c r="I60" s="58">
        <f>(H60 * 100)/G60</f>
        <v>102.05610148514852</v>
      </c>
    </row>
    <row r="61" spans="1:9" x14ac:dyDescent="0.25">
      <c r="A61" s="4" t="s">
        <v>77</v>
      </c>
      <c r="B61" s="57">
        <f>B59/2</f>
        <v>101000</v>
      </c>
      <c r="C61" s="59">
        <v>79141.899999999994</v>
      </c>
      <c r="D61" s="63">
        <f>(C61 * 100)/B61</f>
        <v>78.358316831683155</v>
      </c>
    </row>
    <row r="79" spans="1:9" ht="21" x14ac:dyDescent="0.35">
      <c r="A79" s="64"/>
      <c r="B79" s="17" t="s">
        <v>2</v>
      </c>
      <c r="C79" s="17" t="s">
        <v>3</v>
      </c>
      <c r="D79" s="17" t="s">
        <v>74</v>
      </c>
      <c r="G79" s="71" t="s">
        <v>73</v>
      </c>
      <c r="H79" s="71"/>
      <c r="I79" s="71"/>
    </row>
    <row r="80" spans="1:9" x14ac:dyDescent="0.25">
      <c r="A80" s="53" t="s">
        <v>75</v>
      </c>
      <c r="B80" s="54">
        <v>202000</v>
      </c>
      <c r="C80" s="54">
        <f>SUM(C81:C82)</f>
        <v>32780</v>
      </c>
      <c r="D80" s="55">
        <f>(C80 * 100)/B80</f>
        <v>16.227722772277229</v>
      </c>
      <c r="G80" s="78" t="s">
        <v>2</v>
      </c>
      <c r="H80" s="78" t="s">
        <v>3</v>
      </c>
      <c r="I80" s="78" t="s">
        <v>74</v>
      </c>
    </row>
    <row r="81" spans="1:9" x14ac:dyDescent="0.25">
      <c r="A81" s="4" t="s">
        <v>76</v>
      </c>
      <c r="B81" s="57">
        <f>B80/2</f>
        <v>101000</v>
      </c>
      <c r="C81" s="59">
        <v>10775</v>
      </c>
      <c r="D81" s="60">
        <f>(C81 * 100)/B81</f>
        <v>10.668316831683168</v>
      </c>
      <c r="G81" s="57">
        <v>2424000</v>
      </c>
      <c r="H81" s="57">
        <v>2473839.9</v>
      </c>
      <c r="I81" s="79">
        <f>(H81 * 100)/G81</f>
        <v>102.05610148514852</v>
      </c>
    </row>
    <row r="82" spans="1:9" x14ac:dyDescent="0.25">
      <c r="A82" s="4" t="s">
        <v>77</v>
      </c>
      <c r="B82" s="57">
        <f>B80/2</f>
        <v>101000</v>
      </c>
      <c r="C82" s="59">
        <v>22005</v>
      </c>
      <c r="D82" s="63">
        <f>(C82 * 100)/B82</f>
        <v>21.787128712871286</v>
      </c>
    </row>
  </sheetData>
  <mergeCells count="4">
    <mergeCell ref="G13:I13"/>
    <mergeCell ref="G33:I33"/>
    <mergeCell ref="G58:I58"/>
    <mergeCell ref="G79:I7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U6"/>
  <sheetViews>
    <sheetView zoomScaleNormal="100" workbookViewId="0">
      <selection activeCell="O18" sqref="O18"/>
    </sheetView>
  </sheetViews>
  <sheetFormatPr baseColWidth="10" defaultColWidth="9.140625" defaultRowHeight="15" x14ac:dyDescent="0.25"/>
  <cols>
    <col min="1" max="1" width="3" style="1"/>
    <col min="2" max="2" width="4" style="1"/>
    <col min="3" max="4" width="11.5703125" style="1"/>
    <col min="5" max="5" width="9.85546875" style="1"/>
    <col min="6" max="6" width="11.5703125" style="1"/>
    <col min="7" max="16" width="9.85546875" style="1" bestFit="1" customWidth="1"/>
    <col min="17" max="1035" width="11.5703125" style="1"/>
  </cols>
  <sheetData>
    <row r="1" spans="3:19" x14ac:dyDescent="0.25">
      <c r="C1" s="77" t="s">
        <v>94</v>
      </c>
      <c r="D1" s="77"/>
      <c r="E1"/>
      <c r="F1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3:19" x14ac:dyDescent="0.25">
      <c r="C2" s="32" t="s">
        <v>46</v>
      </c>
      <c r="D2" s="32" t="s">
        <v>47</v>
      </c>
      <c r="E2" s="32" t="s">
        <v>23</v>
      </c>
      <c r="F2" s="32" t="s">
        <v>79</v>
      </c>
      <c r="G2" s="32" t="s">
        <v>80</v>
      </c>
      <c r="H2" s="32" t="s">
        <v>79</v>
      </c>
      <c r="I2" s="32" t="s">
        <v>81</v>
      </c>
      <c r="J2" s="32" t="s">
        <v>82</v>
      </c>
      <c r="K2" s="32" t="s">
        <v>83</v>
      </c>
      <c r="L2" s="32" t="s">
        <v>84</v>
      </c>
      <c r="M2" s="32" t="s">
        <v>85</v>
      </c>
      <c r="N2" s="32" t="s">
        <v>86</v>
      </c>
      <c r="O2" s="73" t="s">
        <v>87</v>
      </c>
      <c r="P2" s="73" t="s">
        <v>88</v>
      </c>
      <c r="Q2" s="32" t="s">
        <v>89</v>
      </c>
      <c r="R2" s="32" t="s">
        <v>90</v>
      </c>
      <c r="S2" s="73" t="s">
        <v>91</v>
      </c>
    </row>
    <row r="3" spans="3:19" x14ac:dyDescent="0.25">
      <c r="C3" s="65">
        <v>42335</v>
      </c>
      <c r="D3" s="66">
        <v>42349</v>
      </c>
      <c r="E3" s="66">
        <v>42370</v>
      </c>
      <c r="F3" s="66">
        <v>42372</v>
      </c>
      <c r="G3" s="66">
        <v>42388</v>
      </c>
      <c r="H3" s="66">
        <v>42388</v>
      </c>
      <c r="I3" s="66">
        <v>42388</v>
      </c>
      <c r="J3" s="66">
        <v>42388</v>
      </c>
      <c r="K3" s="66">
        <v>42388</v>
      </c>
      <c r="L3" s="66">
        <v>42388</v>
      </c>
      <c r="M3" s="66">
        <v>42388</v>
      </c>
      <c r="N3" s="66">
        <v>42388</v>
      </c>
      <c r="O3" s="66">
        <v>42388</v>
      </c>
      <c r="P3" s="66">
        <v>42388</v>
      </c>
      <c r="Q3" s="66">
        <v>42388</v>
      </c>
      <c r="R3" s="66">
        <v>42388</v>
      </c>
      <c r="S3" s="66">
        <v>42388</v>
      </c>
    </row>
    <row r="4" spans="3:19" x14ac:dyDescent="0.25">
      <c r="C4" s="43"/>
      <c r="D4" s="43">
        <v>1</v>
      </c>
      <c r="E4" s="43">
        <v>0.97140000000000004</v>
      </c>
      <c r="F4" s="43">
        <v>1</v>
      </c>
      <c r="G4" s="43">
        <v>1</v>
      </c>
      <c r="H4" s="43">
        <v>1</v>
      </c>
      <c r="I4" s="43">
        <v>0.97</v>
      </c>
      <c r="J4" s="43">
        <v>0.97</v>
      </c>
      <c r="K4" s="43">
        <v>0.97</v>
      </c>
      <c r="L4" s="43">
        <v>1</v>
      </c>
      <c r="M4" s="43">
        <v>1</v>
      </c>
      <c r="N4" s="43">
        <v>1</v>
      </c>
      <c r="O4" s="43"/>
      <c r="P4" s="43"/>
      <c r="Q4" s="43" t="s">
        <v>93</v>
      </c>
      <c r="R4" s="43">
        <v>1</v>
      </c>
      <c r="S4" s="43"/>
    </row>
    <row r="5" spans="3:19" x14ac:dyDescent="0.25"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3:19" x14ac:dyDescent="0.25"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</sheetData>
  <mergeCells count="1">
    <mergeCell ref="C1:D1"/>
  </mergeCells>
  <conditionalFormatting sqref="D3:P3">
    <cfRule type="cellIs" dxfId="4" priority="6" operator="notEqual">
      <formula>INDIRECT("Dummy_for_Comparison1!"&amp;ADDRESS(ROW(),COLUMN()))</formula>
    </cfRule>
  </conditionalFormatting>
  <conditionalFormatting sqref="C3">
    <cfRule type="cellIs" dxfId="3" priority="7" operator="notEqual">
      <formula>INDIRECT("Dummy_for_Comparison1!"&amp;ADDRESS(ROW(),COLUMN()))</formula>
    </cfRule>
  </conditionalFormatting>
  <conditionalFormatting sqref="Q3">
    <cfRule type="cellIs" dxfId="2" priority="3" operator="notEqual">
      <formula>INDIRECT("Dummy_for_Comparison1!"&amp;ADDRESS(ROW(),COLUMN()))</formula>
    </cfRule>
  </conditionalFormatting>
  <conditionalFormatting sqref="R3">
    <cfRule type="cellIs" dxfId="1" priority="2" operator="notEqual">
      <formula>INDIRECT("Dummy_for_Comparison1!"&amp;ADDRESS(ROW(),COLUMN()))</formula>
    </cfRule>
  </conditionalFormatting>
  <conditionalFormatting sqref="S3">
    <cfRule type="cellIs" dxfId="0" priority="1" operator="notEqual">
      <formula>INDIRECT("Dummy_for_Comparison1!"&amp;ADDRESS(ROW(),COLUMN()))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HP</cp:lastModifiedBy>
  <cp:revision>7</cp:revision>
  <dcterms:created xsi:type="dcterms:W3CDTF">2011-07-18T21:22:38Z</dcterms:created>
  <dcterms:modified xsi:type="dcterms:W3CDTF">2016-01-21T18:33:07Z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