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linlin/Desktop/"/>
    </mc:Choice>
  </mc:AlternateContent>
  <xr:revisionPtr revIDLastSave="0" documentId="13_ncr:1_{032E3A52-371F-354A-BC3B-E6697935BEDB}" xr6:coauthVersionLast="47" xr6:coauthVersionMax="47" xr10:uidLastSave="{00000000-0000-0000-0000-000000000000}"/>
  <bookViews>
    <workbookView xWindow="0" yWindow="-21120" windowWidth="38400" windowHeight="21120" xr2:uid="{B03B2C3E-B2C2-4146-8AB4-6E49FF9CF9CC}"/>
  </bookViews>
  <sheets>
    <sheet name="Charging &amp; cycles (new)" sheetId="1" r:id="rId1"/>
    <sheet name="Battery &amp; Charging Check (new)" sheetId="4" r:id="rId2"/>
    <sheet name="Sample trip chai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0" i="1" l="1"/>
  <c r="I71" i="1"/>
  <c r="I72" i="1"/>
  <c r="I73" i="1"/>
  <c r="I74" i="1"/>
  <c r="I75" i="1"/>
  <c r="I76" i="1"/>
  <c r="I77" i="1"/>
  <c r="I78" i="1"/>
  <c r="I79" i="1"/>
  <c r="I69" i="1"/>
  <c r="E70" i="1"/>
  <c r="E71" i="1"/>
  <c r="E72" i="1"/>
  <c r="E73" i="1"/>
  <c r="E74" i="1"/>
  <c r="E75" i="1"/>
  <c r="E76" i="1"/>
  <c r="E77" i="1"/>
  <c r="E78" i="1"/>
  <c r="E79" i="1"/>
  <c r="E69" i="1"/>
  <c r="J70" i="1"/>
  <c r="J71" i="1"/>
  <c r="J72" i="1"/>
  <c r="J73" i="1"/>
  <c r="J74" i="1"/>
  <c r="J75" i="1"/>
  <c r="J76" i="1"/>
  <c r="J77" i="1"/>
  <c r="J78" i="1"/>
  <c r="J79" i="1"/>
  <c r="J69" i="1"/>
  <c r="L55" i="1"/>
  <c r="R10" i="1"/>
  <c r="P25" i="1"/>
  <c r="R7" i="1"/>
  <c r="AF7" i="1"/>
  <c r="W25" i="1"/>
  <c r="S34" i="1"/>
  <c r="S33" i="1"/>
  <c r="S26" i="1"/>
  <c r="S27" i="1"/>
  <c r="S28" i="1"/>
  <c r="S29" i="1"/>
  <c r="S30" i="1"/>
  <c r="S31" i="1"/>
  <c r="S32" i="1"/>
  <c r="S35" i="1"/>
  <c r="S25" i="1"/>
  <c r="Z7" i="1"/>
  <c r="N25" i="1"/>
  <c r="H35" i="1"/>
  <c r="H34" i="1"/>
  <c r="H33" i="1"/>
  <c r="H26" i="1"/>
  <c r="H27" i="1"/>
  <c r="H28" i="1"/>
  <c r="H29" i="1"/>
  <c r="H30" i="1"/>
  <c r="H31" i="1"/>
  <c r="H32" i="1"/>
  <c r="H25" i="1"/>
  <c r="L16" i="1"/>
  <c r="D7" i="1"/>
  <c r="M7" i="1"/>
  <c r="L7" i="1"/>
  <c r="N7" i="1"/>
  <c r="F8" i="4"/>
  <c r="L65" i="1"/>
  <c r="L64" i="1"/>
  <c r="L63" i="1"/>
  <c r="L62" i="1"/>
  <c r="L61" i="1"/>
  <c r="L60" i="1"/>
  <c r="L59" i="1"/>
  <c r="L58" i="1"/>
  <c r="L57" i="1"/>
  <c r="L56" i="1"/>
  <c r="W26" i="1"/>
  <c r="W27" i="1"/>
  <c r="W28" i="1"/>
  <c r="W29" i="1"/>
  <c r="W30" i="1"/>
  <c r="W31" i="1"/>
  <c r="W32" i="1"/>
  <c r="W33" i="1"/>
  <c r="W34" i="1"/>
  <c r="W35" i="1"/>
  <c r="AA7" i="1"/>
  <c r="AE7" i="1" s="1"/>
  <c r="D48" i="1"/>
  <c r="N26" i="1"/>
  <c r="P26" i="1" s="1"/>
  <c r="N27" i="1"/>
  <c r="P27" i="1" s="1"/>
  <c r="N29" i="1"/>
  <c r="P29" i="1" s="1"/>
  <c r="N30" i="1"/>
  <c r="P30" i="1" s="1"/>
  <c r="N31" i="1"/>
  <c r="P31" i="1" s="1"/>
  <c r="N32" i="1"/>
  <c r="P32" i="1" s="1"/>
  <c r="N33" i="1"/>
  <c r="P33" i="1" s="1"/>
  <c r="N34" i="1"/>
  <c r="P34" i="1" s="1"/>
  <c r="N35" i="1"/>
  <c r="P35" i="1" s="1"/>
  <c r="D45" i="1"/>
  <c r="D44" i="1"/>
  <c r="D43" i="1"/>
  <c r="R29" i="4"/>
  <c r="R30" i="4"/>
  <c r="R31" i="4"/>
  <c r="R28" i="4"/>
  <c r="K28" i="4"/>
  <c r="H28" i="4"/>
  <c r="F9" i="4"/>
  <c r="F10" i="4"/>
  <c r="I10" i="4"/>
  <c r="J10" i="4" s="1"/>
  <c r="I8" i="4"/>
  <c r="J8" i="4" s="1"/>
  <c r="H9" i="4"/>
  <c r="I9" i="4" s="1"/>
  <c r="J9" i="4" s="1"/>
  <c r="H10" i="4"/>
  <c r="H8" i="4"/>
  <c r="K29" i="4"/>
  <c r="K30" i="4"/>
  <c r="K31" i="4"/>
  <c r="M29" i="4"/>
  <c r="M30" i="4"/>
  <c r="M31" i="4"/>
  <c r="M28" i="4"/>
  <c r="H31" i="4"/>
  <c r="H30" i="4"/>
  <c r="H29" i="4"/>
  <c r="P6" i="2"/>
  <c r="P7" i="2"/>
  <c r="P8" i="2"/>
  <c r="P9" i="2"/>
  <c r="P5" i="2"/>
  <c r="E5" i="2"/>
  <c r="L5" i="2"/>
  <c r="H8" i="2"/>
  <c r="G9" i="2"/>
  <c r="H9" i="2" s="1"/>
  <c r="G5" i="2"/>
  <c r="H5" i="2" s="1"/>
  <c r="O6" i="2"/>
  <c r="O7" i="2"/>
  <c r="O9" i="2"/>
  <c r="O5" i="2"/>
  <c r="Q5" i="2" s="1"/>
  <c r="E6" i="2" s="1"/>
  <c r="H6" i="2"/>
  <c r="H7" i="2"/>
  <c r="Z17" i="1"/>
  <c r="AA17" i="1" s="1"/>
  <c r="AE17" i="1" s="1"/>
  <c r="Z16" i="1"/>
  <c r="AA16" i="1" s="1"/>
  <c r="M16" i="1"/>
  <c r="N16" i="1" s="1"/>
  <c r="P16" i="1" s="1"/>
  <c r="L15" i="1"/>
  <c r="M15" i="1" s="1"/>
  <c r="Z15" i="1"/>
  <c r="AA15" i="1" s="1"/>
  <c r="AE15" i="1" s="1"/>
  <c r="Z14" i="1"/>
  <c r="AA14" i="1" s="1"/>
  <c r="AE14" i="1" s="1"/>
  <c r="D8" i="1"/>
  <c r="D9" i="1"/>
  <c r="D10" i="1"/>
  <c r="D11" i="1"/>
  <c r="D12" i="1"/>
  <c r="D13" i="1"/>
  <c r="D14" i="1"/>
  <c r="L14" i="1"/>
  <c r="M14" i="1" s="1"/>
  <c r="Z13" i="1"/>
  <c r="AA13" i="1" s="1"/>
  <c r="AE13" i="1" s="1"/>
  <c r="L13" i="1"/>
  <c r="M13" i="1" s="1"/>
  <c r="L17" i="1"/>
  <c r="M17" i="1" s="1"/>
  <c r="Z12" i="1"/>
  <c r="AA12" i="1" s="1"/>
  <c r="AE12" i="1" s="1"/>
  <c r="L12" i="1"/>
  <c r="M12" i="1" s="1"/>
  <c r="Z11" i="1"/>
  <c r="AA11" i="1" s="1"/>
  <c r="AE11" i="1" s="1"/>
  <c r="AD7" i="1"/>
  <c r="AD8" i="1"/>
  <c r="AD10" i="1"/>
  <c r="Z8" i="1"/>
  <c r="AA8" i="1" s="1"/>
  <c r="AE8" i="1" s="1"/>
  <c r="Z9" i="1"/>
  <c r="AA9" i="1" s="1"/>
  <c r="AE9" i="1" s="1"/>
  <c r="Z10" i="1"/>
  <c r="L8" i="1"/>
  <c r="L9" i="1"/>
  <c r="L10" i="1"/>
  <c r="M10" i="1" s="1"/>
  <c r="L11" i="1"/>
  <c r="M11" i="1" s="1"/>
  <c r="V30" i="1" l="1"/>
  <c r="X30" i="1" s="1"/>
  <c r="Y30" i="1" s="1"/>
  <c r="V31" i="1"/>
  <c r="X31" i="1" s="1"/>
  <c r="Y31" i="1" s="1"/>
  <c r="V29" i="1"/>
  <c r="X29" i="1" s="1"/>
  <c r="Y29" i="1" s="1"/>
  <c r="V34" i="1"/>
  <c r="X34" i="1" s="1"/>
  <c r="Y34" i="1" s="1"/>
  <c r="V25" i="1"/>
  <c r="X25" i="1" s="1"/>
  <c r="Y25" i="1" s="1"/>
  <c r="V28" i="1"/>
  <c r="X28" i="1" s="1"/>
  <c r="Y28" i="1" s="1"/>
  <c r="V35" i="1"/>
  <c r="X35" i="1" s="1"/>
  <c r="Y35" i="1" s="1"/>
  <c r="V33" i="1"/>
  <c r="X33" i="1" s="1"/>
  <c r="Y33" i="1" s="1"/>
  <c r="V27" i="1"/>
  <c r="X27" i="1" s="1"/>
  <c r="Y27" i="1" s="1"/>
  <c r="V26" i="1"/>
  <c r="X26" i="1" s="1"/>
  <c r="Y26" i="1" s="1"/>
  <c r="V32" i="1"/>
  <c r="X32" i="1" s="1"/>
  <c r="Y32" i="1" s="1"/>
  <c r="AF10" i="1"/>
  <c r="AC16" i="1"/>
  <c r="AE16" i="1" s="1"/>
  <c r="Q16" i="1"/>
  <c r="J6" i="2"/>
  <c r="B6" i="2"/>
  <c r="C17" i="1"/>
  <c r="D17" i="1" s="1"/>
  <c r="N17" i="1" s="1"/>
  <c r="P17" i="1" s="1"/>
  <c r="Q17" i="1" s="1"/>
  <c r="N14" i="1"/>
  <c r="P14" i="1" s="1"/>
  <c r="Q14" i="1" s="1"/>
  <c r="N11" i="1"/>
  <c r="M25" i="1" l="1"/>
  <c r="R16" i="1"/>
  <c r="U16" i="1"/>
  <c r="AD16" i="1"/>
  <c r="M34" i="1"/>
  <c r="Q6" i="2"/>
  <c r="E7" i="2" s="1"/>
  <c r="L6" i="2"/>
  <c r="R17" i="1"/>
  <c r="U17" i="1"/>
  <c r="R14" i="1"/>
  <c r="U14" i="1"/>
  <c r="N13" i="1"/>
  <c r="P13" i="1" s="1"/>
  <c r="Q13" i="1" s="1"/>
  <c r="N12" i="1"/>
  <c r="P12" i="1" s="1"/>
  <c r="Q12" i="1" s="1"/>
  <c r="P11" i="1"/>
  <c r="Q11" i="1" s="1"/>
  <c r="N10" i="1"/>
  <c r="M27" i="1" l="1"/>
  <c r="M33" i="1"/>
  <c r="M26" i="1"/>
  <c r="M32" i="1"/>
  <c r="M30" i="1"/>
  <c r="M31" i="1"/>
  <c r="M29" i="1"/>
  <c r="M35" i="1"/>
  <c r="AF16" i="1"/>
  <c r="J7" i="2"/>
  <c r="B7" i="2"/>
  <c r="AF17" i="1"/>
  <c r="AF14" i="1"/>
  <c r="R11" i="1"/>
  <c r="U11" i="1"/>
  <c r="R12" i="1"/>
  <c r="U12" i="1"/>
  <c r="R13" i="1"/>
  <c r="U13" i="1"/>
  <c r="S10" i="1"/>
  <c r="AA10" i="1" s="1"/>
  <c r="AE10" i="1" s="1"/>
  <c r="AD9" i="1"/>
  <c r="M8" i="1"/>
  <c r="M9" i="1"/>
  <c r="L7" i="2" l="1"/>
  <c r="Q7" i="2"/>
  <c r="E8" i="2" s="1"/>
  <c r="AF12" i="1"/>
  <c r="AF13" i="1"/>
  <c r="AF11" i="1"/>
  <c r="J8" i="2" l="1"/>
  <c r="B8" i="2"/>
  <c r="N9" i="1"/>
  <c r="N8" i="1"/>
  <c r="P8" i="1" s="1"/>
  <c r="Q8" i="1" s="1"/>
  <c r="P9" i="1" l="1"/>
  <c r="Q9" i="1" s="1"/>
  <c r="L8" i="2"/>
  <c r="Q8" i="2"/>
  <c r="E9" i="2" s="1"/>
  <c r="U8" i="1"/>
  <c r="R8" i="1"/>
  <c r="R9" i="1" l="1"/>
  <c r="U9" i="1"/>
  <c r="AF9" i="1" s="1"/>
  <c r="J9" i="2"/>
  <c r="B9" i="2"/>
  <c r="AF8" i="1"/>
  <c r="L9" i="2" l="1"/>
  <c r="Q9" i="2"/>
  <c r="P7" i="1" l="1"/>
  <c r="Q7" i="1" s="1"/>
  <c r="U7" i="1" l="1"/>
  <c r="D15" i="1"/>
  <c r="N15" i="1" s="1"/>
  <c r="P15" i="1" s="1"/>
  <c r="Q15" i="1" s="1"/>
  <c r="R15" i="1" l="1"/>
  <c r="U15" i="1"/>
  <c r="AF15" i="1" l="1"/>
</calcChain>
</file>

<file path=xl/sharedStrings.xml><?xml version="1.0" encoding="utf-8"?>
<sst xmlns="http://schemas.openxmlformats.org/spreadsheetml/2006/main" count="269" uniqueCount="142">
  <si>
    <t>Charge time (min) per transit min.:</t>
  </si>
  <si>
    <t>20 knots:</t>
  </si>
  <si>
    <t>13 knots:</t>
  </si>
  <si>
    <t>Min. allowable capacity:</t>
  </si>
  <si>
    <t>Idling:</t>
  </si>
  <si>
    <t>Line</t>
  </si>
  <si>
    <t>Loading time at origin</t>
  </si>
  <si>
    <t>Service speed (knots)</t>
  </si>
  <si>
    <t>Recovery time at outer terminal</t>
  </si>
  <si>
    <t>% of battery capacity battery used on outbound trip</t>
  </si>
  <si>
    <t>Battery capacity (kW):</t>
  </si>
  <si>
    <t>OuT Remaining battery capacity</t>
  </si>
  <si>
    <t>OuT Connection/ disconnection time</t>
  </si>
  <si>
    <t>OuT Charge time</t>
  </si>
  <si>
    <t>OuT Total  connection and charge time</t>
  </si>
  <si>
    <t>OuT Total Dwell</t>
  </si>
  <si>
    <t>Outbound: time in transit</t>
  </si>
  <si>
    <t>Outbound: dwell at intermediate stops</t>
  </si>
  <si>
    <t>Loading time at OuT</t>
  </si>
  <si>
    <t>Inbound time in transit</t>
  </si>
  <si>
    <t>Cycle time</t>
  </si>
  <si>
    <t>Route</t>
  </si>
  <si>
    <t>F2</t>
  </si>
  <si>
    <t>Taronga Zoo only (0ff peak)</t>
  </si>
  <si>
    <t>Zoo/Mosman (Peak)</t>
  </si>
  <si>
    <t>Outer terminal name</t>
  </si>
  <si>
    <t>Taronga Zoo</t>
  </si>
  <si>
    <t>Pyrmont Bay</t>
  </si>
  <si>
    <t>Double Bay</t>
  </si>
  <si>
    <t>Mosman</t>
  </si>
  <si>
    <t>F4</t>
  </si>
  <si>
    <t>Recovery time at origin terminal</t>
  </si>
  <si>
    <t>Unloading time at origin terminal</t>
  </si>
  <si>
    <t>Discharge on inbound trip (kWh)</t>
  </si>
  <si>
    <t>F5</t>
  </si>
  <si>
    <t>Discharge per minute( kW):</t>
  </si>
  <si>
    <t>Battery capacity at start of inbound trip</t>
  </si>
  <si>
    <t>Origin terminal connection/ disconnection time</t>
  </si>
  <si>
    <t>Origin terminal charge time</t>
  </si>
  <si>
    <t>Origin terminal total connection and charge time</t>
  </si>
  <si>
    <t>Remaining battery capacity available for next trip</t>
  </si>
  <si>
    <t>Neutral Bay</t>
  </si>
  <si>
    <t xml:space="preserve">Unloading time at outer terminal </t>
  </si>
  <si>
    <t xml:space="preserve">Loading/ unloading at OuT if no charging </t>
  </si>
  <si>
    <t xml:space="preserve">Blackwattle Bay </t>
  </si>
  <si>
    <t>F6</t>
  </si>
  <si>
    <t>Mosman (peak)</t>
  </si>
  <si>
    <t>Mosman (off peak)</t>
  </si>
  <si>
    <t>Inbound dwell at intermediate stops</t>
  </si>
  <si>
    <t>F7</t>
  </si>
  <si>
    <t>F8</t>
  </si>
  <si>
    <t>Cockatoo Is</t>
  </si>
  <si>
    <t>Rose Bay (peak)</t>
  </si>
  <si>
    <t>F9</t>
  </si>
  <si>
    <t>Rose Bay</t>
  </si>
  <si>
    <t>Watsons Bay (off peak)</t>
  </si>
  <si>
    <t>Watsons Bay</t>
  </si>
  <si>
    <t>F10</t>
  </si>
  <si>
    <t>Annandale</t>
  </si>
  <si>
    <t>Charge per minute</t>
  </si>
  <si>
    <t>Assumed kWh discharged at end of previous trip</t>
  </si>
  <si>
    <t>Assumed % capacity at end of previous inbound trip</t>
  </si>
  <si>
    <t>Discharge on outbound trip (kWh)</t>
  </si>
  <si>
    <t>Charge remaining on return to Origin terminal  (kWh)</t>
  </si>
  <si>
    <t>Discharge on outbound leg</t>
  </si>
  <si>
    <t>Discharge on inbound leg</t>
  </si>
  <si>
    <t xml:space="preserve">Neutral Bay </t>
  </si>
  <si>
    <t xml:space="preserve">Battery capacity (kW) : </t>
  </si>
  <si>
    <t xml:space="preserve">Charging speed (kW per min.): </t>
  </si>
  <si>
    <t>Battery capacity available before inbound leg</t>
  </si>
  <si>
    <t>Charge available for next trip</t>
  </si>
  <si>
    <t>Passenger exchange at CQ (mins)</t>
  </si>
  <si>
    <t>Connection/ disconnection time at outer terminal (mins)</t>
  </si>
  <si>
    <t>Recovery time (mins)</t>
  </si>
  <si>
    <t>Total time req'd for charging process (mins)</t>
  </si>
  <si>
    <t>Battery capacity on arrival at CQ</t>
  </si>
  <si>
    <t>Battery capacity on arrival at outer terminal</t>
  </si>
  <si>
    <t>% of battery capacity available at departure</t>
  </si>
  <si>
    <t>Charging time allowance (mins)</t>
  </si>
  <si>
    <t>Charging time available at CQ (mins)</t>
  </si>
  <si>
    <t>Total time req'd for charging process at CQ (mins)</t>
  </si>
  <si>
    <t>Propulsive (kW)</t>
  </si>
  <si>
    <t>Charge power equiv (kW)*</t>
  </si>
  <si>
    <t>speed (knots)</t>
  </si>
  <si>
    <t>Time</t>
  </si>
  <si>
    <t>Speed</t>
  </si>
  <si>
    <t>Distance</t>
  </si>
  <si>
    <t>Prop Power</t>
  </si>
  <si>
    <t>“Simple” energy</t>
  </si>
  <si>
    <t>Charge power</t>
  </si>
  <si>
    <t>Req charge energy</t>
  </si>
  <si>
    <t>Recharge time at 2.1 MW</t>
  </si>
  <si>
    <t>mins</t>
  </si>
  <si>
    <t>knots (1mile/h)</t>
  </si>
  <si>
    <t>Nautical miles</t>
  </si>
  <si>
    <t>kW</t>
  </si>
  <si>
    <t>kWh</t>
  </si>
  <si>
    <t>kwh</t>
  </si>
  <si>
    <t>Manully Check:
Used energy</t>
  </si>
  <si>
    <t>Mannully Check:
Req charge energy</t>
  </si>
  <si>
    <t>Check:
2100kW</t>
  </si>
  <si>
    <t>Practical range from
 1100 kWh battery</t>
  </si>
  <si>
    <t>Req Time (min)</t>
  </si>
  <si>
    <t>Q comsumed</t>
  </si>
  <si>
    <t>% of battery</t>
  </si>
  <si>
    <t>η</t>
  </si>
  <si>
    <t>2.1MW at 800 VDC</t>
  </si>
  <si>
    <t>Req Charging Energy</t>
  </si>
  <si>
    <t>kWh/h</t>
  </si>
  <si>
    <t>kWh/min</t>
  </si>
  <si>
    <t>t_t
(min)</t>
  </si>
  <si>
    <t>Outer terminal</t>
  </si>
  <si>
    <t>^ less than 2min connect/disconnect time --&gt;No Charging task</t>
  </si>
  <si>
    <t>Q+_1
(kWh)</t>
  </si>
  <si>
    <t>At Origin Terminal</t>
  </si>
  <si>
    <t>Q+_2
(kWh)</t>
  </si>
  <si>
    <t>Charging rage</t>
  </si>
  <si>
    <t>Discharging</t>
  </si>
  <si>
    <t>Outbound trips</t>
  </si>
  <si>
    <t>^ unused</t>
  </si>
  <si>
    <t>Inbound trips</t>
  </si>
  <si>
    <t>Q- _1
(kWh)</t>
  </si>
  <si>
    <t>Q- _2
(kWh)</t>
  </si>
  <si>
    <t>∆Q
(kWh)</t>
  </si>
  <si>
    <t>Cycle time
(min)</t>
  </si>
  <si>
    <t>Average Discharging Rate
(kWh/min)</t>
  </si>
  <si>
    <t>Cycle Summary</t>
  </si>
  <si>
    <t>t_loading
(min)</t>
  </si>
  <si>
    <t>t_dwelling
(min)</t>
  </si>
  <si>
    <t>t_recovery
(min)</t>
  </si>
  <si>
    <t>t_unloading
(min)</t>
  </si>
  <si>
    <t>t_(un)loading no charging
(min)</t>
  </si>
  <si>
    <t>t_connection + t_charging
(min)</t>
  </si>
  <si>
    <t>t_dwelling</t>
  </si>
  <si>
    <t>^ Q-_2</t>
  </si>
  <si>
    <t>% in battery
(per time period)</t>
  </si>
  <si>
    <t>^ Assumption1</t>
  </si>
  <si>
    <t>text in red is the new calculated data</t>
  </si>
  <si>
    <t>text in black is data directly copied and pasted from the table above</t>
  </si>
  <si>
    <t>5 knots</t>
  </si>
  <si>
    <t>^Q-_1</t>
  </si>
  <si>
    <t>contains the (un)loading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</si>
</sst>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
    <numFmt numFmtId="167" formatCode="0.000"/>
  </numFmts>
  <fonts count="20" x14ac:knownFonts="1">
    <font>
      <sz val="11"/>
      <color theme="1"/>
      <name val="Aptos Narrow"/>
      <family val="2"/>
      <scheme val="minor"/>
    </font>
    <font>
      <i/>
      <sz val="11"/>
      <color theme="1"/>
      <name val="Aptos Narrow"/>
      <family val="2"/>
      <scheme val="minor"/>
    </font>
    <font>
      <b/>
      <sz val="11"/>
      <color theme="1"/>
      <name val="Aptos Narrow"/>
      <family val="2"/>
      <scheme val="minor"/>
    </font>
    <font>
      <b/>
      <i/>
      <sz val="11"/>
      <color theme="1"/>
      <name val="Aptos Narrow"/>
      <family val="2"/>
      <scheme val="minor"/>
    </font>
    <font>
      <sz val="11"/>
      <color rgb="FF212121"/>
      <name val="Aptos"/>
    </font>
    <font>
      <sz val="11"/>
      <color rgb="FFFF0000"/>
      <name val="Aptos Narrow"/>
      <family val="2"/>
      <scheme val="minor"/>
    </font>
    <font>
      <sz val="11"/>
      <color rgb="FFFF0000"/>
      <name val="Aptos Narrow"/>
      <scheme val="minor"/>
    </font>
    <font>
      <sz val="11"/>
      <color rgb="FFFF0000"/>
      <name val="Cambria Math"/>
      <family val="1"/>
    </font>
    <font>
      <sz val="11"/>
      <color rgb="FFFF0000"/>
      <name val="Aptos"/>
    </font>
    <font>
      <b/>
      <i/>
      <sz val="11"/>
      <color rgb="FFFF0000"/>
      <name val="Aptos Narrow"/>
      <scheme val="minor"/>
    </font>
    <font>
      <b/>
      <sz val="11"/>
      <color rgb="FFFF0000"/>
      <name val="Aptos Narrow"/>
      <scheme val="minor"/>
    </font>
    <font>
      <sz val="11"/>
      <color theme="1"/>
      <name val="Aptos Narrow"/>
      <scheme val="minor"/>
    </font>
    <font>
      <b/>
      <i/>
      <sz val="11"/>
      <color theme="1"/>
      <name val="Aptos Narrow"/>
      <scheme val="minor"/>
    </font>
    <font>
      <b/>
      <sz val="11"/>
      <color theme="1"/>
      <name val="Aptos Narrow"/>
      <scheme val="minor"/>
    </font>
    <font>
      <i/>
      <sz val="11"/>
      <color theme="1"/>
      <name val="Aptos Narrow"/>
      <scheme val="minor"/>
    </font>
    <font>
      <sz val="11"/>
      <color theme="7"/>
      <name val="Aptos Narrow"/>
      <scheme val="minor"/>
    </font>
    <font>
      <i/>
      <sz val="11"/>
      <color rgb="FFFF0000"/>
      <name val="Aptos Narrow"/>
      <scheme val="minor"/>
    </font>
    <font>
      <b/>
      <sz val="11"/>
      <color rgb="FFFF0000"/>
      <name val="Aptos Narrow (Body)"/>
    </font>
    <font>
      <b/>
      <sz val="14"/>
      <color theme="1"/>
      <name val="Aptos Narrow"/>
      <scheme val="minor"/>
    </font>
    <font>
      <b/>
      <sz val="16"/>
      <color rgb="FFFF0000"/>
      <name val="Aptos Narrow"/>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2"/>
        <bgColor indexed="64"/>
      </patternFill>
    </fill>
    <fill>
      <patternFill patternType="solid">
        <fgColor rgb="FFFFFF00"/>
        <bgColor indexed="64"/>
      </patternFill>
    </fill>
  </fills>
  <borders count="5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medium">
        <color theme="1"/>
      </left>
      <right style="medium">
        <color theme="1"/>
      </right>
      <top style="medium">
        <color theme="1"/>
      </top>
      <bottom style="medium">
        <color theme="1"/>
      </bottom>
      <diagonal/>
    </border>
    <border>
      <left style="medium">
        <color theme="1"/>
      </left>
      <right style="thin">
        <color theme="2" tint="-9.9978637043366805E-2"/>
      </right>
      <top style="medium">
        <color theme="1"/>
      </top>
      <bottom style="thin">
        <color theme="2" tint="-9.9978637043366805E-2"/>
      </bottom>
      <diagonal/>
    </border>
    <border>
      <left style="thin">
        <color theme="2" tint="-9.9978637043366805E-2"/>
      </left>
      <right style="medium">
        <color theme="1"/>
      </right>
      <top style="medium">
        <color theme="1"/>
      </top>
      <bottom style="thin">
        <color theme="2" tint="-9.9978637043366805E-2"/>
      </bottom>
      <diagonal/>
    </border>
    <border>
      <left style="medium">
        <color theme="1"/>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1"/>
      </right>
      <top style="thin">
        <color theme="2" tint="-9.9978637043366805E-2"/>
      </top>
      <bottom style="thin">
        <color theme="2" tint="-9.9978637043366805E-2"/>
      </bottom>
      <diagonal/>
    </border>
    <border>
      <left style="medium">
        <color theme="1"/>
      </left>
      <right style="thin">
        <color theme="2" tint="-9.9978637043366805E-2"/>
      </right>
      <top style="thin">
        <color theme="2" tint="-9.9978637043366805E-2"/>
      </top>
      <bottom style="medium">
        <color theme="1"/>
      </bottom>
      <diagonal/>
    </border>
    <border>
      <left style="thin">
        <color theme="2" tint="-9.9978637043366805E-2"/>
      </left>
      <right style="medium">
        <color theme="1"/>
      </right>
      <top style="thin">
        <color theme="2" tint="-9.9978637043366805E-2"/>
      </top>
      <bottom style="medium">
        <color theme="1"/>
      </bottom>
      <diagonal/>
    </border>
    <border>
      <left style="thin">
        <color theme="2" tint="-9.9978637043366805E-2"/>
      </left>
      <right style="thin">
        <color theme="2" tint="-9.9978637043366805E-2"/>
      </right>
      <top style="medium">
        <color theme="1"/>
      </top>
      <bottom style="thin">
        <color theme="2" tint="-9.9978637043366805E-2"/>
      </bottom>
      <diagonal/>
    </border>
    <border>
      <left style="thin">
        <color theme="2" tint="-9.9978637043366805E-2"/>
      </left>
      <right style="thin">
        <color theme="2" tint="-9.9978637043366805E-2"/>
      </right>
      <top style="thin">
        <color theme="2" tint="-9.9978637043366805E-2"/>
      </top>
      <bottom style="medium">
        <color theme="1"/>
      </bottom>
      <diagonal/>
    </border>
    <border>
      <left style="thin">
        <color theme="2" tint="-9.9978637043366805E-2"/>
      </left>
      <right/>
      <top style="medium">
        <color theme="1"/>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top style="thin">
        <color theme="2" tint="-9.9978637043366805E-2"/>
      </top>
      <bottom style="medium">
        <color theme="1"/>
      </bottom>
      <diagonal/>
    </border>
    <border>
      <left/>
      <right style="medium">
        <color theme="1"/>
      </right>
      <top style="medium">
        <color theme="1"/>
      </top>
      <bottom/>
      <diagonal/>
    </border>
    <border>
      <left style="medium">
        <color theme="1"/>
      </left>
      <right/>
      <top style="medium">
        <color theme="1"/>
      </top>
      <bottom/>
      <diagonal/>
    </border>
    <border>
      <left/>
      <right/>
      <top style="medium">
        <color theme="1"/>
      </top>
      <bottom/>
      <diagonal/>
    </border>
    <border>
      <left style="thin">
        <color theme="2" tint="-9.9978637043366805E-2"/>
      </left>
      <right style="medium">
        <color theme="1"/>
      </right>
      <top/>
      <bottom style="thin">
        <color theme="2" tint="-9.9978637043366805E-2"/>
      </bottom>
      <diagonal/>
    </border>
    <border>
      <left style="medium">
        <color theme="1"/>
      </left>
      <right style="medium">
        <color theme="1"/>
      </right>
      <top style="medium">
        <color theme="1"/>
      </top>
      <bottom style="thin">
        <color theme="2" tint="-9.9978637043366805E-2"/>
      </bottom>
      <diagonal/>
    </border>
    <border>
      <left style="medium">
        <color theme="1"/>
      </left>
      <right style="medium">
        <color theme="1"/>
      </right>
      <top style="thin">
        <color theme="2" tint="-9.9978637043366805E-2"/>
      </top>
      <bottom style="thin">
        <color theme="2" tint="-9.9978637043366805E-2"/>
      </bottom>
      <diagonal/>
    </border>
    <border>
      <left style="medium">
        <color theme="1"/>
      </left>
      <right style="medium">
        <color theme="1"/>
      </right>
      <top style="thin">
        <color theme="2" tint="-9.9978637043366805E-2"/>
      </top>
      <bottom style="medium">
        <color theme="1"/>
      </bottom>
      <diagonal/>
    </border>
    <border>
      <left style="medium">
        <color indexed="64"/>
      </left>
      <right/>
      <top style="medium">
        <color theme="1"/>
      </top>
      <bottom/>
      <diagonal/>
    </border>
    <border>
      <left style="medium">
        <color indexed="64"/>
      </left>
      <right/>
      <top style="medium">
        <color theme="1"/>
      </top>
      <bottom style="medium">
        <color theme="1"/>
      </bottom>
      <diagonal/>
    </border>
    <border>
      <left/>
      <right style="medium">
        <color indexed="64"/>
      </right>
      <top style="medium">
        <color theme="1"/>
      </top>
      <bottom style="medium">
        <color theme="1"/>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theme="1"/>
      </left>
      <right style="medium">
        <color theme="1"/>
      </right>
      <top style="medium">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theme="1"/>
      </right>
      <top/>
      <bottom style="thin">
        <color indexed="64"/>
      </bottom>
      <diagonal/>
    </border>
    <border>
      <left style="medium">
        <color theme="1"/>
      </left>
      <right style="thin">
        <color indexed="64"/>
      </right>
      <top style="medium">
        <color theme="1"/>
      </top>
      <bottom style="medium">
        <color theme="1"/>
      </bottom>
      <diagonal/>
    </border>
    <border>
      <left style="thin">
        <color indexed="64"/>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
      <left/>
      <right style="thin">
        <color theme="1"/>
      </right>
      <top style="medium">
        <color theme="1"/>
      </top>
      <bottom style="thin">
        <color theme="1"/>
      </bottom>
      <diagonal/>
    </border>
    <border>
      <left style="medium">
        <color theme="1"/>
      </left>
      <right style="thin">
        <color theme="1"/>
      </right>
      <top/>
      <bottom style="medium">
        <color theme="1"/>
      </bottom>
      <diagonal/>
    </border>
  </borders>
  <cellStyleXfs count="1">
    <xf numFmtId="0" fontId="0" fillId="0" borderId="0"/>
  </cellStyleXfs>
  <cellXfs count="179">
    <xf numFmtId="0" fontId="0" fillId="0" borderId="0" xfId="0"/>
    <xf numFmtId="0" fontId="0" fillId="0" borderId="0" xfId="0" applyAlignment="1">
      <alignment horizontal="center" wrapText="1"/>
    </xf>
    <xf numFmtId="0" fontId="1"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0" fillId="0" borderId="0" xfId="0" applyAlignment="1">
      <alignment horizontal="right"/>
    </xf>
    <xf numFmtId="2" fontId="0" fillId="0" borderId="0" xfId="0" applyNumberFormat="1" applyAlignment="1">
      <alignment horizontal="center"/>
    </xf>
    <xf numFmtId="1" fontId="0" fillId="0" borderId="0" xfId="0" applyNumberFormat="1" applyAlignment="1">
      <alignment horizontal="center"/>
    </xf>
    <xf numFmtId="9" fontId="0" fillId="0" borderId="0" xfId="0" applyNumberFormat="1" applyAlignment="1">
      <alignment horizontal="center"/>
    </xf>
    <xf numFmtId="21" fontId="0" fillId="0" borderId="0" xfId="0" applyNumberFormat="1"/>
    <xf numFmtId="0" fontId="1" fillId="0" borderId="1" xfId="0" applyFont="1" applyBorder="1" applyAlignment="1">
      <alignment horizontal="left" wrapText="1"/>
    </xf>
    <xf numFmtId="0" fontId="1" fillId="0" borderId="1" xfId="0" applyFont="1" applyBorder="1" applyAlignment="1">
      <alignment horizontal="center" wrapText="1"/>
    </xf>
    <xf numFmtId="165" fontId="0" fillId="0" borderId="0" xfId="0" applyNumberFormat="1" applyAlignment="1">
      <alignment horizontal="center"/>
    </xf>
    <xf numFmtId="0" fontId="0" fillId="0" borderId="0" xfId="0" applyAlignment="1">
      <alignment horizontal="left"/>
    </xf>
    <xf numFmtId="0" fontId="0" fillId="0" borderId="0" xfId="0" applyAlignment="1">
      <alignment horizontal="left" wrapText="1"/>
    </xf>
    <xf numFmtId="0" fontId="2" fillId="0" borderId="0" xfId="0" applyFont="1" applyAlignment="1">
      <alignment horizontal="center" wrapText="1"/>
    </xf>
    <xf numFmtId="0" fontId="2" fillId="0" borderId="0" xfId="0" applyFont="1" applyAlignment="1">
      <alignment horizontal="center"/>
    </xf>
    <xf numFmtId="0" fontId="3" fillId="0" borderId="1" xfId="0" applyFont="1" applyBorder="1" applyAlignment="1">
      <alignment horizontal="center" wrapText="1"/>
    </xf>
    <xf numFmtId="1" fontId="2" fillId="0" borderId="0" xfId="0" applyNumberFormat="1" applyFont="1" applyAlignment="1">
      <alignment horizontal="center"/>
    </xf>
    <xf numFmtId="164" fontId="0" fillId="0" borderId="0" xfId="0" applyNumberFormat="1" applyAlignment="1">
      <alignment horizontal="left"/>
    </xf>
    <xf numFmtId="0" fontId="0" fillId="0" borderId="0" xfId="0" applyAlignment="1">
      <alignment horizontal="right" wrapText="1"/>
    </xf>
    <xf numFmtId="0" fontId="0" fillId="0" borderId="1" xfId="0" applyBorder="1" applyAlignment="1">
      <alignment horizontal="center" wrapText="1"/>
    </xf>
    <xf numFmtId="165" fontId="0" fillId="2" borderId="2" xfId="0" applyNumberFormat="1" applyFill="1" applyBorder="1" applyAlignment="1">
      <alignment horizontal="center"/>
    </xf>
    <xf numFmtId="164" fontId="5" fillId="0" borderId="0" xfId="0" applyNumberFormat="1" applyFont="1" applyAlignment="1">
      <alignment horizontal="center"/>
    </xf>
    <xf numFmtId="164" fontId="0" fillId="0" borderId="0" xfId="0" applyNumberFormat="1"/>
    <xf numFmtId="2" fontId="0" fillId="0" borderId="0" xfId="0" applyNumberFormat="1"/>
    <xf numFmtId="0" fontId="0" fillId="0" borderId="0" xfId="0" applyAlignment="1">
      <alignment horizontal="center" vertical="center"/>
    </xf>
    <xf numFmtId="0" fontId="0" fillId="0" borderId="6" xfId="0" applyBorder="1" applyAlignment="1">
      <alignment horizontal="center" vertical="center"/>
    </xf>
    <xf numFmtId="0" fontId="0" fillId="3" borderId="6" xfId="0" applyFill="1" applyBorder="1" applyAlignment="1">
      <alignment horizontal="center" vertical="center"/>
    </xf>
    <xf numFmtId="0" fontId="6" fillId="3" borderId="6" xfId="0" applyFont="1" applyFill="1" applyBorder="1" applyAlignment="1">
      <alignment horizontal="center" vertical="center"/>
    </xf>
    <xf numFmtId="0" fontId="0" fillId="5" borderId="6" xfId="0" applyFill="1" applyBorder="1" applyAlignment="1">
      <alignment horizontal="center" vertical="center"/>
    </xf>
    <xf numFmtId="0" fontId="5" fillId="5" borderId="6" xfId="0" applyFont="1" applyFill="1" applyBorder="1" applyAlignment="1">
      <alignment horizontal="center" vertical="center"/>
    </xf>
    <xf numFmtId="0" fontId="0" fillId="4" borderId="6" xfId="0" applyFill="1" applyBorder="1" applyAlignment="1">
      <alignment horizontal="center" vertical="center"/>
    </xf>
    <xf numFmtId="0" fontId="5" fillId="0" borderId="6" xfId="0" applyFont="1" applyBorder="1" applyAlignment="1">
      <alignment horizontal="center" vertical="center"/>
    </xf>
    <xf numFmtId="1" fontId="6" fillId="3" borderId="6"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164" fontId="0" fillId="4" borderId="6" xfId="0" applyNumberFormat="1" applyFill="1"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3" borderId="8" xfId="0" applyFill="1" applyBorder="1" applyAlignment="1">
      <alignment horizontal="center" vertical="center" wrapText="1"/>
    </xf>
    <xf numFmtId="0" fontId="6" fillId="3" borderId="8" xfId="0" applyFont="1" applyFill="1" applyBorder="1" applyAlignment="1">
      <alignment horizontal="center" vertical="center" wrapText="1"/>
    </xf>
    <xf numFmtId="0" fontId="0" fillId="5" borderId="8" xfId="0" applyFill="1" applyBorder="1" applyAlignment="1">
      <alignment horizontal="center" vertical="center" wrapText="1"/>
    </xf>
    <xf numFmtId="0" fontId="5" fillId="5" borderId="8" xfId="0" applyFont="1" applyFill="1" applyBorder="1" applyAlignment="1">
      <alignment horizontal="center" vertical="center" wrapText="1"/>
    </xf>
    <xf numFmtId="0" fontId="0" fillId="4" borderId="8" xfId="0" applyFill="1" applyBorder="1" applyAlignment="1">
      <alignment horizontal="center" vertical="center" wrapText="1"/>
    </xf>
    <xf numFmtId="0" fontId="5" fillId="4" borderId="9" xfId="0" applyFont="1" applyFill="1" applyBorder="1" applyAlignment="1">
      <alignment horizontal="center" vertical="center" wrapText="1"/>
    </xf>
    <xf numFmtId="0" fontId="0" fillId="0" borderId="10" xfId="0" applyBorder="1" applyAlignment="1">
      <alignment horizontal="center" vertical="center"/>
    </xf>
    <xf numFmtId="0" fontId="5" fillId="4" borderId="11" xfId="0" applyFont="1" applyFill="1" applyBorder="1" applyAlignment="1">
      <alignment horizontal="center" vertical="center"/>
    </xf>
    <xf numFmtId="164" fontId="5" fillId="4" borderId="11" xfId="0" applyNumberFormat="1" applyFont="1" applyFill="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3" borderId="13" xfId="0" applyFill="1" applyBorder="1" applyAlignment="1">
      <alignment horizontal="center" vertical="center"/>
    </xf>
    <xf numFmtId="1" fontId="6" fillId="3" borderId="13" xfId="0" applyNumberFormat="1" applyFont="1" applyFill="1" applyBorder="1" applyAlignment="1">
      <alignment horizontal="center" vertical="center"/>
    </xf>
    <xf numFmtId="0" fontId="0" fillId="5" borderId="13" xfId="0" applyFill="1" applyBorder="1" applyAlignment="1">
      <alignment horizontal="center" vertical="center"/>
    </xf>
    <xf numFmtId="1" fontId="5" fillId="5" borderId="13" xfId="0" applyNumberFormat="1" applyFont="1" applyFill="1" applyBorder="1" applyAlignment="1">
      <alignment horizontal="center" vertical="center"/>
    </xf>
    <xf numFmtId="164" fontId="0" fillId="4" borderId="13" xfId="0" applyNumberFormat="1" applyFill="1" applyBorder="1" applyAlignment="1">
      <alignment horizontal="center" vertical="center"/>
    </xf>
    <xf numFmtId="164" fontId="5" fillId="4" borderId="14" xfId="0" applyNumberFormat="1" applyFont="1" applyFill="1" applyBorder="1" applyAlignment="1">
      <alignment horizontal="center" vertical="center"/>
    </xf>
    <xf numFmtId="0" fontId="4" fillId="0" borderId="6" xfId="0" applyFont="1" applyBorder="1" applyAlignment="1">
      <alignment horizontal="center" vertical="center"/>
    </xf>
    <xf numFmtId="10" fontId="8" fillId="0" borderId="6" xfId="0" applyNumberFormat="1"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7" fillId="0" borderId="8" xfId="0" applyFont="1" applyBorder="1" applyAlignment="1">
      <alignment horizontal="center" vertical="center"/>
    </xf>
    <xf numFmtId="0" fontId="4" fillId="0" borderId="8"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4" fillId="0" borderId="10" xfId="0" applyFont="1" applyBorder="1" applyAlignment="1">
      <alignment horizontal="center" vertical="center"/>
    </xf>
    <xf numFmtId="10" fontId="5"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0" fontId="8" fillId="0" borderId="13" xfId="0" applyNumberFormat="1" applyFont="1" applyBorder="1" applyAlignment="1">
      <alignment horizontal="center" vertical="center"/>
    </xf>
    <xf numFmtId="0" fontId="5" fillId="0" borderId="13" xfId="0" applyFont="1" applyBorder="1" applyAlignment="1">
      <alignment horizontal="center" vertical="center"/>
    </xf>
    <xf numFmtId="10" fontId="5" fillId="0" borderId="14" xfId="0" applyNumberFormat="1" applyFont="1" applyBorder="1" applyAlignment="1">
      <alignment horizontal="center" vertical="center"/>
    </xf>
    <xf numFmtId="167" fontId="0" fillId="0" borderId="6" xfId="0" applyNumberFormat="1" applyBorder="1" applyAlignment="1">
      <alignment horizontal="center" vertical="center"/>
    </xf>
    <xf numFmtId="164" fontId="0" fillId="0" borderId="0" xfId="0" applyNumberFormat="1" applyAlignment="1">
      <alignment horizontal="center" vertical="center"/>
    </xf>
    <xf numFmtId="0" fontId="10" fillId="0" borderId="6" xfId="0" applyFont="1" applyBorder="1" applyAlignment="1">
      <alignment horizontal="center" vertical="center"/>
    </xf>
    <xf numFmtId="0" fontId="10" fillId="0" borderId="0" xfId="0" applyFont="1" applyAlignment="1">
      <alignment horizontal="center"/>
    </xf>
    <xf numFmtId="0" fontId="3" fillId="0" borderId="0" xfId="0" applyFont="1" applyAlignment="1">
      <alignment horizontal="center" wrapText="1"/>
    </xf>
    <xf numFmtId="0" fontId="14" fillId="6" borderId="3" xfId="0" applyFont="1" applyFill="1" applyBorder="1"/>
    <xf numFmtId="0" fontId="14" fillId="6" borderId="5" xfId="0" applyFont="1" applyFill="1" applyBorder="1" applyAlignment="1">
      <alignment horizontal="left"/>
    </xf>
    <xf numFmtId="1" fontId="14" fillId="0" borderId="0" xfId="0" applyNumberFormat="1" applyFont="1" applyAlignment="1">
      <alignment horizontal="center"/>
    </xf>
    <xf numFmtId="165" fontId="14" fillId="0" borderId="0" xfId="0" applyNumberFormat="1" applyFont="1" applyAlignment="1">
      <alignment horizontal="center"/>
    </xf>
    <xf numFmtId="0" fontId="14" fillId="0" borderId="0" xfId="0" applyFont="1" applyAlignment="1">
      <alignment horizontal="center"/>
    </xf>
    <xf numFmtId="0" fontId="12" fillId="0" borderId="0" xfId="0" applyFont="1" applyAlignment="1">
      <alignment horizontal="center"/>
    </xf>
    <xf numFmtId="0" fontId="14" fillId="0" borderId="0" xfId="0" applyFont="1"/>
    <xf numFmtId="164" fontId="5" fillId="0" borderId="0" xfId="0" applyNumberFormat="1" applyFont="1" applyAlignment="1">
      <alignment horizontal="left"/>
    </xf>
    <xf numFmtId="0" fontId="0" fillId="0" borderId="15" xfId="0" applyBorder="1" applyAlignment="1">
      <alignment horizontal="center"/>
    </xf>
    <xf numFmtId="0" fontId="11" fillId="0" borderId="15" xfId="0" applyFont="1" applyBorder="1" applyAlignment="1">
      <alignment horizontal="center"/>
    </xf>
    <xf numFmtId="1" fontId="0" fillId="0" borderId="15" xfId="0" applyNumberFormat="1" applyBorder="1" applyAlignment="1">
      <alignment horizontal="center"/>
    </xf>
    <xf numFmtId="167" fontId="10" fillId="0" borderId="15" xfId="0" applyNumberFormat="1" applyFont="1" applyBorder="1" applyAlignment="1">
      <alignment horizontal="center" vertical="center"/>
    </xf>
    <xf numFmtId="0" fontId="12" fillId="6" borderId="17" xfId="0" applyFont="1" applyFill="1" applyBorder="1" applyAlignment="1">
      <alignment horizontal="center"/>
    </xf>
    <xf numFmtId="0" fontId="12" fillId="6" borderId="18" xfId="0" applyFont="1" applyFill="1" applyBorder="1" applyAlignment="1">
      <alignment horizontal="center" wrapText="1"/>
    </xf>
    <xf numFmtId="0" fontId="0" fillId="0" borderId="19" xfId="0" applyBorder="1" applyAlignment="1">
      <alignment horizontal="center"/>
    </xf>
    <xf numFmtId="0" fontId="0" fillId="0" borderId="20" xfId="0" applyBorder="1" applyAlignment="1">
      <alignment horizontal="left"/>
    </xf>
    <xf numFmtId="0" fontId="0" fillId="0" borderId="20" xfId="0" applyBorder="1"/>
    <xf numFmtId="0" fontId="0" fillId="0" borderId="20" xfId="0" applyBorder="1" applyAlignment="1">
      <alignment horizontal="left" wrapText="1"/>
    </xf>
    <xf numFmtId="0" fontId="0" fillId="0" borderId="21" xfId="0" applyBorder="1" applyAlignment="1">
      <alignment horizontal="center"/>
    </xf>
    <xf numFmtId="0" fontId="0" fillId="0" borderId="22" xfId="0" applyBorder="1" applyAlignment="1">
      <alignment horizontal="left"/>
    </xf>
    <xf numFmtId="0" fontId="12" fillId="6" borderId="17" xfId="0" applyFont="1" applyFill="1" applyBorder="1" applyAlignment="1">
      <alignment horizontal="center" wrapText="1"/>
    </xf>
    <xf numFmtId="0" fontId="9" fillId="6" borderId="18" xfId="0" applyFont="1" applyFill="1" applyBorder="1" applyAlignment="1">
      <alignment horizontal="center" wrapText="1"/>
    </xf>
    <xf numFmtId="0" fontId="11" fillId="0" borderId="19" xfId="0" applyFont="1" applyBorder="1" applyAlignment="1">
      <alignment horizontal="center"/>
    </xf>
    <xf numFmtId="1" fontId="10" fillId="0" borderId="20" xfId="0" applyNumberFormat="1" applyFont="1" applyBorder="1" applyAlignment="1">
      <alignment horizontal="center"/>
    </xf>
    <xf numFmtId="0" fontId="11" fillId="0" borderId="19" xfId="0" applyFont="1" applyBorder="1" applyAlignment="1">
      <alignment horizontal="center" wrapText="1"/>
    </xf>
    <xf numFmtId="0" fontId="11" fillId="0" borderId="21" xfId="0" applyFont="1" applyBorder="1" applyAlignment="1">
      <alignment horizontal="center"/>
    </xf>
    <xf numFmtId="1" fontId="10" fillId="0" borderId="22" xfId="0" applyNumberFormat="1" applyFont="1" applyBorder="1" applyAlignment="1">
      <alignment horizontal="center"/>
    </xf>
    <xf numFmtId="0" fontId="12" fillId="6" borderId="23" xfId="0" applyFont="1" applyFill="1" applyBorder="1" applyAlignment="1">
      <alignment horizontal="center" wrapText="1"/>
    </xf>
    <xf numFmtId="0" fontId="10" fillId="0" borderId="20" xfId="0" applyFont="1" applyBorder="1" applyAlignment="1">
      <alignment horizontal="center"/>
    </xf>
    <xf numFmtId="0" fontId="11" fillId="0" borderId="24" xfId="0" applyFont="1" applyBorder="1" applyAlignment="1">
      <alignment horizontal="center"/>
    </xf>
    <xf numFmtId="0" fontId="10" fillId="0" borderId="22" xfId="0" applyFont="1" applyBorder="1" applyAlignment="1">
      <alignment horizontal="center"/>
    </xf>
    <xf numFmtId="0" fontId="0" fillId="0" borderId="24" xfId="0" applyBorder="1" applyAlignment="1">
      <alignment horizontal="center"/>
    </xf>
    <xf numFmtId="1" fontId="0" fillId="0" borderId="24" xfId="0" applyNumberFormat="1" applyBorder="1" applyAlignment="1">
      <alignment horizontal="center"/>
    </xf>
    <xf numFmtId="1" fontId="0" fillId="0" borderId="19" xfId="0" applyNumberFormat="1" applyBorder="1" applyAlignment="1">
      <alignment horizontal="center"/>
    </xf>
    <xf numFmtId="1" fontId="0" fillId="0" borderId="21" xfId="0" applyNumberFormat="1" applyBorder="1" applyAlignment="1">
      <alignment horizontal="center"/>
    </xf>
    <xf numFmtId="0" fontId="0" fillId="0" borderId="20" xfId="0" applyBorder="1" applyAlignment="1">
      <alignment horizontal="center"/>
    </xf>
    <xf numFmtId="1" fontId="0" fillId="0" borderId="20" xfId="0" applyNumberFormat="1" applyBorder="1" applyAlignment="1">
      <alignment horizontal="center"/>
    </xf>
    <xf numFmtId="0" fontId="0" fillId="0" borderId="22" xfId="0" applyBorder="1" applyAlignment="1">
      <alignment horizontal="center"/>
    </xf>
    <xf numFmtId="0" fontId="9" fillId="6" borderId="17" xfId="0" applyFont="1" applyFill="1" applyBorder="1" applyAlignment="1">
      <alignment horizontal="center" wrapText="1"/>
    </xf>
    <xf numFmtId="0" fontId="9" fillId="6" borderId="23" xfId="0" applyFont="1" applyFill="1" applyBorder="1" applyAlignment="1">
      <alignment horizontal="center" wrapText="1"/>
    </xf>
    <xf numFmtId="164" fontId="10" fillId="0" borderId="19" xfId="0" applyNumberFormat="1" applyFont="1" applyBorder="1" applyAlignment="1">
      <alignment horizontal="center"/>
    </xf>
    <xf numFmtId="164" fontId="10" fillId="0" borderId="21" xfId="0" applyNumberFormat="1" applyFont="1" applyBorder="1" applyAlignment="1">
      <alignment horizontal="center"/>
    </xf>
    <xf numFmtId="0" fontId="15" fillId="0" borderId="15" xfId="0" applyFont="1" applyBorder="1" applyAlignment="1">
      <alignment horizontal="center"/>
    </xf>
    <xf numFmtId="0" fontId="12" fillId="6" borderId="25" xfId="0" applyFont="1" applyFill="1" applyBorder="1" applyAlignment="1">
      <alignment horizontal="center" wrapText="1"/>
    </xf>
    <xf numFmtId="0" fontId="0" fillId="0" borderId="31" xfId="0" applyBorder="1" applyAlignment="1">
      <alignment horizontal="center"/>
    </xf>
    <xf numFmtId="167" fontId="10" fillId="0" borderId="24" xfId="0" applyNumberFormat="1" applyFont="1" applyBorder="1" applyAlignment="1">
      <alignment horizontal="center" vertical="center"/>
    </xf>
    <xf numFmtId="166" fontId="10" fillId="0" borderId="20" xfId="0" applyNumberFormat="1" applyFont="1" applyBorder="1" applyAlignment="1">
      <alignment horizontal="center"/>
    </xf>
    <xf numFmtId="166" fontId="10" fillId="0" borderId="22" xfId="0" applyNumberFormat="1" applyFont="1" applyBorder="1" applyAlignment="1">
      <alignment horizontal="center"/>
    </xf>
    <xf numFmtId="1" fontId="6" fillId="0" borderId="15" xfId="0" applyNumberFormat="1" applyFont="1" applyBorder="1" applyAlignment="1">
      <alignment horizontal="center"/>
    </xf>
    <xf numFmtId="1" fontId="6" fillId="0" borderId="24" xfId="0" applyNumberFormat="1" applyFont="1" applyBorder="1" applyAlignment="1">
      <alignment horizontal="center"/>
    </xf>
    <xf numFmtId="0" fontId="16" fillId="6" borderId="23" xfId="0" applyFont="1" applyFill="1" applyBorder="1" applyAlignment="1">
      <alignment horizontal="center" wrapText="1"/>
    </xf>
    <xf numFmtId="1" fontId="6" fillId="0" borderId="15" xfId="0" applyNumberFormat="1" applyFont="1" applyBorder="1" applyAlignment="1">
      <alignment horizontal="center" vertical="center"/>
    </xf>
    <xf numFmtId="1" fontId="6" fillId="0" borderId="24" xfId="0" applyNumberFormat="1" applyFont="1" applyBorder="1" applyAlignment="1">
      <alignment horizontal="center" vertical="center"/>
    </xf>
    <xf numFmtId="0" fontId="11" fillId="0" borderId="26" xfId="0" applyFont="1" applyBorder="1" applyAlignment="1">
      <alignment horizontal="center"/>
    </xf>
    <xf numFmtId="0" fontId="11" fillId="0" borderId="27" xfId="0" applyFont="1" applyBorder="1" applyAlignment="1">
      <alignment horizontal="center"/>
    </xf>
    <xf numFmtId="0" fontId="9" fillId="6" borderId="32" xfId="0" applyFont="1" applyFill="1" applyBorder="1" applyAlignment="1">
      <alignment horizontal="center" wrapText="1"/>
    </xf>
    <xf numFmtId="1" fontId="6" fillId="0" borderId="33" xfId="0" applyNumberFormat="1" applyFont="1" applyBorder="1" applyAlignment="1">
      <alignment horizontal="center"/>
    </xf>
    <xf numFmtId="1" fontId="6" fillId="0" borderId="34" xfId="0" applyNumberFormat="1" applyFont="1" applyBorder="1" applyAlignment="1">
      <alignment horizontal="center"/>
    </xf>
    <xf numFmtId="0" fontId="0" fillId="0" borderId="28" xfId="0" applyBorder="1" applyAlignment="1">
      <alignment horizontal="center"/>
    </xf>
    <xf numFmtId="0" fontId="16" fillId="6" borderId="18" xfId="0" applyFont="1" applyFill="1" applyBorder="1" applyAlignment="1">
      <alignment horizontal="center" wrapText="1"/>
    </xf>
    <xf numFmtId="0" fontId="14" fillId="6" borderId="29" xfId="0" applyFont="1" applyFill="1" applyBorder="1" applyAlignment="1">
      <alignment horizontal="center"/>
    </xf>
    <xf numFmtId="0" fontId="14" fillId="6" borderId="30" xfId="0" applyFont="1" applyFill="1" applyBorder="1" applyAlignment="1">
      <alignment horizontal="center"/>
    </xf>
    <xf numFmtId="0" fontId="12" fillId="6" borderId="35" xfId="0" applyFont="1" applyFill="1" applyBorder="1" applyAlignment="1">
      <alignment horizontal="center"/>
    </xf>
    <xf numFmtId="1" fontId="6" fillId="0" borderId="20" xfId="0" applyNumberFormat="1" applyFont="1" applyBorder="1" applyAlignment="1">
      <alignment horizontal="center"/>
    </xf>
    <xf numFmtId="0" fontId="0" fillId="0" borderId="20" xfId="0" applyBorder="1" applyAlignment="1">
      <alignment horizontal="center" wrapText="1"/>
    </xf>
    <xf numFmtId="1" fontId="6" fillId="0" borderId="22" xfId="0" applyNumberFormat="1" applyFont="1" applyBorder="1" applyAlignment="1">
      <alignment horizontal="center"/>
    </xf>
    <xf numFmtId="0" fontId="17" fillId="0" borderId="0" xfId="0" applyFont="1"/>
    <xf numFmtId="0" fontId="0" fillId="0" borderId="38" xfId="0" applyBorder="1" applyAlignment="1">
      <alignment horizontal="center" vertical="center"/>
    </xf>
    <xf numFmtId="0" fontId="0" fillId="0" borderId="39" xfId="0" applyBorder="1" applyAlignment="1">
      <alignment horizontal="center" vertical="center"/>
    </xf>
    <xf numFmtId="0" fontId="10" fillId="0" borderId="38" xfId="0" applyFont="1" applyBorder="1" applyAlignment="1">
      <alignment horizontal="center" vertical="center"/>
    </xf>
    <xf numFmtId="164" fontId="10" fillId="0" borderId="39" xfId="0" applyNumberFormat="1" applyFont="1"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164" fontId="0" fillId="0" borderId="42" xfId="0" applyNumberFormat="1" applyBorder="1" applyAlignment="1">
      <alignment horizontal="center" vertical="center"/>
    </xf>
    <xf numFmtId="0" fontId="0" fillId="0" borderId="43" xfId="0" applyBorder="1" applyAlignment="1">
      <alignment horizontal="center" vertical="center"/>
    </xf>
    <xf numFmtId="0" fontId="10" fillId="0" borderId="44" xfId="0" applyFont="1" applyBorder="1" applyAlignment="1">
      <alignment horizontal="center" vertical="center"/>
    </xf>
    <xf numFmtId="164" fontId="10" fillId="0" borderId="45" xfId="0" applyNumberFormat="1" applyFont="1" applyBorder="1" applyAlignment="1">
      <alignment horizontal="center"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52" xfId="0" applyBorder="1" applyAlignment="1">
      <alignment horizontal="center" vertical="center"/>
    </xf>
    <xf numFmtId="0" fontId="10" fillId="0" borderId="53" xfId="0" applyFont="1" applyBorder="1" applyAlignment="1">
      <alignment horizontal="center" vertical="center"/>
    </xf>
    <xf numFmtId="0" fontId="13" fillId="7" borderId="16" xfId="0" applyFont="1" applyFill="1" applyBorder="1" applyAlignment="1">
      <alignment horizontal="center" vertical="center"/>
    </xf>
    <xf numFmtId="0" fontId="18" fillId="0" borderId="0" xfId="0" applyFont="1" applyAlignment="1">
      <alignment horizontal="left"/>
    </xf>
    <xf numFmtId="0" fontId="19" fillId="0" borderId="0" xfId="0" applyFont="1" applyAlignment="1">
      <alignment horizontal="left"/>
    </xf>
    <xf numFmtId="0" fontId="12" fillId="6" borderId="3" xfId="0" applyFont="1" applyFill="1" applyBorder="1" applyAlignment="1">
      <alignment horizontal="center"/>
    </xf>
    <xf numFmtId="0" fontId="12" fillId="6" borderId="5" xfId="0" applyFont="1" applyFill="1" applyBorder="1" applyAlignment="1">
      <alignment horizontal="center"/>
    </xf>
    <xf numFmtId="164" fontId="12" fillId="6" borderId="29" xfId="0" applyNumberFormat="1" applyFont="1" applyFill="1" applyBorder="1" applyAlignment="1">
      <alignment horizontal="center"/>
    </xf>
    <xf numFmtId="164" fontId="12" fillId="6" borderId="30" xfId="0" applyNumberFormat="1" applyFont="1" applyFill="1" applyBorder="1" applyAlignment="1">
      <alignment horizontal="center"/>
    </xf>
    <xf numFmtId="164" fontId="12" fillId="6" borderId="28" xfId="0" applyNumberFormat="1" applyFont="1" applyFill="1" applyBorder="1" applyAlignment="1">
      <alignment horizontal="center"/>
    </xf>
    <xf numFmtId="0" fontId="12" fillId="6" borderId="4" xfId="0" applyFont="1" applyFill="1" applyBorder="1" applyAlignment="1">
      <alignment horizontal="center"/>
    </xf>
    <xf numFmtId="1" fontId="12" fillId="6" borderId="3" xfId="0" applyNumberFormat="1" applyFont="1" applyFill="1" applyBorder="1" applyAlignment="1">
      <alignment horizontal="center"/>
    </xf>
    <xf numFmtId="1" fontId="12" fillId="6" borderId="5" xfId="0" applyNumberFormat="1" applyFont="1" applyFill="1" applyBorder="1" applyAlignment="1">
      <alignment horizontal="center"/>
    </xf>
    <xf numFmtId="1" fontId="12" fillId="6" borderId="4" xfId="0" applyNumberFormat="1" applyFont="1" applyFill="1" applyBorder="1" applyAlignment="1">
      <alignment horizontal="center"/>
    </xf>
    <xf numFmtId="1" fontId="12" fillId="6" borderId="36" xfId="0" applyNumberFormat="1" applyFont="1" applyFill="1" applyBorder="1" applyAlignment="1">
      <alignment horizontal="center"/>
    </xf>
    <xf numFmtId="1" fontId="12" fillId="6" borderId="37" xfId="0" applyNumberFormat="1" applyFont="1" applyFill="1" applyBorder="1" applyAlignment="1">
      <alignment horizontal="center"/>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3" fillId="7" borderId="51" xfId="0" applyFont="1" applyFill="1" applyBorder="1" applyAlignment="1">
      <alignment horizontal="center"/>
    </xf>
    <xf numFmtId="0" fontId="12" fillId="6" borderId="36" xfId="0" applyFont="1" applyFill="1" applyBorder="1" applyAlignment="1">
      <alignment horizontal="center"/>
    </xf>
    <xf numFmtId="0" fontId="12" fillId="6" borderId="37" xfId="0" applyFont="1" applyFill="1" applyBorder="1" applyAlignment="1">
      <alignment horizontal="center"/>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Origin Loading</c:v>
          </c:tx>
          <c:spPr>
            <a:solidFill>
              <a:schemeClr val="bg2">
                <a:lumMod val="75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(new)'!$D$55:$D$65</c:f>
              <c:numCache>
                <c:formatCode>General</c:formatCode>
                <c:ptCount val="11"/>
                <c:pt idx="0">
                  <c:v>2</c:v>
                </c:pt>
                <c:pt idx="1">
                  <c:v>1</c:v>
                </c:pt>
                <c:pt idx="2">
                  <c:v>1</c:v>
                </c:pt>
                <c:pt idx="3">
                  <c:v>1</c:v>
                </c:pt>
                <c:pt idx="4">
                  <c:v>1</c:v>
                </c:pt>
                <c:pt idx="5">
                  <c:v>1</c:v>
                </c:pt>
                <c:pt idx="6">
                  <c:v>1</c:v>
                </c:pt>
                <c:pt idx="7">
                  <c:v>1</c:v>
                </c:pt>
                <c:pt idx="8">
                  <c:v>1</c:v>
                </c:pt>
                <c:pt idx="9">
                  <c:v>2</c:v>
                </c:pt>
                <c:pt idx="10">
                  <c:v>1</c:v>
                </c:pt>
              </c:numCache>
            </c:numRef>
          </c:val>
          <c:extLst>
            <c:ext xmlns:c16="http://schemas.microsoft.com/office/drawing/2014/chart" uri="{C3380CC4-5D6E-409C-BE32-E72D297353CC}">
              <c16:uniqueId val="{00000000-D548-A349-AFB5-187E3B07EEC8}"/>
            </c:ext>
          </c:extLst>
        </c:ser>
        <c:ser>
          <c:idx val="1"/>
          <c:order val="1"/>
          <c:tx>
            <c:v> Outbound Transit</c:v>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(new)'!$E$55:$E$65</c:f>
              <c:numCache>
                <c:formatCode>General</c:formatCode>
                <c:ptCount val="11"/>
                <c:pt idx="0">
                  <c:v>12</c:v>
                </c:pt>
                <c:pt idx="1">
                  <c:v>15</c:v>
                </c:pt>
                <c:pt idx="2">
                  <c:v>21</c:v>
                </c:pt>
                <c:pt idx="3">
                  <c:v>11</c:v>
                </c:pt>
                <c:pt idx="4">
                  <c:v>15</c:v>
                </c:pt>
                <c:pt idx="5">
                  <c:v>17</c:v>
                </c:pt>
                <c:pt idx="6">
                  <c:v>17</c:v>
                </c:pt>
                <c:pt idx="7">
                  <c:v>25</c:v>
                </c:pt>
                <c:pt idx="8">
                  <c:v>13</c:v>
                </c:pt>
                <c:pt idx="9">
                  <c:v>21</c:v>
                </c:pt>
                <c:pt idx="10">
                  <c:v>19</c:v>
                </c:pt>
              </c:numCache>
            </c:numRef>
          </c:val>
          <c:extLst>
            <c:ext xmlns:c16="http://schemas.microsoft.com/office/drawing/2014/chart" uri="{C3380CC4-5D6E-409C-BE32-E72D297353CC}">
              <c16:uniqueId val="{00000001-D548-A349-AFB5-187E3B07EEC8}"/>
            </c:ext>
          </c:extLst>
        </c:ser>
        <c:ser>
          <c:idx val="2"/>
          <c:order val="2"/>
          <c:tx>
            <c:v>Outbound Dwellings</c:v>
          </c:tx>
          <c:spPr>
            <a:solidFill>
              <a:schemeClr val="accent4">
                <a:lumMod val="20000"/>
                <a:lumOff val="8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(new)'!$F$55:$F$65</c:f>
              <c:numCache>
                <c:formatCode>General</c:formatCode>
                <c:ptCount val="11"/>
                <c:pt idx="0">
                  <c:v>0</c:v>
                </c:pt>
                <c:pt idx="1">
                  <c:v>0</c:v>
                </c:pt>
                <c:pt idx="2">
                  <c:v>6</c:v>
                </c:pt>
                <c:pt idx="3">
                  <c:v>2</c:v>
                </c:pt>
                <c:pt idx="4">
                  <c:v>1</c:v>
                </c:pt>
                <c:pt idx="5">
                  <c:v>3</c:v>
                </c:pt>
                <c:pt idx="6">
                  <c:v>1</c:v>
                </c:pt>
                <c:pt idx="7">
                  <c:v>4</c:v>
                </c:pt>
                <c:pt idx="8">
                  <c:v>0</c:v>
                </c:pt>
                <c:pt idx="9">
                  <c:v>2</c:v>
                </c:pt>
                <c:pt idx="10">
                  <c:v>2</c:v>
                </c:pt>
              </c:numCache>
            </c:numRef>
          </c:val>
          <c:extLst>
            <c:ext xmlns:c16="http://schemas.microsoft.com/office/drawing/2014/chart" uri="{C3380CC4-5D6E-409C-BE32-E72D297353CC}">
              <c16:uniqueId val="{00000002-D548-A349-AFB5-187E3B07EEC8}"/>
            </c:ext>
          </c:extLst>
        </c:ser>
        <c:ser>
          <c:idx val="3"/>
          <c:order val="3"/>
          <c:tx>
            <c:v>Outer terminal Dwelling</c:v>
          </c:tx>
          <c:spPr>
            <a:solidFill>
              <a:schemeClr val="accent1">
                <a:lumMod val="20000"/>
                <a:lumOff val="8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(new)'!$G$55:$G$65</c:f>
              <c:numCache>
                <c:formatCode>0</c:formatCode>
                <c:ptCount val="11"/>
                <c:pt idx="0">
                  <c:v>10</c:v>
                </c:pt>
                <c:pt idx="1">
                  <c:v>10</c:v>
                </c:pt>
                <c:pt idx="2">
                  <c:v>10</c:v>
                </c:pt>
                <c:pt idx="3">
                  <c:v>0</c:v>
                </c:pt>
                <c:pt idx="4">
                  <c:v>10</c:v>
                </c:pt>
                <c:pt idx="5">
                  <c:v>10</c:v>
                </c:pt>
                <c:pt idx="6">
                  <c:v>10</c:v>
                </c:pt>
                <c:pt idx="7">
                  <c:v>10</c:v>
                </c:pt>
                <c:pt idx="8">
                  <c:v>10</c:v>
                </c:pt>
                <c:pt idx="9">
                  <c:v>10</c:v>
                </c:pt>
                <c:pt idx="10">
                  <c:v>10</c:v>
                </c:pt>
              </c:numCache>
            </c:numRef>
          </c:val>
          <c:extLst>
            <c:ext xmlns:c16="http://schemas.microsoft.com/office/drawing/2014/chart" uri="{C3380CC4-5D6E-409C-BE32-E72D297353CC}">
              <c16:uniqueId val="{00000003-D548-A349-AFB5-187E3B07EEC8}"/>
            </c:ext>
          </c:extLst>
        </c:ser>
        <c:ser>
          <c:idx val="4"/>
          <c:order val="4"/>
          <c:tx>
            <c:v>Inbound Transit</c:v>
          </c:tx>
          <c:spPr>
            <a:solidFill>
              <a:schemeClr val="accent6">
                <a:lumMod val="40000"/>
                <a:lumOff val="6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(new)'!$H$55:$H$65</c:f>
              <c:numCache>
                <c:formatCode>0</c:formatCode>
                <c:ptCount val="11"/>
                <c:pt idx="0">
                  <c:v>12</c:v>
                </c:pt>
                <c:pt idx="1">
                  <c:v>21</c:v>
                </c:pt>
                <c:pt idx="2">
                  <c:v>21</c:v>
                </c:pt>
                <c:pt idx="3">
                  <c:v>11</c:v>
                </c:pt>
                <c:pt idx="4">
                  <c:v>17</c:v>
                </c:pt>
                <c:pt idx="5">
                  <c:v>17</c:v>
                </c:pt>
                <c:pt idx="6">
                  <c:v>17</c:v>
                </c:pt>
                <c:pt idx="7">
                  <c:v>25</c:v>
                </c:pt>
                <c:pt idx="8">
                  <c:v>13</c:v>
                </c:pt>
                <c:pt idx="9">
                  <c:v>21</c:v>
                </c:pt>
                <c:pt idx="10">
                  <c:v>19</c:v>
                </c:pt>
              </c:numCache>
            </c:numRef>
          </c:val>
          <c:extLst>
            <c:ext xmlns:c16="http://schemas.microsoft.com/office/drawing/2014/chart" uri="{C3380CC4-5D6E-409C-BE32-E72D297353CC}">
              <c16:uniqueId val="{00000004-D548-A349-AFB5-187E3B07EEC8}"/>
            </c:ext>
          </c:extLst>
        </c:ser>
        <c:ser>
          <c:idx val="5"/>
          <c:order val="5"/>
          <c:tx>
            <c:v>Inbound Dwellings</c:v>
          </c:tx>
          <c:spPr>
            <a:solidFill>
              <a:schemeClr val="accent4">
                <a:lumMod val="20000"/>
                <a:lumOff val="8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(new)'!$I$55:$I$65</c:f>
              <c:numCache>
                <c:formatCode>0</c:formatCode>
                <c:ptCount val="11"/>
                <c:pt idx="0" formatCode="General">
                  <c:v>0</c:v>
                </c:pt>
                <c:pt idx="1">
                  <c:v>2</c:v>
                </c:pt>
                <c:pt idx="2">
                  <c:v>6</c:v>
                </c:pt>
                <c:pt idx="3">
                  <c:v>2</c:v>
                </c:pt>
                <c:pt idx="4">
                  <c:v>4</c:v>
                </c:pt>
                <c:pt idx="5">
                  <c:v>3</c:v>
                </c:pt>
                <c:pt idx="6">
                  <c:v>1</c:v>
                </c:pt>
                <c:pt idx="7">
                  <c:v>4</c:v>
                </c:pt>
                <c:pt idx="8">
                  <c:v>0</c:v>
                </c:pt>
                <c:pt idx="9">
                  <c:v>2</c:v>
                </c:pt>
                <c:pt idx="10">
                  <c:v>2</c:v>
                </c:pt>
              </c:numCache>
            </c:numRef>
          </c:val>
          <c:extLst>
            <c:ext xmlns:c16="http://schemas.microsoft.com/office/drawing/2014/chart" uri="{C3380CC4-5D6E-409C-BE32-E72D297353CC}">
              <c16:uniqueId val="{00000005-D548-A349-AFB5-187E3B07EEC8}"/>
            </c:ext>
          </c:extLst>
        </c:ser>
        <c:ser>
          <c:idx val="6"/>
          <c:order val="6"/>
          <c:tx>
            <c:v>Origin Recovery</c:v>
          </c:tx>
          <c:spPr>
            <a:solidFill>
              <a:schemeClr val="tx1">
                <a:lumMod val="50000"/>
                <a:lumOff val="5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(new)'!$J$55:$J$65</c:f>
              <c:numCache>
                <c:formatCode>0</c:formatCode>
                <c:ptCount val="11"/>
                <c:pt idx="0">
                  <c:v>2</c:v>
                </c:pt>
                <c:pt idx="1">
                  <c:v>2</c:v>
                </c:pt>
                <c:pt idx="2">
                  <c:v>2</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6-D548-A349-AFB5-187E3B07EEC8}"/>
            </c:ext>
          </c:extLst>
        </c:ser>
        <c:ser>
          <c:idx val="7"/>
          <c:order val="7"/>
          <c:tx>
            <c:v>Origin unloading</c:v>
          </c:tx>
          <c:spPr>
            <a:solidFill>
              <a:schemeClr val="bg2">
                <a:lumMod val="75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'Charging &amp; cycles (new)'!$A$55:$B$65</c:f>
              <c:multiLvlStrCache>
                <c:ptCount val="11"/>
                <c:lvl>
                  <c:pt idx="0">
                    <c:v>Taronga Zoo only (0ff peak)</c:v>
                  </c:pt>
                  <c:pt idx="1">
                    <c:v>Zoo/Mosman (Peak)</c:v>
                  </c:pt>
                  <c:pt idx="2">
                    <c:v>Pyrmont Bay</c:v>
                  </c:pt>
                  <c:pt idx="3">
                    <c:v>Neutral Bay</c:v>
                  </c:pt>
                  <c:pt idx="4">
                    <c:v>Mosman (peak)</c:v>
                  </c:pt>
                  <c:pt idx="5">
                    <c:v>Mosman (off peak)</c:v>
                  </c:pt>
                  <c:pt idx="6">
                    <c:v>Double Bay</c:v>
                  </c:pt>
                  <c:pt idx="7">
                    <c:v>Cockatoo Is</c:v>
                  </c:pt>
                  <c:pt idx="8">
                    <c:v>Rose Bay (peak)</c:v>
                  </c:pt>
                  <c:pt idx="9">
                    <c:v>Watsons Bay (off peak)</c:v>
                  </c:pt>
                  <c:pt idx="10">
                    <c:v>Blackwattle Bay </c:v>
                  </c:pt>
                </c:lvl>
                <c:lvl>
                  <c:pt idx="0">
                    <c:v>F2</c:v>
                  </c:pt>
                  <c:pt idx="1">
                    <c:v>F2</c:v>
                  </c:pt>
                  <c:pt idx="2">
                    <c:v>F4</c:v>
                  </c:pt>
                  <c:pt idx="3">
                    <c:v>F5</c:v>
                  </c:pt>
                  <c:pt idx="4">
                    <c:v>F6</c:v>
                  </c:pt>
                  <c:pt idx="5">
                    <c:v>F6</c:v>
                  </c:pt>
                  <c:pt idx="6">
                    <c:v>F7</c:v>
                  </c:pt>
                  <c:pt idx="7">
                    <c:v>F8</c:v>
                  </c:pt>
                  <c:pt idx="8">
                    <c:v>F9</c:v>
                  </c:pt>
                  <c:pt idx="9">
                    <c:v>F9</c:v>
                  </c:pt>
                  <c:pt idx="10">
                    <c:v>F10</c:v>
                  </c:pt>
                </c:lvl>
              </c:multiLvlStrCache>
            </c:multiLvlStrRef>
          </c:cat>
          <c:val>
            <c:numRef>
              <c:f>'Charging &amp; cycles (new)'!$K$55:$K$65</c:f>
              <c:numCache>
                <c:formatCode>0</c:formatCode>
                <c:ptCount val="11"/>
                <c:pt idx="0" formatCode="General">
                  <c:v>2</c:v>
                </c:pt>
                <c:pt idx="1">
                  <c:v>1</c:v>
                </c:pt>
                <c:pt idx="2">
                  <c:v>1</c:v>
                </c:pt>
                <c:pt idx="3" formatCode="General">
                  <c:v>1</c:v>
                </c:pt>
                <c:pt idx="4" formatCode="General">
                  <c:v>1</c:v>
                </c:pt>
                <c:pt idx="5" formatCode="General">
                  <c:v>1</c:v>
                </c:pt>
                <c:pt idx="6" formatCode="General">
                  <c:v>1</c:v>
                </c:pt>
                <c:pt idx="7" formatCode="General">
                  <c:v>1</c:v>
                </c:pt>
                <c:pt idx="8" formatCode="General">
                  <c:v>2</c:v>
                </c:pt>
                <c:pt idx="9" formatCode="General">
                  <c:v>2</c:v>
                </c:pt>
                <c:pt idx="10" formatCode="General">
                  <c:v>1</c:v>
                </c:pt>
              </c:numCache>
            </c:numRef>
          </c:val>
          <c:extLst>
            <c:ext xmlns:c16="http://schemas.microsoft.com/office/drawing/2014/chart" uri="{C3380CC4-5D6E-409C-BE32-E72D297353CC}">
              <c16:uniqueId val="{00000007-D548-A349-AFB5-187E3B07EEC8}"/>
            </c:ext>
          </c:extLst>
        </c:ser>
        <c:dLbls>
          <c:showLegendKey val="0"/>
          <c:showVal val="0"/>
          <c:showCatName val="0"/>
          <c:showSerName val="0"/>
          <c:showPercent val="0"/>
          <c:showBubbleSize val="0"/>
        </c:dLbls>
        <c:gapWidth val="150"/>
        <c:overlap val="100"/>
        <c:axId val="1691626639"/>
        <c:axId val="1691628351"/>
      </c:barChart>
      <c:catAx>
        <c:axId val="169162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91628351"/>
        <c:crosses val="autoZero"/>
        <c:auto val="1"/>
        <c:lblAlgn val="ctr"/>
        <c:lblOffset val="100"/>
        <c:noMultiLvlLbl val="0"/>
      </c:catAx>
      <c:valAx>
        <c:axId val="1691628351"/>
        <c:scaling>
          <c:orientation val="minMax"/>
          <c:max val="7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91626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469238</xdr:colOff>
      <xdr:row>36</xdr:row>
      <xdr:rowOff>16933</xdr:rowOff>
    </xdr:from>
    <xdr:to>
      <xdr:col>12</xdr:col>
      <xdr:colOff>16932</xdr:colOff>
      <xdr:row>51</xdr:row>
      <xdr:rowOff>101600</xdr:rowOff>
    </xdr:to>
    <xdr:sp macro="" textlink="">
      <xdr:nvSpPr>
        <xdr:cNvPr id="4" name="TextBox 3">
          <a:extLst>
            <a:ext uri="{FF2B5EF4-FFF2-40B4-BE49-F238E27FC236}">
              <a16:creationId xmlns:a16="http://schemas.microsoft.com/office/drawing/2014/main" id="{073363E7-AA2A-B7A6-B2E2-9246CA811BB0}"/>
            </a:ext>
          </a:extLst>
        </xdr:cNvPr>
        <xdr:cNvSpPr txBox="1"/>
      </xdr:nvSpPr>
      <xdr:spPr>
        <a:xfrm>
          <a:off x="4600971" y="8737600"/>
          <a:ext cx="7404761" cy="32004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Assumption:</a:t>
          </a:r>
        </a:p>
        <a:p>
          <a:r>
            <a:rPr lang="en-GB" sz="1400"/>
            <a:t>1. The model takes the waiting and loading/unloading discharging rate as 0. </a:t>
          </a:r>
        </a:p>
        <a:p>
          <a:endParaRPr lang="en-GB" sz="1400"/>
        </a:p>
        <a:p>
          <a:r>
            <a:rPr lang="en-GB" sz="1400"/>
            <a:t>2. Only consider the possible charging at the outer terminal, which means the cycle does not need to contain charging tasks that cover all the electricity requirements during the sailings. Extra charging tasks will be arranged automatically by the model solved by the program.</a:t>
          </a:r>
        </a:p>
        <a:p>
          <a:endParaRPr lang="en-GB" sz="1400"/>
        </a:p>
        <a:p>
          <a:r>
            <a:rPr lang="en-GB" sz="1400"/>
            <a:t>3. The only charging information required from cycle line data is the discharging rate for the lines taken as tasks in the model.    (with a unit of </a:t>
          </a:r>
          <a:r>
            <a:rPr lang="en-GB" sz="1400" b="1"/>
            <a:t>kwh/min</a:t>
          </a:r>
          <a:r>
            <a:rPr lang="en-GB" sz="1400" b="1" baseline="0"/>
            <a:t> </a:t>
          </a:r>
          <a:r>
            <a:rPr lang="en-GB" sz="1400" baseline="0"/>
            <a:t>or </a:t>
          </a:r>
          <a:r>
            <a:rPr lang="en-GB" sz="1400" b="1" baseline="0"/>
            <a:t>% of battery/time period</a:t>
          </a:r>
          <a:r>
            <a:rPr lang="en-GB" sz="1400"/>
            <a:t>)</a:t>
          </a:r>
        </a:p>
        <a:p>
          <a:endParaRPr lang="en-GB" sz="1400"/>
        </a:p>
        <a:p>
          <a:r>
            <a:rPr lang="en-GB" sz="1400"/>
            <a:t>Questions:</a:t>
          </a:r>
        </a:p>
        <a:p>
          <a:pPr marL="0" marR="0" lvl="0" indent="0" defTabSz="914400" eaLnBrk="1" fontAlgn="auto" latinLnBrk="0" hangingPunct="1">
            <a:lnSpc>
              <a:spcPct val="100000"/>
            </a:lnSpc>
            <a:spcBef>
              <a:spcPts val="0"/>
            </a:spcBef>
            <a:spcAft>
              <a:spcPts val="0"/>
            </a:spcAft>
            <a:buClrTx/>
            <a:buSzTx/>
            <a:buFontTx/>
            <a:buNone/>
            <a:tabLst/>
            <a:defRPr/>
          </a:pPr>
          <a:r>
            <a:rPr lang="en-GB" sz="1400"/>
            <a:t>1. do we want to consider it loading and waiting discharge?</a:t>
          </a:r>
        </a:p>
        <a:p>
          <a:pPr marL="0" marR="0" lvl="0" indent="0" defTabSz="914400" eaLnBrk="1" fontAlgn="auto" latinLnBrk="0" hangingPunct="1">
            <a:lnSpc>
              <a:spcPct val="100000"/>
            </a:lnSpc>
            <a:spcBef>
              <a:spcPts val="0"/>
            </a:spcBef>
            <a:spcAft>
              <a:spcPts val="0"/>
            </a:spcAft>
            <a:buClrTx/>
            <a:buSzTx/>
            <a:buFontTx/>
            <a:buNone/>
            <a:tabLst/>
            <a:defRPr/>
          </a:pPr>
          <a:r>
            <a:rPr lang="en-GB" sz="1400"/>
            <a:t>2.  in previous data, no charging station at Blackwattle bay, now we add one?</a:t>
          </a:r>
        </a:p>
      </xdr:txBody>
    </xdr:sp>
    <xdr:clientData/>
  </xdr:twoCellAnchor>
  <xdr:twoCellAnchor>
    <xdr:from>
      <xdr:col>12</xdr:col>
      <xdr:colOff>116274</xdr:colOff>
      <xdr:row>36</xdr:row>
      <xdr:rowOff>48810</xdr:rowOff>
    </xdr:from>
    <xdr:to>
      <xdr:col>29</xdr:col>
      <xdr:colOff>392205</xdr:colOff>
      <xdr:row>71</xdr:row>
      <xdr:rowOff>18677</xdr:rowOff>
    </xdr:to>
    <xdr:graphicFrame macro="">
      <xdr:nvGraphicFramePr>
        <xdr:cNvPr id="7" name="Chart 6">
          <a:extLst>
            <a:ext uri="{FF2B5EF4-FFF2-40B4-BE49-F238E27FC236}">
              <a16:creationId xmlns:a16="http://schemas.microsoft.com/office/drawing/2014/main" id="{B8CCBF68-6247-60F1-5F0B-9F04FEFAA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812800</xdr:colOff>
      <xdr:row>15</xdr:row>
      <xdr:rowOff>139700</xdr:rowOff>
    </xdr:from>
    <xdr:to>
      <xdr:col>8</xdr:col>
      <xdr:colOff>215900</xdr:colOff>
      <xdr:row>23</xdr:row>
      <xdr:rowOff>93826</xdr:rowOff>
    </xdr:to>
    <xdr:pic>
      <xdr:nvPicPr>
        <xdr:cNvPr id="2" name="Picture 1">
          <a:extLst>
            <a:ext uri="{FF2B5EF4-FFF2-40B4-BE49-F238E27FC236}">
              <a16:creationId xmlns:a16="http://schemas.microsoft.com/office/drawing/2014/main" id="{931ACA02-EA1C-CB6C-2E33-3FB4716ECE39}"/>
            </a:ext>
          </a:extLst>
        </xdr:cNvPr>
        <xdr:cNvPicPr>
          <a:picLocks noChangeAspect="1"/>
        </xdr:cNvPicPr>
      </xdr:nvPicPr>
      <xdr:blipFill>
        <a:blip xmlns:r="http://schemas.openxmlformats.org/officeDocument/2006/relationships" r:embed="rId1"/>
        <a:stretch>
          <a:fillRect/>
        </a:stretch>
      </xdr:blipFill>
      <xdr:spPr>
        <a:xfrm>
          <a:off x="1638300" y="3619500"/>
          <a:ext cx="7772400" cy="14781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A5D0-719D-45BF-8EA2-DA371F82245A}">
  <dimension ref="A1:AF80"/>
  <sheetViews>
    <sheetView tabSelected="1" topLeftCell="A18" zoomScale="75" workbookViewId="0">
      <selection activeCell="H20" sqref="H20"/>
    </sheetView>
  </sheetViews>
  <sheetFormatPr baseColWidth="10" defaultColWidth="8.83203125" defaultRowHeight="15" x14ac:dyDescent="0.2"/>
  <cols>
    <col min="1" max="1" width="6.33203125" customWidth="1"/>
    <col min="2" max="2" width="22" customWidth="1"/>
    <col min="3" max="4" width="12.83203125" customWidth="1"/>
    <col min="5" max="5" width="12.83203125" style="3" customWidth="1"/>
    <col min="6" max="11" width="12.83203125" customWidth="1"/>
    <col min="12" max="16" width="12.83203125" style="3" customWidth="1"/>
    <col min="17" max="23" width="12.83203125" customWidth="1"/>
    <col min="24" max="24" width="16" customWidth="1"/>
    <col min="25" max="25" width="12.83203125" customWidth="1"/>
    <col min="26" max="26" width="13.5" style="3" customWidth="1"/>
    <col min="27" max="27" width="10.83203125" style="3" customWidth="1"/>
    <col min="28" max="28" width="12.1640625" style="3" customWidth="1"/>
    <col min="29" max="29" width="9.33203125" style="3" customWidth="1"/>
    <col min="30" max="30" width="12.33203125" style="3" customWidth="1"/>
    <col min="31" max="31" width="11" style="3" customWidth="1"/>
    <col min="32" max="32" width="8.83203125" style="17"/>
  </cols>
  <sheetData>
    <row r="1" spans="1:32" s="5" customFormat="1" ht="48" x14ac:dyDescent="0.2">
      <c r="D1" s="21"/>
      <c r="E1" s="1"/>
      <c r="H1" s="1"/>
      <c r="I1" s="1"/>
      <c r="J1" s="1"/>
      <c r="K1" s="1" t="s">
        <v>0</v>
      </c>
      <c r="L1" s="1" t="s">
        <v>35</v>
      </c>
      <c r="R1" s="6" t="s">
        <v>59</v>
      </c>
      <c r="S1" s="6"/>
      <c r="T1" s="6"/>
      <c r="U1" s="6"/>
      <c r="V1" s="1">
        <v>35.14</v>
      </c>
      <c r="W1" s="1"/>
      <c r="Z1" s="1"/>
      <c r="AA1" s="1"/>
      <c r="AB1" s="1"/>
      <c r="AC1" s="1"/>
      <c r="AD1" s="1"/>
      <c r="AE1" s="1"/>
      <c r="AF1" s="16"/>
    </row>
    <row r="2" spans="1:32" x14ac:dyDescent="0.2">
      <c r="H2" s="6" t="s">
        <v>1</v>
      </c>
      <c r="I2" s="6"/>
      <c r="J2" s="6"/>
      <c r="K2" s="7">
        <v>0.47523936170212766</v>
      </c>
      <c r="L2" s="3">
        <v>16.7</v>
      </c>
      <c r="M2" s="7"/>
      <c r="N2" s="7"/>
      <c r="O2" s="7"/>
      <c r="P2" s="7"/>
      <c r="R2" s="6" t="s">
        <v>10</v>
      </c>
      <c r="S2" s="6"/>
      <c r="T2" s="6"/>
      <c r="U2" s="6"/>
      <c r="V2" s="8">
        <v>1100</v>
      </c>
      <c r="W2" s="4"/>
    </row>
    <row r="3" spans="1:32" x14ac:dyDescent="0.2">
      <c r="G3" s="3"/>
      <c r="H3" s="6" t="s">
        <v>2</v>
      </c>
      <c r="I3" s="6"/>
      <c r="J3" s="6"/>
      <c r="K3" s="7">
        <v>0.26180851063829785</v>
      </c>
      <c r="L3" s="3">
        <v>9.1999999999999993</v>
      </c>
      <c r="R3" s="6" t="s">
        <v>3</v>
      </c>
      <c r="S3" s="6"/>
      <c r="T3" s="6"/>
      <c r="U3" s="6"/>
      <c r="V3" s="9">
        <v>0.5</v>
      </c>
      <c r="W3" s="4"/>
    </row>
    <row r="4" spans="1:32" x14ac:dyDescent="0.2">
      <c r="H4" s="6" t="s">
        <v>4</v>
      </c>
      <c r="I4" s="6"/>
      <c r="J4" s="6"/>
      <c r="K4" s="7">
        <v>8.7269503546099289E-2</v>
      </c>
      <c r="L4" s="3">
        <v>3.5</v>
      </c>
      <c r="M4" s="3" t="s">
        <v>139</v>
      </c>
      <c r="V4" s="10"/>
      <c r="W4" s="10"/>
    </row>
    <row r="5" spans="1:32" x14ac:dyDescent="0.2">
      <c r="T5" s="2"/>
      <c r="U5" s="2"/>
      <c r="V5" s="2"/>
      <c r="X5" s="2"/>
    </row>
    <row r="6" spans="1:32" ht="96" x14ac:dyDescent="0.2">
      <c r="A6" t="s">
        <v>21</v>
      </c>
      <c r="B6" s="11" t="s">
        <v>5</v>
      </c>
      <c r="C6" s="11" t="s">
        <v>60</v>
      </c>
      <c r="D6" s="12" t="s">
        <v>61</v>
      </c>
      <c r="E6" s="12" t="s">
        <v>6</v>
      </c>
      <c r="F6" s="12" t="s">
        <v>16</v>
      </c>
      <c r="G6" s="12" t="s">
        <v>17</v>
      </c>
      <c r="H6" s="12" t="s">
        <v>7</v>
      </c>
      <c r="I6" s="12" t="s">
        <v>25</v>
      </c>
      <c r="J6" s="12" t="s">
        <v>8</v>
      </c>
      <c r="K6" s="12" t="s">
        <v>42</v>
      </c>
      <c r="L6" s="12" t="s">
        <v>62</v>
      </c>
      <c r="M6" s="12" t="s">
        <v>9</v>
      </c>
      <c r="N6" s="12" t="s">
        <v>11</v>
      </c>
      <c r="O6" s="12" t="s">
        <v>12</v>
      </c>
      <c r="P6" s="12" t="s">
        <v>13</v>
      </c>
      <c r="Q6" s="12" t="s">
        <v>14</v>
      </c>
      <c r="R6" s="12" t="s">
        <v>15</v>
      </c>
      <c r="S6" s="12" t="s">
        <v>36</v>
      </c>
      <c r="T6" s="12" t="s">
        <v>18</v>
      </c>
      <c r="U6" s="12" t="s">
        <v>43</v>
      </c>
      <c r="V6" s="12" t="s">
        <v>19</v>
      </c>
      <c r="W6" s="12" t="s">
        <v>48</v>
      </c>
      <c r="X6" s="12" t="s">
        <v>31</v>
      </c>
      <c r="Y6" s="12" t="s">
        <v>32</v>
      </c>
      <c r="Z6" s="12" t="s">
        <v>33</v>
      </c>
      <c r="AA6" s="12" t="s">
        <v>63</v>
      </c>
      <c r="AB6" s="12" t="s">
        <v>37</v>
      </c>
      <c r="AC6" s="12" t="s">
        <v>38</v>
      </c>
      <c r="AD6" s="12" t="s">
        <v>39</v>
      </c>
      <c r="AE6" s="12" t="s">
        <v>40</v>
      </c>
      <c r="AF6" s="18" t="s">
        <v>20</v>
      </c>
    </row>
    <row r="7" spans="1:32" x14ac:dyDescent="0.2">
      <c r="A7" s="3" t="s">
        <v>22</v>
      </c>
      <c r="B7" s="14" t="s">
        <v>23</v>
      </c>
      <c r="C7" s="14">
        <v>170</v>
      </c>
      <c r="D7" s="13">
        <f>(V$2-C7)/V$2</f>
        <v>0.84545454545454546</v>
      </c>
      <c r="E7" s="3">
        <v>2</v>
      </c>
      <c r="F7" s="3">
        <v>12</v>
      </c>
      <c r="G7" s="3">
        <v>0</v>
      </c>
      <c r="H7" s="3">
        <v>13</v>
      </c>
      <c r="I7" s="3" t="s">
        <v>26</v>
      </c>
      <c r="J7" s="3">
        <v>2</v>
      </c>
      <c r="K7" s="3">
        <v>2</v>
      </c>
      <c r="L7" s="4">
        <f>(F7*L$3)+((E7+G7+J7)*L$4)</f>
        <v>124.39999999999999</v>
      </c>
      <c r="M7" s="13">
        <f>L7/V$2</f>
        <v>0.11309090909090909</v>
      </c>
      <c r="N7" s="13">
        <f>1-(M7+(1-D7))</f>
        <v>0.73236363636363633</v>
      </c>
      <c r="O7" s="3">
        <v>2</v>
      </c>
      <c r="P7" s="4">
        <f>((1-N7)*V$2)/V$1</f>
        <v>8.3779169038133183</v>
      </c>
      <c r="Q7" s="4">
        <f>O7+P7</f>
        <v>10.377916903813318</v>
      </c>
      <c r="R7" s="4">
        <f>J7+Q7</f>
        <v>12.377916903813318</v>
      </c>
      <c r="S7" s="13">
        <v>1</v>
      </c>
      <c r="T7" s="8">
        <v>2</v>
      </c>
      <c r="U7" s="8">
        <f>IF((Q7-(T7+K7))&gt;0,0,(T7+K7))</f>
        <v>0</v>
      </c>
      <c r="V7" s="8">
        <v>12</v>
      </c>
      <c r="W7" s="3">
        <v>0</v>
      </c>
      <c r="X7" s="8">
        <v>2</v>
      </c>
      <c r="Y7" s="3">
        <v>2</v>
      </c>
      <c r="Z7" s="3">
        <f>(V7*L$3)+((W7+X7+Y7)*L$4)</f>
        <v>124.39999999999999</v>
      </c>
      <c r="AA7" s="4">
        <f>(V$2-(Z7+((1-S7)*V$2)))</f>
        <v>975.6</v>
      </c>
      <c r="AB7" s="4">
        <v>0</v>
      </c>
      <c r="AC7" s="4">
        <v>0</v>
      </c>
      <c r="AD7" s="4">
        <f t="shared" ref="AD7:AD10" si="0">AB7+AC7</f>
        <v>0</v>
      </c>
      <c r="AE7" s="13">
        <f t="shared" ref="AE7:AE9" si="1">((AC7*V$1)+AA7)/V$2</f>
        <v>0.88690909090909098</v>
      </c>
      <c r="AF7" s="19">
        <f>E7+F7+G7+R7+U7+V7+W7+X7+Y7+AD7</f>
        <v>42.377916903813315</v>
      </c>
    </row>
    <row r="8" spans="1:32" x14ac:dyDescent="0.2">
      <c r="A8" s="3" t="s">
        <v>22</v>
      </c>
      <c r="B8" s="14" t="s">
        <v>24</v>
      </c>
      <c r="C8" s="14">
        <v>170</v>
      </c>
      <c r="D8" s="13">
        <f t="shared" ref="D8:D17" si="2">(V$2-C8)/V$2</f>
        <v>0.84545454545454546</v>
      </c>
      <c r="E8" s="3">
        <v>1</v>
      </c>
      <c r="F8" s="3">
        <v>15</v>
      </c>
      <c r="G8" s="3">
        <v>0</v>
      </c>
      <c r="H8" s="3">
        <v>13</v>
      </c>
      <c r="I8" s="3" t="s">
        <v>29</v>
      </c>
      <c r="J8" s="3">
        <v>2</v>
      </c>
      <c r="K8" s="3">
        <v>1</v>
      </c>
      <c r="L8" s="4">
        <f t="shared" ref="L8:L13" si="3">(F8*L$3)+((E8+G8+J8)*L$4)</f>
        <v>148.5</v>
      </c>
      <c r="M8" s="13">
        <f t="shared" ref="M7:M17" si="4">L8/V$2</f>
        <v>0.13500000000000001</v>
      </c>
      <c r="N8" s="13">
        <f t="shared" ref="N7:N17" si="5">1-(M8+(1-D8))</f>
        <v>0.71045454545454545</v>
      </c>
      <c r="O8" s="3">
        <v>2</v>
      </c>
      <c r="P8" s="4">
        <f>((1-N8)*V$2)/V$1</f>
        <v>9.0637450199203187</v>
      </c>
      <c r="Q8" s="4">
        <f>O8+P8</f>
        <v>11.063745019920319</v>
      </c>
      <c r="R8" s="4">
        <f>J8+Q8</f>
        <v>13.063745019920319</v>
      </c>
      <c r="S8" s="13">
        <v>1</v>
      </c>
      <c r="T8" s="8">
        <v>2</v>
      </c>
      <c r="U8" s="8">
        <f t="shared" ref="U8:U17" si="6">IF((Q8-(T8+K8))&gt;0,0,(T8+K8))</f>
        <v>0</v>
      </c>
      <c r="V8" s="8">
        <v>21</v>
      </c>
      <c r="W8" s="8">
        <v>2</v>
      </c>
      <c r="X8" s="8">
        <v>2</v>
      </c>
      <c r="Y8" s="8">
        <v>1</v>
      </c>
      <c r="Z8" s="3">
        <f t="shared" ref="Z8:Z14" si="7">(V8*L$3)+((W8+X8+Y8)*L$4)</f>
        <v>210.7</v>
      </c>
      <c r="AA8" s="4">
        <f t="shared" ref="AA8:AA16" si="8">(V$2-(Z8+((1-S8)*V$2)))</f>
        <v>889.3</v>
      </c>
      <c r="AB8" s="4">
        <v>0</v>
      </c>
      <c r="AC8" s="4">
        <v>0</v>
      </c>
      <c r="AD8" s="4">
        <f t="shared" si="0"/>
        <v>0</v>
      </c>
      <c r="AE8" s="13">
        <f t="shared" si="1"/>
        <v>0.80845454545454543</v>
      </c>
      <c r="AF8" s="19">
        <f t="shared" ref="AF8:AF9" si="9">E8+F8+G8+R8+U8+V8+W8+X8+Y8+AD8</f>
        <v>55.063745019920319</v>
      </c>
    </row>
    <row r="9" spans="1:32" x14ac:dyDescent="0.2">
      <c r="A9" s="3" t="s">
        <v>30</v>
      </c>
      <c r="B9" t="s">
        <v>27</v>
      </c>
      <c r="C9" s="14">
        <v>170</v>
      </c>
      <c r="D9" s="13">
        <f t="shared" si="2"/>
        <v>0.84545454545454546</v>
      </c>
      <c r="E9" s="3">
        <v>1</v>
      </c>
      <c r="F9" s="3">
        <v>21</v>
      </c>
      <c r="G9" s="3">
        <v>6</v>
      </c>
      <c r="H9" s="3">
        <v>13</v>
      </c>
      <c r="I9" s="3" t="s">
        <v>27</v>
      </c>
      <c r="J9" s="3">
        <v>2</v>
      </c>
      <c r="K9" s="3">
        <v>2</v>
      </c>
      <c r="L9" s="4">
        <f t="shared" si="3"/>
        <v>224.7</v>
      </c>
      <c r="M9" s="13">
        <f t="shared" si="4"/>
        <v>0.20427272727272727</v>
      </c>
      <c r="N9" s="13">
        <f t="shared" si="5"/>
        <v>0.64118181818181819</v>
      </c>
      <c r="O9" s="3">
        <v>2</v>
      </c>
      <c r="P9" s="4">
        <f>((1-N9)*V$2)/V$1</f>
        <v>11.232214001138303</v>
      </c>
      <c r="Q9" s="4">
        <f t="shared" ref="Q9" si="10">O9+P9</f>
        <v>13.232214001138303</v>
      </c>
      <c r="R9" s="4">
        <f>J9+Q9</f>
        <v>15.232214001138303</v>
      </c>
      <c r="S9" s="13">
        <v>1</v>
      </c>
      <c r="T9" s="8">
        <v>2</v>
      </c>
      <c r="U9" s="8">
        <f t="shared" si="6"/>
        <v>0</v>
      </c>
      <c r="V9" s="8">
        <v>21</v>
      </c>
      <c r="W9" s="8">
        <v>6</v>
      </c>
      <c r="X9" s="8">
        <v>2</v>
      </c>
      <c r="Y9" s="8">
        <v>1</v>
      </c>
      <c r="Z9" s="3">
        <f t="shared" si="7"/>
        <v>224.7</v>
      </c>
      <c r="AA9" s="4">
        <f t="shared" si="8"/>
        <v>875.3</v>
      </c>
      <c r="AB9" s="4">
        <v>0</v>
      </c>
      <c r="AC9" s="4">
        <v>0</v>
      </c>
      <c r="AD9" s="4">
        <f t="shared" si="0"/>
        <v>0</v>
      </c>
      <c r="AE9" s="13">
        <f t="shared" si="1"/>
        <v>0.79572727272727273</v>
      </c>
      <c r="AF9" s="19">
        <f t="shared" si="9"/>
        <v>73.232214001138303</v>
      </c>
    </row>
    <row r="10" spans="1:32" s="3" customFormat="1" x14ac:dyDescent="0.2">
      <c r="A10" s="3" t="s">
        <v>34</v>
      </c>
      <c r="B10" s="14" t="s">
        <v>41</v>
      </c>
      <c r="C10" s="14">
        <v>170</v>
      </c>
      <c r="D10" s="13">
        <f t="shared" si="2"/>
        <v>0.84545454545454546</v>
      </c>
      <c r="E10" s="3">
        <v>1</v>
      </c>
      <c r="F10" s="3">
        <v>11</v>
      </c>
      <c r="G10" s="3">
        <v>2</v>
      </c>
      <c r="H10" s="3">
        <v>13</v>
      </c>
      <c r="I10" s="3" t="s">
        <v>41</v>
      </c>
      <c r="J10" s="3">
        <v>0</v>
      </c>
      <c r="K10" s="3">
        <v>1</v>
      </c>
      <c r="L10" s="4">
        <f t="shared" si="3"/>
        <v>111.69999999999999</v>
      </c>
      <c r="M10" s="13">
        <f t="shared" si="4"/>
        <v>0.10154545454545454</v>
      </c>
      <c r="N10" s="13">
        <f t="shared" si="5"/>
        <v>0.74390909090909085</v>
      </c>
      <c r="O10" s="3">
        <v>0</v>
      </c>
      <c r="P10" s="4">
        <v>0</v>
      </c>
      <c r="Q10" s="4">
        <v>0</v>
      </c>
      <c r="R10" s="4">
        <f>J10+Q10</f>
        <v>0</v>
      </c>
      <c r="S10" s="13">
        <f>N10</f>
        <v>0.74390909090909085</v>
      </c>
      <c r="T10" s="8">
        <v>1</v>
      </c>
      <c r="U10" s="8">
        <v>1</v>
      </c>
      <c r="V10" s="8">
        <v>11</v>
      </c>
      <c r="W10" s="8">
        <v>2</v>
      </c>
      <c r="X10" s="8">
        <v>2</v>
      </c>
      <c r="Y10" s="3">
        <v>1</v>
      </c>
      <c r="Z10" s="3">
        <f t="shared" si="7"/>
        <v>118.69999999999999</v>
      </c>
      <c r="AA10" s="4">
        <f t="shared" si="8"/>
        <v>699.59999999999991</v>
      </c>
      <c r="AB10" s="4">
        <v>2</v>
      </c>
      <c r="AC10" s="4">
        <v>8</v>
      </c>
      <c r="AD10" s="4">
        <f t="shared" si="0"/>
        <v>10</v>
      </c>
      <c r="AE10" s="13">
        <f t="shared" ref="AE10:AE17" si="11">((AC10*V$1)+AA10)/V$2</f>
        <v>0.89156363636363634</v>
      </c>
      <c r="AF10" s="19">
        <f>E10+F10+G10+R10+U10+V10+W10+X10+AD10</f>
        <v>40</v>
      </c>
    </row>
    <row r="11" spans="1:32" s="3" customFormat="1" ht="16" x14ac:dyDescent="0.2">
      <c r="A11" s="3" t="s">
        <v>45</v>
      </c>
      <c r="B11" s="15" t="s">
        <v>46</v>
      </c>
      <c r="C11" s="14">
        <v>170</v>
      </c>
      <c r="D11" s="13">
        <f t="shared" si="2"/>
        <v>0.84545454545454546</v>
      </c>
      <c r="E11" s="1">
        <v>1</v>
      </c>
      <c r="F11" s="3">
        <v>15</v>
      </c>
      <c r="G11" s="3">
        <v>1</v>
      </c>
      <c r="H11" s="3">
        <v>13</v>
      </c>
      <c r="I11" s="3" t="s">
        <v>29</v>
      </c>
      <c r="J11" s="3">
        <v>2</v>
      </c>
      <c r="K11" s="3">
        <v>1</v>
      </c>
      <c r="L11" s="4">
        <f t="shared" si="3"/>
        <v>152</v>
      </c>
      <c r="M11" s="13">
        <f t="shared" si="4"/>
        <v>0.13818181818181818</v>
      </c>
      <c r="N11" s="13">
        <f t="shared" si="5"/>
        <v>0.70727272727272728</v>
      </c>
      <c r="O11" s="3">
        <v>2</v>
      </c>
      <c r="P11" s="4">
        <f t="shared" ref="P11:P17" si="12">((1-N11)*V$2)/V$1</f>
        <v>9.1633466135458157</v>
      </c>
      <c r="Q11" s="4">
        <f t="shared" ref="Q11:Q13" si="13">O11+P11</f>
        <v>11.163346613545816</v>
      </c>
      <c r="R11" s="4">
        <f t="shared" ref="R11:R13" si="14">J11+Q11</f>
        <v>13.163346613545816</v>
      </c>
      <c r="S11" s="13">
        <v>1</v>
      </c>
      <c r="T11" s="8">
        <v>1</v>
      </c>
      <c r="U11" s="8">
        <f t="shared" si="6"/>
        <v>0</v>
      </c>
      <c r="V11" s="8">
        <v>17</v>
      </c>
      <c r="W11" s="8">
        <v>4</v>
      </c>
      <c r="X11" s="8">
        <v>2</v>
      </c>
      <c r="Y11" s="3">
        <v>1</v>
      </c>
      <c r="Z11" s="3">
        <f t="shared" si="7"/>
        <v>180.89999999999998</v>
      </c>
      <c r="AA11" s="4">
        <f t="shared" si="8"/>
        <v>919.1</v>
      </c>
      <c r="AB11" s="4">
        <v>0</v>
      </c>
      <c r="AC11" s="4">
        <v>0</v>
      </c>
      <c r="AD11" s="4">
        <v>0</v>
      </c>
      <c r="AE11" s="13">
        <f t="shared" si="11"/>
        <v>0.83554545454545459</v>
      </c>
      <c r="AF11" s="19">
        <f>E11+F11+G11+R11+U11+V11+W11+X11+Y11+AD11</f>
        <v>54.163346613545812</v>
      </c>
    </row>
    <row r="12" spans="1:32" s="3" customFormat="1" ht="16" x14ac:dyDescent="0.2">
      <c r="A12" s="3" t="s">
        <v>45</v>
      </c>
      <c r="B12" s="15" t="s">
        <v>47</v>
      </c>
      <c r="C12" s="14">
        <v>170</v>
      </c>
      <c r="D12" s="13">
        <f t="shared" si="2"/>
        <v>0.84545454545454546</v>
      </c>
      <c r="E12" s="1">
        <v>1</v>
      </c>
      <c r="F12" s="3">
        <v>17</v>
      </c>
      <c r="G12" s="3">
        <v>3</v>
      </c>
      <c r="H12" s="3">
        <v>13</v>
      </c>
      <c r="I12" s="3" t="s">
        <v>29</v>
      </c>
      <c r="J12" s="3">
        <v>2</v>
      </c>
      <c r="K12" s="3">
        <v>1</v>
      </c>
      <c r="L12" s="4">
        <f t="shared" si="3"/>
        <v>177.39999999999998</v>
      </c>
      <c r="M12" s="13">
        <f t="shared" si="4"/>
        <v>0.16127272727272726</v>
      </c>
      <c r="N12" s="13">
        <f t="shared" si="5"/>
        <v>0.68418181818181822</v>
      </c>
      <c r="O12" s="3">
        <v>2</v>
      </c>
      <c r="P12" s="4">
        <f t="shared" si="12"/>
        <v>9.8861696072851437</v>
      </c>
      <c r="Q12" s="4">
        <f t="shared" si="13"/>
        <v>11.886169607285144</v>
      </c>
      <c r="R12" s="4">
        <f t="shared" si="14"/>
        <v>13.886169607285144</v>
      </c>
      <c r="S12" s="13">
        <v>1</v>
      </c>
      <c r="T12" s="8">
        <v>1</v>
      </c>
      <c r="U12" s="8">
        <f t="shared" si="6"/>
        <v>0</v>
      </c>
      <c r="V12" s="8">
        <v>17</v>
      </c>
      <c r="W12" s="8">
        <v>3</v>
      </c>
      <c r="X12" s="8">
        <v>2</v>
      </c>
      <c r="Y12" s="3">
        <v>1</v>
      </c>
      <c r="Z12" s="3">
        <f t="shared" si="7"/>
        <v>177.39999999999998</v>
      </c>
      <c r="AA12" s="4">
        <f t="shared" si="8"/>
        <v>922.6</v>
      </c>
      <c r="AB12" s="4">
        <v>0</v>
      </c>
      <c r="AC12" s="4">
        <v>0</v>
      </c>
      <c r="AD12" s="4">
        <v>0</v>
      </c>
      <c r="AE12" s="13">
        <f t="shared" si="11"/>
        <v>0.83872727272727277</v>
      </c>
      <c r="AF12" s="19">
        <f>E12+F12+G12+R12+U12+V12+W12+X12+Y12+AD12</f>
        <v>57.88616960728514</v>
      </c>
    </row>
    <row r="13" spans="1:32" s="3" customFormat="1" x14ac:dyDescent="0.2">
      <c r="A13" s="3" t="s">
        <v>49</v>
      </c>
      <c r="B13" s="14" t="s">
        <v>28</v>
      </c>
      <c r="C13" s="14">
        <v>170</v>
      </c>
      <c r="D13" s="13">
        <f t="shared" si="2"/>
        <v>0.84545454545454546</v>
      </c>
      <c r="E13" s="3">
        <v>1</v>
      </c>
      <c r="F13" s="3">
        <v>17</v>
      </c>
      <c r="G13" s="3">
        <v>1</v>
      </c>
      <c r="H13" s="3">
        <v>13</v>
      </c>
      <c r="I13" s="3" t="s">
        <v>28</v>
      </c>
      <c r="J13" s="3">
        <v>2</v>
      </c>
      <c r="K13" s="3">
        <v>1</v>
      </c>
      <c r="L13" s="4">
        <f t="shared" si="3"/>
        <v>170.39999999999998</v>
      </c>
      <c r="M13" s="13">
        <f t="shared" si="4"/>
        <v>0.15490909090909089</v>
      </c>
      <c r="N13" s="13">
        <f t="shared" si="5"/>
        <v>0.69054545454545457</v>
      </c>
      <c r="O13" s="3">
        <v>2</v>
      </c>
      <c r="P13" s="4">
        <f t="shared" si="12"/>
        <v>9.6869664200341479</v>
      </c>
      <c r="Q13" s="4">
        <f t="shared" si="13"/>
        <v>11.686966420034148</v>
      </c>
      <c r="R13" s="4">
        <f t="shared" si="14"/>
        <v>13.686966420034148</v>
      </c>
      <c r="S13" s="13">
        <v>1</v>
      </c>
      <c r="T13" s="8">
        <v>1</v>
      </c>
      <c r="U13" s="8">
        <f t="shared" si="6"/>
        <v>0</v>
      </c>
      <c r="V13" s="8">
        <v>17</v>
      </c>
      <c r="W13" s="8">
        <v>1</v>
      </c>
      <c r="X13" s="8">
        <v>2</v>
      </c>
      <c r="Y13" s="3">
        <v>1</v>
      </c>
      <c r="Z13" s="3">
        <f t="shared" si="7"/>
        <v>170.39999999999998</v>
      </c>
      <c r="AA13" s="4">
        <f t="shared" si="8"/>
        <v>929.6</v>
      </c>
      <c r="AB13" s="4">
        <v>0</v>
      </c>
      <c r="AC13" s="4">
        <v>0</v>
      </c>
      <c r="AD13" s="4">
        <v>0</v>
      </c>
      <c r="AE13" s="13">
        <f t="shared" si="11"/>
        <v>0.84509090909090911</v>
      </c>
      <c r="AF13" s="19">
        <f>E13+F13+G13+R13+U13+V13+W13+X13+Y13+AD13</f>
        <v>53.686966420034146</v>
      </c>
    </row>
    <row r="14" spans="1:32" x14ac:dyDescent="0.2">
      <c r="A14" s="3" t="s">
        <v>50</v>
      </c>
      <c r="B14" s="14" t="s">
        <v>51</v>
      </c>
      <c r="C14" s="14">
        <v>170</v>
      </c>
      <c r="D14" s="13">
        <f t="shared" si="2"/>
        <v>0.84545454545454546</v>
      </c>
      <c r="E14" s="3">
        <v>1</v>
      </c>
      <c r="F14" s="3">
        <v>25</v>
      </c>
      <c r="G14" s="3">
        <v>4</v>
      </c>
      <c r="H14" s="3">
        <v>13</v>
      </c>
      <c r="I14" s="3" t="s">
        <v>51</v>
      </c>
      <c r="J14" s="3">
        <v>2</v>
      </c>
      <c r="K14" s="3">
        <v>1</v>
      </c>
      <c r="L14" s="4">
        <f>(F14*L$3)+((E14+G14+J14)*L$4)</f>
        <v>254.49999999999997</v>
      </c>
      <c r="M14" s="13">
        <f t="shared" si="4"/>
        <v>0.23136363636363633</v>
      </c>
      <c r="N14" s="13">
        <f t="shared" si="5"/>
        <v>0.61409090909090913</v>
      </c>
      <c r="O14" s="3">
        <v>2</v>
      </c>
      <c r="P14" s="4">
        <f t="shared" si="12"/>
        <v>12.080250426863971</v>
      </c>
      <c r="Q14" s="4">
        <f t="shared" ref="Q14" si="15">O14+P14</f>
        <v>14.080250426863971</v>
      </c>
      <c r="R14" s="4">
        <f t="shared" ref="R14" si="16">J14+Q14</f>
        <v>16.080250426863969</v>
      </c>
      <c r="S14" s="13">
        <v>1</v>
      </c>
      <c r="T14" s="8">
        <v>1</v>
      </c>
      <c r="U14" s="8">
        <f t="shared" si="6"/>
        <v>0</v>
      </c>
      <c r="V14" s="8">
        <v>25</v>
      </c>
      <c r="W14" s="8">
        <v>4</v>
      </c>
      <c r="X14" s="8">
        <v>2</v>
      </c>
      <c r="Y14" s="3">
        <v>1</v>
      </c>
      <c r="Z14" s="3">
        <f t="shared" si="7"/>
        <v>254.49999999999997</v>
      </c>
      <c r="AA14" s="4">
        <f t="shared" si="8"/>
        <v>845.5</v>
      </c>
      <c r="AB14" s="4">
        <v>0</v>
      </c>
      <c r="AC14" s="4">
        <v>0</v>
      </c>
      <c r="AD14" s="4">
        <v>0</v>
      </c>
      <c r="AE14" s="13">
        <f t="shared" si="11"/>
        <v>0.76863636363636367</v>
      </c>
      <c r="AF14" s="19">
        <f>E14+F14+G14+R14+U14+V14+W14+X14+Y14+AD14</f>
        <v>78.080250426863969</v>
      </c>
    </row>
    <row r="15" spans="1:32" x14ac:dyDescent="0.2">
      <c r="A15" s="3" t="s">
        <v>53</v>
      </c>
      <c r="B15" s="14" t="s">
        <v>52</v>
      </c>
      <c r="C15" s="14">
        <v>228</v>
      </c>
      <c r="D15" s="13">
        <f t="shared" si="2"/>
        <v>0.79272727272727272</v>
      </c>
      <c r="E15" s="3">
        <v>1</v>
      </c>
      <c r="F15" s="3">
        <v>13</v>
      </c>
      <c r="G15" s="3">
        <v>0</v>
      </c>
      <c r="H15" s="3">
        <v>20</v>
      </c>
      <c r="I15" s="3" t="s">
        <v>54</v>
      </c>
      <c r="J15" s="3">
        <v>2</v>
      </c>
      <c r="K15" s="3">
        <v>1</v>
      </c>
      <c r="L15" s="4">
        <f>(F15*L$2)+((E15+G15+J15)*L$4)</f>
        <v>227.6</v>
      </c>
      <c r="M15" s="13">
        <f t="shared" si="4"/>
        <v>0.2069090909090909</v>
      </c>
      <c r="N15" s="13">
        <f t="shared" si="5"/>
        <v>0.58581818181818179</v>
      </c>
      <c r="O15" s="3">
        <v>2</v>
      </c>
      <c r="P15" s="4">
        <f t="shared" si="12"/>
        <v>12.965281730221969</v>
      </c>
      <c r="Q15" s="4">
        <f t="shared" ref="Q15" si="17">O15+P15</f>
        <v>14.965281730221969</v>
      </c>
      <c r="R15" s="4">
        <f>J15+Q15</f>
        <v>16.965281730221967</v>
      </c>
      <c r="S15" s="13">
        <v>1</v>
      </c>
      <c r="T15" s="8">
        <v>2</v>
      </c>
      <c r="U15" s="8">
        <f t="shared" si="6"/>
        <v>0</v>
      </c>
      <c r="V15" s="8">
        <v>13</v>
      </c>
      <c r="W15" s="8">
        <v>0</v>
      </c>
      <c r="X15" s="8">
        <v>2</v>
      </c>
      <c r="Y15" s="3">
        <v>2</v>
      </c>
      <c r="Z15" s="3">
        <f>(V15*L$2)+((W15+X15+Y15)*L$4)</f>
        <v>231.1</v>
      </c>
      <c r="AA15" s="4">
        <f t="shared" si="8"/>
        <v>868.9</v>
      </c>
      <c r="AB15" s="4">
        <v>0</v>
      </c>
      <c r="AC15" s="4">
        <v>0</v>
      </c>
      <c r="AD15" s="4">
        <v>0</v>
      </c>
      <c r="AE15" s="13">
        <f t="shared" si="11"/>
        <v>0.78990909090909089</v>
      </c>
      <c r="AF15" s="19">
        <f>E15+F15+G15+R15+U15+V15+W15+X15+Y15+AD15</f>
        <v>47.965281730221967</v>
      </c>
    </row>
    <row r="16" spans="1:32" x14ac:dyDescent="0.2">
      <c r="A16" s="3" t="s">
        <v>53</v>
      </c>
      <c r="B16" s="14" t="s">
        <v>55</v>
      </c>
      <c r="C16" s="14">
        <v>0</v>
      </c>
      <c r="D16" s="13">
        <v>1</v>
      </c>
      <c r="E16" s="3">
        <v>2</v>
      </c>
      <c r="F16" s="3">
        <v>21</v>
      </c>
      <c r="G16" s="3">
        <v>2</v>
      </c>
      <c r="H16" s="3">
        <v>20</v>
      </c>
      <c r="I16" s="3" t="s">
        <v>56</v>
      </c>
      <c r="J16" s="3">
        <v>2</v>
      </c>
      <c r="K16" s="3">
        <v>2</v>
      </c>
      <c r="L16" s="4">
        <f>(F16*L$2)+((E16+G16+J16)*L$4)</f>
        <v>371.7</v>
      </c>
      <c r="M16" s="13">
        <f t="shared" si="4"/>
        <v>0.33790909090909088</v>
      </c>
      <c r="N16" s="13">
        <f t="shared" si="5"/>
        <v>0.66209090909090906</v>
      </c>
      <c r="O16" s="3">
        <v>2</v>
      </c>
      <c r="P16" s="4">
        <f t="shared" si="12"/>
        <v>10.577689243027889</v>
      </c>
      <c r="Q16" s="4">
        <f t="shared" ref="Q16" si="18">O16+P16</f>
        <v>12.577689243027889</v>
      </c>
      <c r="R16" s="4">
        <f>J16+Q16</f>
        <v>14.577689243027889</v>
      </c>
      <c r="S16" s="13">
        <v>1</v>
      </c>
      <c r="T16" s="8">
        <v>2</v>
      </c>
      <c r="U16" s="8">
        <f t="shared" si="6"/>
        <v>0</v>
      </c>
      <c r="V16" s="8">
        <v>21</v>
      </c>
      <c r="W16" s="8">
        <v>2</v>
      </c>
      <c r="X16" s="8">
        <v>2</v>
      </c>
      <c r="Y16" s="3">
        <v>2</v>
      </c>
      <c r="Z16" s="3">
        <f>(V16*L$2)+((W16+X16+Y16)*L$4)</f>
        <v>371.7</v>
      </c>
      <c r="AA16" s="4">
        <f t="shared" si="8"/>
        <v>728.3</v>
      </c>
      <c r="AB16" s="4">
        <v>2</v>
      </c>
      <c r="AC16" s="4">
        <f>P16</f>
        <v>10.577689243027889</v>
      </c>
      <c r="AD16" s="4">
        <f>Q16</f>
        <v>12.577689243027889</v>
      </c>
      <c r="AE16" s="13">
        <f t="shared" si="11"/>
        <v>1</v>
      </c>
      <c r="AF16" s="19">
        <f>E16+F16+G16+R16+U16+V16+W16+X16+AD16</f>
        <v>77.155378486055781</v>
      </c>
    </row>
    <row r="17" spans="1:32" x14ac:dyDescent="0.2">
      <c r="A17" s="3" t="s">
        <v>57</v>
      </c>
      <c r="B17" s="14" t="s">
        <v>44</v>
      </c>
      <c r="C17" s="20">
        <f>L17</f>
        <v>192.29999999999998</v>
      </c>
      <c r="D17" s="13">
        <f t="shared" si="2"/>
        <v>0.82518181818181824</v>
      </c>
      <c r="E17" s="3">
        <v>1</v>
      </c>
      <c r="F17" s="3">
        <v>19</v>
      </c>
      <c r="G17" s="3">
        <v>2</v>
      </c>
      <c r="H17" s="3">
        <v>13</v>
      </c>
      <c r="I17" s="3" t="s">
        <v>58</v>
      </c>
      <c r="J17" s="3">
        <v>2</v>
      </c>
      <c r="K17" s="3">
        <v>1</v>
      </c>
      <c r="L17" s="4">
        <f>(F17*L$3)+((E17+G17+J17)*L$4)</f>
        <v>192.29999999999998</v>
      </c>
      <c r="M17" s="13">
        <f t="shared" si="4"/>
        <v>0.17481818181818179</v>
      </c>
      <c r="N17" s="13">
        <f t="shared" si="5"/>
        <v>0.65036363636363648</v>
      </c>
      <c r="O17" s="3">
        <v>2</v>
      </c>
      <c r="P17" s="4">
        <f t="shared" si="12"/>
        <v>10.94479225953329</v>
      </c>
      <c r="Q17" s="4">
        <f t="shared" ref="Q17" si="19">O17+P17</f>
        <v>12.94479225953329</v>
      </c>
      <c r="R17" s="4">
        <f>J17+Q17</f>
        <v>14.94479225953329</v>
      </c>
      <c r="S17" s="13">
        <v>1</v>
      </c>
      <c r="T17" s="8">
        <v>1</v>
      </c>
      <c r="U17" s="8">
        <f t="shared" si="6"/>
        <v>0</v>
      </c>
      <c r="V17" s="8">
        <v>19</v>
      </c>
      <c r="W17" s="8">
        <v>2</v>
      </c>
      <c r="X17" s="8">
        <v>2</v>
      </c>
      <c r="Y17" s="3">
        <v>1</v>
      </c>
      <c r="Z17" s="3">
        <f>(V17*L$3)+((W17+X17+Y17)*L$4)</f>
        <v>192.29999999999998</v>
      </c>
      <c r="AA17" s="4">
        <f t="shared" ref="AA17" si="20">(V$2-(Z17+((1-S17)*V$2)))</f>
        <v>907.7</v>
      </c>
      <c r="AB17" s="4">
        <v>0</v>
      </c>
      <c r="AC17" s="4">
        <v>0</v>
      </c>
      <c r="AD17" s="4">
        <v>0</v>
      </c>
      <c r="AE17" s="13">
        <f t="shared" si="11"/>
        <v>0.82518181818181824</v>
      </c>
      <c r="AF17" s="19">
        <f>E17+F17+G17+R17+U17+V17+W17+X17+AD17</f>
        <v>59.944792259533287</v>
      </c>
    </row>
    <row r="18" spans="1:32" x14ac:dyDescent="0.2">
      <c r="L18" s="75" t="s">
        <v>140</v>
      </c>
      <c r="Z18" s="75" t="s">
        <v>134</v>
      </c>
    </row>
    <row r="19" spans="1:32" x14ac:dyDescent="0.2">
      <c r="C19" s="14"/>
      <c r="L19" s="75"/>
    </row>
    <row r="20" spans="1:32" ht="19" x14ac:dyDescent="0.25">
      <c r="A20" s="143"/>
      <c r="B20" s="160" t="s">
        <v>138</v>
      </c>
      <c r="C20" s="14"/>
      <c r="D20" s="14"/>
      <c r="F20" s="3"/>
      <c r="G20" s="3"/>
      <c r="H20" s="3"/>
      <c r="I20" s="3"/>
      <c r="J20" s="3"/>
      <c r="K20" s="3"/>
      <c r="L20" s="84"/>
      <c r="M20" s="4"/>
      <c r="N20" s="13"/>
      <c r="O20" s="13"/>
      <c r="P20" s="13"/>
      <c r="Q20" s="3"/>
      <c r="R20" s="3"/>
      <c r="S20" s="3"/>
      <c r="T20" s="3"/>
      <c r="U20" s="3"/>
      <c r="V20" s="4"/>
      <c r="W20" s="4"/>
      <c r="X20" s="8"/>
      <c r="Y20" s="8"/>
      <c r="Z20" s="8"/>
      <c r="AA20" s="8"/>
      <c r="AB20" s="13"/>
    </row>
    <row r="21" spans="1:32" ht="22" x14ac:dyDescent="0.3">
      <c r="B21" s="161" t="s">
        <v>137</v>
      </c>
      <c r="C21" s="14"/>
      <c r="D21" s="14"/>
      <c r="F21" s="3"/>
      <c r="G21" s="3"/>
      <c r="H21" s="3"/>
      <c r="I21" s="3"/>
      <c r="J21" s="3"/>
      <c r="K21" s="3"/>
      <c r="L21" s="4"/>
      <c r="M21" s="8"/>
      <c r="N21" s="13"/>
      <c r="O21" s="13"/>
      <c r="P21" s="13"/>
      <c r="Q21" s="3"/>
      <c r="R21" s="3"/>
      <c r="S21" s="3"/>
      <c r="T21" s="3"/>
      <c r="U21" s="3"/>
      <c r="V21" s="4"/>
      <c r="W21" s="4"/>
      <c r="X21" s="8"/>
      <c r="Y21" s="8"/>
      <c r="Z21" s="8"/>
      <c r="AA21" s="8"/>
      <c r="AB21" s="13"/>
    </row>
    <row r="22" spans="1:32" ht="16" thickBot="1" x14ac:dyDescent="0.25">
      <c r="B22" s="14"/>
      <c r="C22" s="14"/>
      <c r="D22" s="14"/>
      <c r="F22" s="8"/>
      <c r="G22" s="8"/>
      <c r="H22" s="3"/>
      <c r="I22" s="3"/>
      <c r="J22" s="3"/>
      <c r="K22" s="8"/>
      <c r="M22" s="24"/>
      <c r="N22" s="13"/>
      <c r="O22" s="13"/>
      <c r="P22" s="13"/>
      <c r="Q22" s="8"/>
      <c r="R22" s="3"/>
      <c r="S22" s="3"/>
      <c r="T22" s="3"/>
      <c r="U22" s="3"/>
      <c r="V22" s="4"/>
      <c r="W22" s="4"/>
      <c r="X22" s="8"/>
      <c r="Y22" s="8"/>
      <c r="Z22" s="8"/>
      <c r="AA22" s="8"/>
      <c r="AB22" s="13"/>
    </row>
    <row r="23" spans="1:32" s="83" customFormat="1" ht="16" thickBot="1" x14ac:dyDescent="0.25">
      <c r="A23" s="77"/>
      <c r="B23" s="78"/>
      <c r="C23" s="162" t="s">
        <v>114</v>
      </c>
      <c r="D23" s="167"/>
      <c r="E23" s="168" t="s">
        <v>118</v>
      </c>
      <c r="F23" s="169"/>
      <c r="G23" s="169"/>
      <c r="H23" s="170"/>
      <c r="I23" s="162" t="s">
        <v>111</v>
      </c>
      <c r="J23" s="163"/>
      <c r="K23" s="163"/>
      <c r="L23" s="163"/>
      <c r="M23" s="163"/>
      <c r="N23" s="163"/>
      <c r="O23" s="163"/>
      <c r="P23" s="167"/>
      <c r="Q23" s="168" t="s">
        <v>120</v>
      </c>
      <c r="R23" s="169"/>
      <c r="S23" s="170"/>
      <c r="T23" s="162" t="s">
        <v>114</v>
      </c>
      <c r="U23" s="163"/>
      <c r="V23" s="164" t="s">
        <v>126</v>
      </c>
      <c r="W23" s="165"/>
      <c r="X23" s="165"/>
      <c r="Y23" s="166"/>
      <c r="Z23" s="79"/>
      <c r="AA23" s="79"/>
      <c r="AB23" s="80"/>
      <c r="AC23" s="81"/>
      <c r="AD23" s="81"/>
      <c r="AE23" s="81"/>
      <c r="AF23" s="82"/>
    </row>
    <row r="24" spans="1:32" ht="49" customHeight="1" x14ac:dyDescent="0.2">
      <c r="A24" s="89" t="s">
        <v>21</v>
      </c>
      <c r="B24" s="90" t="s">
        <v>5</v>
      </c>
      <c r="C24" s="97" t="s">
        <v>127</v>
      </c>
      <c r="D24" s="98" t="s">
        <v>113</v>
      </c>
      <c r="E24" s="97" t="s">
        <v>110</v>
      </c>
      <c r="F24" s="104" t="s">
        <v>128</v>
      </c>
      <c r="G24" s="104" t="s">
        <v>7</v>
      </c>
      <c r="H24" s="98" t="s">
        <v>121</v>
      </c>
      <c r="I24" s="97" t="s">
        <v>111</v>
      </c>
      <c r="J24" s="104" t="s">
        <v>129</v>
      </c>
      <c r="K24" s="104" t="s">
        <v>130</v>
      </c>
      <c r="L24" s="104" t="s">
        <v>127</v>
      </c>
      <c r="M24" s="104" t="s">
        <v>131</v>
      </c>
      <c r="N24" s="116" t="s">
        <v>132</v>
      </c>
      <c r="O24" s="116" t="s">
        <v>133</v>
      </c>
      <c r="P24" s="98" t="s">
        <v>115</v>
      </c>
      <c r="Q24" s="97" t="s">
        <v>110</v>
      </c>
      <c r="R24" s="104" t="s">
        <v>128</v>
      </c>
      <c r="S24" s="98" t="s">
        <v>122</v>
      </c>
      <c r="T24" s="97" t="s">
        <v>129</v>
      </c>
      <c r="U24" s="90" t="s">
        <v>130</v>
      </c>
      <c r="V24" s="115" t="s">
        <v>123</v>
      </c>
      <c r="W24" s="127" t="s">
        <v>124</v>
      </c>
      <c r="X24" s="116" t="s">
        <v>125</v>
      </c>
      <c r="Y24" s="98" t="s">
        <v>135</v>
      </c>
      <c r="Z24" s="2"/>
      <c r="AA24" s="2"/>
      <c r="AB24" s="76"/>
      <c r="AC24"/>
      <c r="AD24"/>
      <c r="AE24"/>
      <c r="AF24"/>
    </row>
    <row r="25" spans="1:32" x14ac:dyDescent="0.2">
      <c r="A25" s="91" t="s">
        <v>22</v>
      </c>
      <c r="B25" s="92" t="s">
        <v>23</v>
      </c>
      <c r="C25" s="99">
        <v>2</v>
      </c>
      <c r="D25" s="100">
        <v>0</v>
      </c>
      <c r="E25" s="99">
        <v>12</v>
      </c>
      <c r="F25" s="86">
        <v>0</v>
      </c>
      <c r="G25" s="86">
        <v>13</v>
      </c>
      <c r="H25" s="105">
        <f>E25*9.2+(J25+C25+F25)*3.5</f>
        <v>124.39999999999999</v>
      </c>
      <c r="I25" s="91" t="s">
        <v>26</v>
      </c>
      <c r="J25" s="85">
        <v>2</v>
      </c>
      <c r="K25" s="85">
        <v>2</v>
      </c>
      <c r="L25" s="87">
        <v>2</v>
      </c>
      <c r="M25" s="87">
        <f>IF((N25-(L25+K25))&gt;0,0,(L25+K25))</f>
        <v>0</v>
      </c>
      <c r="N25" s="125">
        <f>O25-J25</f>
        <v>8</v>
      </c>
      <c r="O25" s="125">
        <v>10</v>
      </c>
      <c r="P25" s="100">
        <f>(N25-2)*35</f>
        <v>210</v>
      </c>
      <c r="Q25" s="110">
        <v>12</v>
      </c>
      <c r="R25" s="85">
        <v>0</v>
      </c>
      <c r="S25" s="105">
        <f>Q25*9.2+(R25+T25+U25)*3.5</f>
        <v>124.39999999999999</v>
      </c>
      <c r="T25" s="110">
        <v>2</v>
      </c>
      <c r="U25" s="112">
        <v>2</v>
      </c>
      <c r="V25" s="117">
        <f t="shared" ref="V25:V35" si="21">D25+P25-H25-S25</f>
        <v>-38.799999999999983</v>
      </c>
      <c r="W25" s="128">
        <f>C25+E25+F25+O25+Q25+R25+T25+U25</f>
        <v>40</v>
      </c>
      <c r="X25" s="88">
        <f t="shared" ref="X25:X35" si="22">V25/W25</f>
        <v>-0.96999999999999953</v>
      </c>
      <c r="Y25" s="123">
        <f t="shared" ref="Y25:Y35" si="23">X25/1100*5</f>
        <v>-4.4090909090909068E-3</v>
      </c>
      <c r="Z25" s="4"/>
      <c r="AA25" s="13"/>
      <c r="AB25" s="19"/>
      <c r="AC25"/>
      <c r="AD25"/>
      <c r="AE25"/>
      <c r="AF25"/>
    </row>
    <row r="26" spans="1:32" x14ac:dyDescent="0.2">
      <c r="A26" s="91" t="s">
        <v>22</v>
      </c>
      <c r="B26" s="92" t="s">
        <v>24</v>
      </c>
      <c r="C26" s="99">
        <v>1</v>
      </c>
      <c r="D26" s="100">
        <v>0</v>
      </c>
      <c r="E26" s="99">
        <v>15</v>
      </c>
      <c r="F26" s="86">
        <v>0</v>
      </c>
      <c r="G26" s="86">
        <v>13</v>
      </c>
      <c r="H26" s="105">
        <f t="shared" ref="H26:H32" si="24">E26*9.2+(J26+C26+F26)*3.5</f>
        <v>148.5</v>
      </c>
      <c r="I26" s="91" t="s">
        <v>29</v>
      </c>
      <c r="J26" s="85">
        <v>2</v>
      </c>
      <c r="K26" s="85">
        <v>1</v>
      </c>
      <c r="L26" s="87">
        <v>2</v>
      </c>
      <c r="M26" s="87">
        <f>IF((N26-(L26+K26))&gt;0,0,(L26+K26))</f>
        <v>0</v>
      </c>
      <c r="N26" s="125">
        <f>O26-J26</f>
        <v>8</v>
      </c>
      <c r="O26" s="125">
        <v>10</v>
      </c>
      <c r="P26" s="100">
        <f t="shared" ref="P26:P35" si="25">(N26-2)*35</f>
        <v>210</v>
      </c>
      <c r="Q26" s="110">
        <v>21</v>
      </c>
      <c r="R26" s="87">
        <v>2</v>
      </c>
      <c r="S26" s="105">
        <f t="shared" ref="S26:S35" si="26">Q26*9.2+(R26+T26+U26)*3.5</f>
        <v>210.7</v>
      </c>
      <c r="T26" s="110">
        <v>2</v>
      </c>
      <c r="U26" s="113">
        <v>1</v>
      </c>
      <c r="V26" s="117">
        <f t="shared" si="21"/>
        <v>-149.19999999999999</v>
      </c>
      <c r="W26" s="128">
        <f t="shared" ref="W25:W35" si="27">C26+E26+F26+O26+Q26+R26+T26+U26</f>
        <v>52</v>
      </c>
      <c r="X26" s="88">
        <f t="shared" si="22"/>
        <v>-2.8692307692307688</v>
      </c>
      <c r="Y26" s="123">
        <f t="shared" si="23"/>
        <v>-1.3041958041958041E-2</v>
      </c>
      <c r="Z26" s="4"/>
      <c r="AA26" s="13"/>
      <c r="AB26" s="19"/>
      <c r="AC26"/>
      <c r="AD26"/>
      <c r="AE26"/>
      <c r="AF26"/>
    </row>
    <row r="27" spans="1:32" x14ac:dyDescent="0.2">
      <c r="A27" s="91" t="s">
        <v>30</v>
      </c>
      <c r="B27" s="93" t="s">
        <v>27</v>
      </c>
      <c r="C27" s="99">
        <v>1</v>
      </c>
      <c r="D27" s="100">
        <v>0</v>
      </c>
      <c r="E27" s="99">
        <v>21</v>
      </c>
      <c r="F27" s="86">
        <v>6</v>
      </c>
      <c r="G27" s="86">
        <v>13</v>
      </c>
      <c r="H27" s="105">
        <f t="shared" si="24"/>
        <v>224.7</v>
      </c>
      <c r="I27" s="91" t="s">
        <v>27</v>
      </c>
      <c r="J27" s="85">
        <v>2</v>
      </c>
      <c r="K27" s="85">
        <v>2</v>
      </c>
      <c r="L27" s="87">
        <v>2</v>
      </c>
      <c r="M27" s="87">
        <f>IF((N27-(L27+K27))&gt;0,0,(L27+K27))</f>
        <v>0</v>
      </c>
      <c r="N27" s="125">
        <f>O27-J27</f>
        <v>8</v>
      </c>
      <c r="O27" s="125">
        <v>10</v>
      </c>
      <c r="P27" s="100">
        <f t="shared" si="25"/>
        <v>210</v>
      </c>
      <c r="Q27" s="110">
        <v>21</v>
      </c>
      <c r="R27" s="87">
        <v>6</v>
      </c>
      <c r="S27" s="105">
        <f t="shared" si="26"/>
        <v>224.7</v>
      </c>
      <c r="T27" s="110">
        <v>2</v>
      </c>
      <c r="U27" s="113">
        <v>1</v>
      </c>
      <c r="V27" s="117">
        <f t="shared" si="21"/>
        <v>-239.39999999999998</v>
      </c>
      <c r="W27" s="128">
        <f t="shared" si="27"/>
        <v>68</v>
      </c>
      <c r="X27" s="88">
        <f t="shared" si="22"/>
        <v>-3.5205882352941171</v>
      </c>
      <c r="Y27" s="123">
        <f t="shared" si="23"/>
        <v>-1.600267379679144E-2</v>
      </c>
      <c r="Z27" s="4"/>
      <c r="AA27" s="13"/>
      <c r="AB27" s="19"/>
      <c r="AC27"/>
      <c r="AD27"/>
      <c r="AE27"/>
      <c r="AF27"/>
    </row>
    <row r="28" spans="1:32" s="3" customFormat="1" x14ac:dyDescent="0.2">
      <c r="A28" s="91" t="s">
        <v>34</v>
      </c>
      <c r="B28" s="92" t="s">
        <v>41</v>
      </c>
      <c r="C28" s="99">
        <v>1</v>
      </c>
      <c r="D28" s="100">
        <v>0</v>
      </c>
      <c r="E28" s="99">
        <v>11</v>
      </c>
      <c r="F28" s="86">
        <v>2</v>
      </c>
      <c r="G28" s="86">
        <v>13</v>
      </c>
      <c r="H28" s="105">
        <f t="shared" si="24"/>
        <v>111.69999999999999</v>
      </c>
      <c r="I28" s="91" t="s">
        <v>41</v>
      </c>
      <c r="J28" s="85">
        <v>0</v>
      </c>
      <c r="K28" s="85">
        <v>1</v>
      </c>
      <c r="L28" s="87">
        <v>1</v>
      </c>
      <c r="M28" s="87">
        <v>1</v>
      </c>
      <c r="N28" s="125">
        <v>0</v>
      </c>
      <c r="O28" s="125">
        <v>0</v>
      </c>
      <c r="P28" s="100">
        <v>0</v>
      </c>
      <c r="Q28" s="110">
        <v>11</v>
      </c>
      <c r="R28" s="87">
        <v>2</v>
      </c>
      <c r="S28" s="105">
        <f t="shared" si="26"/>
        <v>118.69999999999999</v>
      </c>
      <c r="T28" s="110">
        <v>2</v>
      </c>
      <c r="U28" s="112">
        <v>1</v>
      </c>
      <c r="V28" s="117">
        <f t="shared" si="21"/>
        <v>-230.39999999999998</v>
      </c>
      <c r="W28" s="128">
        <f t="shared" si="27"/>
        <v>30</v>
      </c>
      <c r="X28" s="88">
        <f t="shared" si="22"/>
        <v>-7.6799999999999988</v>
      </c>
      <c r="Y28" s="123">
        <f t="shared" si="23"/>
        <v>-3.4909090909090904E-2</v>
      </c>
      <c r="Z28" s="4"/>
      <c r="AA28" s="13"/>
      <c r="AB28" s="19"/>
    </row>
    <row r="29" spans="1:32" s="3" customFormat="1" ht="16" x14ac:dyDescent="0.2">
      <c r="A29" s="91" t="s">
        <v>45</v>
      </c>
      <c r="B29" s="94" t="s">
        <v>46</v>
      </c>
      <c r="C29" s="101">
        <v>1</v>
      </c>
      <c r="D29" s="100">
        <v>0</v>
      </c>
      <c r="E29" s="99">
        <v>15</v>
      </c>
      <c r="F29" s="86">
        <v>1</v>
      </c>
      <c r="G29" s="86">
        <v>13</v>
      </c>
      <c r="H29" s="105">
        <f t="shared" si="24"/>
        <v>152</v>
      </c>
      <c r="I29" s="91" t="s">
        <v>29</v>
      </c>
      <c r="J29" s="85">
        <v>2</v>
      </c>
      <c r="K29" s="85">
        <v>1</v>
      </c>
      <c r="L29" s="87">
        <v>1</v>
      </c>
      <c r="M29" s="87">
        <f t="shared" ref="M29:M35" si="28">IF((N29-(L29+K29))&gt;0,0,(L29+K29))</f>
        <v>0</v>
      </c>
      <c r="N29" s="125">
        <f t="shared" ref="N29:N35" si="29">O29-J29</f>
        <v>8</v>
      </c>
      <c r="O29" s="125">
        <v>10</v>
      </c>
      <c r="P29" s="100">
        <f t="shared" si="25"/>
        <v>210</v>
      </c>
      <c r="Q29" s="110">
        <v>17</v>
      </c>
      <c r="R29" s="87">
        <v>4</v>
      </c>
      <c r="S29" s="105">
        <f t="shared" si="26"/>
        <v>180.89999999999998</v>
      </c>
      <c r="T29" s="110">
        <v>2</v>
      </c>
      <c r="U29" s="112">
        <v>1</v>
      </c>
      <c r="V29" s="117">
        <f t="shared" si="21"/>
        <v>-122.89999999999998</v>
      </c>
      <c r="W29" s="128">
        <f t="shared" si="27"/>
        <v>51</v>
      </c>
      <c r="X29" s="88">
        <f t="shared" si="22"/>
        <v>-2.4098039215686269</v>
      </c>
      <c r="Y29" s="123">
        <f t="shared" si="23"/>
        <v>-1.0953654188948303E-2</v>
      </c>
      <c r="Z29" s="4"/>
      <c r="AA29" s="13"/>
      <c r="AB29" s="19"/>
    </row>
    <row r="30" spans="1:32" s="3" customFormat="1" ht="16" x14ac:dyDescent="0.2">
      <c r="A30" s="91" t="s">
        <v>45</v>
      </c>
      <c r="B30" s="94" t="s">
        <v>47</v>
      </c>
      <c r="C30" s="101">
        <v>1</v>
      </c>
      <c r="D30" s="100">
        <v>0</v>
      </c>
      <c r="E30" s="99">
        <v>17</v>
      </c>
      <c r="F30" s="86">
        <v>3</v>
      </c>
      <c r="G30" s="86">
        <v>13</v>
      </c>
      <c r="H30" s="105">
        <f t="shared" si="24"/>
        <v>177.39999999999998</v>
      </c>
      <c r="I30" s="91" t="s">
        <v>29</v>
      </c>
      <c r="J30" s="85">
        <v>2</v>
      </c>
      <c r="K30" s="85">
        <v>1</v>
      </c>
      <c r="L30" s="87">
        <v>1</v>
      </c>
      <c r="M30" s="87">
        <f t="shared" si="28"/>
        <v>0</v>
      </c>
      <c r="N30" s="125">
        <f t="shared" si="29"/>
        <v>8</v>
      </c>
      <c r="O30" s="125">
        <v>10</v>
      </c>
      <c r="P30" s="100">
        <f t="shared" si="25"/>
        <v>210</v>
      </c>
      <c r="Q30" s="110">
        <v>17</v>
      </c>
      <c r="R30" s="87">
        <v>3</v>
      </c>
      <c r="S30" s="105">
        <f t="shared" si="26"/>
        <v>177.39999999999998</v>
      </c>
      <c r="T30" s="110">
        <v>2</v>
      </c>
      <c r="U30" s="112">
        <v>1</v>
      </c>
      <c r="V30" s="117">
        <f t="shared" si="21"/>
        <v>-144.79999999999995</v>
      </c>
      <c r="W30" s="128">
        <f t="shared" si="27"/>
        <v>54</v>
      </c>
      <c r="X30" s="88">
        <f t="shared" si="22"/>
        <v>-2.6814814814814807</v>
      </c>
      <c r="Y30" s="123">
        <f t="shared" si="23"/>
        <v>-1.2188552188552184E-2</v>
      </c>
      <c r="Z30" s="4"/>
      <c r="AA30" s="13"/>
      <c r="AB30" s="19"/>
    </row>
    <row r="31" spans="1:32" s="3" customFormat="1" x14ac:dyDescent="0.2">
      <c r="A31" s="91" t="s">
        <v>49</v>
      </c>
      <c r="B31" s="92" t="s">
        <v>28</v>
      </c>
      <c r="C31" s="99">
        <v>1</v>
      </c>
      <c r="D31" s="100">
        <v>0</v>
      </c>
      <c r="E31" s="99">
        <v>17</v>
      </c>
      <c r="F31" s="86">
        <v>1</v>
      </c>
      <c r="G31" s="86">
        <v>13</v>
      </c>
      <c r="H31" s="105">
        <f t="shared" si="24"/>
        <v>170.39999999999998</v>
      </c>
      <c r="I31" s="91" t="s">
        <v>28</v>
      </c>
      <c r="J31" s="85">
        <v>2</v>
      </c>
      <c r="K31" s="85">
        <v>1</v>
      </c>
      <c r="L31" s="87">
        <v>1</v>
      </c>
      <c r="M31" s="87">
        <f t="shared" si="28"/>
        <v>0</v>
      </c>
      <c r="N31" s="125">
        <f t="shared" si="29"/>
        <v>8</v>
      </c>
      <c r="O31" s="125">
        <v>10</v>
      </c>
      <c r="P31" s="100">
        <f t="shared" si="25"/>
        <v>210</v>
      </c>
      <c r="Q31" s="110">
        <v>17</v>
      </c>
      <c r="R31" s="87">
        <v>1</v>
      </c>
      <c r="S31" s="105">
        <f t="shared" si="26"/>
        <v>170.39999999999998</v>
      </c>
      <c r="T31" s="110">
        <v>2</v>
      </c>
      <c r="U31" s="112">
        <v>1</v>
      </c>
      <c r="V31" s="117">
        <f t="shared" si="21"/>
        <v>-130.79999999999995</v>
      </c>
      <c r="W31" s="128">
        <f t="shared" si="27"/>
        <v>50</v>
      </c>
      <c r="X31" s="88">
        <f t="shared" si="22"/>
        <v>-2.6159999999999992</v>
      </c>
      <c r="Y31" s="123">
        <f t="shared" si="23"/>
        <v>-1.1890909090909087E-2</v>
      </c>
      <c r="Z31" s="4"/>
      <c r="AA31" s="13"/>
      <c r="AB31" s="19"/>
    </row>
    <row r="32" spans="1:32" x14ac:dyDescent="0.2">
      <c r="A32" s="91" t="s">
        <v>50</v>
      </c>
      <c r="B32" s="92" t="s">
        <v>51</v>
      </c>
      <c r="C32" s="99">
        <v>1</v>
      </c>
      <c r="D32" s="100">
        <v>0</v>
      </c>
      <c r="E32" s="99">
        <v>25</v>
      </c>
      <c r="F32" s="86">
        <v>4</v>
      </c>
      <c r="G32" s="86">
        <v>13</v>
      </c>
      <c r="H32" s="105">
        <f t="shared" si="24"/>
        <v>254.49999999999997</v>
      </c>
      <c r="I32" s="91" t="s">
        <v>51</v>
      </c>
      <c r="J32" s="85">
        <v>2</v>
      </c>
      <c r="K32" s="85">
        <v>1</v>
      </c>
      <c r="L32" s="87">
        <v>1</v>
      </c>
      <c r="M32" s="87">
        <f t="shared" si="28"/>
        <v>0</v>
      </c>
      <c r="N32" s="125">
        <f t="shared" si="29"/>
        <v>8</v>
      </c>
      <c r="O32" s="125">
        <v>10</v>
      </c>
      <c r="P32" s="100">
        <f t="shared" si="25"/>
        <v>210</v>
      </c>
      <c r="Q32" s="110">
        <v>25</v>
      </c>
      <c r="R32" s="87">
        <v>4</v>
      </c>
      <c r="S32" s="105">
        <f t="shared" si="26"/>
        <v>254.49999999999997</v>
      </c>
      <c r="T32" s="110">
        <v>2</v>
      </c>
      <c r="U32" s="121">
        <v>1</v>
      </c>
      <c r="V32" s="117">
        <f t="shared" si="21"/>
        <v>-298.99999999999994</v>
      </c>
      <c r="W32" s="128">
        <f t="shared" si="27"/>
        <v>72</v>
      </c>
      <c r="X32" s="88">
        <f t="shared" si="22"/>
        <v>-4.1527777777777768</v>
      </c>
      <c r="Y32" s="123">
        <f t="shared" si="23"/>
        <v>-1.8876262626262623E-2</v>
      </c>
      <c r="Z32" s="4"/>
      <c r="AA32" s="13"/>
      <c r="AB32" s="19"/>
      <c r="AC32"/>
      <c r="AD32"/>
      <c r="AE32"/>
      <c r="AF32"/>
    </row>
    <row r="33" spans="1:32" x14ac:dyDescent="0.2">
      <c r="A33" s="91" t="s">
        <v>53</v>
      </c>
      <c r="B33" s="92" t="s">
        <v>52</v>
      </c>
      <c r="C33" s="99">
        <v>1</v>
      </c>
      <c r="D33" s="100">
        <v>0</v>
      </c>
      <c r="E33" s="99">
        <v>13</v>
      </c>
      <c r="F33" s="86">
        <v>0</v>
      </c>
      <c r="G33" s="119">
        <v>20</v>
      </c>
      <c r="H33" s="105">
        <f>E33*16.7+(J33+C33+F33)*3.5</f>
        <v>227.6</v>
      </c>
      <c r="I33" s="91" t="s">
        <v>54</v>
      </c>
      <c r="J33" s="85">
        <v>2</v>
      </c>
      <c r="K33" s="85">
        <v>1</v>
      </c>
      <c r="L33" s="87">
        <v>2</v>
      </c>
      <c r="M33" s="87">
        <f t="shared" si="28"/>
        <v>0</v>
      </c>
      <c r="N33" s="125">
        <f t="shared" si="29"/>
        <v>8</v>
      </c>
      <c r="O33" s="125">
        <v>10</v>
      </c>
      <c r="P33" s="100">
        <f t="shared" si="25"/>
        <v>210</v>
      </c>
      <c r="Q33" s="110">
        <v>13</v>
      </c>
      <c r="R33" s="87">
        <v>0</v>
      </c>
      <c r="S33" s="105">
        <f>Q33*16.7+(R33+T33+U33)*3.5</f>
        <v>231.1</v>
      </c>
      <c r="T33" s="110">
        <v>2</v>
      </c>
      <c r="U33" s="112">
        <v>2</v>
      </c>
      <c r="V33" s="117">
        <f t="shared" si="21"/>
        <v>-248.7</v>
      </c>
      <c r="W33" s="128">
        <f t="shared" si="27"/>
        <v>41</v>
      </c>
      <c r="X33" s="88">
        <f t="shared" si="22"/>
        <v>-6.065853658536585</v>
      </c>
      <c r="Y33" s="123">
        <f t="shared" si="23"/>
        <v>-2.7572062084257207E-2</v>
      </c>
      <c r="Z33" s="4"/>
      <c r="AA33" s="13"/>
      <c r="AB33" s="19"/>
      <c r="AC33"/>
      <c r="AD33"/>
      <c r="AE33"/>
      <c r="AF33"/>
    </row>
    <row r="34" spans="1:32" x14ac:dyDescent="0.2">
      <c r="A34" s="91" t="s">
        <v>53</v>
      </c>
      <c r="B34" s="92" t="s">
        <v>55</v>
      </c>
      <c r="C34" s="99">
        <v>2</v>
      </c>
      <c r="D34" s="100">
        <v>0</v>
      </c>
      <c r="E34" s="99">
        <v>21</v>
      </c>
      <c r="F34" s="86">
        <v>2</v>
      </c>
      <c r="G34" s="119">
        <v>20</v>
      </c>
      <c r="H34" s="105">
        <f>E34*16.7+(J34+C34+F34)*3.5</f>
        <v>371.7</v>
      </c>
      <c r="I34" s="91" t="s">
        <v>56</v>
      </c>
      <c r="J34" s="85">
        <v>2</v>
      </c>
      <c r="K34" s="85">
        <v>2</v>
      </c>
      <c r="L34" s="87">
        <v>2</v>
      </c>
      <c r="M34" s="87">
        <f t="shared" si="28"/>
        <v>0</v>
      </c>
      <c r="N34" s="125">
        <f t="shared" si="29"/>
        <v>8</v>
      </c>
      <c r="O34" s="125">
        <v>10</v>
      </c>
      <c r="P34" s="100">
        <f t="shared" si="25"/>
        <v>210</v>
      </c>
      <c r="Q34" s="110">
        <v>21</v>
      </c>
      <c r="R34" s="87">
        <v>2</v>
      </c>
      <c r="S34" s="105">
        <f>Q34*16.7+(R34+T34+U34)*3.5</f>
        <v>371.7</v>
      </c>
      <c r="T34" s="110">
        <v>2</v>
      </c>
      <c r="U34" s="112">
        <v>2</v>
      </c>
      <c r="V34" s="117">
        <f t="shared" si="21"/>
        <v>-533.4</v>
      </c>
      <c r="W34" s="128">
        <f t="shared" si="27"/>
        <v>62</v>
      </c>
      <c r="X34" s="88">
        <f t="shared" si="22"/>
        <v>-8.6032258064516132</v>
      </c>
      <c r="Y34" s="123">
        <f t="shared" si="23"/>
        <v>-3.9105571847507334E-2</v>
      </c>
      <c r="Z34" s="4"/>
      <c r="AA34" s="13"/>
      <c r="AB34" s="19"/>
      <c r="AC34"/>
      <c r="AD34"/>
      <c r="AE34"/>
      <c r="AF34"/>
    </row>
    <row r="35" spans="1:32" ht="16" thickBot="1" x14ac:dyDescent="0.25">
      <c r="A35" s="95" t="s">
        <v>57</v>
      </c>
      <c r="B35" s="96" t="s">
        <v>44</v>
      </c>
      <c r="C35" s="102">
        <v>1</v>
      </c>
      <c r="D35" s="103">
        <v>0</v>
      </c>
      <c r="E35" s="102">
        <v>19</v>
      </c>
      <c r="F35" s="106">
        <v>2</v>
      </c>
      <c r="G35" s="106">
        <v>13</v>
      </c>
      <c r="H35" s="107">
        <f>E35*9.2+(J35+C35+F35)*3.5</f>
        <v>192.29999999999998</v>
      </c>
      <c r="I35" s="95" t="s">
        <v>58</v>
      </c>
      <c r="J35" s="108">
        <v>2</v>
      </c>
      <c r="K35" s="108">
        <v>1</v>
      </c>
      <c r="L35" s="109">
        <v>1</v>
      </c>
      <c r="M35" s="109">
        <f t="shared" si="28"/>
        <v>0</v>
      </c>
      <c r="N35" s="126">
        <f t="shared" si="29"/>
        <v>8</v>
      </c>
      <c r="O35" s="126">
        <v>10</v>
      </c>
      <c r="P35" s="103">
        <f t="shared" si="25"/>
        <v>210</v>
      </c>
      <c r="Q35" s="111">
        <v>19</v>
      </c>
      <c r="R35" s="109">
        <v>2</v>
      </c>
      <c r="S35" s="107">
        <f t="shared" si="26"/>
        <v>192.29999999999998</v>
      </c>
      <c r="T35" s="111">
        <v>2</v>
      </c>
      <c r="U35" s="114">
        <v>1</v>
      </c>
      <c r="V35" s="118">
        <f t="shared" si="21"/>
        <v>-174.59999999999997</v>
      </c>
      <c r="W35" s="129">
        <f t="shared" si="27"/>
        <v>56</v>
      </c>
      <c r="X35" s="122">
        <f t="shared" si="22"/>
        <v>-3.1178571428571424</v>
      </c>
      <c r="Y35" s="124">
        <f t="shared" si="23"/>
        <v>-1.4172077922077919E-2</v>
      </c>
      <c r="Z35" s="4"/>
      <c r="AA35" s="13"/>
      <c r="AB35" s="19"/>
      <c r="AC35"/>
      <c r="AD35"/>
      <c r="AE35"/>
      <c r="AF35"/>
    </row>
    <row r="36" spans="1:32" x14ac:dyDescent="0.2">
      <c r="C36" t="s">
        <v>112</v>
      </c>
      <c r="H36" t="s">
        <v>136</v>
      </c>
      <c r="K36" s="3" t="s">
        <v>119</v>
      </c>
      <c r="L36" s="3" t="s">
        <v>119</v>
      </c>
      <c r="M36" s="3" t="s">
        <v>119</v>
      </c>
      <c r="N36" s="14" t="s">
        <v>141</v>
      </c>
      <c r="S36" t="s">
        <v>136</v>
      </c>
    </row>
    <row r="39" spans="1:32" ht="16" thickBot="1" x14ac:dyDescent="0.25"/>
    <row r="40" spans="1:32" ht="16" thickBot="1" x14ac:dyDescent="0.25">
      <c r="B40" s="173" t="s">
        <v>117</v>
      </c>
      <c r="C40" s="174"/>
      <c r="D40" s="175"/>
    </row>
    <row r="41" spans="1:32" ht="32" x14ac:dyDescent="0.2">
      <c r="B41" s="154" t="s">
        <v>85</v>
      </c>
      <c r="C41" s="155" t="s">
        <v>107</v>
      </c>
      <c r="D41" s="156" t="s">
        <v>107</v>
      </c>
    </row>
    <row r="42" spans="1:32" x14ac:dyDescent="0.2">
      <c r="B42" s="144" t="s">
        <v>93</v>
      </c>
      <c r="C42" s="28" t="s">
        <v>108</v>
      </c>
      <c r="D42" s="145" t="s">
        <v>109</v>
      </c>
    </row>
    <row r="43" spans="1:32" x14ac:dyDescent="0.2">
      <c r="B43" s="146">
        <v>13</v>
      </c>
      <c r="C43" s="74">
        <v>550</v>
      </c>
      <c r="D43" s="147">
        <f>C43/60</f>
        <v>9.1666666666666661</v>
      </c>
    </row>
    <row r="44" spans="1:32" x14ac:dyDescent="0.2">
      <c r="B44" s="146">
        <v>20</v>
      </c>
      <c r="C44" s="74">
        <v>1000</v>
      </c>
      <c r="D44" s="147">
        <f t="shared" ref="D44:D45" si="30">C44/60</f>
        <v>16.666666666666668</v>
      </c>
    </row>
    <row r="45" spans="1:32" ht="16" thickBot="1" x14ac:dyDescent="0.25">
      <c r="B45" s="148">
        <v>25</v>
      </c>
      <c r="C45" s="149">
        <v>1400</v>
      </c>
      <c r="D45" s="150">
        <f t="shared" si="30"/>
        <v>23.333333333333332</v>
      </c>
    </row>
    <row r="46" spans="1:32" ht="16" thickBot="1" x14ac:dyDescent="0.25">
      <c r="B46" s="27"/>
      <c r="C46" s="27"/>
      <c r="D46" s="73"/>
    </row>
    <row r="47" spans="1:32" ht="16" thickBot="1" x14ac:dyDescent="0.25">
      <c r="B47" s="159" t="s">
        <v>116</v>
      </c>
      <c r="C47" s="157" t="s">
        <v>108</v>
      </c>
      <c r="D47" s="151" t="s">
        <v>109</v>
      </c>
    </row>
    <row r="48" spans="1:32" ht="16" thickBot="1" x14ac:dyDescent="0.25">
      <c r="B48" s="158" t="s">
        <v>106</v>
      </c>
      <c r="C48" s="152">
        <v>2100</v>
      </c>
      <c r="D48" s="153">
        <f>C48/60</f>
        <v>35</v>
      </c>
    </row>
    <row r="52" spans="1:32" ht="16" thickBot="1" x14ac:dyDescent="0.25"/>
    <row r="53" spans="1:32" ht="16" thickBot="1" x14ac:dyDescent="0.25">
      <c r="A53" s="137"/>
      <c r="B53" s="138"/>
      <c r="C53" s="139" t="s">
        <v>111</v>
      </c>
      <c r="D53" s="139" t="s">
        <v>114</v>
      </c>
      <c r="E53" s="171" t="s">
        <v>118</v>
      </c>
      <c r="F53" s="172"/>
      <c r="G53" s="139" t="s">
        <v>111</v>
      </c>
      <c r="H53" s="171" t="s">
        <v>120</v>
      </c>
      <c r="I53" s="172"/>
      <c r="J53" s="176" t="s">
        <v>114</v>
      </c>
      <c r="K53" s="177"/>
      <c r="L53" s="135"/>
      <c r="Q53" s="3"/>
      <c r="R53" s="3"/>
      <c r="S53" s="17"/>
      <c r="Z53"/>
      <c r="AA53"/>
      <c r="AB53"/>
      <c r="AC53"/>
      <c r="AD53"/>
      <c r="AE53"/>
      <c r="AF53"/>
    </row>
    <row r="54" spans="1:32" ht="32" x14ac:dyDescent="0.2">
      <c r="A54" s="89" t="s">
        <v>21</v>
      </c>
      <c r="B54" s="90" t="s">
        <v>5</v>
      </c>
      <c r="C54" s="97" t="s">
        <v>111</v>
      </c>
      <c r="D54" s="97" t="s">
        <v>127</v>
      </c>
      <c r="E54" s="97" t="s">
        <v>110</v>
      </c>
      <c r="F54" s="120" t="s">
        <v>128</v>
      </c>
      <c r="G54" s="132" t="s">
        <v>133</v>
      </c>
      <c r="H54" s="97" t="s">
        <v>110</v>
      </c>
      <c r="I54" s="104" t="s">
        <v>128</v>
      </c>
      <c r="J54" s="97" t="s">
        <v>129</v>
      </c>
      <c r="K54" s="90" t="s">
        <v>130</v>
      </c>
      <c r="L54" s="136" t="s">
        <v>124</v>
      </c>
      <c r="M54" s="17"/>
      <c r="N54"/>
      <c r="O54"/>
      <c r="P54"/>
      <c r="Z54"/>
      <c r="AA54"/>
      <c r="AB54"/>
      <c r="AC54"/>
      <c r="AD54"/>
      <c r="AE54"/>
      <c r="AF54"/>
    </row>
    <row r="55" spans="1:32" x14ac:dyDescent="0.2">
      <c r="A55" s="91" t="s">
        <v>22</v>
      </c>
      <c r="B55" s="112" t="s">
        <v>23</v>
      </c>
      <c r="C55" s="91" t="s">
        <v>26</v>
      </c>
      <c r="D55" s="99">
        <v>2</v>
      </c>
      <c r="E55" s="99">
        <v>12</v>
      </c>
      <c r="F55" s="130">
        <v>0</v>
      </c>
      <c r="G55" s="133">
        <v>10</v>
      </c>
      <c r="H55" s="110">
        <v>12</v>
      </c>
      <c r="I55" s="85">
        <v>0</v>
      </c>
      <c r="J55" s="110">
        <v>2</v>
      </c>
      <c r="K55" s="112">
        <v>2</v>
      </c>
      <c r="L55" s="140">
        <f>D55+E55+F55+G55+H55+I55+J55+K55</f>
        <v>40</v>
      </c>
      <c r="M55" s="17"/>
      <c r="N55"/>
      <c r="O55"/>
      <c r="P55"/>
      <c r="Z55"/>
      <c r="AA55"/>
      <c r="AB55"/>
      <c r="AC55"/>
      <c r="AD55"/>
      <c r="AE55"/>
      <c r="AF55"/>
    </row>
    <row r="56" spans="1:32" x14ac:dyDescent="0.2">
      <c r="A56" s="91" t="s">
        <v>22</v>
      </c>
      <c r="B56" s="112" t="s">
        <v>24</v>
      </c>
      <c r="C56" s="91" t="s">
        <v>29</v>
      </c>
      <c r="D56" s="99">
        <v>1</v>
      </c>
      <c r="E56" s="99">
        <v>15</v>
      </c>
      <c r="F56" s="130">
        <v>0</v>
      </c>
      <c r="G56" s="133">
        <v>10</v>
      </c>
      <c r="H56" s="110">
        <v>21</v>
      </c>
      <c r="I56" s="87">
        <v>2</v>
      </c>
      <c r="J56" s="110">
        <v>2</v>
      </c>
      <c r="K56" s="113">
        <v>1</v>
      </c>
      <c r="L56" s="140">
        <f t="shared" ref="L55:L65" si="31">D56+E56+F56+G56+H56+I56+J56+K56</f>
        <v>52</v>
      </c>
      <c r="M56" s="17"/>
      <c r="N56"/>
      <c r="O56"/>
      <c r="P56"/>
      <c r="Z56"/>
      <c r="AA56"/>
      <c r="AB56"/>
      <c r="AC56"/>
      <c r="AD56"/>
      <c r="AE56"/>
      <c r="AF56"/>
    </row>
    <row r="57" spans="1:32" x14ac:dyDescent="0.2">
      <c r="A57" s="91" t="s">
        <v>30</v>
      </c>
      <c r="B57" s="112" t="s">
        <v>27</v>
      </c>
      <c r="C57" s="91" t="s">
        <v>27</v>
      </c>
      <c r="D57" s="99">
        <v>1</v>
      </c>
      <c r="E57" s="99">
        <v>21</v>
      </c>
      <c r="F57" s="130">
        <v>6</v>
      </c>
      <c r="G57" s="133">
        <v>10</v>
      </c>
      <c r="H57" s="110">
        <v>21</v>
      </c>
      <c r="I57" s="87">
        <v>6</v>
      </c>
      <c r="J57" s="110">
        <v>2</v>
      </c>
      <c r="K57" s="113">
        <v>1</v>
      </c>
      <c r="L57" s="140">
        <f t="shared" si="31"/>
        <v>68</v>
      </c>
      <c r="M57" s="17"/>
      <c r="N57"/>
      <c r="O57"/>
      <c r="P57"/>
      <c r="Z57"/>
      <c r="AA57"/>
      <c r="AB57"/>
      <c r="AC57"/>
      <c r="AD57"/>
      <c r="AE57"/>
      <c r="AF57"/>
    </row>
    <row r="58" spans="1:32" x14ac:dyDescent="0.2">
      <c r="A58" s="91" t="s">
        <v>34</v>
      </c>
      <c r="B58" s="112" t="s">
        <v>41</v>
      </c>
      <c r="C58" s="91" t="s">
        <v>41</v>
      </c>
      <c r="D58" s="99">
        <v>1</v>
      </c>
      <c r="E58" s="99">
        <v>11</v>
      </c>
      <c r="F58" s="130">
        <v>2</v>
      </c>
      <c r="G58" s="133">
        <v>0</v>
      </c>
      <c r="H58" s="110">
        <v>11</v>
      </c>
      <c r="I58" s="87">
        <v>2</v>
      </c>
      <c r="J58" s="110">
        <v>2</v>
      </c>
      <c r="K58" s="112">
        <v>1</v>
      </c>
      <c r="L58" s="140">
        <f t="shared" si="31"/>
        <v>30</v>
      </c>
      <c r="M58" s="17"/>
      <c r="N58"/>
      <c r="O58"/>
      <c r="P58"/>
      <c r="Z58"/>
      <c r="AA58"/>
      <c r="AB58"/>
      <c r="AC58"/>
      <c r="AD58"/>
      <c r="AE58"/>
      <c r="AF58"/>
    </row>
    <row r="59" spans="1:32" ht="16" x14ac:dyDescent="0.2">
      <c r="A59" s="91" t="s">
        <v>45</v>
      </c>
      <c r="B59" s="141" t="s">
        <v>46</v>
      </c>
      <c r="C59" s="91" t="s">
        <v>29</v>
      </c>
      <c r="D59" s="101">
        <v>1</v>
      </c>
      <c r="E59" s="99">
        <v>15</v>
      </c>
      <c r="F59" s="130">
        <v>1</v>
      </c>
      <c r="G59" s="133">
        <v>10</v>
      </c>
      <c r="H59" s="110">
        <v>17</v>
      </c>
      <c r="I59" s="87">
        <v>4</v>
      </c>
      <c r="J59" s="110">
        <v>2</v>
      </c>
      <c r="K59" s="112">
        <v>1</v>
      </c>
      <c r="L59" s="140">
        <f t="shared" si="31"/>
        <v>51</v>
      </c>
      <c r="M59" s="17"/>
      <c r="N59"/>
      <c r="O59"/>
      <c r="P59"/>
      <c r="Z59"/>
      <c r="AA59"/>
      <c r="AB59"/>
      <c r="AC59"/>
      <c r="AD59"/>
      <c r="AE59"/>
      <c r="AF59"/>
    </row>
    <row r="60" spans="1:32" ht="16" x14ac:dyDescent="0.2">
      <c r="A60" s="91" t="s">
        <v>45</v>
      </c>
      <c r="B60" s="141" t="s">
        <v>47</v>
      </c>
      <c r="C60" s="91" t="s">
        <v>29</v>
      </c>
      <c r="D60" s="101">
        <v>1</v>
      </c>
      <c r="E60" s="99">
        <v>17</v>
      </c>
      <c r="F60" s="130">
        <v>3</v>
      </c>
      <c r="G60" s="133">
        <v>10</v>
      </c>
      <c r="H60" s="110">
        <v>17</v>
      </c>
      <c r="I60" s="87">
        <v>3</v>
      </c>
      <c r="J60" s="110">
        <v>2</v>
      </c>
      <c r="K60" s="112">
        <v>1</v>
      </c>
      <c r="L60" s="140">
        <f t="shared" si="31"/>
        <v>54</v>
      </c>
      <c r="M60" s="17"/>
      <c r="N60"/>
      <c r="O60"/>
      <c r="P60"/>
      <c r="Z60"/>
      <c r="AA60"/>
      <c r="AB60"/>
      <c r="AC60"/>
      <c r="AD60"/>
      <c r="AE60"/>
      <c r="AF60"/>
    </row>
    <row r="61" spans="1:32" x14ac:dyDescent="0.2">
      <c r="A61" s="91" t="s">
        <v>49</v>
      </c>
      <c r="B61" s="112" t="s">
        <v>28</v>
      </c>
      <c r="C61" s="91" t="s">
        <v>28</v>
      </c>
      <c r="D61" s="99">
        <v>1</v>
      </c>
      <c r="E61" s="99">
        <v>17</v>
      </c>
      <c r="F61" s="130">
        <v>1</v>
      </c>
      <c r="G61" s="133">
        <v>10</v>
      </c>
      <c r="H61" s="110">
        <v>17</v>
      </c>
      <c r="I61" s="87">
        <v>1</v>
      </c>
      <c r="J61" s="110">
        <v>2</v>
      </c>
      <c r="K61" s="112">
        <v>1</v>
      </c>
      <c r="L61" s="140">
        <f t="shared" si="31"/>
        <v>50</v>
      </c>
      <c r="M61" s="17"/>
      <c r="N61"/>
      <c r="O61"/>
      <c r="P61"/>
      <c r="Z61"/>
      <c r="AA61"/>
      <c r="AB61"/>
      <c r="AC61"/>
      <c r="AD61"/>
      <c r="AE61"/>
      <c r="AF61"/>
    </row>
    <row r="62" spans="1:32" x14ac:dyDescent="0.2">
      <c r="A62" s="91" t="s">
        <v>50</v>
      </c>
      <c r="B62" s="112" t="s">
        <v>51</v>
      </c>
      <c r="C62" s="91" t="s">
        <v>51</v>
      </c>
      <c r="D62" s="99">
        <v>1</v>
      </c>
      <c r="E62" s="99">
        <v>25</v>
      </c>
      <c r="F62" s="130">
        <v>4</v>
      </c>
      <c r="G62" s="133">
        <v>10</v>
      </c>
      <c r="H62" s="110">
        <v>25</v>
      </c>
      <c r="I62" s="87">
        <v>4</v>
      </c>
      <c r="J62" s="110">
        <v>2</v>
      </c>
      <c r="K62" s="121">
        <v>1</v>
      </c>
      <c r="L62" s="140">
        <f t="shared" si="31"/>
        <v>72</v>
      </c>
      <c r="M62" s="17"/>
      <c r="N62"/>
      <c r="O62"/>
      <c r="P62"/>
      <c r="Z62"/>
      <c r="AA62"/>
      <c r="AB62"/>
      <c r="AC62"/>
      <c r="AD62"/>
      <c r="AE62"/>
      <c r="AF62"/>
    </row>
    <row r="63" spans="1:32" x14ac:dyDescent="0.2">
      <c r="A63" s="91" t="s">
        <v>53</v>
      </c>
      <c r="B63" s="112" t="s">
        <v>52</v>
      </c>
      <c r="C63" s="91" t="s">
        <v>54</v>
      </c>
      <c r="D63" s="99">
        <v>1</v>
      </c>
      <c r="E63" s="99">
        <v>13</v>
      </c>
      <c r="F63" s="130">
        <v>0</v>
      </c>
      <c r="G63" s="133">
        <v>10</v>
      </c>
      <c r="H63" s="110">
        <v>13</v>
      </c>
      <c r="I63" s="87">
        <v>0</v>
      </c>
      <c r="J63" s="110">
        <v>2</v>
      </c>
      <c r="K63" s="112">
        <v>2</v>
      </c>
      <c r="L63" s="140">
        <f t="shared" si="31"/>
        <v>41</v>
      </c>
      <c r="M63" s="17"/>
      <c r="N63"/>
      <c r="O63"/>
      <c r="P63"/>
      <c r="Z63"/>
      <c r="AA63"/>
      <c r="AB63"/>
      <c r="AC63"/>
      <c r="AD63"/>
      <c r="AE63"/>
      <c r="AF63"/>
    </row>
    <row r="64" spans="1:32" x14ac:dyDescent="0.2">
      <c r="A64" s="91" t="s">
        <v>53</v>
      </c>
      <c r="B64" s="112" t="s">
        <v>55</v>
      </c>
      <c r="C64" s="91" t="s">
        <v>56</v>
      </c>
      <c r="D64" s="99">
        <v>2</v>
      </c>
      <c r="E64" s="99">
        <v>21</v>
      </c>
      <c r="F64" s="130">
        <v>2</v>
      </c>
      <c r="G64" s="133">
        <v>10</v>
      </c>
      <c r="H64" s="110">
        <v>21</v>
      </c>
      <c r="I64" s="87">
        <v>2</v>
      </c>
      <c r="J64" s="110">
        <v>2</v>
      </c>
      <c r="K64" s="112">
        <v>2</v>
      </c>
      <c r="L64" s="140">
        <f t="shared" si="31"/>
        <v>62</v>
      </c>
      <c r="M64" s="17"/>
      <c r="N64"/>
      <c r="O64"/>
      <c r="P64"/>
      <c r="Z64"/>
      <c r="AA64"/>
      <c r="AB64"/>
      <c r="AC64"/>
      <c r="AD64"/>
      <c r="AE64"/>
      <c r="AF64"/>
    </row>
    <row r="65" spans="1:32" ht="16" thickBot="1" x14ac:dyDescent="0.25">
      <c r="A65" s="95" t="s">
        <v>57</v>
      </c>
      <c r="B65" s="114" t="s">
        <v>44</v>
      </c>
      <c r="C65" s="95" t="s">
        <v>58</v>
      </c>
      <c r="D65" s="102">
        <v>1</v>
      </c>
      <c r="E65" s="102">
        <v>19</v>
      </c>
      <c r="F65" s="131">
        <v>2</v>
      </c>
      <c r="G65" s="134">
        <v>10</v>
      </c>
      <c r="H65" s="111">
        <v>19</v>
      </c>
      <c r="I65" s="109">
        <v>2</v>
      </c>
      <c r="J65" s="111">
        <v>2</v>
      </c>
      <c r="K65" s="114">
        <v>1</v>
      </c>
      <c r="L65" s="142">
        <f t="shared" si="31"/>
        <v>56</v>
      </c>
      <c r="M65" s="17"/>
      <c r="N65"/>
      <c r="O65"/>
      <c r="P65"/>
      <c r="Z65"/>
      <c r="AA65"/>
      <c r="AB65"/>
      <c r="AC65"/>
      <c r="AD65"/>
      <c r="AE65"/>
      <c r="AF65"/>
    </row>
    <row r="69" spans="1:32" x14ac:dyDescent="0.2">
      <c r="E69" s="3">
        <f>D55+E55+F55</f>
        <v>14</v>
      </c>
      <c r="I69" s="178">
        <f>D55+E55+F55+G55+H55+I55</f>
        <v>36</v>
      </c>
      <c r="J69" s="178">
        <f>SUM(J55+K55)</f>
        <v>4</v>
      </c>
    </row>
    <row r="70" spans="1:32" x14ac:dyDescent="0.2">
      <c r="E70" s="3">
        <f t="shared" ref="E70:E79" si="32">D56+E56+F56</f>
        <v>16</v>
      </c>
      <c r="I70" s="178">
        <f t="shared" ref="I70:I79" si="33">D56+E56+F56+G56+H56+I56</f>
        <v>49</v>
      </c>
      <c r="J70" s="178">
        <f t="shared" ref="J70:J80" si="34">SUM(J56+K56)</f>
        <v>3</v>
      </c>
    </row>
    <row r="71" spans="1:32" x14ac:dyDescent="0.2">
      <c r="E71" s="3">
        <f t="shared" si="32"/>
        <v>28</v>
      </c>
      <c r="I71" s="178">
        <f t="shared" si="33"/>
        <v>65</v>
      </c>
      <c r="J71" s="178">
        <f t="shared" si="34"/>
        <v>3</v>
      </c>
    </row>
    <row r="72" spans="1:32" x14ac:dyDescent="0.2">
      <c r="E72" s="3">
        <f t="shared" si="32"/>
        <v>14</v>
      </c>
      <c r="I72" s="178">
        <f t="shared" si="33"/>
        <v>27</v>
      </c>
      <c r="J72" s="178">
        <f t="shared" si="34"/>
        <v>3</v>
      </c>
    </row>
    <row r="73" spans="1:32" x14ac:dyDescent="0.2">
      <c r="E73" s="3">
        <f t="shared" si="32"/>
        <v>17</v>
      </c>
      <c r="I73" s="178">
        <f t="shared" si="33"/>
        <v>48</v>
      </c>
      <c r="J73" s="178">
        <f t="shared" si="34"/>
        <v>3</v>
      </c>
    </row>
    <row r="74" spans="1:32" x14ac:dyDescent="0.2">
      <c r="E74" s="3">
        <f t="shared" si="32"/>
        <v>21</v>
      </c>
      <c r="I74" s="178">
        <f t="shared" si="33"/>
        <v>51</v>
      </c>
      <c r="J74" s="178">
        <f t="shared" si="34"/>
        <v>3</v>
      </c>
    </row>
    <row r="75" spans="1:32" x14ac:dyDescent="0.2">
      <c r="E75" s="3">
        <f t="shared" si="32"/>
        <v>19</v>
      </c>
      <c r="I75" s="178">
        <f t="shared" si="33"/>
        <v>47</v>
      </c>
      <c r="J75" s="178">
        <f t="shared" si="34"/>
        <v>3</v>
      </c>
    </row>
    <row r="76" spans="1:32" x14ac:dyDescent="0.2">
      <c r="E76" s="3">
        <f t="shared" si="32"/>
        <v>30</v>
      </c>
      <c r="I76" s="178">
        <f t="shared" si="33"/>
        <v>69</v>
      </c>
      <c r="J76" s="178">
        <f t="shared" si="34"/>
        <v>3</v>
      </c>
    </row>
    <row r="77" spans="1:32" x14ac:dyDescent="0.2">
      <c r="E77" s="3">
        <f t="shared" si="32"/>
        <v>14</v>
      </c>
      <c r="I77" s="178">
        <f t="shared" si="33"/>
        <v>37</v>
      </c>
      <c r="J77" s="178">
        <f t="shared" si="34"/>
        <v>4</v>
      </c>
    </row>
    <row r="78" spans="1:32" x14ac:dyDescent="0.2">
      <c r="E78" s="3">
        <f t="shared" si="32"/>
        <v>25</v>
      </c>
      <c r="I78" s="178">
        <f t="shared" si="33"/>
        <v>58</v>
      </c>
      <c r="J78" s="178">
        <f t="shared" si="34"/>
        <v>4</v>
      </c>
    </row>
    <row r="79" spans="1:32" x14ac:dyDescent="0.2">
      <c r="E79" s="3">
        <f t="shared" si="32"/>
        <v>22</v>
      </c>
      <c r="I79" s="178">
        <f t="shared" si="33"/>
        <v>53</v>
      </c>
      <c r="J79" s="178">
        <f t="shared" si="34"/>
        <v>3</v>
      </c>
    </row>
    <row r="80" spans="1:32" x14ac:dyDescent="0.2">
      <c r="J80" s="178"/>
    </row>
  </sheetData>
  <mergeCells count="10">
    <mergeCell ref="T23:U23"/>
    <mergeCell ref="V23:Y23"/>
    <mergeCell ref="C23:D23"/>
    <mergeCell ref="E23:H23"/>
    <mergeCell ref="E53:F53"/>
    <mergeCell ref="H53:I53"/>
    <mergeCell ref="B40:D40"/>
    <mergeCell ref="I23:P23"/>
    <mergeCell ref="Q23:S23"/>
    <mergeCell ref="J53:K5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9B455-2082-924A-A350-E37A2AB9C293}">
  <dimension ref="C6:R34"/>
  <sheetViews>
    <sheetView zoomScale="97" workbookViewId="0">
      <selection activeCell="J19" sqref="J19"/>
    </sheetView>
  </sheetViews>
  <sheetFormatPr baseColWidth="10" defaultRowHeight="15" x14ac:dyDescent="0.2"/>
  <cols>
    <col min="3" max="3" width="12.5" customWidth="1"/>
    <col min="4" max="4" width="13.83203125" customWidth="1"/>
    <col min="5" max="5" width="23.1640625" customWidth="1"/>
    <col min="6" max="6" width="15.1640625" customWidth="1"/>
    <col min="7" max="7" width="19.6640625" customWidth="1"/>
    <col min="8" max="8" width="14.6640625" customWidth="1"/>
    <col min="9" max="9" width="15" customWidth="1"/>
    <col min="10" max="10" width="13.33203125" customWidth="1"/>
    <col min="11" max="11" width="15.33203125" customWidth="1"/>
    <col min="12" max="12" width="14.6640625" customWidth="1"/>
    <col min="13" max="13" width="19.33203125" customWidth="1"/>
    <col min="16" max="16" width="12.6640625" customWidth="1"/>
  </cols>
  <sheetData>
    <row r="6" spans="3:10" ht="16" thickBot="1" x14ac:dyDescent="0.25"/>
    <row r="7" spans="3:10" ht="40" customHeight="1" x14ac:dyDescent="0.2">
      <c r="C7" s="59" t="s">
        <v>83</v>
      </c>
      <c r="D7" s="60" t="s">
        <v>81</v>
      </c>
      <c r="E7" s="60" t="s">
        <v>82</v>
      </c>
      <c r="F7" s="61" t="s">
        <v>105</v>
      </c>
      <c r="G7" s="62" t="s">
        <v>101</v>
      </c>
      <c r="H7" s="63" t="s">
        <v>102</v>
      </c>
      <c r="I7" s="63" t="s">
        <v>103</v>
      </c>
      <c r="J7" s="64" t="s">
        <v>104</v>
      </c>
    </row>
    <row r="8" spans="3:10" x14ac:dyDescent="0.2">
      <c r="C8" s="65">
        <v>25</v>
      </c>
      <c r="D8" s="57">
        <v>1100</v>
      </c>
      <c r="E8" s="57">
        <v>1400</v>
      </c>
      <c r="F8" s="58">
        <f>D8/E8</f>
        <v>0.7857142857142857</v>
      </c>
      <c r="G8" s="57">
        <v>11.7</v>
      </c>
      <c r="H8" s="34">
        <f>G8/C8*60</f>
        <v>28.08</v>
      </c>
      <c r="I8" s="34">
        <f>H8*E8/60</f>
        <v>655.20000000000005</v>
      </c>
      <c r="J8" s="66">
        <f>I8/1100</f>
        <v>0.59563636363636363</v>
      </c>
    </row>
    <row r="9" spans="3:10" x14ac:dyDescent="0.2">
      <c r="C9" s="65">
        <v>20</v>
      </c>
      <c r="D9" s="57">
        <v>800</v>
      </c>
      <c r="E9" s="57">
        <v>1000</v>
      </c>
      <c r="F9" s="58">
        <f t="shared" ref="F9:F10" si="0">D9/E9</f>
        <v>0.8</v>
      </c>
      <c r="G9" s="57">
        <v>12.6</v>
      </c>
      <c r="H9" s="34">
        <f>G9/C9*60</f>
        <v>37.799999999999997</v>
      </c>
      <c r="I9" s="34">
        <f>H9*E9/60</f>
        <v>630</v>
      </c>
      <c r="J9" s="66">
        <f t="shared" ref="J9:J10" si="1">I9/1100</f>
        <v>0.57272727272727275</v>
      </c>
    </row>
    <row r="10" spans="3:10" ht="16" thickBot="1" x14ac:dyDescent="0.25">
      <c r="C10" s="67">
        <v>13</v>
      </c>
      <c r="D10" s="68">
        <v>400</v>
      </c>
      <c r="E10" s="68">
        <v>550</v>
      </c>
      <c r="F10" s="69">
        <f t="shared" si="0"/>
        <v>0.72727272727272729</v>
      </c>
      <c r="G10" s="68">
        <v>15.6</v>
      </c>
      <c r="H10" s="70">
        <f>G10/C10*60</f>
        <v>72</v>
      </c>
      <c r="I10" s="70">
        <f>H10*E10/60</f>
        <v>660</v>
      </c>
      <c r="J10" s="71">
        <f t="shared" si="1"/>
        <v>0.6</v>
      </c>
    </row>
    <row r="25" spans="3:18" ht="16" thickBot="1" x14ac:dyDescent="0.25"/>
    <row r="26" spans="3:18" ht="46" customHeight="1" x14ac:dyDescent="0.2">
      <c r="C26" s="38" t="s">
        <v>84</v>
      </c>
      <c r="D26" s="39" t="s">
        <v>85</v>
      </c>
      <c r="E26" s="39" t="s">
        <v>86</v>
      </c>
      <c r="F26" s="39" t="s">
        <v>87</v>
      </c>
      <c r="G26" s="40" t="s">
        <v>88</v>
      </c>
      <c r="H26" s="41" t="s">
        <v>98</v>
      </c>
      <c r="I26" s="39" t="s">
        <v>89</v>
      </c>
      <c r="J26" s="42" t="s">
        <v>90</v>
      </c>
      <c r="K26" s="43" t="s">
        <v>99</v>
      </c>
      <c r="L26" s="44" t="s">
        <v>91</v>
      </c>
      <c r="M26" s="45" t="s">
        <v>100</v>
      </c>
      <c r="P26" s="39" t="s">
        <v>85</v>
      </c>
      <c r="Q26" s="39" t="s">
        <v>107</v>
      </c>
      <c r="R26" s="39" t="s">
        <v>107</v>
      </c>
    </row>
    <row r="27" spans="3:18" x14ac:dyDescent="0.2">
      <c r="C27" s="46" t="s">
        <v>92</v>
      </c>
      <c r="D27" s="28" t="s">
        <v>93</v>
      </c>
      <c r="E27" s="28" t="s">
        <v>94</v>
      </c>
      <c r="F27" s="28" t="s">
        <v>95</v>
      </c>
      <c r="G27" s="29" t="s">
        <v>96</v>
      </c>
      <c r="H27" s="30" t="s">
        <v>97</v>
      </c>
      <c r="I27" s="28" t="s">
        <v>95</v>
      </c>
      <c r="J27" s="31" t="s">
        <v>96</v>
      </c>
      <c r="K27" s="32" t="s">
        <v>96</v>
      </c>
      <c r="L27" s="33" t="s">
        <v>92</v>
      </c>
      <c r="M27" s="47"/>
      <c r="P27" s="28" t="s">
        <v>93</v>
      </c>
      <c r="Q27" s="28" t="s">
        <v>108</v>
      </c>
      <c r="R27" s="28" t="s">
        <v>109</v>
      </c>
    </row>
    <row r="28" spans="3:18" x14ac:dyDescent="0.2">
      <c r="C28" s="46">
        <v>5</v>
      </c>
      <c r="D28" s="34">
        <v>13</v>
      </c>
      <c r="E28" s="28">
        <v>1.08</v>
      </c>
      <c r="F28" s="28">
        <v>400</v>
      </c>
      <c r="G28" s="29">
        <v>33</v>
      </c>
      <c r="H28" s="35">
        <f>C28*F28/60</f>
        <v>33.333333333333336</v>
      </c>
      <c r="I28" s="28">
        <v>550</v>
      </c>
      <c r="J28" s="31">
        <v>46</v>
      </c>
      <c r="K28" s="36">
        <f>I28*C28/60</f>
        <v>45.833333333333336</v>
      </c>
      <c r="L28" s="37">
        <v>1.30904255319149</v>
      </c>
      <c r="M28" s="48">
        <f>J28/2100*60</f>
        <v>1.3142857142857143</v>
      </c>
      <c r="P28" s="34">
        <v>13</v>
      </c>
      <c r="Q28" s="28">
        <v>550</v>
      </c>
      <c r="R28" s="72">
        <f>Q28/60</f>
        <v>9.1666666666666661</v>
      </c>
    </row>
    <row r="29" spans="3:18" x14ac:dyDescent="0.2">
      <c r="C29" s="46">
        <v>10</v>
      </c>
      <c r="D29" s="34">
        <v>20</v>
      </c>
      <c r="E29" s="28">
        <v>3.33</v>
      </c>
      <c r="F29" s="28">
        <v>800</v>
      </c>
      <c r="G29" s="29">
        <v>133</v>
      </c>
      <c r="H29" s="35">
        <f t="shared" ref="H29:H31" si="2">C29*F29/60</f>
        <v>133.33333333333334</v>
      </c>
      <c r="I29" s="28">
        <v>1000</v>
      </c>
      <c r="J29" s="31">
        <v>167</v>
      </c>
      <c r="K29" s="36">
        <f>I29*C29/60</f>
        <v>166.66666666666666</v>
      </c>
      <c r="L29" s="37">
        <v>4.7523936170212799</v>
      </c>
      <c r="M29" s="48">
        <f t="shared" ref="M29:M31" si="3">J29/2100*60</f>
        <v>4.7714285714285714</v>
      </c>
      <c r="P29" s="34">
        <v>20</v>
      </c>
      <c r="Q29" s="28">
        <v>1000</v>
      </c>
      <c r="R29" s="72">
        <f t="shared" ref="R29:R31" si="4">Q29/60</f>
        <v>16.666666666666668</v>
      </c>
    </row>
    <row r="30" spans="3:18" x14ac:dyDescent="0.2">
      <c r="C30" s="46">
        <v>5</v>
      </c>
      <c r="D30" s="28">
        <v>25</v>
      </c>
      <c r="E30" s="28">
        <v>2.08</v>
      </c>
      <c r="F30" s="28">
        <v>1100</v>
      </c>
      <c r="G30" s="29">
        <v>92</v>
      </c>
      <c r="H30" s="35">
        <f t="shared" si="2"/>
        <v>91.666666666666671</v>
      </c>
      <c r="I30" s="28">
        <v>1400</v>
      </c>
      <c r="J30" s="31">
        <v>117</v>
      </c>
      <c r="K30" s="36">
        <f>I30*C30/60</f>
        <v>116.66666666666667</v>
      </c>
      <c r="L30" s="37">
        <v>3.3295212765957447</v>
      </c>
      <c r="M30" s="48">
        <f t="shared" si="3"/>
        <v>3.342857142857143</v>
      </c>
      <c r="P30" s="28">
        <v>25</v>
      </c>
      <c r="Q30" s="28">
        <v>1400</v>
      </c>
      <c r="R30" s="72">
        <f t="shared" si="4"/>
        <v>23.333333333333332</v>
      </c>
    </row>
    <row r="31" spans="3:18" ht="16" thickBot="1" x14ac:dyDescent="0.25">
      <c r="C31" s="49">
        <v>5</v>
      </c>
      <c r="D31" s="50">
        <v>13</v>
      </c>
      <c r="E31" s="50">
        <v>1.08</v>
      </c>
      <c r="F31" s="50">
        <v>400</v>
      </c>
      <c r="G31" s="51">
        <v>33</v>
      </c>
      <c r="H31" s="52">
        <f t="shared" si="2"/>
        <v>33.333333333333336</v>
      </c>
      <c r="I31" s="50">
        <v>550</v>
      </c>
      <c r="J31" s="53">
        <v>46</v>
      </c>
      <c r="K31" s="54">
        <f>I31*C31/60</f>
        <v>45.833333333333336</v>
      </c>
      <c r="L31" s="55">
        <v>1.3090425531914893</v>
      </c>
      <c r="M31" s="56">
        <f t="shared" si="3"/>
        <v>1.3142857142857143</v>
      </c>
      <c r="P31" s="50">
        <v>13</v>
      </c>
      <c r="Q31" s="50">
        <v>550</v>
      </c>
      <c r="R31" s="72">
        <f t="shared" si="4"/>
        <v>9.1666666666666661</v>
      </c>
    </row>
    <row r="32" spans="3:18" x14ac:dyDescent="0.2">
      <c r="C32" s="3">
        <v>25</v>
      </c>
      <c r="D32" s="3"/>
      <c r="E32" s="3">
        <v>7.57</v>
      </c>
      <c r="F32" s="3"/>
      <c r="G32" s="3">
        <v>291</v>
      </c>
      <c r="H32" s="3"/>
      <c r="I32" s="3"/>
      <c r="J32" s="3"/>
      <c r="K32" s="3"/>
      <c r="L32" s="3">
        <v>10.7</v>
      </c>
    </row>
    <row r="34" spans="5:14" x14ac:dyDescent="0.2">
      <c r="E34" s="25"/>
      <c r="F34" s="25"/>
      <c r="G34" s="26"/>
      <c r="H34" s="25"/>
      <c r="I34" s="25"/>
      <c r="J34" s="25"/>
      <c r="K34" s="25"/>
      <c r="L34" s="25"/>
      <c r="M34" s="25"/>
      <c r="N34" s="2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3CCD2-A9CF-4D9E-B6FC-973597728036}">
  <dimension ref="B1:S9"/>
  <sheetViews>
    <sheetView workbookViewId="0">
      <selection activeCell="H40" sqref="H40"/>
    </sheetView>
  </sheetViews>
  <sheetFormatPr baseColWidth="10" defaultColWidth="8.83203125" defaultRowHeight="15" x14ac:dyDescent="0.2"/>
  <cols>
    <col min="2" max="2" width="11.83203125" style="3" customWidth="1"/>
    <col min="3" max="3" width="10.5" customWidth="1"/>
    <col min="4" max="5" width="10.6640625" customWidth="1"/>
    <col min="6" max="6" width="12.1640625" customWidth="1"/>
    <col min="7" max="7" width="10" customWidth="1"/>
    <col min="8" max="9" width="10" style="3" customWidth="1"/>
    <col min="10" max="10" width="11.83203125" customWidth="1"/>
    <col min="11" max="13" width="11.33203125" customWidth="1"/>
    <col min="14" max="14" width="12" customWidth="1"/>
    <col min="15" max="15" width="9.6640625" customWidth="1"/>
    <col min="16" max="16" width="11.33203125" style="3" customWidth="1"/>
    <col min="17" max="17" width="10.6640625" customWidth="1"/>
  </cols>
  <sheetData>
    <row r="1" spans="2:19" x14ac:dyDescent="0.2">
      <c r="C1" s="6" t="s">
        <v>67</v>
      </c>
      <c r="D1">
        <v>1100</v>
      </c>
      <c r="K1" s="6" t="s">
        <v>68</v>
      </c>
      <c r="L1" s="6"/>
      <c r="M1">
        <v>35.14</v>
      </c>
    </row>
    <row r="4" spans="2:19" ht="80" x14ac:dyDescent="0.2">
      <c r="B4" s="22" t="s">
        <v>77</v>
      </c>
      <c r="C4" s="22" t="s">
        <v>5</v>
      </c>
      <c r="D4" s="22" t="s">
        <v>64</v>
      </c>
      <c r="E4" s="22" t="s">
        <v>76</v>
      </c>
      <c r="F4" s="22" t="s">
        <v>72</v>
      </c>
      <c r="G4" s="22" t="s">
        <v>78</v>
      </c>
      <c r="H4" s="22" t="s">
        <v>74</v>
      </c>
      <c r="I4" s="22" t="s">
        <v>73</v>
      </c>
      <c r="J4" s="22" t="s">
        <v>69</v>
      </c>
      <c r="K4" s="22" t="s">
        <v>65</v>
      </c>
      <c r="L4" s="22" t="s">
        <v>75</v>
      </c>
      <c r="M4" s="22" t="s">
        <v>71</v>
      </c>
      <c r="N4" s="22" t="s">
        <v>72</v>
      </c>
      <c r="O4" s="22" t="s">
        <v>79</v>
      </c>
      <c r="P4" s="22" t="s">
        <v>80</v>
      </c>
      <c r="Q4" s="22" t="s">
        <v>70</v>
      </c>
      <c r="R4" s="1"/>
      <c r="S4" s="1"/>
    </row>
    <row r="5" spans="2:19" x14ac:dyDescent="0.2">
      <c r="B5" s="9">
        <v>1</v>
      </c>
      <c r="C5" t="s">
        <v>26</v>
      </c>
      <c r="D5" s="3">
        <v>124.4</v>
      </c>
      <c r="E5" s="13">
        <f>(D$1-D5)/D$1</f>
        <v>0.88690909090909098</v>
      </c>
      <c r="F5" s="3">
        <v>2</v>
      </c>
      <c r="G5" s="4">
        <f>((D5*2)/M$1)</f>
        <v>7.080250426863973</v>
      </c>
      <c r="H5" s="4">
        <f>F5+G5</f>
        <v>9.080250426863973</v>
      </c>
      <c r="I5" s="4">
        <v>2</v>
      </c>
      <c r="J5" s="3">
        <v>1100</v>
      </c>
      <c r="K5" s="3">
        <v>124.4</v>
      </c>
      <c r="L5" s="13">
        <f>(J5-K5)/D$1</f>
        <v>0.88690909090909098</v>
      </c>
      <c r="M5" s="3">
        <v>4</v>
      </c>
      <c r="N5" s="3">
        <v>2</v>
      </c>
      <c r="O5" s="4">
        <f>M5-N5</f>
        <v>2</v>
      </c>
      <c r="P5" s="4">
        <f>N5+O5</f>
        <v>4</v>
      </c>
      <c r="Q5" s="8">
        <f>(J5-K5)+(O5*M$1)</f>
        <v>1045.8800000000001</v>
      </c>
    </row>
    <row r="6" spans="2:19" x14ac:dyDescent="0.2">
      <c r="B6" s="13">
        <f>Q5/D$1</f>
        <v>0.95080000000000009</v>
      </c>
      <c r="C6" t="s">
        <v>27</v>
      </c>
      <c r="D6" s="3">
        <v>224.7</v>
      </c>
      <c r="E6" s="13">
        <f>(Q5-D6)/D$1</f>
        <v>0.74652727272727282</v>
      </c>
      <c r="F6" s="3">
        <v>2</v>
      </c>
      <c r="G6" s="4">
        <v>6</v>
      </c>
      <c r="H6" s="4">
        <f t="shared" ref="H6:H9" si="0">F6+G6</f>
        <v>8</v>
      </c>
      <c r="I6" s="4">
        <v>2</v>
      </c>
      <c r="J6" s="8">
        <f>(Q5-D6)+(G6*M$1)</f>
        <v>1032.02</v>
      </c>
      <c r="K6" s="3">
        <v>224.7</v>
      </c>
      <c r="L6" s="13">
        <f t="shared" ref="L6:L9" si="1">(J6-K6)/D$1</f>
        <v>0.73392727272727265</v>
      </c>
      <c r="M6" s="3">
        <v>4</v>
      </c>
      <c r="N6" s="3">
        <v>2</v>
      </c>
      <c r="O6" s="4">
        <f>M6-N6</f>
        <v>2</v>
      </c>
      <c r="P6" s="4">
        <f t="shared" ref="P6:P9" si="2">N6+O6</f>
        <v>4</v>
      </c>
      <c r="Q6" s="8">
        <f>(J6-K6)+(O6*M$1)</f>
        <v>877.59999999999991</v>
      </c>
    </row>
    <row r="7" spans="2:19" ht="16" thickBot="1" x14ac:dyDescent="0.25">
      <c r="B7" s="13">
        <f>Q6/D$1</f>
        <v>0.79781818181818176</v>
      </c>
      <c r="C7" t="s">
        <v>29</v>
      </c>
      <c r="D7" s="3">
        <v>177.4</v>
      </c>
      <c r="E7" s="13">
        <f>(Q6-D7)/D$1</f>
        <v>0.63654545454545453</v>
      </c>
      <c r="F7" s="3">
        <v>2</v>
      </c>
      <c r="G7" s="4">
        <v>6</v>
      </c>
      <c r="H7" s="4">
        <f t="shared" si="0"/>
        <v>8</v>
      </c>
      <c r="I7" s="4">
        <v>2</v>
      </c>
      <c r="J7" s="8">
        <f>(Q6-D7)+(G7*M$1)</f>
        <v>911.04</v>
      </c>
      <c r="K7" s="3">
        <v>177.4</v>
      </c>
      <c r="L7" s="13">
        <f t="shared" si="1"/>
        <v>0.66694545454545451</v>
      </c>
      <c r="M7" s="3">
        <v>2</v>
      </c>
      <c r="N7" s="3">
        <v>2</v>
      </c>
      <c r="O7" s="4">
        <f>M7-N7</f>
        <v>0</v>
      </c>
      <c r="P7" s="4">
        <f t="shared" si="2"/>
        <v>2</v>
      </c>
      <c r="Q7" s="8">
        <f>(J7-K7)+(O7*M$1)</f>
        <v>733.64</v>
      </c>
    </row>
    <row r="8" spans="2:19" ht="16" thickBot="1" x14ac:dyDescent="0.25">
      <c r="B8" s="13">
        <f>Q7/D$1</f>
        <v>0.66694545454545451</v>
      </c>
      <c r="C8" t="s">
        <v>66</v>
      </c>
      <c r="D8" s="3">
        <v>111.7</v>
      </c>
      <c r="E8" s="13">
        <f>(Q7-D8)/D$1</f>
        <v>0.5653999999999999</v>
      </c>
      <c r="F8" s="3">
        <v>0</v>
      </c>
      <c r="G8" s="4">
        <v>0</v>
      </c>
      <c r="H8" s="4">
        <f t="shared" si="0"/>
        <v>0</v>
      </c>
      <c r="I8" s="4">
        <v>2</v>
      </c>
      <c r="J8" s="8">
        <f>(Q7-D8)+(G8*M$1)</f>
        <v>621.93999999999994</v>
      </c>
      <c r="K8" s="3">
        <v>118.7</v>
      </c>
      <c r="L8" s="23">
        <f t="shared" si="1"/>
        <v>0.45749090909090906</v>
      </c>
      <c r="M8" s="3">
        <v>2</v>
      </c>
      <c r="N8" s="3">
        <v>2</v>
      </c>
      <c r="O8" s="4">
        <v>6</v>
      </c>
      <c r="P8" s="4">
        <f t="shared" si="2"/>
        <v>8</v>
      </c>
      <c r="Q8" s="8">
        <f>(J8-K8)+(O8*M$1)</f>
        <v>714.07999999999993</v>
      </c>
    </row>
    <row r="9" spans="2:19" ht="16" thickBot="1" x14ac:dyDescent="0.25">
      <c r="B9" s="13">
        <f>Q8/D$1</f>
        <v>0.64916363636363628</v>
      </c>
      <c r="C9" t="s">
        <v>51</v>
      </c>
      <c r="D9" s="3">
        <v>254.5</v>
      </c>
      <c r="E9" s="23">
        <f>(Q8-D9)/D$1</f>
        <v>0.41779999999999995</v>
      </c>
      <c r="F9" s="3">
        <v>2</v>
      </c>
      <c r="G9" s="4">
        <f>((D9*2)/M$1)</f>
        <v>14.484917472965282</v>
      </c>
      <c r="H9" s="4">
        <f t="shared" si="0"/>
        <v>16.484917472965282</v>
      </c>
      <c r="I9" s="4">
        <v>2</v>
      </c>
      <c r="J9" s="8">
        <f>(Q8-D9)+(G9*M$1)</f>
        <v>968.57999999999993</v>
      </c>
      <c r="K9" s="3">
        <v>254.5</v>
      </c>
      <c r="L9" s="13">
        <f t="shared" si="1"/>
        <v>0.64916363636363628</v>
      </c>
      <c r="M9" s="3">
        <v>2</v>
      </c>
      <c r="N9" s="3">
        <v>2</v>
      </c>
      <c r="O9" s="4">
        <f>M9-N9</f>
        <v>0</v>
      </c>
      <c r="P9" s="4">
        <f t="shared" si="2"/>
        <v>2</v>
      </c>
      <c r="Q9" s="8">
        <f>(J9-K9)+(O9*M$1)</f>
        <v>714.07999999999993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Charging &amp; cycles (new)</vt:lpstr>
      <vt:lpstr>Battery &amp; Charging Check (new)</vt:lpstr>
      <vt:lpstr>Sample trip chain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Sandell</dc:creator>
  <cp:lastModifiedBy>Lin Lin</cp:lastModifiedBy>
  <dcterms:created xsi:type="dcterms:W3CDTF">2024-10-04T03:46:12Z</dcterms:created>
  <dcterms:modified xsi:type="dcterms:W3CDTF">2024-10-11T02:45:02Z</dcterms:modified>
</cp:coreProperties>
</file>